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 filterPrivacy="1"/>
  <xr:revisionPtr revIDLastSave="2" documentId="13_ncr:1_{C90DDD44-25E3-45AA-89C9-9CD29C89A9D1}" xr6:coauthVersionLast="47" xr6:coauthVersionMax="47" xr10:uidLastSave="{134765A6-3EF6-4C0A-86E6-53BD94E7EA88}"/>
  <bookViews>
    <workbookView xWindow="-108" yWindow="-108" windowWidth="23256" windowHeight="12456" firstSheet="5" activeTab="6" xr2:uid="{00000000-000D-0000-FFFF-FFFF00000000}"/>
  </bookViews>
  <sheets>
    <sheet name="Abstract" sheetId="1" r:id="rId1"/>
    <sheet name="BOM" sheetId="2" r:id="rId2"/>
    <sheet name="Stock statement" sheetId="3" r:id="rId3"/>
    <sheet name="Arrival" sheetId="4" r:id="rId4"/>
    <sheet name="Note" sheetId="14" r:id="rId5"/>
    <sheet name="Inventory Reg" sheetId="5" r:id="rId6"/>
    <sheet name="Monthly Op &amp; Clo Stock (invoic)" sheetId="6" r:id="rId7"/>
    <sheet name="Sheet1" sheetId="13" r:id="rId8"/>
  </sheets>
  <definedNames>
    <definedName name="_xlnm._FilterDatabase" localSheetId="0" hidden="1">Abstract!$C$4:$R$60</definedName>
    <definedName name="_xlnm._FilterDatabase" localSheetId="3" hidden="1">Arrival!$A$1:$V$290</definedName>
    <definedName name="_xlnm._FilterDatabase" localSheetId="1" hidden="1">BOM!$A$2:$O$1558</definedName>
    <definedName name="_xlnm._FilterDatabase" localSheetId="5" hidden="1">'Inventory Reg'!$A$1:$V$267</definedName>
    <definedName name="_xlnm._FilterDatabase" localSheetId="6" hidden="1">'Monthly Op &amp; Clo Stock (invoic)'!$A$1:$E$1</definedName>
    <definedName name="_xlnm._FilterDatabase" localSheetId="7" hidden="1">Sheet1!$A$1:$F$264</definedName>
    <definedName name="_xlnm._FilterDatabase" localSheetId="2" hidden="1">'Stock statement'!$A$2:$X$379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1" l="1"/>
  <c r="H344" i="3" l="1"/>
  <c r="H345" i="3"/>
  <c r="H346" i="3"/>
  <c r="H379" i="3"/>
  <c r="H378" i="3"/>
  <c r="H377" i="3"/>
  <c r="H376" i="3"/>
  <c r="H375" i="3"/>
  <c r="D71" i="13" l="1"/>
  <c r="D122" i="13"/>
  <c r="D236" i="13"/>
  <c r="D91" i="13"/>
  <c r="D247" i="13"/>
  <c r="D221" i="13"/>
  <c r="D191" i="13"/>
  <c r="D178" i="13"/>
  <c r="D66" i="13"/>
  <c r="D49" i="13"/>
  <c r="D42" i="13"/>
  <c r="D41" i="13"/>
  <c r="D29" i="13"/>
  <c r="R361" i="3" l="1"/>
  <c r="R360" i="3"/>
  <c r="R359" i="3"/>
  <c r="R351" i="3"/>
  <c r="R342" i="3"/>
  <c r="R313" i="3"/>
  <c r="R312" i="3"/>
  <c r="R233" i="3"/>
  <c r="R232" i="3"/>
  <c r="R231" i="3"/>
  <c r="R230" i="3"/>
  <c r="R229" i="3"/>
  <c r="R228" i="3"/>
  <c r="R227" i="3"/>
  <c r="R214" i="3"/>
  <c r="R213" i="3"/>
  <c r="R212" i="3"/>
  <c r="R211" i="3"/>
  <c r="R210" i="3"/>
  <c r="R209" i="3"/>
  <c r="R208" i="3"/>
  <c r="R130" i="3"/>
  <c r="I379" i="3"/>
  <c r="L379" i="3" s="1"/>
  <c r="I378" i="3"/>
  <c r="L378" i="3" s="1"/>
  <c r="I377" i="3"/>
  <c r="L377" i="3" s="1"/>
  <c r="I376" i="3"/>
  <c r="L376" i="3" s="1"/>
  <c r="I375" i="3"/>
  <c r="L375" i="3" s="1"/>
  <c r="I374" i="3"/>
  <c r="L374" i="3" s="1"/>
  <c r="I373" i="3"/>
  <c r="L373" i="3" s="1"/>
  <c r="I372" i="3"/>
  <c r="L372" i="3" s="1"/>
  <c r="I371" i="3"/>
  <c r="L371" i="3" s="1"/>
  <c r="I370" i="3"/>
  <c r="L370" i="3" s="1"/>
  <c r="K369" i="3"/>
  <c r="I369" i="3"/>
  <c r="L369" i="3" s="1"/>
  <c r="K368" i="3"/>
  <c r="I368" i="3"/>
  <c r="L368" i="3" s="1"/>
  <c r="K367" i="3"/>
  <c r="I367" i="3"/>
  <c r="L367" i="3" s="1"/>
  <c r="K366" i="3"/>
  <c r="I366" i="3"/>
  <c r="L366" i="3" s="1"/>
  <c r="I365" i="3"/>
  <c r="I364" i="3"/>
  <c r="L364" i="3" s="1"/>
  <c r="I363" i="3"/>
  <c r="L363" i="3" s="1"/>
  <c r="I362" i="3"/>
  <c r="L362" i="3" s="1"/>
  <c r="K361" i="3"/>
  <c r="I361" i="3"/>
  <c r="K360" i="3"/>
  <c r="I360" i="3"/>
  <c r="L360" i="3" s="1"/>
  <c r="K359" i="3"/>
  <c r="I359" i="3"/>
  <c r="L359" i="3" s="1"/>
  <c r="K358" i="3"/>
  <c r="I358" i="3"/>
  <c r="L358" i="3" s="1"/>
  <c r="K357" i="3"/>
  <c r="I357" i="3"/>
  <c r="L357" i="3" s="1"/>
  <c r="K356" i="3"/>
  <c r="I356" i="3"/>
  <c r="L356" i="3" s="1"/>
  <c r="K355" i="3"/>
  <c r="I355" i="3"/>
  <c r="L355" i="3" s="1"/>
  <c r="K354" i="3"/>
  <c r="I354" i="3"/>
  <c r="L354" i="3" s="1"/>
  <c r="K353" i="3"/>
  <c r="I353" i="3"/>
  <c r="L353" i="3" s="1"/>
  <c r="K352" i="3"/>
  <c r="I352" i="3"/>
  <c r="L352" i="3" s="1"/>
  <c r="K351" i="3"/>
  <c r="I351" i="3"/>
  <c r="L351" i="3" s="1"/>
  <c r="K350" i="3"/>
  <c r="I350" i="3"/>
  <c r="L350" i="3" s="1"/>
  <c r="K349" i="3"/>
  <c r="I349" i="3"/>
  <c r="L349" i="3" s="1"/>
  <c r="K348" i="3"/>
  <c r="I348" i="3"/>
  <c r="L348" i="3" s="1"/>
  <c r="K347" i="3"/>
  <c r="I347" i="3"/>
  <c r="L347" i="3" s="1"/>
  <c r="K346" i="3"/>
  <c r="I346" i="3"/>
  <c r="L346" i="3" s="1"/>
  <c r="K345" i="3"/>
  <c r="N345" i="3" s="1"/>
  <c r="I345" i="3"/>
  <c r="K344" i="3"/>
  <c r="I344" i="3"/>
  <c r="L344" i="3" s="1"/>
  <c r="K343" i="3"/>
  <c r="I343" i="3"/>
  <c r="L343" i="3" s="1"/>
  <c r="K342" i="3"/>
  <c r="I342" i="3"/>
  <c r="L342" i="3" s="1"/>
  <c r="K341" i="3"/>
  <c r="I341" i="3"/>
  <c r="L341" i="3" s="1"/>
  <c r="K340" i="3"/>
  <c r="I340" i="3"/>
  <c r="L340" i="3" s="1"/>
  <c r="K339" i="3"/>
  <c r="I339" i="3"/>
  <c r="L339" i="3" s="1"/>
  <c r="K338" i="3"/>
  <c r="I338" i="3"/>
  <c r="L338" i="3" s="1"/>
  <c r="K337" i="3"/>
  <c r="I337" i="3"/>
  <c r="L337" i="3" s="1"/>
  <c r="K336" i="3"/>
  <c r="I336" i="3"/>
  <c r="L336" i="3" s="1"/>
  <c r="K335" i="3"/>
  <c r="I335" i="3"/>
  <c r="L335" i="3" s="1"/>
  <c r="K334" i="3"/>
  <c r="I334" i="3"/>
  <c r="L334" i="3" s="1"/>
  <c r="I333" i="3"/>
  <c r="L333" i="3" s="1"/>
  <c r="K332" i="3"/>
  <c r="I332" i="3"/>
  <c r="L332" i="3" s="1"/>
  <c r="K331" i="3"/>
  <c r="I331" i="3"/>
  <c r="L331" i="3" s="1"/>
  <c r="K330" i="3"/>
  <c r="I330" i="3"/>
  <c r="L330" i="3" s="1"/>
  <c r="K329" i="3"/>
  <c r="I329" i="3"/>
  <c r="K328" i="3"/>
  <c r="I328" i="3"/>
  <c r="L328" i="3" s="1"/>
  <c r="K327" i="3"/>
  <c r="I327" i="3"/>
  <c r="L327" i="3" s="1"/>
  <c r="K326" i="3"/>
  <c r="I326" i="3"/>
  <c r="L326" i="3" s="1"/>
  <c r="K325" i="3"/>
  <c r="I325" i="3"/>
  <c r="L325" i="3" s="1"/>
  <c r="K324" i="3"/>
  <c r="I324" i="3"/>
  <c r="L324" i="3" s="1"/>
  <c r="K323" i="3"/>
  <c r="I323" i="3"/>
  <c r="L323" i="3" s="1"/>
  <c r="I322" i="3"/>
  <c r="L322" i="3" s="1"/>
  <c r="I321" i="3"/>
  <c r="L321" i="3" s="1"/>
  <c r="K320" i="3"/>
  <c r="I320" i="3"/>
  <c r="L320" i="3" s="1"/>
  <c r="K319" i="3"/>
  <c r="I319" i="3"/>
  <c r="L319" i="3" s="1"/>
  <c r="K318" i="3"/>
  <c r="I318" i="3"/>
  <c r="L318" i="3" s="1"/>
  <c r="K317" i="3"/>
  <c r="I317" i="3"/>
  <c r="L317" i="3" s="1"/>
  <c r="K316" i="3"/>
  <c r="I316" i="3"/>
  <c r="K315" i="3"/>
  <c r="I315" i="3"/>
  <c r="L315" i="3" s="1"/>
  <c r="K314" i="3"/>
  <c r="I314" i="3"/>
  <c r="L314" i="3" s="1"/>
  <c r="K313" i="3"/>
  <c r="I313" i="3"/>
  <c r="K312" i="3"/>
  <c r="I312" i="3"/>
  <c r="L312" i="3" s="1"/>
  <c r="K311" i="3"/>
  <c r="I311" i="3"/>
  <c r="L311" i="3" s="1"/>
  <c r="K310" i="3"/>
  <c r="I310" i="3"/>
  <c r="L310" i="3" s="1"/>
  <c r="K309" i="3"/>
  <c r="I309" i="3"/>
  <c r="L309" i="3" s="1"/>
  <c r="K308" i="3"/>
  <c r="I308" i="3"/>
  <c r="L308" i="3" s="1"/>
  <c r="K307" i="3"/>
  <c r="I307" i="3"/>
  <c r="L307" i="3" s="1"/>
  <c r="K306" i="3"/>
  <c r="I306" i="3"/>
  <c r="L306" i="3" s="1"/>
  <c r="K305" i="3"/>
  <c r="I305" i="3"/>
  <c r="L305" i="3" s="1"/>
  <c r="K304" i="3"/>
  <c r="I304" i="3"/>
  <c r="L304" i="3" s="1"/>
  <c r="K303" i="3"/>
  <c r="I303" i="3"/>
  <c r="L303" i="3" s="1"/>
  <c r="K302" i="3"/>
  <c r="I302" i="3"/>
  <c r="L302" i="3" s="1"/>
  <c r="K301" i="3"/>
  <c r="I301" i="3"/>
  <c r="L301" i="3" s="1"/>
  <c r="K300" i="3"/>
  <c r="I300" i="3"/>
  <c r="K299" i="3"/>
  <c r="I299" i="3"/>
  <c r="L299" i="3" s="1"/>
  <c r="K298" i="3"/>
  <c r="I298" i="3"/>
  <c r="L298" i="3" s="1"/>
  <c r="K297" i="3"/>
  <c r="I297" i="3"/>
  <c r="K296" i="3"/>
  <c r="I296" i="3"/>
  <c r="L296" i="3" s="1"/>
  <c r="K295" i="3"/>
  <c r="I295" i="3"/>
  <c r="L295" i="3" s="1"/>
  <c r="K294" i="3"/>
  <c r="I294" i="3"/>
  <c r="L294" i="3" s="1"/>
  <c r="I293" i="3"/>
  <c r="L293" i="3" s="1"/>
  <c r="K292" i="3"/>
  <c r="I292" i="3"/>
  <c r="L292" i="3" s="1"/>
  <c r="K291" i="3"/>
  <c r="I291" i="3"/>
  <c r="L291" i="3" s="1"/>
  <c r="K290" i="3"/>
  <c r="I290" i="3"/>
  <c r="L290" i="3" s="1"/>
  <c r="K289" i="3"/>
  <c r="I289" i="3"/>
  <c r="L289" i="3" s="1"/>
  <c r="K288" i="3"/>
  <c r="I288" i="3"/>
  <c r="L288" i="3" s="1"/>
  <c r="K287" i="3"/>
  <c r="I287" i="3"/>
  <c r="L287" i="3" s="1"/>
  <c r="K286" i="3"/>
  <c r="I286" i="3"/>
  <c r="L286" i="3" s="1"/>
  <c r="K285" i="3"/>
  <c r="I285" i="3"/>
  <c r="L285" i="3" s="1"/>
  <c r="I284" i="3"/>
  <c r="I283" i="3"/>
  <c r="L283" i="3" s="1"/>
  <c r="I282" i="3"/>
  <c r="L282" i="3" s="1"/>
  <c r="I281" i="3"/>
  <c r="I280" i="3"/>
  <c r="L280" i="3" s="1"/>
  <c r="I279" i="3"/>
  <c r="L279" i="3" s="1"/>
  <c r="K278" i="3"/>
  <c r="I278" i="3"/>
  <c r="L278" i="3" s="1"/>
  <c r="I277" i="3"/>
  <c r="L277" i="3" s="1"/>
  <c r="K276" i="3"/>
  <c r="I276" i="3"/>
  <c r="L276" i="3" s="1"/>
  <c r="K275" i="3"/>
  <c r="I275" i="3"/>
  <c r="L275" i="3" s="1"/>
  <c r="K274" i="3"/>
  <c r="I274" i="3"/>
  <c r="L274" i="3" s="1"/>
  <c r="K273" i="3"/>
  <c r="I273" i="3"/>
  <c r="L273" i="3" s="1"/>
  <c r="K272" i="3"/>
  <c r="I272" i="3"/>
  <c r="L272" i="3" s="1"/>
  <c r="K271" i="3"/>
  <c r="I271" i="3"/>
  <c r="L271" i="3" s="1"/>
  <c r="K270" i="3"/>
  <c r="I270" i="3"/>
  <c r="L270" i="3" s="1"/>
  <c r="I269" i="3"/>
  <c r="L269" i="3" s="1"/>
  <c r="I268" i="3"/>
  <c r="L268" i="3" s="1"/>
  <c r="I267" i="3"/>
  <c r="L267" i="3" s="1"/>
  <c r="I266" i="3"/>
  <c r="L266" i="3" s="1"/>
  <c r="K265" i="3"/>
  <c r="I265" i="3"/>
  <c r="K264" i="3"/>
  <c r="I264" i="3"/>
  <c r="L264" i="3" s="1"/>
  <c r="K263" i="3"/>
  <c r="I263" i="3"/>
  <c r="L263" i="3" s="1"/>
  <c r="K262" i="3"/>
  <c r="I262" i="3"/>
  <c r="L262" i="3" s="1"/>
  <c r="K261" i="3"/>
  <c r="I261" i="3"/>
  <c r="L261" i="3" s="1"/>
  <c r="K260" i="3"/>
  <c r="I260" i="3"/>
  <c r="L260" i="3" s="1"/>
  <c r="K259" i="3"/>
  <c r="I259" i="3"/>
  <c r="L259" i="3" s="1"/>
  <c r="K258" i="3"/>
  <c r="I258" i="3"/>
  <c r="L258" i="3" s="1"/>
  <c r="K257" i="3"/>
  <c r="I257" i="3"/>
  <c r="L257" i="3" s="1"/>
  <c r="K256" i="3"/>
  <c r="I256" i="3"/>
  <c r="L256" i="3" s="1"/>
  <c r="K255" i="3"/>
  <c r="I255" i="3"/>
  <c r="L255" i="3" s="1"/>
  <c r="K254" i="3"/>
  <c r="I254" i="3"/>
  <c r="L254" i="3" s="1"/>
  <c r="K253" i="3"/>
  <c r="I253" i="3"/>
  <c r="L253" i="3" s="1"/>
  <c r="K252" i="3"/>
  <c r="I252" i="3"/>
  <c r="L252" i="3" s="1"/>
  <c r="K251" i="3"/>
  <c r="I251" i="3"/>
  <c r="L251" i="3" s="1"/>
  <c r="K250" i="3"/>
  <c r="I250" i="3"/>
  <c r="L250" i="3" s="1"/>
  <c r="K249" i="3"/>
  <c r="I249" i="3"/>
  <c r="K248" i="3"/>
  <c r="I248" i="3"/>
  <c r="L248" i="3" s="1"/>
  <c r="K247" i="3"/>
  <c r="I247" i="3"/>
  <c r="L247" i="3" s="1"/>
  <c r="K246" i="3"/>
  <c r="I246" i="3"/>
  <c r="L246" i="3" s="1"/>
  <c r="K245" i="3"/>
  <c r="I245" i="3"/>
  <c r="L245" i="3" s="1"/>
  <c r="K244" i="3"/>
  <c r="I244" i="3"/>
  <c r="L244" i="3" s="1"/>
  <c r="K243" i="3"/>
  <c r="I243" i="3"/>
  <c r="L243" i="3" s="1"/>
  <c r="K242" i="3"/>
  <c r="I242" i="3"/>
  <c r="L242" i="3" s="1"/>
  <c r="K241" i="3"/>
  <c r="I241" i="3"/>
  <c r="L241" i="3" s="1"/>
  <c r="K240" i="3"/>
  <c r="I240" i="3"/>
  <c r="L240" i="3" s="1"/>
  <c r="K239" i="3"/>
  <c r="I239" i="3"/>
  <c r="L239" i="3" s="1"/>
  <c r="K238" i="3"/>
  <c r="I238" i="3"/>
  <c r="L238" i="3" s="1"/>
  <c r="I237" i="3"/>
  <c r="L237" i="3" s="1"/>
  <c r="I236" i="3"/>
  <c r="L236" i="3" s="1"/>
  <c r="K235" i="3"/>
  <c r="I235" i="3"/>
  <c r="L235" i="3" s="1"/>
  <c r="K234" i="3"/>
  <c r="I234" i="3"/>
  <c r="L234" i="3" s="1"/>
  <c r="K233" i="3"/>
  <c r="I233" i="3"/>
  <c r="K232" i="3"/>
  <c r="I232" i="3"/>
  <c r="L232" i="3" s="1"/>
  <c r="K231" i="3"/>
  <c r="I231" i="3"/>
  <c r="L231" i="3" s="1"/>
  <c r="K230" i="3"/>
  <c r="I230" i="3"/>
  <c r="L230" i="3" s="1"/>
  <c r="O230" i="3" s="1"/>
  <c r="K229" i="3"/>
  <c r="I229" i="3"/>
  <c r="L229" i="3" s="1"/>
  <c r="K228" i="3"/>
  <c r="I228" i="3"/>
  <c r="L228" i="3" s="1"/>
  <c r="K227" i="3"/>
  <c r="I227" i="3"/>
  <c r="L227" i="3" s="1"/>
  <c r="K226" i="3"/>
  <c r="I226" i="3"/>
  <c r="L226" i="3" s="1"/>
  <c r="K225" i="3"/>
  <c r="I225" i="3"/>
  <c r="L225" i="3" s="1"/>
  <c r="K224" i="3"/>
  <c r="I224" i="3"/>
  <c r="L224" i="3" s="1"/>
  <c r="K223" i="3"/>
  <c r="I223" i="3"/>
  <c r="L223" i="3" s="1"/>
  <c r="K222" i="3"/>
  <c r="I222" i="3"/>
  <c r="L222" i="3" s="1"/>
  <c r="K221" i="3"/>
  <c r="I221" i="3"/>
  <c r="L221" i="3" s="1"/>
  <c r="K220" i="3"/>
  <c r="I220" i="3"/>
  <c r="L220" i="3" s="1"/>
  <c r="K219" i="3"/>
  <c r="I219" i="3"/>
  <c r="L219" i="3" s="1"/>
  <c r="K218" i="3"/>
  <c r="I218" i="3"/>
  <c r="L218" i="3" s="1"/>
  <c r="K217" i="3"/>
  <c r="I217" i="3"/>
  <c r="K216" i="3"/>
  <c r="I216" i="3"/>
  <c r="L216" i="3" s="1"/>
  <c r="K215" i="3"/>
  <c r="I215" i="3"/>
  <c r="L215" i="3" s="1"/>
  <c r="K214" i="3"/>
  <c r="I214" i="3"/>
  <c r="L214" i="3" s="1"/>
  <c r="K213" i="3"/>
  <c r="I213" i="3"/>
  <c r="L213" i="3" s="1"/>
  <c r="K212" i="3"/>
  <c r="I212" i="3"/>
  <c r="L212" i="3" s="1"/>
  <c r="K211" i="3"/>
  <c r="I211" i="3"/>
  <c r="L211" i="3" s="1"/>
  <c r="K210" i="3"/>
  <c r="I210" i="3"/>
  <c r="L210" i="3" s="1"/>
  <c r="K209" i="3"/>
  <c r="I209" i="3"/>
  <c r="L209" i="3" s="1"/>
  <c r="K208" i="3"/>
  <c r="I208" i="3"/>
  <c r="K207" i="3"/>
  <c r="I207" i="3"/>
  <c r="L207" i="3" s="1"/>
  <c r="K206" i="3"/>
  <c r="I206" i="3"/>
  <c r="L206" i="3" s="1"/>
  <c r="K205" i="3"/>
  <c r="I205" i="3"/>
  <c r="L205" i="3" s="1"/>
  <c r="K204" i="3"/>
  <c r="I204" i="3"/>
  <c r="L204" i="3" s="1"/>
  <c r="K203" i="3"/>
  <c r="I203" i="3"/>
  <c r="L203" i="3" s="1"/>
  <c r="I202" i="3"/>
  <c r="L202" i="3" s="1"/>
  <c r="K201" i="3"/>
  <c r="I201" i="3"/>
  <c r="K200" i="3"/>
  <c r="I200" i="3"/>
  <c r="L200" i="3" s="1"/>
  <c r="K199" i="3"/>
  <c r="I199" i="3"/>
  <c r="L199" i="3" s="1"/>
  <c r="I198" i="3"/>
  <c r="L198" i="3" s="1"/>
  <c r="K197" i="3"/>
  <c r="I197" i="3"/>
  <c r="L197" i="3" s="1"/>
  <c r="K196" i="3"/>
  <c r="I196" i="3"/>
  <c r="L196" i="3" s="1"/>
  <c r="K195" i="3"/>
  <c r="I195" i="3"/>
  <c r="L195" i="3" s="1"/>
  <c r="K194" i="3"/>
  <c r="I194" i="3"/>
  <c r="L194" i="3" s="1"/>
  <c r="K193" i="3"/>
  <c r="I193" i="3"/>
  <c r="L193" i="3" s="1"/>
  <c r="K192" i="3"/>
  <c r="I192" i="3"/>
  <c r="K191" i="3"/>
  <c r="I191" i="3"/>
  <c r="L191" i="3" s="1"/>
  <c r="K190" i="3"/>
  <c r="I190" i="3"/>
  <c r="L190" i="3" s="1"/>
  <c r="K189" i="3"/>
  <c r="I189" i="3"/>
  <c r="L189" i="3" s="1"/>
  <c r="K188" i="3"/>
  <c r="I188" i="3"/>
  <c r="L188" i="3" s="1"/>
  <c r="K187" i="3"/>
  <c r="I187" i="3"/>
  <c r="L187" i="3" s="1"/>
  <c r="K186" i="3"/>
  <c r="I186" i="3"/>
  <c r="L186" i="3" s="1"/>
  <c r="K185" i="3"/>
  <c r="I185" i="3"/>
  <c r="K184" i="3"/>
  <c r="I184" i="3"/>
  <c r="L184" i="3" s="1"/>
  <c r="K183" i="3"/>
  <c r="I183" i="3"/>
  <c r="L183" i="3" s="1"/>
  <c r="K182" i="3"/>
  <c r="I182" i="3"/>
  <c r="L182" i="3" s="1"/>
  <c r="K181" i="3"/>
  <c r="I181" i="3"/>
  <c r="L181" i="3" s="1"/>
  <c r="K180" i="3"/>
  <c r="I180" i="3"/>
  <c r="L180" i="3" s="1"/>
  <c r="K179" i="3"/>
  <c r="I179" i="3"/>
  <c r="L179" i="3" s="1"/>
  <c r="K178" i="3"/>
  <c r="I178" i="3"/>
  <c r="L178" i="3" s="1"/>
  <c r="K177" i="3"/>
  <c r="I177" i="3"/>
  <c r="L177" i="3" s="1"/>
  <c r="K176" i="3"/>
  <c r="I176" i="3"/>
  <c r="L176" i="3" s="1"/>
  <c r="K175" i="3"/>
  <c r="I175" i="3"/>
  <c r="L175" i="3" s="1"/>
  <c r="K174" i="3"/>
  <c r="I174" i="3"/>
  <c r="L174" i="3" s="1"/>
  <c r="K173" i="3"/>
  <c r="I173" i="3"/>
  <c r="L173" i="3" s="1"/>
  <c r="K172" i="3"/>
  <c r="I172" i="3"/>
  <c r="L172" i="3" s="1"/>
  <c r="K171" i="3"/>
  <c r="I171" i="3"/>
  <c r="L171" i="3" s="1"/>
  <c r="K170" i="3"/>
  <c r="I170" i="3"/>
  <c r="L170" i="3" s="1"/>
  <c r="K169" i="3"/>
  <c r="I169" i="3"/>
  <c r="K168" i="3"/>
  <c r="I168" i="3"/>
  <c r="L168" i="3" s="1"/>
  <c r="K167" i="3"/>
  <c r="I167" i="3"/>
  <c r="L167" i="3" s="1"/>
  <c r="K166" i="3"/>
  <c r="I166" i="3"/>
  <c r="L166" i="3" s="1"/>
  <c r="K165" i="3"/>
  <c r="I165" i="3"/>
  <c r="L165" i="3" s="1"/>
  <c r="K164" i="3"/>
  <c r="I164" i="3"/>
  <c r="L164" i="3" s="1"/>
  <c r="K163" i="3"/>
  <c r="I163" i="3"/>
  <c r="L163" i="3" s="1"/>
  <c r="K162" i="3"/>
  <c r="I162" i="3"/>
  <c r="L162" i="3" s="1"/>
  <c r="K161" i="3"/>
  <c r="I161" i="3"/>
  <c r="L161" i="3" s="1"/>
  <c r="K160" i="3"/>
  <c r="I160" i="3"/>
  <c r="K159" i="3"/>
  <c r="I159" i="3"/>
  <c r="L159" i="3" s="1"/>
  <c r="K158" i="3"/>
  <c r="I158" i="3"/>
  <c r="L158" i="3" s="1"/>
  <c r="K157" i="3"/>
  <c r="I157" i="3"/>
  <c r="L157" i="3" s="1"/>
  <c r="K156" i="3"/>
  <c r="I156" i="3"/>
  <c r="L156" i="3" s="1"/>
  <c r="K155" i="3"/>
  <c r="I155" i="3"/>
  <c r="L155" i="3" s="1"/>
  <c r="I154" i="3"/>
  <c r="L154" i="3" s="1"/>
  <c r="K153" i="3"/>
  <c r="I153" i="3"/>
  <c r="K152" i="3"/>
  <c r="I152" i="3"/>
  <c r="L152" i="3" s="1"/>
  <c r="K151" i="3"/>
  <c r="I151" i="3"/>
  <c r="L151" i="3" s="1"/>
  <c r="K150" i="3"/>
  <c r="I150" i="3"/>
  <c r="L150" i="3" s="1"/>
  <c r="K149" i="3"/>
  <c r="I149" i="3"/>
  <c r="L149" i="3" s="1"/>
  <c r="K148" i="3"/>
  <c r="I148" i="3"/>
  <c r="L148" i="3" s="1"/>
  <c r="K147" i="3"/>
  <c r="I147" i="3"/>
  <c r="L147" i="3" s="1"/>
  <c r="K146" i="3"/>
  <c r="I146" i="3"/>
  <c r="L146" i="3" s="1"/>
  <c r="I145" i="3"/>
  <c r="L145" i="3" s="1"/>
  <c r="I144" i="3"/>
  <c r="K143" i="3"/>
  <c r="I143" i="3"/>
  <c r="L143" i="3" s="1"/>
  <c r="K142" i="3"/>
  <c r="I142" i="3"/>
  <c r="L142" i="3" s="1"/>
  <c r="K141" i="3"/>
  <c r="I141" i="3"/>
  <c r="L141" i="3" s="1"/>
  <c r="K140" i="3"/>
  <c r="I140" i="3"/>
  <c r="L140" i="3" s="1"/>
  <c r="K139" i="3"/>
  <c r="I139" i="3"/>
  <c r="L139" i="3" s="1"/>
  <c r="K138" i="3"/>
  <c r="I138" i="3"/>
  <c r="L138" i="3" s="1"/>
  <c r="K137" i="3"/>
  <c r="I137" i="3"/>
  <c r="K136" i="3"/>
  <c r="I136" i="3"/>
  <c r="L136" i="3" s="1"/>
  <c r="K135" i="3"/>
  <c r="I135" i="3"/>
  <c r="L135" i="3" s="1"/>
  <c r="K134" i="3"/>
  <c r="I134" i="3"/>
  <c r="L134" i="3" s="1"/>
  <c r="K133" i="3"/>
  <c r="I133" i="3"/>
  <c r="L133" i="3" s="1"/>
  <c r="K132" i="3"/>
  <c r="I132" i="3"/>
  <c r="L132" i="3" s="1"/>
  <c r="K131" i="3"/>
  <c r="I131" i="3"/>
  <c r="L131" i="3" s="1"/>
  <c r="K130" i="3"/>
  <c r="I130" i="3"/>
  <c r="L130" i="3" s="1"/>
  <c r="K129" i="3"/>
  <c r="I129" i="3"/>
  <c r="L129" i="3" s="1"/>
  <c r="K128" i="3"/>
  <c r="I128" i="3"/>
  <c r="K127" i="3"/>
  <c r="I127" i="3"/>
  <c r="L127" i="3" s="1"/>
  <c r="I126" i="3"/>
  <c r="L126" i="3" s="1"/>
  <c r="K125" i="3"/>
  <c r="I125" i="3"/>
  <c r="L125" i="3" s="1"/>
  <c r="K124" i="3"/>
  <c r="I124" i="3"/>
  <c r="L124" i="3" s="1"/>
  <c r="K123" i="3"/>
  <c r="I123" i="3"/>
  <c r="L123" i="3" s="1"/>
  <c r="K122" i="3"/>
  <c r="I122" i="3"/>
  <c r="L122" i="3" s="1"/>
  <c r="K121" i="3"/>
  <c r="I121" i="3"/>
  <c r="K120" i="3"/>
  <c r="I120" i="3"/>
  <c r="L120" i="3" s="1"/>
  <c r="K119" i="3"/>
  <c r="I119" i="3"/>
  <c r="L119" i="3" s="1"/>
  <c r="K118" i="3"/>
  <c r="I118" i="3"/>
  <c r="L118" i="3" s="1"/>
  <c r="K117" i="3"/>
  <c r="I117" i="3"/>
  <c r="L117" i="3" s="1"/>
  <c r="K116" i="3"/>
  <c r="I116" i="3"/>
  <c r="L116" i="3" s="1"/>
  <c r="K115" i="3"/>
  <c r="I115" i="3"/>
  <c r="L115" i="3" s="1"/>
  <c r="K114" i="3"/>
  <c r="I114" i="3"/>
  <c r="L114" i="3" s="1"/>
  <c r="K113" i="3"/>
  <c r="I113" i="3"/>
  <c r="L113" i="3" s="1"/>
  <c r="K112" i="3"/>
  <c r="I112" i="3"/>
  <c r="K111" i="3"/>
  <c r="I111" i="3"/>
  <c r="L111" i="3" s="1"/>
  <c r="K110" i="3"/>
  <c r="I110" i="3"/>
  <c r="L110" i="3" s="1"/>
  <c r="K109" i="3"/>
  <c r="I109" i="3"/>
  <c r="L109" i="3" s="1"/>
  <c r="K108" i="3"/>
  <c r="I108" i="3"/>
  <c r="K107" i="3"/>
  <c r="I107" i="3"/>
  <c r="L107" i="3" s="1"/>
  <c r="K106" i="3"/>
  <c r="I106" i="3"/>
  <c r="L106" i="3" s="1"/>
  <c r="K105" i="3"/>
  <c r="I105" i="3"/>
  <c r="K104" i="3"/>
  <c r="I104" i="3"/>
  <c r="L104" i="3" s="1"/>
  <c r="K103" i="3"/>
  <c r="I103" i="3"/>
  <c r="L103" i="3" s="1"/>
  <c r="I102" i="3"/>
  <c r="L102" i="3" s="1"/>
  <c r="I101" i="3"/>
  <c r="L101" i="3" s="1"/>
  <c r="K100" i="3"/>
  <c r="I100" i="3"/>
  <c r="L100" i="3" s="1"/>
  <c r="I99" i="3"/>
  <c r="L99" i="3" s="1"/>
  <c r="I98" i="3"/>
  <c r="L98" i="3" s="1"/>
  <c r="I97" i="3"/>
  <c r="L97" i="3" s="1"/>
  <c r="K96" i="3"/>
  <c r="I96" i="3"/>
  <c r="I95" i="3"/>
  <c r="L95" i="3" s="1"/>
  <c r="I94" i="3"/>
  <c r="L94" i="3" s="1"/>
  <c r="K93" i="3"/>
  <c r="I93" i="3"/>
  <c r="L93" i="3" s="1"/>
  <c r="I92" i="3"/>
  <c r="L92" i="3" s="1"/>
  <c r="K91" i="3"/>
  <c r="I91" i="3"/>
  <c r="L91" i="3" s="1"/>
  <c r="K90" i="3"/>
  <c r="I90" i="3"/>
  <c r="L90" i="3" s="1"/>
  <c r="K89" i="3"/>
  <c r="I89" i="3"/>
  <c r="K88" i="3"/>
  <c r="I88" i="3"/>
  <c r="L88" i="3" s="1"/>
  <c r="I87" i="3"/>
  <c r="L87" i="3" s="1"/>
  <c r="K86" i="3"/>
  <c r="I86" i="3"/>
  <c r="L86" i="3" s="1"/>
  <c r="K85" i="3"/>
  <c r="I85" i="3"/>
  <c r="L85" i="3" s="1"/>
  <c r="K84" i="3"/>
  <c r="I84" i="3"/>
  <c r="L84" i="3" s="1"/>
  <c r="K83" i="3"/>
  <c r="I83" i="3"/>
  <c r="L83" i="3" s="1"/>
  <c r="K82" i="3"/>
  <c r="I82" i="3"/>
  <c r="L82" i="3" s="1"/>
  <c r="K81" i="3"/>
  <c r="I81" i="3"/>
  <c r="L81" i="3" s="1"/>
  <c r="K80" i="3"/>
  <c r="I80" i="3"/>
  <c r="K79" i="3"/>
  <c r="I79" i="3"/>
  <c r="L79" i="3" s="1"/>
  <c r="K78" i="3"/>
  <c r="I78" i="3"/>
  <c r="L78" i="3" s="1"/>
  <c r="K77" i="3"/>
  <c r="I77" i="3"/>
  <c r="L77" i="3" s="1"/>
  <c r="K76" i="3"/>
  <c r="I76" i="3"/>
  <c r="L76" i="3" s="1"/>
  <c r="I75" i="3"/>
  <c r="L75" i="3" s="1"/>
  <c r="K74" i="3"/>
  <c r="I74" i="3"/>
  <c r="L74" i="3" s="1"/>
  <c r="K73" i="3"/>
  <c r="I73" i="3"/>
  <c r="K72" i="3"/>
  <c r="I72" i="3"/>
  <c r="L72" i="3" s="1"/>
  <c r="K71" i="3"/>
  <c r="I71" i="3"/>
  <c r="L71" i="3" s="1"/>
  <c r="K70" i="3"/>
  <c r="I70" i="3"/>
  <c r="L70" i="3" s="1"/>
  <c r="K69" i="3"/>
  <c r="I69" i="3"/>
  <c r="L69" i="3" s="1"/>
  <c r="K68" i="3"/>
  <c r="I68" i="3"/>
  <c r="L68" i="3" s="1"/>
  <c r="K67" i="3"/>
  <c r="I67" i="3"/>
  <c r="L67" i="3" s="1"/>
  <c r="K66" i="3"/>
  <c r="I66" i="3"/>
  <c r="L66" i="3" s="1"/>
  <c r="K65" i="3"/>
  <c r="I65" i="3"/>
  <c r="L65" i="3" s="1"/>
  <c r="K64" i="3"/>
  <c r="I64" i="3"/>
  <c r="K63" i="3"/>
  <c r="I63" i="3"/>
  <c r="L63" i="3" s="1"/>
  <c r="K62" i="3"/>
  <c r="I62" i="3"/>
  <c r="L62" i="3" s="1"/>
  <c r="I61" i="3"/>
  <c r="L61" i="3" s="1"/>
  <c r="K60" i="3"/>
  <c r="I60" i="3"/>
  <c r="L60" i="3" s="1"/>
  <c r="K59" i="3"/>
  <c r="I59" i="3"/>
  <c r="L59" i="3" s="1"/>
  <c r="K58" i="3"/>
  <c r="I58" i="3"/>
  <c r="L58" i="3" s="1"/>
  <c r="K57" i="3"/>
  <c r="I57" i="3"/>
  <c r="K56" i="3"/>
  <c r="I56" i="3"/>
  <c r="L56" i="3" s="1"/>
  <c r="K55" i="3"/>
  <c r="I55" i="3"/>
  <c r="L55" i="3" s="1"/>
  <c r="K54" i="3"/>
  <c r="I54" i="3"/>
  <c r="L54" i="3" s="1"/>
  <c r="K53" i="3"/>
  <c r="I53" i="3"/>
  <c r="L53" i="3" s="1"/>
  <c r="K52" i="3"/>
  <c r="I52" i="3"/>
  <c r="L52" i="3" s="1"/>
  <c r="K51" i="3"/>
  <c r="I51" i="3"/>
  <c r="K50" i="3"/>
  <c r="I50" i="3"/>
  <c r="L50" i="3" s="1"/>
  <c r="K49" i="3"/>
  <c r="I49" i="3"/>
  <c r="L49" i="3" s="1"/>
  <c r="K48" i="3"/>
  <c r="I48" i="3"/>
  <c r="I47" i="3"/>
  <c r="L47" i="3" s="1"/>
  <c r="I46" i="3"/>
  <c r="L46" i="3" s="1"/>
  <c r="K45" i="3"/>
  <c r="I45" i="3"/>
  <c r="L45" i="3" s="1"/>
  <c r="K44" i="3"/>
  <c r="I44" i="3"/>
  <c r="L44" i="3" s="1"/>
  <c r="K43" i="3"/>
  <c r="I43" i="3"/>
  <c r="L43" i="3" s="1"/>
  <c r="K42" i="3"/>
  <c r="I42" i="3"/>
  <c r="L42" i="3" s="1"/>
  <c r="I41" i="3"/>
  <c r="I40" i="3"/>
  <c r="L40" i="3" s="1"/>
  <c r="K39" i="3"/>
  <c r="I39" i="3"/>
  <c r="L39" i="3" s="1"/>
  <c r="I38" i="3"/>
  <c r="L38" i="3" s="1"/>
  <c r="K37" i="3"/>
  <c r="I37" i="3"/>
  <c r="L37" i="3" s="1"/>
  <c r="I36" i="3"/>
  <c r="L36" i="3" s="1"/>
  <c r="I35" i="3"/>
  <c r="L35" i="3" s="1"/>
  <c r="I34" i="3"/>
  <c r="L34" i="3" s="1"/>
  <c r="I33" i="3"/>
  <c r="L33" i="3" s="1"/>
  <c r="K32" i="3"/>
  <c r="I32" i="3"/>
  <c r="I31" i="3"/>
  <c r="L31" i="3" s="1"/>
  <c r="K30" i="3"/>
  <c r="I30" i="3"/>
  <c r="L30" i="3" s="1"/>
  <c r="K29" i="3"/>
  <c r="I29" i="3"/>
  <c r="L29" i="3" s="1"/>
  <c r="I28" i="3"/>
  <c r="L28" i="3" s="1"/>
  <c r="K27" i="3"/>
  <c r="I27" i="3"/>
  <c r="L27" i="3" s="1"/>
  <c r="K26" i="3"/>
  <c r="I26" i="3"/>
  <c r="L26" i="3" s="1"/>
  <c r="K25" i="3"/>
  <c r="I25" i="3"/>
  <c r="I24" i="3"/>
  <c r="L24" i="3" s="1"/>
  <c r="K23" i="3"/>
  <c r="I23" i="3"/>
  <c r="L23" i="3" s="1"/>
  <c r="I22" i="3"/>
  <c r="L22" i="3" s="1"/>
  <c r="I21" i="3"/>
  <c r="L21" i="3" s="1"/>
  <c r="I20" i="3"/>
  <c r="L20" i="3" s="1"/>
  <c r="I19" i="3"/>
  <c r="L19" i="3" s="1"/>
  <c r="I18" i="3"/>
  <c r="I17" i="3"/>
  <c r="L17" i="3" s="1"/>
  <c r="K16" i="3"/>
  <c r="I16" i="3"/>
  <c r="I15" i="3"/>
  <c r="L15" i="3" s="1"/>
  <c r="K14" i="3"/>
  <c r="I14" i="3"/>
  <c r="L14" i="3" s="1"/>
  <c r="I13" i="3"/>
  <c r="L13" i="3" s="1"/>
  <c r="K12" i="3"/>
  <c r="I12" i="3"/>
  <c r="L12" i="3" s="1"/>
  <c r="K11" i="3"/>
  <c r="I11" i="3"/>
  <c r="L11" i="3" s="1"/>
  <c r="I10" i="3"/>
  <c r="L10" i="3" s="1"/>
  <c r="I9" i="3"/>
  <c r="I8" i="3"/>
  <c r="L8" i="3" s="1"/>
  <c r="K7" i="3"/>
  <c r="I7" i="3"/>
  <c r="L7" i="3" s="1"/>
  <c r="I6" i="3"/>
  <c r="L6" i="3" s="1"/>
  <c r="K5" i="3"/>
  <c r="I5" i="3"/>
  <c r="L5" i="3" s="1"/>
  <c r="K4" i="3"/>
  <c r="I4" i="3"/>
  <c r="L4" i="3" s="1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U1" i="3"/>
  <c r="D264" i="13"/>
  <c r="C356" i="6"/>
  <c r="E159" i="13" s="1"/>
  <c r="F159" i="13" s="1"/>
  <c r="J294" i="3" l="1"/>
  <c r="J366" i="3"/>
  <c r="J63" i="3"/>
  <c r="J79" i="3"/>
  <c r="J175" i="3"/>
  <c r="J289" i="3"/>
  <c r="O232" i="3"/>
  <c r="O351" i="3"/>
  <c r="O229" i="3"/>
  <c r="O212" i="3"/>
  <c r="O211" i="3"/>
  <c r="O228" i="3"/>
  <c r="O210" i="3"/>
  <c r="O312" i="3"/>
  <c r="O360" i="3"/>
  <c r="O209" i="3"/>
  <c r="O213" i="3"/>
  <c r="O342" i="3"/>
  <c r="J113" i="3"/>
  <c r="J129" i="3"/>
  <c r="J177" i="3"/>
  <c r="J193" i="3"/>
  <c r="J209" i="3"/>
  <c r="J147" i="3"/>
  <c r="J195" i="3"/>
  <c r="J203" i="3"/>
  <c r="J205" i="3"/>
  <c r="J309" i="3"/>
  <c r="J317" i="3"/>
  <c r="O214" i="3"/>
  <c r="J120" i="3"/>
  <c r="J136" i="3"/>
  <c r="J184" i="3"/>
  <c r="J200" i="3"/>
  <c r="J272" i="3"/>
  <c r="J288" i="3"/>
  <c r="J368" i="3"/>
  <c r="J305" i="3"/>
  <c r="J82" i="3"/>
  <c r="J250" i="3"/>
  <c r="J51" i="3"/>
  <c r="J211" i="3"/>
  <c r="J227" i="3"/>
  <c r="J235" i="3"/>
  <c r="J331" i="3"/>
  <c r="J339" i="3"/>
  <c r="J347" i="3"/>
  <c r="J181" i="3"/>
  <c r="J189" i="3"/>
  <c r="J197" i="3"/>
  <c r="J301" i="3"/>
  <c r="J111" i="3"/>
  <c r="J207" i="3"/>
  <c r="J223" i="3"/>
  <c r="J239" i="3"/>
  <c r="J255" i="3"/>
  <c r="J271" i="3"/>
  <c r="J287" i="3"/>
  <c r="J335" i="3"/>
  <c r="O227" i="3"/>
  <c r="R362" i="3"/>
  <c r="O362" i="3" s="1"/>
  <c r="J49" i="3"/>
  <c r="J65" i="3"/>
  <c r="J81" i="3"/>
  <c r="J105" i="3"/>
  <c r="J249" i="3"/>
  <c r="J361" i="3"/>
  <c r="J26" i="3"/>
  <c r="J42" i="3"/>
  <c r="J50" i="3"/>
  <c r="J58" i="3"/>
  <c r="J66" i="3"/>
  <c r="J74" i="3"/>
  <c r="J210" i="3"/>
  <c r="J242" i="3"/>
  <c r="J290" i="3"/>
  <c r="J298" i="3"/>
  <c r="L281" i="3"/>
  <c r="J84" i="3"/>
  <c r="J100" i="3"/>
  <c r="J116" i="3"/>
  <c r="J124" i="3"/>
  <c r="J132" i="3"/>
  <c r="J140" i="3"/>
  <c r="J148" i="3"/>
  <c r="J156" i="3"/>
  <c r="J164" i="3"/>
  <c r="J172" i="3"/>
  <c r="J260" i="3"/>
  <c r="J53" i="3"/>
  <c r="J118" i="3"/>
  <c r="J134" i="3"/>
  <c r="J142" i="3"/>
  <c r="J206" i="3"/>
  <c r="J230" i="3"/>
  <c r="J238" i="3"/>
  <c r="J358" i="3"/>
  <c r="J56" i="3"/>
  <c r="J72" i="3"/>
  <c r="J90" i="3"/>
  <c r="J106" i="3"/>
  <c r="J161" i="3"/>
  <c r="J224" i="3"/>
  <c r="J240" i="3"/>
  <c r="J256" i="3"/>
  <c r="J303" i="3"/>
  <c r="J319" i="3"/>
  <c r="J67" i="3"/>
  <c r="J114" i="3"/>
  <c r="J122" i="3"/>
  <c r="J130" i="3"/>
  <c r="J138" i="3"/>
  <c r="J146" i="3"/>
  <c r="J351" i="3"/>
  <c r="J367" i="3"/>
  <c r="J162" i="3"/>
  <c r="J170" i="3"/>
  <c r="J225" i="3"/>
  <c r="J241" i="3"/>
  <c r="J257" i="3"/>
  <c r="J304" i="3"/>
  <c r="J12" i="3"/>
  <c r="J44" i="3"/>
  <c r="J52" i="3"/>
  <c r="J60" i="3"/>
  <c r="J68" i="3"/>
  <c r="J76" i="3"/>
  <c r="J131" i="3"/>
  <c r="J139" i="3"/>
  <c r="J178" i="3"/>
  <c r="J186" i="3"/>
  <c r="J336" i="3"/>
  <c r="J353" i="3"/>
  <c r="J369" i="3"/>
  <c r="J14" i="3"/>
  <c r="J30" i="3"/>
  <c r="J54" i="3"/>
  <c r="J62" i="3"/>
  <c r="J70" i="3"/>
  <c r="J78" i="3"/>
  <c r="J117" i="3"/>
  <c r="J125" i="3"/>
  <c r="J133" i="3"/>
  <c r="J141" i="3"/>
  <c r="J180" i="3"/>
  <c r="J188" i="3"/>
  <c r="J275" i="3"/>
  <c r="J338" i="3"/>
  <c r="J346" i="3"/>
  <c r="J354" i="3"/>
  <c r="J86" i="3"/>
  <c r="J110" i="3"/>
  <c r="J212" i="3"/>
  <c r="J220" i="3"/>
  <c r="J323" i="3"/>
  <c r="J32" i="3"/>
  <c r="J103" i="3"/>
  <c r="J150" i="3"/>
  <c r="J158" i="3"/>
  <c r="J166" i="3"/>
  <c r="J174" i="3"/>
  <c r="J245" i="3"/>
  <c r="J253" i="3"/>
  <c r="J308" i="3"/>
  <c r="J127" i="3"/>
  <c r="J143" i="3"/>
  <c r="J324" i="3"/>
  <c r="J332" i="3"/>
  <c r="J25" i="3"/>
  <c r="J88" i="3"/>
  <c r="J104" i="3"/>
  <c r="J159" i="3"/>
  <c r="J167" i="3"/>
  <c r="J191" i="3"/>
  <c r="J278" i="3"/>
  <c r="J286" i="3"/>
  <c r="J357" i="3"/>
  <c r="J137" i="3"/>
  <c r="J152" i="3"/>
  <c r="J176" i="3"/>
  <c r="J302" i="3"/>
  <c r="J329" i="3"/>
  <c r="L329" i="3"/>
  <c r="J39" i="3"/>
  <c r="J16" i="3"/>
  <c r="L16" i="3"/>
  <c r="J215" i="3"/>
  <c r="J328" i="3"/>
  <c r="J343" i="3"/>
  <c r="J89" i="3"/>
  <c r="L89" i="3"/>
  <c r="J153" i="3"/>
  <c r="L153" i="3"/>
  <c r="J216" i="3"/>
  <c r="J231" i="3"/>
  <c r="J246" i="3"/>
  <c r="J254" i="3"/>
  <c r="J261" i="3"/>
  <c r="J276" i="3"/>
  <c r="J291" i="3"/>
  <c r="J299" i="3"/>
  <c r="J306" i="3"/>
  <c r="J314" i="3"/>
  <c r="J344" i="3"/>
  <c r="N344" i="3"/>
  <c r="M344" i="3" s="1"/>
  <c r="P344" i="3" s="1"/>
  <c r="S344" i="3" s="1"/>
  <c r="J300" i="3"/>
  <c r="L300" i="3"/>
  <c r="J337" i="3"/>
  <c r="J345" i="3"/>
  <c r="L345" i="3"/>
  <c r="J352" i="3"/>
  <c r="L18" i="3"/>
  <c r="J96" i="3"/>
  <c r="L96" i="3"/>
  <c r="J11" i="3"/>
  <c r="J232" i="3"/>
  <c r="J247" i="3"/>
  <c r="J262" i="3"/>
  <c r="J270" i="3"/>
  <c r="J285" i="3"/>
  <c r="J292" i="3"/>
  <c r="J307" i="3"/>
  <c r="J315" i="3"/>
  <c r="J330" i="3"/>
  <c r="J360" i="3"/>
  <c r="L361" i="3"/>
  <c r="O361" i="3" s="1"/>
  <c r="L284" i="3"/>
  <c r="J48" i="3"/>
  <c r="L48" i="3"/>
  <c r="J112" i="3"/>
  <c r="L112" i="3"/>
  <c r="J168" i="3"/>
  <c r="J182" i="3"/>
  <c r="J190" i="3"/>
  <c r="J196" i="3"/>
  <c r="J204" i="3"/>
  <c r="J233" i="3"/>
  <c r="L233" i="3"/>
  <c r="O233" i="3" s="1"/>
  <c r="J316" i="3"/>
  <c r="L316" i="3"/>
  <c r="J4" i="3"/>
  <c r="L41" i="3"/>
  <c r="J83" i="3"/>
  <c r="J169" i="3"/>
  <c r="L169" i="3"/>
  <c r="J218" i="3"/>
  <c r="J248" i="3"/>
  <c r="J263" i="3"/>
  <c r="L51" i="3"/>
  <c r="J5" i="3"/>
  <c r="J27" i="3"/>
  <c r="J55" i="3"/>
  <c r="J69" i="3"/>
  <c r="J77" i="3"/>
  <c r="J91" i="3"/>
  <c r="J119" i="3"/>
  <c r="J155" i="3"/>
  <c r="J183" i="3"/>
  <c r="J219" i="3"/>
  <c r="J226" i="3"/>
  <c r="J234" i="3"/>
  <c r="J264" i="3"/>
  <c r="L25" i="3"/>
  <c r="L105" i="3"/>
  <c r="J64" i="3"/>
  <c r="L64" i="3"/>
  <c r="J128" i="3"/>
  <c r="L128" i="3"/>
  <c r="J192" i="3"/>
  <c r="L192" i="3"/>
  <c r="J265" i="3"/>
  <c r="L265" i="3"/>
  <c r="N346" i="3"/>
  <c r="M346" i="3" s="1"/>
  <c r="P346" i="3" s="1"/>
  <c r="S346" i="3" s="1"/>
  <c r="J57" i="3"/>
  <c r="L57" i="3"/>
  <c r="J121" i="3"/>
  <c r="L121" i="3"/>
  <c r="J163" i="3"/>
  <c r="J185" i="3"/>
  <c r="L185" i="3"/>
  <c r="J295" i="3"/>
  <c r="J310" i="3"/>
  <c r="J318" i="3"/>
  <c r="J325" i="3"/>
  <c r="J340" i="3"/>
  <c r="J348" i="3"/>
  <c r="J355" i="3"/>
  <c r="L137" i="3"/>
  <c r="J7" i="3"/>
  <c r="J29" i="3"/>
  <c r="J43" i="3"/>
  <c r="J71" i="3"/>
  <c r="J85" i="3"/>
  <c r="J93" i="3"/>
  <c r="J107" i="3"/>
  <c r="J135" i="3"/>
  <c r="J149" i="3"/>
  <c r="J157" i="3"/>
  <c r="J171" i="3"/>
  <c r="J199" i="3"/>
  <c r="J213" i="3"/>
  <c r="J273" i="3"/>
  <c r="J160" i="3"/>
  <c r="L160" i="3"/>
  <c r="J217" i="3"/>
  <c r="L217" i="3"/>
  <c r="J108" i="3"/>
  <c r="L108" i="3"/>
  <c r="J221" i="3"/>
  <c r="J228" i="3"/>
  <c r="J243" i="3"/>
  <c r="J251" i="3"/>
  <c r="J258" i="3"/>
  <c r="J296" i="3"/>
  <c r="J311" i="3"/>
  <c r="J326" i="3"/>
  <c r="J334" i="3"/>
  <c r="J341" i="3"/>
  <c r="J349" i="3"/>
  <c r="J356" i="3"/>
  <c r="L32" i="3"/>
  <c r="J208" i="3"/>
  <c r="L208" i="3"/>
  <c r="O208" i="3" s="1"/>
  <c r="J297" i="3"/>
  <c r="L297" i="3"/>
  <c r="L365" i="3"/>
  <c r="J80" i="3"/>
  <c r="L80" i="3"/>
  <c r="J73" i="3"/>
  <c r="L73" i="3"/>
  <c r="J115" i="3"/>
  <c r="J179" i="3"/>
  <c r="J201" i="3"/>
  <c r="L201" i="3"/>
  <c r="J214" i="3"/>
  <c r="J222" i="3"/>
  <c r="J229" i="3"/>
  <c r="J244" i="3"/>
  <c r="J252" i="3"/>
  <c r="J259" i="3"/>
  <c r="J274" i="3"/>
  <c r="J312" i="3"/>
  <c r="J327" i="3"/>
  <c r="J342" i="3"/>
  <c r="J350" i="3"/>
  <c r="L9" i="3"/>
  <c r="J23" i="3"/>
  <c r="J37" i="3"/>
  <c r="J45" i="3"/>
  <c r="J59" i="3"/>
  <c r="J109" i="3"/>
  <c r="J123" i="3"/>
  <c r="J151" i="3"/>
  <c r="J165" i="3"/>
  <c r="J173" i="3"/>
  <c r="J187" i="3"/>
  <c r="J194" i="3"/>
  <c r="J313" i="3"/>
  <c r="L313" i="3"/>
  <c r="O313" i="3" s="1"/>
  <c r="J320" i="3"/>
  <c r="L144" i="3"/>
  <c r="L249" i="3"/>
  <c r="J359" i="3"/>
  <c r="O130" i="3"/>
  <c r="O359" i="3"/>
  <c r="O231" i="3"/>
  <c r="C355" i="6"/>
  <c r="R379" i="3" s="1"/>
  <c r="O379" i="3" s="1"/>
  <c r="C354" i="6"/>
  <c r="R378" i="3" s="1"/>
  <c r="O378" i="3" s="1"/>
  <c r="C353" i="6"/>
  <c r="R377" i="3" s="1"/>
  <c r="O377" i="3" s="1"/>
  <c r="C352" i="6"/>
  <c r="C351" i="6"/>
  <c r="C350" i="6"/>
  <c r="R374" i="3" s="1"/>
  <c r="O374" i="3" s="1"/>
  <c r="C349" i="6"/>
  <c r="E115" i="13" l="1"/>
  <c r="F115" i="13" s="1"/>
  <c r="R375" i="3"/>
  <c r="O375" i="3" s="1"/>
  <c r="E166" i="13"/>
  <c r="F166" i="13" s="1"/>
  <c r="R376" i="3"/>
  <c r="O376" i="3" s="1"/>
  <c r="E163" i="13"/>
  <c r="F163" i="13" s="1"/>
  <c r="R372" i="3"/>
  <c r="O372" i="3" s="1"/>
  <c r="M345" i="3"/>
  <c r="P345" i="3" s="1"/>
  <c r="S345" i="3" s="1"/>
  <c r="E118" i="13"/>
  <c r="F118" i="13" s="1"/>
  <c r="E167" i="13"/>
  <c r="F167" i="13" s="1"/>
  <c r="M290" i="4" l="1"/>
  <c r="I383" i="3" s="1"/>
  <c r="D355" i="6"/>
  <c r="E355" i="6" s="1"/>
  <c r="D354" i="6"/>
  <c r="E354" i="6" s="1"/>
  <c r="D353" i="6"/>
  <c r="E353" i="6" s="1"/>
  <c r="D352" i="6"/>
  <c r="E352" i="6" s="1"/>
  <c r="D351" i="6"/>
  <c r="E351" i="6" s="1"/>
  <c r="D350" i="6"/>
  <c r="E350" i="6" s="1"/>
  <c r="F382" i="3"/>
  <c r="H374" i="3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P289" i="4"/>
  <c r="R289" i="4" s="1"/>
  <c r="P288" i="4"/>
  <c r="R288" i="4" s="1"/>
  <c r="S288" i="4" s="1"/>
  <c r="P287" i="4"/>
  <c r="R287" i="4" s="1"/>
  <c r="S287" i="4" s="1"/>
  <c r="P286" i="4"/>
  <c r="R286" i="4" s="1"/>
  <c r="S286" i="4" s="1"/>
  <c r="P285" i="4"/>
  <c r="R285" i="4" s="1"/>
  <c r="S285" i="4" s="1"/>
  <c r="P284" i="4"/>
  <c r="R284" i="4" s="1"/>
  <c r="S284" i="4" s="1"/>
  <c r="P283" i="4"/>
  <c r="R283" i="4" s="1"/>
  <c r="S283" i="4" s="1"/>
  <c r="P282" i="4"/>
  <c r="R282" i="4" s="1"/>
  <c r="S282" i="4" s="1"/>
  <c r="P281" i="4"/>
  <c r="R281" i="4" s="1"/>
  <c r="S281" i="4" s="1"/>
  <c r="P280" i="4"/>
  <c r="R280" i="4" s="1"/>
  <c r="S280" i="4" s="1"/>
  <c r="P279" i="4"/>
  <c r="R279" i="4" s="1"/>
  <c r="S279" i="4" s="1"/>
  <c r="P278" i="4"/>
  <c r="R278" i="4" s="1"/>
  <c r="S278" i="4" s="1"/>
  <c r="P277" i="4"/>
  <c r="R277" i="4" s="1"/>
  <c r="S277" i="4" s="1"/>
  <c r="P276" i="4"/>
  <c r="R276" i="4" s="1"/>
  <c r="S276" i="4" s="1"/>
  <c r="P275" i="4"/>
  <c r="R275" i="4" s="1"/>
  <c r="P274" i="4"/>
  <c r="R274" i="4" s="1"/>
  <c r="S274" i="4" s="1"/>
  <c r="P273" i="4"/>
  <c r="R273" i="4" s="1"/>
  <c r="S273" i="4" s="1"/>
  <c r="P272" i="4"/>
  <c r="R272" i="4" s="1"/>
  <c r="S272" i="4" s="1"/>
  <c r="P271" i="4"/>
  <c r="R271" i="4" s="1"/>
  <c r="S271" i="4" s="1"/>
  <c r="P270" i="4"/>
  <c r="R270" i="4" s="1"/>
  <c r="S270" i="4" s="1"/>
  <c r="P269" i="4"/>
  <c r="R269" i="4" s="1"/>
  <c r="S269" i="4" s="1"/>
  <c r="P268" i="4"/>
  <c r="R268" i="4" s="1"/>
  <c r="S268" i="4" s="1"/>
  <c r="P267" i="4"/>
  <c r="R267" i="4" s="1"/>
  <c r="S267" i="4" s="1"/>
  <c r="P266" i="4"/>
  <c r="R266" i="4" s="1"/>
  <c r="S266" i="4" s="1"/>
  <c r="P265" i="4"/>
  <c r="R265" i="4" s="1"/>
  <c r="S265" i="4" s="1"/>
  <c r="P264" i="4"/>
  <c r="R264" i="4" s="1"/>
  <c r="P263" i="4"/>
  <c r="R263" i="4" s="1"/>
  <c r="S263" i="4" s="1"/>
  <c r="P262" i="4"/>
  <c r="R262" i="4" s="1"/>
  <c r="S262" i="4" s="1"/>
  <c r="P261" i="4"/>
  <c r="R261" i="4" s="1"/>
  <c r="S261" i="4" s="1"/>
  <c r="P260" i="4"/>
  <c r="R260" i="4" s="1"/>
  <c r="S260" i="4" s="1"/>
  <c r="P259" i="4"/>
  <c r="R259" i="4" s="1"/>
  <c r="S259" i="4" s="1"/>
  <c r="P258" i="4"/>
  <c r="R258" i="4" s="1"/>
  <c r="S258" i="4" s="1"/>
  <c r="P257" i="4"/>
  <c r="R257" i="4" s="1"/>
  <c r="S257" i="4" s="1"/>
  <c r="P256" i="4"/>
  <c r="R256" i="4" s="1"/>
  <c r="P255" i="4"/>
  <c r="R255" i="4" s="1"/>
  <c r="S255" i="4" s="1"/>
  <c r="P254" i="4"/>
  <c r="R254" i="4" s="1"/>
  <c r="S254" i="4" s="1"/>
  <c r="P253" i="4"/>
  <c r="R253" i="4" s="1"/>
  <c r="S253" i="4" s="1"/>
  <c r="P252" i="4"/>
  <c r="R252" i="4" s="1"/>
  <c r="S252" i="4" s="1"/>
  <c r="P251" i="4"/>
  <c r="R251" i="4" s="1"/>
  <c r="S251" i="4" s="1"/>
  <c r="P250" i="4"/>
  <c r="R250" i="4" s="1"/>
  <c r="S250" i="4" s="1"/>
  <c r="P249" i="4"/>
  <c r="R249" i="4" s="1"/>
  <c r="S249" i="4" s="1"/>
  <c r="P248" i="4"/>
  <c r="R248" i="4" s="1"/>
  <c r="S248" i="4" s="1"/>
  <c r="P247" i="4"/>
  <c r="R247" i="4" s="1"/>
  <c r="P246" i="4"/>
  <c r="R246" i="4" s="1"/>
  <c r="S246" i="4" s="1"/>
  <c r="P245" i="4"/>
  <c r="R245" i="4" s="1"/>
  <c r="S245" i="4" s="1"/>
  <c r="P244" i="4"/>
  <c r="R244" i="4" s="1"/>
  <c r="S244" i="4" s="1"/>
  <c r="P243" i="4"/>
  <c r="R243" i="4" s="1"/>
  <c r="S243" i="4" s="1"/>
  <c r="P242" i="4"/>
  <c r="R242" i="4" s="1"/>
  <c r="S242" i="4" s="1"/>
  <c r="P241" i="4"/>
  <c r="R241" i="4" s="1"/>
  <c r="P240" i="4"/>
  <c r="R240" i="4" s="1"/>
  <c r="S240" i="4" s="1"/>
  <c r="P239" i="4"/>
  <c r="R239" i="4" s="1"/>
  <c r="P238" i="4"/>
  <c r="R238" i="4" s="1"/>
  <c r="S238" i="4" s="1"/>
  <c r="P237" i="4"/>
  <c r="R237" i="4" s="1"/>
  <c r="S237" i="4" s="1"/>
  <c r="P236" i="4"/>
  <c r="R236" i="4" s="1"/>
  <c r="S236" i="4" s="1"/>
  <c r="P235" i="4"/>
  <c r="R235" i="4" s="1"/>
  <c r="S235" i="4" s="1"/>
  <c r="P234" i="4"/>
  <c r="R234" i="4" s="1"/>
  <c r="S234" i="4" s="1"/>
  <c r="P233" i="4"/>
  <c r="R233" i="4" s="1"/>
  <c r="S233" i="4" s="1"/>
  <c r="P232" i="4"/>
  <c r="R232" i="4" s="1"/>
  <c r="S232" i="4" s="1"/>
  <c r="P231" i="4"/>
  <c r="R231" i="4" s="1"/>
  <c r="S231" i="4" s="1"/>
  <c r="P230" i="4"/>
  <c r="R230" i="4" s="1"/>
  <c r="P229" i="4"/>
  <c r="R229" i="4" s="1"/>
  <c r="P228" i="4"/>
  <c r="R228" i="4" s="1"/>
  <c r="S228" i="4" s="1"/>
  <c r="P227" i="4"/>
  <c r="R227" i="4" s="1"/>
  <c r="S227" i="4" s="1"/>
  <c r="P226" i="4"/>
  <c r="R226" i="4" s="1"/>
  <c r="S226" i="4" s="1"/>
  <c r="P225" i="4"/>
  <c r="R225" i="4" s="1"/>
  <c r="S225" i="4" s="1"/>
  <c r="P224" i="4"/>
  <c r="R224" i="4" s="1"/>
  <c r="S224" i="4" s="1"/>
  <c r="P223" i="4"/>
  <c r="R223" i="4" s="1"/>
  <c r="S223" i="4" s="1"/>
  <c r="P222" i="4"/>
  <c r="R222" i="4" s="1"/>
  <c r="S222" i="4" s="1"/>
  <c r="P221" i="4"/>
  <c r="R221" i="4" s="1"/>
  <c r="S221" i="4" s="1"/>
  <c r="P220" i="4"/>
  <c r="R220" i="4" s="1"/>
  <c r="S220" i="4" s="1"/>
  <c r="P219" i="4"/>
  <c r="R219" i="4" s="1"/>
  <c r="S219" i="4" s="1"/>
  <c r="P218" i="4"/>
  <c r="R218" i="4" s="1"/>
  <c r="S218" i="4" s="1"/>
  <c r="P217" i="4"/>
  <c r="R217" i="4" s="1"/>
  <c r="S217" i="4" s="1"/>
  <c r="P216" i="4"/>
  <c r="R216" i="4" s="1"/>
  <c r="S216" i="4" s="1"/>
  <c r="P215" i="4"/>
  <c r="R215" i="4" s="1"/>
  <c r="S215" i="4" s="1"/>
  <c r="P214" i="4"/>
  <c r="R214" i="4" s="1"/>
  <c r="S214" i="4" s="1"/>
  <c r="P213" i="4"/>
  <c r="R213" i="4" s="1"/>
  <c r="S213" i="4" s="1"/>
  <c r="P212" i="4"/>
  <c r="R212" i="4" s="1"/>
  <c r="S212" i="4" s="1"/>
  <c r="P211" i="4"/>
  <c r="R211" i="4" s="1"/>
  <c r="S211" i="4" s="1"/>
  <c r="P210" i="4"/>
  <c r="R210" i="4" s="1"/>
  <c r="S210" i="4" s="1"/>
  <c r="P209" i="4"/>
  <c r="R209" i="4" s="1"/>
  <c r="S209" i="4" s="1"/>
  <c r="P208" i="4"/>
  <c r="R208" i="4" s="1"/>
  <c r="S208" i="4" s="1"/>
  <c r="P207" i="4"/>
  <c r="R207" i="4" s="1"/>
  <c r="S207" i="4" s="1"/>
  <c r="P206" i="4"/>
  <c r="R206" i="4" s="1"/>
  <c r="S206" i="4" s="1"/>
  <c r="P205" i="4"/>
  <c r="R205" i="4" s="1"/>
  <c r="S205" i="4" s="1"/>
  <c r="P204" i="4"/>
  <c r="R204" i="4" s="1"/>
  <c r="S204" i="4" s="1"/>
  <c r="P203" i="4"/>
  <c r="R203" i="4" s="1"/>
  <c r="S203" i="4" s="1"/>
  <c r="P202" i="4"/>
  <c r="R202" i="4" s="1"/>
  <c r="S202" i="4" s="1"/>
  <c r="P201" i="4"/>
  <c r="R201" i="4" s="1"/>
  <c r="S201" i="4" s="1"/>
  <c r="P200" i="4"/>
  <c r="R200" i="4" s="1"/>
  <c r="P199" i="4"/>
  <c r="R199" i="4" s="1"/>
  <c r="S199" i="4" s="1"/>
  <c r="P198" i="4"/>
  <c r="R198" i="4" s="1"/>
  <c r="S198" i="4" s="1"/>
  <c r="P197" i="4"/>
  <c r="R197" i="4" s="1"/>
  <c r="S197" i="4" s="1"/>
  <c r="P196" i="4"/>
  <c r="R196" i="4" s="1"/>
  <c r="S196" i="4" s="1"/>
  <c r="P195" i="4"/>
  <c r="R195" i="4" s="1"/>
  <c r="S195" i="4" s="1"/>
  <c r="P194" i="4"/>
  <c r="R194" i="4" s="1"/>
  <c r="P193" i="4"/>
  <c r="R193" i="4" s="1"/>
  <c r="S193" i="4" s="1"/>
  <c r="P192" i="4"/>
  <c r="R192" i="4" s="1"/>
  <c r="S192" i="4" s="1"/>
  <c r="P191" i="4"/>
  <c r="R191" i="4" s="1"/>
  <c r="S191" i="4" s="1"/>
  <c r="P190" i="4"/>
  <c r="R190" i="4" s="1"/>
  <c r="S190" i="4" s="1"/>
  <c r="P189" i="4"/>
  <c r="R189" i="4" s="1"/>
  <c r="S189" i="4" s="1"/>
  <c r="P188" i="4"/>
  <c r="R188" i="4" s="1"/>
  <c r="P187" i="4"/>
  <c r="R187" i="4" s="1"/>
  <c r="S187" i="4" s="1"/>
  <c r="P186" i="4"/>
  <c r="R186" i="4" s="1"/>
  <c r="S186" i="4" s="1"/>
  <c r="P185" i="4"/>
  <c r="R185" i="4" s="1"/>
  <c r="S185" i="4" s="1"/>
  <c r="P184" i="4"/>
  <c r="R184" i="4" s="1"/>
  <c r="S184" i="4" s="1"/>
  <c r="P183" i="4"/>
  <c r="R183" i="4" s="1"/>
  <c r="S183" i="4" s="1"/>
  <c r="P182" i="4"/>
  <c r="R182" i="4" s="1"/>
  <c r="P181" i="4"/>
  <c r="R181" i="4" s="1"/>
  <c r="S181" i="4" s="1"/>
  <c r="P180" i="4"/>
  <c r="R180" i="4" s="1"/>
  <c r="S180" i="4" s="1"/>
  <c r="P179" i="4"/>
  <c r="R179" i="4" s="1"/>
  <c r="S179" i="4" s="1"/>
  <c r="P178" i="4"/>
  <c r="R178" i="4" s="1"/>
  <c r="S178" i="4" s="1"/>
  <c r="P177" i="4"/>
  <c r="R177" i="4" s="1"/>
  <c r="S177" i="4" s="1"/>
  <c r="P176" i="4"/>
  <c r="R176" i="4" s="1"/>
  <c r="S176" i="4" s="1"/>
  <c r="P175" i="4"/>
  <c r="R175" i="4" s="1"/>
  <c r="S175" i="4" s="1"/>
  <c r="P174" i="4"/>
  <c r="R174" i="4" s="1"/>
  <c r="S174" i="4" s="1"/>
  <c r="P173" i="4"/>
  <c r="R173" i="4" s="1"/>
  <c r="S173" i="4" s="1"/>
  <c r="P172" i="4"/>
  <c r="R172" i="4" s="1"/>
  <c r="S172" i="4" s="1"/>
  <c r="P171" i="4"/>
  <c r="R171" i="4" s="1"/>
  <c r="S171" i="4" s="1"/>
  <c r="P170" i="4"/>
  <c r="R170" i="4" s="1"/>
  <c r="S170" i="4" s="1"/>
  <c r="P169" i="4"/>
  <c r="R169" i="4" s="1"/>
  <c r="S169" i="4" s="1"/>
  <c r="P168" i="4"/>
  <c r="R168" i="4" s="1"/>
  <c r="S168" i="4" s="1"/>
  <c r="P167" i="4"/>
  <c r="R167" i="4" s="1"/>
  <c r="P166" i="4"/>
  <c r="R166" i="4" s="1"/>
  <c r="S166" i="4" s="1"/>
  <c r="P165" i="4"/>
  <c r="R165" i="4" s="1"/>
  <c r="P164" i="4"/>
  <c r="R164" i="4" s="1"/>
  <c r="S164" i="4" s="1"/>
  <c r="P163" i="4"/>
  <c r="R163" i="4" s="1"/>
  <c r="S163" i="4" s="1"/>
  <c r="P162" i="4"/>
  <c r="R162" i="4" s="1"/>
  <c r="S162" i="4" s="1"/>
  <c r="P161" i="4"/>
  <c r="R161" i="4" s="1"/>
  <c r="S161" i="4" s="1"/>
  <c r="P160" i="4"/>
  <c r="R160" i="4" s="1"/>
  <c r="S160" i="4" s="1"/>
  <c r="P159" i="4"/>
  <c r="R159" i="4" s="1"/>
  <c r="P158" i="4"/>
  <c r="R158" i="4" s="1"/>
  <c r="P157" i="4"/>
  <c r="R157" i="4" s="1"/>
  <c r="P156" i="4"/>
  <c r="R156" i="4" s="1"/>
  <c r="P155" i="4"/>
  <c r="R155" i="4" s="1"/>
  <c r="P154" i="4"/>
  <c r="R154" i="4" s="1"/>
  <c r="P153" i="4"/>
  <c r="R153" i="4" s="1"/>
  <c r="S153" i="4" s="1"/>
  <c r="P152" i="4"/>
  <c r="R152" i="4" s="1"/>
  <c r="S152" i="4" s="1"/>
  <c r="P151" i="4"/>
  <c r="R151" i="4" s="1"/>
  <c r="S151" i="4" s="1"/>
  <c r="P150" i="4"/>
  <c r="R150" i="4" s="1"/>
  <c r="S150" i="4" s="1"/>
  <c r="P149" i="4"/>
  <c r="R149" i="4" s="1"/>
  <c r="P148" i="4"/>
  <c r="R148" i="4" s="1"/>
  <c r="P147" i="4"/>
  <c r="R147" i="4" s="1"/>
  <c r="S147" i="4" s="1"/>
  <c r="P146" i="4"/>
  <c r="R146" i="4" s="1"/>
  <c r="S146" i="4" s="1"/>
  <c r="P145" i="4"/>
  <c r="R145" i="4" s="1"/>
  <c r="P144" i="4"/>
  <c r="R144" i="4" s="1"/>
  <c r="S144" i="4" s="1"/>
  <c r="P143" i="4"/>
  <c r="R143" i="4" s="1"/>
  <c r="P142" i="4"/>
  <c r="R142" i="4" s="1"/>
  <c r="S142" i="4" s="1"/>
  <c r="P141" i="4"/>
  <c r="R141" i="4" s="1"/>
  <c r="S141" i="4" s="1"/>
  <c r="P140" i="4"/>
  <c r="R140" i="4" s="1"/>
  <c r="S140" i="4" s="1"/>
  <c r="P139" i="4"/>
  <c r="R139" i="4" s="1"/>
  <c r="S139" i="4" s="1"/>
  <c r="P138" i="4"/>
  <c r="R138" i="4" s="1"/>
  <c r="P137" i="4"/>
  <c r="R137" i="4" s="1"/>
  <c r="S137" i="4" s="1"/>
  <c r="P136" i="4"/>
  <c r="R136" i="4" s="1"/>
  <c r="S136" i="4" s="1"/>
  <c r="P135" i="4"/>
  <c r="R135" i="4" s="1"/>
  <c r="S135" i="4" s="1"/>
  <c r="P134" i="4"/>
  <c r="R134" i="4" s="1"/>
  <c r="S134" i="4" s="1"/>
  <c r="P133" i="4"/>
  <c r="R133" i="4" s="1"/>
  <c r="P132" i="4"/>
  <c r="R132" i="4" s="1"/>
  <c r="P131" i="4"/>
  <c r="R131" i="4" s="1"/>
  <c r="S131" i="4" s="1"/>
  <c r="P130" i="4"/>
  <c r="R130" i="4" s="1"/>
  <c r="S130" i="4" s="1"/>
  <c r="P129" i="4"/>
  <c r="R129" i="4" s="1"/>
  <c r="P128" i="4"/>
  <c r="R128" i="4" s="1"/>
  <c r="S128" i="4" s="1"/>
  <c r="P127" i="4"/>
  <c r="R127" i="4" s="1"/>
  <c r="S127" i="4" s="1"/>
  <c r="P126" i="4"/>
  <c r="R126" i="4" s="1"/>
  <c r="S126" i="4" s="1"/>
  <c r="P125" i="4"/>
  <c r="R125" i="4" s="1"/>
  <c r="P124" i="4"/>
  <c r="R124" i="4" s="1"/>
  <c r="S124" i="4" s="1"/>
  <c r="P123" i="4"/>
  <c r="R123" i="4" s="1"/>
  <c r="S123" i="4" s="1"/>
  <c r="P122" i="4"/>
  <c r="R122" i="4" s="1"/>
  <c r="S122" i="4" s="1"/>
  <c r="P121" i="4"/>
  <c r="R121" i="4" s="1"/>
  <c r="S121" i="4" s="1"/>
  <c r="P120" i="4"/>
  <c r="R120" i="4" s="1"/>
  <c r="S120" i="4" s="1"/>
  <c r="P119" i="4"/>
  <c r="R119" i="4" s="1"/>
  <c r="S119" i="4" s="1"/>
  <c r="P118" i="4"/>
  <c r="R118" i="4" s="1"/>
  <c r="S118" i="4" s="1"/>
  <c r="P117" i="4"/>
  <c r="R117" i="4" s="1"/>
  <c r="S117" i="4" s="1"/>
  <c r="P116" i="4"/>
  <c r="R116" i="4" s="1"/>
  <c r="S116" i="4" s="1"/>
  <c r="P115" i="4"/>
  <c r="R115" i="4" s="1"/>
  <c r="S115" i="4" s="1"/>
  <c r="P114" i="4"/>
  <c r="R114" i="4" s="1"/>
  <c r="S114" i="4" s="1"/>
  <c r="P113" i="4"/>
  <c r="R113" i="4" s="1"/>
  <c r="S113" i="4" s="1"/>
  <c r="P112" i="4"/>
  <c r="R112" i="4" s="1"/>
  <c r="S112" i="4" s="1"/>
  <c r="P111" i="4"/>
  <c r="R111" i="4" s="1"/>
  <c r="S111" i="4" s="1"/>
  <c r="P110" i="4"/>
  <c r="R110" i="4" s="1"/>
  <c r="S110" i="4" s="1"/>
  <c r="P109" i="4"/>
  <c r="R109" i="4" s="1"/>
  <c r="S109" i="4" s="1"/>
  <c r="P108" i="4"/>
  <c r="R108" i="4" s="1"/>
  <c r="P107" i="4"/>
  <c r="R107" i="4" s="1"/>
  <c r="S107" i="4" s="1"/>
  <c r="P106" i="4"/>
  <c r="R106" i="4" s="1"/>
  <c r="S106" i="4" s="1"/>
  <c r="P105" i="4"/>
  <c r="R105" i="4" s="1"/>
  <c r="S105" i="4" s="1"/>
  <c r="P104" i="4"/>
  <c r="R104" i="4" s="1"/>
  <c r="S104" i="4" s="1"/>
  <c r="P103" i="4"/>
  <c r="R103" i="4" s="1"/>
  <c r="S103" i="4" s="1"/>
  <c r="P102" i="4"/>
  <c r="R102" i="4" s="1"/>
  <c r="P101" i="4"/>
  <c r="R101" i="4" s="1"/>
  <c r="S101" i="4" s="1"/>
  <c r="P100" i="4"/>
  <c r="R100" i="4" s="1"/>
  <c r="S100" i="4" s="1"/>
  <c r="P99" i="4"/>
  <c r="R99" i="4" s="1"/>
  <c r="S99" i="4" s="1"/>
  <c r="P98" i="4"/>
  <c r="R98" i="4" s="1"/>
  <c r="S98" i="4" s="1"/>
  <c r="P97" i="4"/>
  <c r="R97" i="4" s="1"/>
  <c r="S97" i="4" s="1"/>
  <c r="P96" i="4"/>
  <c r="R96" i="4" s="1"/>
  <c r="S96" i="4" s="1"/>
  <c r="P95" i="4"/>
  <c r="R95" i="4" s="1"/>
  <c r="S95" i="4" s="1"/>
  <c r="P94" i="4"/>
  <c r="R94" i="4" s="1"/>
  <c r="S94" i="4" s="1"/>
  <c r="P93" i="4"/>
  <c r="R93" i="4" s="1"/>
  <c r="P92" i="4"/>
  <c r="R92" i="4" s="1"/>
  <c r="S92" i="4" s="1"/>
  <c r="P91" i="4"/>
  <c r="R91" i="4" s="1"/>
  <c r="S91" i="4" s="1"/>
  <c r="P90" i="4"/>
  <c r="R90" i="4" s="1"/>
  <c r="S90" i="4" s="1"/>
  <c r="P89" i="4"/>
  <c r="R89" i="4" s="1"/>
  <c r="S89" i="4" s="1"/>
  <c r="P88" i="4"/>
  <c r="R88" i="4" s="1"/>
  <c r="P87" i="4"/>
  <c r="R87" i="4" s="1"/>
  <c r="P86" i="4"/>
  <c r="R86" i="4" s="1"/>
  <c r="S86" i="4" s="1"/>
  <c r="P85" i="4"/>
  <c r="R85" i="4" s="1"/>
  <c r="S85" i="4" s="1"/>
  <c r="P84" i="4"/>
  <c r="R84" i="4" s="1"/>
  <c r="S84" i="4" s="1"/>
  <c r="P83" i="4"/>
  <c r="R83" i="4" s="1"/>
  <c r="S83" i="4" s="1"/>
  <c r="P82" i="4"/>
  <c r="R82" i="4" s="1"/>
  <c r="S82" i="4" s="1"/>
  <c r="P81" i="4"/>
  <c r="R81" i="4" s="1"/>
  <c r="S81" i="4" s="1"/>
  <c r="P80" i="4"/>
  <c r="R80" i="4" s="1"/>
  <c r="S80" i="4" s="1"/>
  <c r="P79" i="4"/>
  <c r="R79" i="4" s="1"/>
  <c r="S79" i="4" s="1"/>
  <c r="P78" i="4"/>
  <c r="R78" i="4" s="1"/>
  <c r="S78" i="4" s="1"/>
  <c r="P77" i="4"/>
  <c r="R77" i="4" s="1"/>
  <c r="S77" i="4" s="1"/>
  <c r="P76" i="4"/>
  <c r="R76" i="4" s="1"/>
  <c r="P75" i="4"/>
  <c r="R75" i="4" s="1"/>
  <c r="P74" i="4"/>
  <c r="R74" i="4" s="1"/>
  <c r="P73" i="4"/>
  <c r="R73" i="4" s="1"/>
  <c r="S73" i="4" s="1"/>
  <c r="P72" i="4"/>
  <c r="R72" i="4" s="1"/>
  <c r="S72" i="4" s="1"/>
  <c r="P71" i="4"/>
  <c r="R71" i="4" s="1"/>
  <c r="S71" i="4" s="1"/>
  <c r="P70" i="4"/>
  <c r="R70" i="4" s="1"/>
  <c r="S70" i="4" s="1"/>
  <c r="P69" i="4"/>
  <c r="R69" i="4" s="1"/>
  <c r="S69" i="4" s="1"/>
  <c r="P68" i="4"/>
  <c r="R68" i="4" s="1"/>
  <c r="S68" i="4" s="1"/>
  <c r="P67" i="4"/>
  <c r="R67" i="4" s="1"/>
  <c r="P66" i="4"/>
  <c r="R66" i="4" s="1"/>
  <c r="S66" i="4" s="1"/>
  <c r="P65" i="4"/>
  <c r="R65" i="4" s="1"/>
  <c r="P64" i="4"/>
  <c r="R64" i="4" s="1"/>
  <c r="S64" i="4" s="1"/>
  <c r="P63" i="4"/>
  <c r="R63" i="4" s="1"/>
  <c r="S63" i="4" s="1"/>
  <c r="P62" i="4"/>
  <c r="R62" i="4" s="1"/>
  <c r="S62" i="4" s="1"/>
  <c r="P61" i="4"/>
  <c r="R61" i="4" s="1"/>
  <c r="P60" i="4"/>
  <c r="R60" i="4" s="1"/>
  <c r="P59" i="4"/>
  <c r="R59" i="4" s="1"/>
  <c r="S59" i="4" s="1"/>
  <c r="P58" i="4"/>
  <c r="R58" i="4" s="1"/>
  <c r="P57" i="4"/>
  <c r="R57" i="4" s="1"/>
  <c r="S57" i="4" s="1"/>
  <c r="P56" i="4"/>
  <c r="R56" i="4" s="1"/>
  <c r="P55" i="4"/>
  <c r="R55" i="4" s="1"/>
  <c r="S55" i="4" s="1"/>
  <c r="P54" i="4"/>
  <c r="R54" i="4" s="1"/>
  <c r="P53" i="4"/>
  <c r="R53" i="4" s="1"/>
  <c r="P52" i="4"/>
  <c r="R52" i="4" s="1"/>
  <c r="P51" i="4"/>
  <c r="R51" i="4" s="1"/>
  <c r="P50" i="4"/>
  <c r="R50" i="4" s="1"/>
  <c r="P49" i="4"/>
  <c r="R49" i="4" s="1"/>
  <c r="P48" i="4"/>
  <c r="R48" i="4" s="1"/>
  <c r="S48" i="4" s="1"/>
  <c r="P47" i="4"/>
  <c r="R47" i="4" s="1"/>
  <c r="P46" i="4"/>
  <c r="R46" i="4" s="1"/>
  <c r="S46" i="4" s="1"/>
  <c r="P45" i="4"/>
  <c r="R45" i="4" s="1"/>
  <c r="S45" i="4" s="1"/>
  <c r="P44" i="4"/>
  <c r="R44" i="4" s="1"/>
  <c r="S44" i="4" s="1"/>
  <c r="P43" i="4"/>
  <c r="R43" i="4" s="1"/>
  <c r="P42" i="4"/>
  <c r="R42" i="4" s="1"/>
  <c r="S42" i="4" s="1"/>
  <c r="P41" i="4"/>
  <c r="R41" i="4" s="1"/>
  <c r="S41" i="4" s="1"/>
  <c r="P40" i="4"/>
  <c r="R40" i="4" s="1"/>
  <c r="S40" i="4" s="1"/>
  <c r="P39" i="4"/>
  <c r="R39" i="4" s="1"/>
  <c r="P38" i="4"/>
  <c r="R38" i="4" s="1"/>
  <c r="P37" i="4"/>
  <c r="R37" i="4" s="1"/>
  <c r="P36" i="4"/>
  <c r="R36" i="4" s="1"/>
  <c r="S36" i="4" s="1"/>
  <c r="P35" i="4"/>
  <c r="R35" i="4" s="1"/>
  <c r="S35" i="4" s="1"/>
  <c r="P34" i="4"/>
  <c r="R34" i="4" s="1"/>
  <c r="S34" i="4" s="1"/>
  <c r="P33" i="4"/>
  <c r="R33" i="4" s="1"/>
  <c r="S33" i="4" s="1"/>
  <c r="P32" i="4"/>
  <c r="R32" i="4" s="1"/>
  <c r="S32" i="4" s="1"/>
  <c r="P31" i="4"/>
  <c r="R31" i="4" s="1"/>
  <c r="S31" i="4" s="1"/>
  <c r="P30" i="4"/>
  <c r="R30" i="4" s="1"/>
  <c r="P29" i="4"/>
  <c r="R29" i="4" s="1"/>
  <c r="P28" i="4"/>
  <c r="R28" i="4" s="1"/>
  <c r="P27" i="4"/>
  <c r="R27" i="4" s="1"/>
  <c r="P26" i="4"/>
  <c r="R26" i="4" s="1"/>
  <c r="S26" i="4" s="1"/>
  <c r="P25" i="4"/>
  <c r="R25" i="4" s="1"/>
  <c r="S25" i="4" s="1"/>
  <c r="P24" i="4"/>
  <c r="R24" i="4" s="1"/>
  <c r="S24" i="4" s="1"/>
  <c r="P23" i="4"/>
  <c r="R23" i="4" s="1"/>
  <c r="P22" i="4"/>
  <c r="R22" i="4" s="1"/>
  <c r="S22" i="4" s="1"/>
  <c r="P21" i="4"/>
  <c r="R21" i="4" s="1"/>
  <c r="P20" i="4"/>
  <c r="R20" i="4" s="1"/>
  <c r="P19" i="4"/>
  <c r="R19" i="4" s="1"/>
  <c r="P18" i="4"/>
  <c r="R18" i="4" s="1"/>
  <c r="S18" i="4" s="1"/>
  <c r="P17" i="4"/>
  <c r="R17" i="4" s="1"/>
  <c r="P16" i="4"/>
  <c r="R16" i="4" s="1"/>
  <c r="S16" i="4" s="1"/>
  <c r="P15" i="4"/>
  <c r="R15" i="4" s="1"/>
  <c r="S15" i="4" s="1"/>
  <c r="P14" i="4"/>
  <c r="R14" i="4" s="1"/>
  <c r="S14" i="4" s="1"/>
  <c r="P13" i="4"/>
  <c r="R13" i="4" s="1"/>
  <c r="P12" i="4"/>
  <c r="R12" i="4" s="1"/>
  <c r="P11" i="4"/>
  <c r="R11" i="4" s="1"/>
  <c r="P10" i="4"/>
  <c r="R10" i="4" s="1"/>
  <c r="P9" i="4"/>
  <c r="R9" i="4" s="1"/>
  <c r="P8" i="4"/>
  <c r="R8" i="4" s="1"/>
  <c r="S8" i="4" s="1"/>
  <c r="P7" i="4"/>
  <c r="R7" i="4" s="1"/>
  <c r="P6" i="4"/>
  <c r="R6" i="4" s="1"/>
  <c r="P5" i="4"/>
  <c r="R5" i="4" s="1"/>
  <c r="S5" i="4" s="1"/>
  <c r="P4" i="4"/>
  <c r="R4" i="4" s="1"/>
  <c r="S4" i="4" s="1"/>
  <c r="P3" i="4"/>
  <c r="R3" i="4" s="1"/>
  <c r="S3" i="4" s="1"/>
  <c r="P2" i="4"/>
  <c r="R2" i="4" s="1"/>
  <c r="S143" i="4" l="1"/>
  <c r="K10" i="3"/>
  <c r="J10" i="3" s="1"/>
  <c r="S159" i="4"/>
  <c r="K102" i="3"/>
  <c r="J102" i="3" s="1"/>
  <c r="S239" i="4"/>
  <c r="K28" i="3"/>
  <c r="J28" i="3" s="1"/>
  <c r="S17" i="4"/>
  <c r="K363" i="3"/>
  <c r="J363" i="3" s="1"/>
  <c r="S49" i="4"/>
  <c r="K144" i="3"/>
  <c r="J144" i="3" s="1"/>
  <c r="S65" i="4"/>
  <c r="K15" i="3"/>
  <c r="J15" i="3" s="1"/>
  <c r="S129" i="4"/>
  <c r="K87" i="3"/>
  <c r="J87" i="3" s="1"/>
  <c r="S145" i="4"/>
  <c r="K126" i="3"/>
  <c r="J126" i="3" s="1"/>
  <c r="S241" i="4"/>
  <c r="K237" i="3"/>
  <c r="J237" i="3" s="1"/>
  <c r="S289" i="4"/>
  <c r="K379" i="3"/>
  <c r="S2" i="4"/>
  <c r="K17" i="3"/>
  <c r="J17" i="3" s="1"/>
  <c r="S50" i="4"/>
  <c r="K281" i="3"/>
  <c r="J281" i="3" s="1"/>
  <c r="S194" i="4"/>
  <c r="K13" i="3"/>
  <c r="J13" i="3" s="1"/>
  <c r="S51" i="4"/>
  <c r="K22" i="3"/>
  <c r="J22" i="3" s="1"/>
  <c r="S67" i="4"/>
  <c r="K282" i="3"/>
  <c r="J282" i="3" s="1"/>
  <c r="S275" i="4"/>
  <c r="K18" i="3"/>
  <c r="J18" i="3" s="1"/>
  <c r="S20" i="4"/>
  <c r="K365" i="3"/>
  <c r="J365" i="3" s="1"/>
  <c r="S52" i="4"/>
  <c r="K36" i="3"/>
  <c r="J36" i="3" s="1"/>
  <c r="S132" i="4"/>
  <c r="K9" i="3"/>
  <c r="J9" i="3" s="1"/>
  <c r="S148" i="4"/>
  <c r="K377" i="3"/>
  <c r="S37" i="4"/>
  <c r="K371" i="3"/>
  <c r="J371" i="3" s="1"/>
  <c r="S149" i="4"/>
  <c r="K198" i="3"/>
  <c r="J198" i="3" s="1"/>
  <c r="S21" i="4"/>
  <c r="K31" i="3"/>
  <c r="J31" i="3" s="1"/>
  <c r="S53" i="4"/>
  <c r="K6" i="3"/>
  <c r="J6" i="3" s="1"/>
  <c r="S133" i="4"/>
  <c r="K376" i="3"/>
  <c r="S165" i="4"/>
  <c r="K92" i="3"/>
  <c r="J92" i="3" s="1"/>
  <c r="S229" i="4"/>
  <c r="K267" i="3"/>
  <c r="J267" i="3" s="1"/>
  <c r="S6" i="4"/>
  <c r="K277" i="3"/>
  <c r="J277" i="3" s="1"/>
  <c r="S38" i="4"/>
  <c r="K370" i="3"/>
  <c r="J370" i="3" s="1"/>
  <c r="S54" i="4"/>
  <c r="K19" i="3"/>
  <c r="J19" i="3" s="1"/>
  <c r="S102" i="4"/>
  <c r="K145" i="3"/>
  <c r="J145" i="3" s="1"/>
  <c r="S182" i="4"/>
  <c r="K97" i="3"/>
  <c r="J97" i="3" s="1"/>
  <c r="S230" i="4"/>
  <c r="K266" i="3"/>
  <c r="J266" i="3" s="1"/>
  <c r="S167" i="4"/>
  <c r="K268" i="3"/>
  <c r="J268" i="3" s="1"/>
  <c r="S247" i="4"/>
  <c r="K293" i="3"/>
  <c r="J293" i="3" s="1"/>
  <c r="S264" i="4"/>
  <c r="K378" i="3"/>
  <c r="S19" i="4"/>
  <c r="K364" i="3"/>
  <c r="J364" i="3" s="1"/>
  <c r="S9" i="4"/>
  <c r="K40" i="3"/>
  <c r="J40" i="3" s="1"/>
  <c r="S7" i="4"/>
  <c r="K333" i="3"/>
  <c r="J333" i="3" s="1"/>
  <c r="S10" i="4"/>
  <c r="K46" i="3"/>
  <c r="J46" i="3" s="1"/>
  <c r="S58" i="4"/>
  <c r="K373" i="3"/>
  <c r="J373" i="3" s="1"/>
  <c r="S138" i="4"/>
  <c r="K47" i="3"/>
  <c r="J47" i="3" s="1"/>
  <c r="S154" i="4"/>
  <c r="K98" i="3"/>
  <c r="J98" i="3" s="1"/>
  <c r="S74" i="4"/>
  <c r="K372" i="3"/>
  <c r="J372" i="3" s="1"/>
  <c r="S11" i="4"/>
  <c r="K8" i="3"/>
  <c r="J8" i="3" s="1"/>
  <c r="S27" i="4"/>
  <c r="K33" i="3"/>
  <c r="J33" i="3" s="1"/>
  <c r="S43" i="4"/>
  <c r="K154" i="3"/>
  <c r="J154" i="3" s="1"/>
  <c r="S75" i="4"/>
  <c r="K283" i="3"/>
  <c r="J283" i="3" s="1"/>
  <c r="S155" i="4"/>
  <c r="K99" i="3"/>
  <c r="J99" i="3" s="1"/>
  <c r="S47" i="4"/>
  <c r="K279" i="3"/>
  <c r="J279" i="3" s="1"/>
  <c r="S256" i="4"/>
  <c r="K362" i="3"/>
  <c r="J362" i="3" s="1"/>
  <c r="S23" i="4"/>
  <c r="K24" i="3"/>
  <c r="J24" i="3" s="1"/>
  <c r="S87" i="4"/>
  <c r="K322" i="3"/>
  <c r="J322" i="3" s="1"/>
  <c r="S88" i="4"/>
  <c r="K321" i="3"/>
  <c r="J321" i="3" s="1"/>
  <c r="S60" i="4"/>
  <c r="K280" i="3"/>
  <c r="J280" i="3" s="1"/>
  <c r="S76" i="4"/>
  <c r="K284" i="3"/>
  <c r="J284" i="3" s="1"/>
  <c r="S108" i="4"/>
  <c r="K374" i="3"/>
  <c r="J374" i="3" s="1"/>
  <c r="S156" i="4"/>
  <c r="K94" i="3"/>
  <c r="J94" i="3" s="1"/>
  <c r="S188" i="4"/>
  <c r="K269" i="3"/>
  <c r="J269" i="3" s="1"/>
  <c r="S39" i="4"/>
  <c r="K21" i="3"/>
  <c r="J21" i="3" s="1"/>
  <c r="S56" i="4"/>
  <c r="K236" i="3"/>
  <c r="J236" i="3" s="1"/>
  <c r="S12" i="4"/>
  <c r="K61" i="3"/>
  <c r="J61" i="3" s="1"/>
  <c r="S29" i="4"/>
  <c r="K35" i="3"/>
  <c r="J35" i="3" s="1"/>
  <c r="S93" i="4"/>
  <c r="K75" i="3"/>
  <c r="J75" i="3" s="1"/>
  <c r="S125" i="4"/>
  <c r="K375" i="3"/>
  <c r="S157" i="4"/>
  <c r="K95" i="3"/>
  <c r="J95" i="3" s="1"/>
  <c r="S200" i="4"/>
  <c r="K38" i="3"/>
  <c r="J38" i="3" s="1"/>
  <c r="S28" i="4"/>
  <c r="K34" i="3"/>
  <c r="J34" i="3" s="1"/>
  <c r="S13" i="4"/>
  <c r="K41" i="3"/>
  <c r="J41" i="3" s="1"/>
  <c r="S61" i="4"/>
  <c r="K202" i="3"/>
  <c r="J202" i="3" s="1"/>
  <c r="S30" i="4"/>
  <c r="K20" i="3"/>
  <c r="J20" i="3" s="1"/>
  <c r="S158" i="4"/>
  <c r="K101" i="3"/>
  <c r="J101" i="3" s="1"/>
  <c r="R290" i="4"/>
  <c r="K383" i="3" s="1"/>
  <c r="G1556" i="2"/>
  <c r="G1557" i="2" s="1"/>
  <c r="G1554" i="2"/>
  <c r="L60" i="1"/>
  <c r="G60" i="1"/>
  <c r="L59" i="1"/>
  <c r="G59" i="1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G1528" i="2"/>
  <c r="M1530" i="2" s="1"/>
  <c r="G1527" i="2"/>
  <c r="L57" i="1"/>
  <c r="G57" i="1"/>
  <c r="L56" i="1"/>
  <c r="G56" i="1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G1499" i="2"/>
  <c r="G1473" i="2"/>
  <c r="G1474" i="2" l="1"/>
  <c r="M1475" i="2"/>
  <c r="G1500" i="2"/>
  <c r="M1501" i="2"/>
  <c r="N374" i="3"/>
  <c r="M374" i="3" s="1"/>
  <c r="P374" i="3" s="1"/>
  <c r="H1472" i="2" s="1"/>
  <c r="N378" i="3"/>
  <c r="M378" i="3" s="1"/>
  <c r="P378" i="3" s="1"/>
  <c r="J378" i="3"/>
  <c r="J377" i="3"/>
  <c r="N377" i="3"/>
  <c r="M377" i="3" s="1"/>
  <c r="P377" i="3" s="1"/>
  <c r="J379" i="3"/>
  <c r="N379" i="3"/>
  <c r="M379" i="3" s="1"/>
  <c r="P379" i="3" s="1"/>
  <c r="N375" i="3"/>
  <c r="M375" i="3" s="1"/>
  <c r="P375" i="3" s="1"/>
  <c r="J375" i="3"/>
  <c r="N376" i="3"/>
  <c r="M376" i="3" s="1"/>
  <c r="P376" i="3" s="1"/>
  <c r="J376" i="3"/>
  <c r="H60" i="1"/>
  <c r="H56" i="1"/>
  <c r="H1499" i="2"/>
  <c r="K1499" i="2" s="1"/>
  <c r="M1499" i="2" s="1"/>
  <c r="H1473" i="2"/>
  <c r="K1473" i="2" s="1"/>
  <c r="M1473" i="2" s="1"/>
  <c r="H59" i="1"/>
  <c r="M1558" i="2"/>
  <c r="G1555" i="2"/>
  <c r="H57" i="1"/>
  <c r="G1472" i="2"/>
  <c r="G1498" i="2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2" i="5"/>
  <c r="V2" i="5"/>
  <c r="U3" i="5"/>
  <c r="U4" i="5"/>
  <c r="U5" i="5"/>
  <c r="U267" i="5"/>
  <c r="U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S376" i="3" l="1"/>
  <c r="T376" i="3" s="1"/>
  <c r="Q376" i="3"/>
  <c r="S375" i="3"/>
  <c r="T375" i="3" s="1"/>
  <c r="Q375" i="3"/>
  <c r="S379" i="3"/>
  <c r="T379" i="3" s="1"/>
  <c r="Q379" i="3"/>
  <c r="S377" i="3"/>
  <c r="T377" i="3" s="1"/>
  <c r="Q377" i="3"/>
  <c r="S378" i="3"/>
  <c r="T378" i="3" s="1"/>
  <c r="Q378" i="3"/>
  <c r="S374" i="3"/>
  <c r="T374" i="3" s="1"/>
  <c r="Q374" i="3"/>
  <c r="H1498" i="2"/>
  <c r="K1498" i="2" s="1"/>
  <c r="M1498" i="2" s="1"/>
  <c r="K1472" i="2"/>
  <c r="M1472" i="2" s="1"/>
  <c r="A1449" i="2" l="1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L58" i="1" l="1"/>
  <c r="L55" i="1"/>
  <c r="G58" i="1"/>
  <c r="G55" i="1"/>
  <c r="M1449" i="2"/>
  <c r="G1447" i="2"/>
  <c r="G1448" i="2" s="1"/>
  <c r="K1448" i="2" s="1"/>
  <c r="M1448" i="2" s="1"/>
  <c r="G1444" i="2"/>
  <c r="G1411" i="2"/>
  <c r="M1416" i="2"/>
  <c r="G1415" i="2"/>
  <c r="K1415" i="2" s="1"/>
  <c r="M1415" i="2" s="1"/>
  <c r="G1414" i="2"/>
  <c r="K1414" i="2" s="1"/>
  <c r="M1414" i="2" s="1"/>
  <c r="G1413" i="2"/>
  <c r="G1412" i="2"/>
  <c r="H55" i="1" l="1"/>
  <c r="H58" i="1"/>
  <c r="K1447" i="2"/>
  <c r="M1447" i="2" s="1"/>
  <c r="G984" i="2" l="1"/>
  <c r="G983" i="2" s="1"/>
  <c r="H360" i="3"/>
  <c r="N360" i="3" s="1"/>
  <c r="M360" i="3" s="1"/>
  <c r="P360" i="3" s="1"/>
  <c r="S360" i="3" l="1"/>
  <c r="T360" i="3" s="1"/>
  <c r="Q360" i="3"/>
  <c r="G985" i="2"/>
  <c r="G989" i="2"/>
  <c r="K989" i="2" s="1"/>
  <c r="M989" i="2" s="1"/>
  <c r="G986" i="2"/>
  <c r="G988" i="2"/>
  <c r="M991" i="2"/>
  <c r="G987" i="2"/>
  <c r="G990" i="2" l="1"/>
  <c r="K990" i="2" s="1"/>
  <c r="M990" i="2" s="1"/>
  <c r="H1377" i="2" l="1"/>
  <c r="A3" i="2"/>
  <c r="C348" i="6" l="1"/>
  <c r="C347" i="6"/>
  <c r="C346" i="6"/>
  <c r="C345" i="6"/>
  <c r="C344" i="6"/>
  <c r="C343" i="6"/>
  <c r="C342" i="6"/>
  <c r="C341" i="6"/>
  <c r="C340" i="6"/>
  <c r="C339" i="6"/>
  <c r="H373" i="3"/>
  <c r="N373" i="3" s="1"/>
  <c r="M373" i="3" s="1"/>
  <c r="P373" i="3" s="1"/>
  <c r="H372" i="3"/>
  <c r="N372" i="3" s="1"/>
  <c r="M372" i="3" s="1"/>
  <c r="P372" i="3" s="1"/>
  <c r="H371" i="3"/>
  <c r="N371" i="3" s="1"/>
  <c r="M371" i="3" s="1"/>
  <c r="P371" i="3" s="1"/>
  <c r="H370" i="3"/>
  <c r="N370" i="3" s="1"/>
  <c r="M370" i="3" s="1"/>
  <c r="P370" i="3" s="1"/>
  <c r="H369" i="3"/>
  <c r="N369" i="3" s="1"/>
  <c r="M369" i="3" s="1"/>
  <c r="P369" i="3" s="1"/>
  <c r="H368" i="3"/>
  <c r="N368" i="3" s="1"/>
  <c r="M368" i="3" s="1"/>
  <c r="P368" i="3" s="1"/>
  <c r="H367" i="3"/>
  <c r="N367" i="3" s="1"/>
  <c r="M367" i="3" s="1"/>
  <c r="P367" i="3" s="1"/>
  <c r="H366" i="3"/>
  <c r="N366" i="3" s="1"/>
  <c r="M366" i="3" s="1"/>
  <c r="P366" i="3" s="1"/>
  <c r="H365" i="3"/>
  <c r="N365" i="3" s="1"/>
  <c r="M365" i="3" s="1"/>
  <c r="P365" i="3" s="1"/>
  <c r="H364" i="3"/>
  <c r="N364" i="3" s="1"/>
  <c r="M364" i="3" s="1"/>
  <c r="P364" i="3" s="1"/>
  <c r="H363" i="3"/>
  <c r="N363" i="3" s="1"/>
  <c r="M363" i="3" s="1"/>
  <c r="P363" i="3" s="1"/>
  <c r="H362" i="3"/>
  <c r="N362" i="3" s="1"/>
  <c r="M362" i="3" s="1"/>
  <c r="P362" i="3" s="1"/>
  <c r="H361" i="3"/>
  <c r="N361" i="3" s="1"/>
  <c r="M361" i="3" s="1"/>
  <c r="P361" i="3" s="1"/>
  <c r="H359" i="3"/>
  <c r="N359" i="3" s="1"/>
  <c r="M359" i="3" s="1"/>
  <c r="P359" i="3" s="1"/>
  <c r="H358" i="3"/>
  <c r="N358" i="3" s="1"/>
  <c r="M358" i="3" s="1"/>
  <c r="P358" i="3" s="1"/>
  <c r="H357" i="3"/>
  <c r="N357" i="3" s="1"/>
  <c r="M357" i="3" s="1"/>
  <c r="P357" i="3" s="1"/>
  <c r="H356" i="3"/>
  <c r="N356" i="3" s="1"/>
  <c r="M356" i="3" s="1"/>
  <c r="P356" i="3" s="1"/>
  <c r="H355" i="3"/>
  <c r="N355" i="3" s="1"/>
  <c r="M355" i="3" s="1"/>
  <c r="P355" i="3" s="1"/>
  <c r="H354" i="3"/>
  <c r="N354" i="3" s="1"/>
  <c r="M354" i="3" s="1"/>
  <c r="P354" i="3" s="1"/>
  <c r="H353" i="3"/>
  <c r="N353" i="3" s="1"/>
  <c r="M353" i="3" s="1"/>
  <c r="P353" i="3" s="1"/>
  <c r="C338" i="6"/>
  <c r="E257" i="13" l="1"/>
  <c r="F257" i="13" s="1"/>
  <c r="R356" i="3"/>
  <c r="O356" i="3" s="1"/>
  <c r="Q356" i="3" s="1"/>
  <c r="E256" i="13"/>
  <c r="F256" i="13" s="1"/>
  <c r="R346" i="3"/>
  <c r="E89" i="13"/>
  <c r="F89" i="13" s="1"/>
  <c r="R363" i="3"/>
  <c r="O363" i="3" s="1"/>
  <c r="Q363" i="3" s="1"/>
  <c r="E244" i="13"/>
  <c r="F244" i="13" s="1"/>
  <c r="R358" i="3"/>
  <c r="O358" i="3" s="1"/>
  <c r="Q358" i="3" s="1"/>
  <c r="E108" i="13"/>
  <c r="F108" i="13" s="1"/>
  <c r="R370" i="3"/>
  <c r="O370" i="3" s="1"/>
  <c r="Q370" i="3" s="1"/>
  <c r="E154" i="13"/>
  <c r="F154" i="13" s="1"/>
  <c r="R365" i="3"/>
  <c r="O365" i="3" s="1"/>
  <c r="Q365" i="3" s="1"/>
  <c r="E109" i="13"/>
  <c r="F109" i="13" s="1"/>
  <c r="R371" i="3"/>
  <c r="O371" i="3" s="1"/>
  <c r="Q371" i="3" s="1"/>
  <c r="E255" i="13"/>
  <c r="F255" i="13" s="1"/>
  <c r="R345" i="3"/>
  <c r="E123" i="13"/>
  <c r="F123" i="13" s="1"/>
  <c r="R373" i="3"/>
  <c r="O373" i="3" s="1"/>
  <c r="Q373" i="3" s="1"/>
  <c r="E254" i="13"/>
  <c r="F254" i="13" s="1"/>
  <c r="R344" i="3"/>
  <c r="E153" i="13"/>
  <c r="F153" i="13" s="1"/>
  <c r="R364" i="3"/>
  <c r="O364" i="3" s="1"/>
  <c r="Q364" i="3" s="1"/>
  <c r="S368" i="3"/>
  <c r="S356" i="3"/>
  <c r="S354" i="3"/>
  <c r="S359" i="3"/>
  <c r="T359" i="3" s="1"/>
  <c r="Q359" i="3"/>
  <c r="S371" i="3"/>
  <c r="S362" i="3"/>
  <c r="T362" i="3" s="1"/>
  <c r="Q362" i="3"/>
  <c r="S369" i="3"/>
  <c r="S372" i="3"/>
  <c r="T372" i="3" s="1"/>
  <c r="Q372" i="3"/>
  <c r="S358" i="3"/>
  <c r="S365" i="3"/>
  <c r="S353" i="3"/>
  <c r="S355" i="3"/>
  <c r="S357" i="3"/>
  <c r="S363" i="3"/>
  <c r="S366" i="3"/>
  <c r="S370" i="3"/>
  <c r="S373" i="3"/>
  <c r="S361" i="3"/>
  <c r="T361" i="3" s="1"/>
  <c r="Q361" i="3"/>
  <c r="S364" i="3"/>
  <c r="S367" i="3"/>
  <c r="H1411" i="2"/>
  <c r="K1411" i="2" s="1"/>
  <c r="M1411" i="2" s="1"/>
  <c r="T356" i="3" l="1"/>
  <c r="T373" i="3"/>
  <c r="T363" i="3"/>
  <c r="T371" i="3"/>
  <c r="T358" i="3"/>
  <c r="O345" i="3"/>
  <c r="Q345" i="3" s="1"/>
  <c r="T345" i="3"/>
  <c r="T365" i="3"/>
  <c r="T364" i="3"/>
  <c r="T370" i="3"/>
  <c r="O344" i="3"/>
  <c r="Q344" i="3" s="1"/>
  <c r="T344" i="3"/>
  <c r="O346" i="3"/>
  <c r="Q346" i="3" s="1"/>
  <c r="T346" i="3"/>
  <c r="H1444" i="2"/>
  <c r="K1444" i="2" s="1"/>
  <c r="C337" i="6"/>
  <c r="R368" i="3" s="1"/>
  <c r="O368" i="3" s="1"/>
  <c r="Q368" i="3" s="1"/>
  <c r="C336" i="6"/>
  <c r="C335" i="6"/>
  <c r="R366" i="3" s="1"/>
  <c r="O366" i="3" s="1"/>
  <c r="Q366" i="3" s="1"/>
  <c r="C334" i="6"/>
  <c r="T366" i="3" l="1"/>
  <c r="T368" i="3"/>
  <c r="E258" i="13"/>
  <c r="F258" i="13" s="1"/>
  <c r="R369" i="3"/>
  <c r="E260" i="13"/>
  <c r="F260" i="13" s="1"/>
  <c r="R367" i="3"/>
  <c r="E261" i="13"/>
  <c r="F261" i="13" s="1"/>
  <c r="E259" i="13"/>
  <c r="F259" i="13" s="1"/>
  <c r="M1444" i="2"/>
  <c r="O367" i="3" l="1"/>
  <c r="Q367" i="3" s="1"/>
  <c r="T367" i="3"/>
  <c r="O369" i="3"/>
  <c r="Q369" i="3" s="1"/>
  <c r="T369" i="3"/>
  <c r="D349" i="6"/>
  <c r="E349" i="6" s="1"/>
  <c r="D356" i="6" l="1"/>
  <c r="D346" i="6"/>
  <c r="E346" i="6" s="1"/>
  <c r="D344" i="6"/>
  <c r="E344" i="6" s="1"/>
  <c r="D343" i="6"/>
  <c r="E343" i="6" s="1"/>
  <c r="D334" i="6"/>
  <c r="D347" i="6"/>
  <c r="E347" i="6" s="1"/>
  <c r="D348" i="6"/>
  <c r="E348" i="6" s="1"/>
  <c r="D345" i="6"/>
  <c r="E345" i="6" s="1"/>
  <c r="D336" i="6"/>
  <c r="D335" i="6"/>
  <c r="D337" i="6"/>
  <c r="H1406" i="2" l="1"/>
  <c r="K1406" i="2" s="1"/>
  <c r="M1406" i="2" s="1"/>
  <c r="H1439" i="2" l="1"/>
  <c r="K1439" i="2" s="1"/>
  <c r="M1439" i="2" s="1"/>
  <c r="L54" i="1"/>
  <c r="G54" i="1"/>
  <c r="H1371" i="2"/>
  <c r="G1372" i="2"/>
  <c r="G1375" i="2" s="1"/>
  <c r="L53" i="1"/>
  <c r="G53" i="1"/>
  <c r="H1346" i="2"/>
  <c r="H1345" i="2"/>
  <c r="G1345" i="2"/>
  <c r="G1346" i="2" s="1"/>
  <c r="M1348" i="2" s="1"/>
  <c r="H54" i="1" l="1"/>
  <c r="G1371" i="2"/>
  <c r="G1373" i="2"/>
  <c r="G1374" i="2"/>
  <c r="G1380" i="2"/>
  <c r="H53" i="1"/>
  <c r="G1347" i="2"/>
  <c r="K1346" i="2"/>
  <c r="M1346" i="2" s="1"/>
  <c r="K1345" i="2"/>
  <c r="L52" i="1"/>
  <c r="G52" i="1"/>
  <c r="O52" i="1" s="1"/>
  <c r="H1320" i="2"/>
  <c r="H1319" i="2"/>
  <c r="H1318" i="2"/>
  <c r="K1318" i="2" s="1"/>
  <c r="M1318" i="2" s="1"/>
  <c r="G1318" i="2"/>
  <c r="G1321" i="2" s="1"/>
  <c r="L51" i="1"/>
  <c r="G51" i="1"/>
  <c r="L50" i="1"/>
  <c r="G50" i="1"/>
  <c r="H1296" i="2"/>
  <c r="H1295" i="2"/>
  <c r="H1269" i="2"/>
  <c r="G1294" i="2"/>
  <c r="G1295" i="2" s="1"/>
  <c r="M1298" i="2" s="1"/>
  <c r="G1268" i="2"/>
  <c r="G1269" i="2" s="1"/>
  <c r="M1271" i="2" s="1"/>
  <c r="G1253" i="2"/>
  <c r="L49" i="1"/>
  <c r="G49" i="1"/>
  <c r="L48" i="1"/>
  <c r="G48" i="1"/>
  <c r="G1240" i="2"/>
  <c r="G1241" i="2" s="1"/>
  <c r="H1220" i="2"/>
  <c r="G1214" i="2"/>
  <c r="G1215" i="2" s="1"/>
  <c r="G1242" i="2" l="1"/>
  <c r="G1319" i="2"/>
  <c r="K1319" i="2" s="1"/>
  <c r="M1319" i="2" s="1"/>
  <c r="G1320" i="2"/>
  <c r="K1320" i="2" s="1"/>
  <c r="M1320" i="2" s="1"/>
  <c r="M1322" i="2"/>
  <c r="M1383" i="2"/>
  <c r="M1382" i="2"/>
  <c r="M1345" i="2"/>
  <c r="G1381" i="2"/>
  <c r="K1381" i="2" s="1"/>
  <c r="M1381" i="2" s="1"/>
  <c r="K1380" i="2"/>
  <c r="M1380" i="2" s="1"/>
  <c r="G1377" i="2"/>
  <c r="K1377" i="2" s="1"/>
  <c r="M1377" i="2" s="1"/>
  <c r="G1376" i="2"/>
  <c r="G1378" i="2"/>
  <c r="K1371" i="2"/>
  <c r="M1371" i="2" s="1"/>
  <c r="H52" i="1"/>
  <c r="H50" i="1"/>
  <c r="H51" i="1"/>
  <c r="G1217" i="2"/>
  <c r="M1299" i="2"/>
  <c r="M1248" i="2"/>
  <c r="G1218" i="2"/>
  <c r="K1269" i="2"/>
  <c r="G1270" i="2"/>
  <c r="G1296" i="2"/>
  <c r="K1295" i="2"/>
  <c r="M1295" i="2" s="1"/>
  <c r="H48" i="1"/>
  <c r="H49" i="1"/>
  <c r="G1213" i="2"/>
  <c r="G1220" i="2" s="1"/>
  <c r="K1220" i="2" s="1"/>
  <c r="M1220" i="2" s="1"/>
  <c r="G1216" i="2"/>
  <c r="M1221" i="2"/>
  <c r="G1247" i="2"/>
  <c r="K1247" i="2" s="1"/>
  <c r="M1247" i="2" s="1"/>
  <c r="G1243" i="2"/>
  <c r="G1244" i="2"/>
  <c r="G1239" i="2"/>
  <c r="G1245" i="2"/>
  <c r="C43" i="6"/>
  <c r="C333" i="6"/>
  <c r="C332" i="6"/>
  <c r="C331" i="6"/>
  <c r="E241" i="13" l="1"/>
  <c r="F241" i="13" s="1"/>
  <c r="R357" i="3"/>
  <c r="E242" i="13"/>
  <c r="F242" i="13" s="1"/>
  <c r="R354" i="3"/>
  <c r="E43" i="13"/>
  <c r="F43" i="13" s="1"/>
  <c r="R44" i="3"/>
  <c r="O44" i="3" s="1"/>
  <c r="E243" i="13"/>
  <c r="F243" i="13" s="1"/>
  <c r="R355" i="3"/>
  <c r="G1219" i="2"/>
  <c r="K1219" i="2" s="1"/>
  <c r="M1219" i="2" s="1"/>
  <c r="G1379" i="2"/>
  <c r="M1269" i="2"/>
  <c r="G1297" i="2"/>
  <c r="K1296" i="2"/>
  <c r="M1296" i="2" s="1"/>
  <c r="G1246" i="2"/>
  <c r="K1246" i="2" s="1"/>
  <c r="M1246" i="2" s="1"/>
  <c r="O354" i="3" l="1"/>
  <c r="Q354" i="3" s="1"/>
  <c r="T354" i="3"/>
  <c r="O355" i="3"/>
  <c r="Q355" i="3" s="1"/>
  <c r="T355" i="3"/>
  <c r="O357" i="3"/>
  <c r="Q357" i="3" s="1"/>
  <c r="T357" i="3"/>
  <c r="D332" i="6"/>
  <c r="E332" i="6" s="1"/>
  <c r="D333" i="6"/>
  <c r="E333" i="6" s="1"/>
  <c r="D339" i="6"/>
  <c r="D331" i="6"/>
  <c r="E331" i="6" s="1"/>
  <c r="D338" i="6"/>
  <c r="O1165" i="2"/>
  <c r="H1376" i="2" l="1"/>
  <c r="K1376" i="2" s="1"/>
  <c r="M1376" i="2" s="1"/>
  <c r="C330" i="6"/>
  <c r="C329" i="6"/>
  <c r="R352" i="3" s="1"/>
  <c r="O352" i="3" s="1"/>
  <c r="C328" i="6"/>
  <c r="C327" i="6"/>
  <c r="C326" i="6"/>
  <c r="R343" i="3" s="1"/>
  <c r="O343" i="3" s="1"/>
  <c r="C325" i="6"/>
  <c r="C324" i="6"/>
  <c r="C323" i="6"/>
  <c r="C322" i="6"/>
  <c r="C321" i="6"/>
  <c r="R339" i="3" s="1"/>
  <c r="O339" i="3" s="1"/>
  <c r="C320" i="6"/>
  <c r="R338" i="3" s="1"/>
  <c r="O338" i="3" s="1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R329" i="3" s="1"/>
  <c r="O329" i="3" s="1"/>
  <c r="C304" i="6"/>
  <c r="C303" i="6"/>
  <c r="C302" i="6"/>
  <c r="R326" i="3" s="1"/>
  <c r="O326" i="3" s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R302" i="3" s="1"/>
  <c r="O302" i="3" s="1"/>
  <c r="C284" i="6"/>
  <c r="R301" i="3" s="1"/>
  <c r="O301" i="3" s="1"/>
  <c r="C283" i="6"/>
  <c r="C282" i="6"/>
  <c r="C281" i="6"/>
  <c r="C280" i="6"/>
  <c r="C279" i="6"/>
  <c r="R287" i="3" s="1"/>
  <c r="O287" i="3" s="1"/>
  <c r="C278" i="6"/>
  <c r="R289" i="3" s="1"/>
  <c r="O289" i="3" s="1"/>
  <c r="C277" i="6"/>
  <c r="R288" i="3" s="1"/>
  <c r="O288" i="3" s="1"/>
  <c r="C276" i="6"/>
  <c r="R298" i="3" s="1"/>
  <c r="O298" i="3" s="1"/>
  <c r="C275" i="6"/>
  <c r="R297" i="3" s="1"/>
  <c r="O297" i="3" s="1"/>
  <c r="C274" i="6"/>
  <c r="R296" i="3" s="1"/>
  <c r="O296" i="3" s="1"/>
  <c r="C273" i="6"/>
  <c r="R295" i="3" s="1"/>
  <c r="O295" i="3" s="1"/>
  <c r="C272" i="6"/>
  <c r="C271" i="6"/>
  <c r="C270" i="6"/>
  <c r="C269" i="6"/>
  <c r="C268" i="6"/>
  <c r="C267" i="6"/>
  <c r="C266" i="6"/>
  <c r="C265" i="6"/>
  <c r="R285" i="3" s="1"/>
  <c r="O285" i="3" s="1"/>
  <c r="C264" i="6"/>
  <c r="C263" i="6"/>
  <c r="R292" i="3" s="1"/>
  <c r="O292" i="3" s="1"/>
  <c r="C262" i="6"/>
  <c r="C261" i="6"/>
  <c r="R278" i="3" s="1"/>
  <c r="O278" i="3" s="1"/>
  <c r="C260" i="6"/>
  <c r="C259" i="6"/>
  <c r="R276" i="3" s="1"/>
  <c r="O276" i="3" s="1"/>
  <c r="C258" i="6"/>
  <c r="R275" i="3" s="1"/>
  <c r="O275" i="3" s="1"/>
  <c r="C257" i="6"/>
  <c r="C256" i="6"/>
  <c r="C255" i="6"/>
  <c r="R274" i="3" s="1"/>
  <c r="O274" i="3" s="1"/>
  <c r="C254" i="6"/>
  <c r="R273" i="3" s="1"/>
  <c r="O273" i="3" s="1"/>
  <c r="C253" i="6"/>
  <c r="R272" i="3" s="1"/>
  <c r="O272" i="3" s="1"/>
  <c r="C252" i="6"/>
  <c r="R271" i="3" s="1"/>
  <c r="O271" i="3" s="1"/>
  <c r="C251" i="6"/>
  <c r="C250" i="6"/>
  <c r="C249" i="6"/>
  <c r="C248" i="6"/>
  <c r="R242" i="3" s="1"/>
  <c r="O242" i="3" s="1"/>
  <c r="C247" i="6"/>
  <c r="C246" i="6"/>
  <c r="C245" i="6"/>
  <c r="R264" i="3" s="1"/>
  <c r="O264" i="3" s="1"/>
  <c r="C244" i="6"/>
  <c r="R262" i="3" s="1"/>
  <c r="O262" i="3" s="1"/>
  <c r="C243" i="6"/>
  <c r="R263" i="3" s="1"/>
  <c r="O263" i="3" s="1"/>
  <c r="C242" i="6"/>
  <c r="R257" i="3" s="1"/>
  <c r="O257" i="3" s="1"/>
  <c r="C241" i="6"/>
  <c r="R256" i="3" s="1"/>
  <c r="O256" i="3" s="1"/>
  <c r="C240" i="6"/>
  <c r="R140" i="3" s="1"/>
  <c r="O140" i="3" s="1"/>
  <c r="C239" i="6"/>
  <c r="C238" i="6"/>
  <c r="C237" i="6"/>
  <c r="R265" i="3" s="1"/>
  <c r="O265" i="3" s="1"/>
  <c r="C236" i="6"/>
  <c r="C235" i="6"/>
  <c r="C234" i="6"/>
  <c r="C233" i="6"/>
  <c r="R254" i="3" s="1"/>
  <c r="O254" i="3" s="1"/>
  <c r="C232" i="6"/>
  <c r="C231" i="6"/>
  <c r="C230" i="6"/>
  <c r="C229" i="6"/>
  <c r="R250" i="3" s="1"/>
  <c r="O250" i="3" s="1"/>
  <c r="C228" i="6"/>
  <c r="R249" i="3" s="1"/>
  <c r="O249" i="3" s="1"/>
  <c r="C227" i="6"/>
  <c r="R248" i="3" s="1"/>
  <c r="O248" i="3" s="1"/>
  <c r="C226" i="6"/>
  <c r="R247" i="3" s="1"/>
  <c r="O247" i="3" s="1"/>
  <c r="C225" i="6"/>
  <c r="R246" i="3" s="1"/>
  <c r="O246" i="3" s="1"/>
  <c r="C224" i="6"/>
  <c r="R245" i="3" s="1"/>
  <c r="O245" i="3" s="1"/>
  <c r="C223" i="6"/>
  <c r="C222" i="6"/>
  <c r="C221" i="6"/>
  <c r="R241" i="3" s="1"/>
  <c r="O241" i="3" s="1"/>
  <c r="C220" i="6"/>
  <c r="R240" i="3" s="1"/>
  <c r="O240" i="3" s="1"/>
  <c r="C219" i="6"/>
  <c r="R239" i="3" s="1"/>
  <c r="O239" i="3" s="1"/>
  <c r="C218" i="6"/>
  <c r="R238" i="3" s="1"/>
  <c r="O238" i="3" s="1"/>
  <c r="C217" i="6"/>
  <c r="C216" i="6"/>
  <c r="R218" i="3" s="1"/>
  <c r="O218" i="3" s="1"/>
  <c r="C215" i="6"/>
  <c r="C214" i="6"/>
  <c r="C213" i="6"/>
  <c r="C212" i="6"/>
  <c r="R236" i="3" s="1"/>
  <c r="O236" i="3" s="1"/>
  <c r="C211" i="6"/>
  <c r="R235" i="3" s="1"/>
  <c r="O235" i="3" s="1"/>
  <c r="C210" i="6"/>
  <c r="R234" i="3" s="1"/>
  <c r="O234" i="3" s="1"/>
  <c r="C209" i="6"/>
  <c r="C208" i="6"/>
  <c r="C207" i="6"/>
  <c r="C206" i="6"/>
  <c r="R201" i="3" s="1"/>
  <c r="O201" i="3" s="1"/>
  <c r="C205" i="6"/>
  <c r="C204" i="6"/>
  <c r="R172" i="3" s="1"/>
  <c r="O172" i="3" s="1"/>
  <c r="C203" i="6"/>
  <c r="C202" i="6"/>
  <c r="R170" i="3" s="1"/>
  <c r="O170" i="3" s="1"/>
  <c r="C201" i="6"/>
  <c r="R169" i="3" s="1"/>
  <c r="O169" i="3" s="1"/>
  <c r="C200" i="6"/>
  <c r="R165" i="3" s="1"/>
  <c r="O165" i="3" s="1"/>
  <c r="C199" i="6"/>
  <c r="R164" i="3" s="1"/>
  <c r="O164" i="3" s="1"/>
  <c r="C198" i="6"/>
  <c r="R160" i="3" s="1"/>
  <c r="O160" i="3" s="1"/>
  <c r="C197" i="6"/>
  <c r="R148" i="3" s="1"/>
  <c r="O148" i="3" s="1"/>
  <c r="C196" i="6"/>
  <c r="R146" i="3" s="1"/>
  <c r="O146" i="3" s="1"/>
  <c r="C195" i="6"/>
  <c r="R129" i="3" s="1"/>
  <c r="O129" i="3" s="1"/>
  <c r="C194" i="6"/>
  <c r="C193" i="6"/>
  <c r="C192" i="6"/>
  <c r="R207" i="3" s="1"/>
  <c r="O207" i="3" s="1"/>
  <c r="C191" i="6"/>
  <c r="R206" i="3" s="1"/>
  <c r="O206" i="3" s="1"/>
  <c r="C190" i="6"/>
  <c r="R205" i="3" s="1"/>
  <c r="O205" i="3" s="1"/>
  <c r="C189" i="6"/>
  <c r="R204" i="3" s="1"/>
  <c r="O204" i="3" s="1"/>
  <c r="C188" i="6"/>
  <c r="C187" i="6"/>
  <c r="C186" i="6"/>
  <c r="C185" i="6"/>
  <c r="R153" i="3" s="1"/>
  <c r="O153" i="3" s="1"/>
  <c r="C184" i="6"/>
  <c r="R152" i="3" s="1"/>
  <c r="O152" i="3" s="1"/>
  <c r="C183" i="6"/>
  <c r="R162" i="3" s="1"/>
  <c r="O162" i="3" s="1"/>
  <c r="C182" i="6"/>
  <c r="R161" i="3" s="1"/>
  <c r="O161" i="3" s="1"/>
  <c r="C181" i="6"/>
  <c r="C180" i="6"/>
  <c r="C179" i="6"/>
  <c r="C178" i="6"/>
  <c r="C177" i="6"/>
  <c r="C176" i="6"/>
  <c r="C175" i="6"/>
  <c r="C174" i="6"/>
  <c r="R157" i="3" s="1"/>
  <c r="O157" i="3" s="1"/>
  <c r="C173" i="6"/>
  <c r="R158" i="3" s="1"/>
  <c r="O158" i="3" s="1"/>
  <c r="C172" i="6"/>
  <c r="C171" i="6"/>
  <c r="C170" i="6"/>
  <c r="C169" i="6"/>
  <c r="C168" i="6"/>
  <c r="C167" i="6"/>
  <c r="C166" i="6"/>
  <c r="C165" i="6"/>
  <c r="C164" i="6"/>
  <c r="C163" i="6"/>
  <c r="R216" i="3" s="1"/>
  <c r="O216" i="3" s="1"/>
  <c r="C162" i="6"/>
  <c r="C161" i="6"/>
  <c r="C160" i="6"/>
  <c r="C159" i="6"/>
  <c r="C158" i="6"/>
  <c r="C157" i="6"/>
  <c r="C156" i="6"/>
  <c r="C155" i="6"/>
  <c r="R159" i="3" s="1"/>
  <c r="O159" i="3" s="1"/>
  <c r="C154" i="6"/>
  <c r="R215" i="3" s="1"/>
  <c r="O215" i="3" s="1"/>
  <c r="C153" i="6"/>
  <c r="R174" i="3" s="1"/>
  <c r="O174" i="3" s="1"/>
  <c r="C152" i="6"/>
  <c r="R173" i="3" s="1"/>
  <c r="O173" i="3" s="1"/>
  <c r="C151" i="6"/>
  <c r="R217" i="3" s="1"/>
  <c r="O217" i="3" s="1"/>
  <c r="C150" i="6"/>
  <c r="R175" i="3" s="1"/>
  <c r="O175" i="3" s="1"/>
  <c r="C149" i="6"/>
  <c r="C148" i="6"/>
  <c r="R139" i="3" s="1"/>
  <c r="O139" i="3" s="1"/>
  <c r="C147" i="6"/>
  <c r="R136" i="3" s="1"/>
  <c r="O136" i="3" s="1"/>
  <c r="C146" i="6"/>
  <c r="R135" i="3" s="1"/>
  <c r="O135" i="3" s="1"/>
  <c r="C145" i="6"/>
  <c r="R166" i="3" s="1"/>
  <c r="O166" i="3" s="1"/>
  <c r="C144" i="6"/>
  <c r="R167" i="3" s="1"/>
  <c r="O167" i="3" s="1"/>
  <c r="C143" i="6"/>
  <c r="C142" i="6"/>
  <c r="C141" i="6"/>
  <c r="R132" i="3" s="1"/>
  <c r="O132" i="3" s="1"/>
  <c r="C140" i="6"/>
  <c r="R131" i="3" s="1"/>
  <c r="O131" i="3" s="1"/>
  <c r="C139" i="6"/>
  <c r="R168" i="3" s="1"/>
  <c r="O168" i="3" s="1"/>
  <c r="C138" i="6"/>
  <c r="R128" i="3" s="1"/>
  <c r="O128" i="3" s="1"/>
  <c r="C137" i="6"/>
  <c r="R127" i="3" s="1"/>
  <c r="O127" i="3" s="1"/>
  <c r="C136" i="6"/>
  <c r="R163" i="3" s="1"/>
  <c r="O163" i="3" s="1"/>
  <c r="C135" i="6"/>
  <c r="C134" i="6"/>
  <c r="C133" i="6"/>
  <c r="C132" i="6"/>
  <c r="C131" i="6"/>
  <c r="C130" i="6"/>
  <c r="C129" i="6"/>
  <c r="R120" i="3" s="1"/>
  <c r="O120" i="3" s="1"/>
  <c r="C128" i="6"/>
  <c r="C127" i="6"/>
  <c r="C126" i="6"/>
  <c r="C125" i="6"/>
  <c r="R116" i="3" s="1"/>
  <c r="O116" i="3" s="1"/>
  <c r="C124" i="6"/>
  <c r="C123" i="6"/>
  <c r="C122" i="6"/>
  <c r="C121" i="6"/>
  <c r="R112" i="3" s="1"/>
  <c r="O112" i="3" s="1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R78" i="3" s="1"/>
  <c r="O78" i="3" s="1"/>
  <c r="C86" i="6"/>
  <c r="C85" i="6"/>
  <c r="C84" i="6"/>
  <c r="C83" i="6"/>
  <c r="C82" i="6"/>
  <c r="C81" i="6"/>
  <c r="R72" i="3" s="1"/>
  <c r="O72" i="3" s="1"/>
  <c r="C80" i="6"/>
  <c r="R71" i="3" s="1"/>
  <c r="O71" i="3" s="1"/>
  <c r="C79" i="6"/>
  <c r="C78" i="6"/>
  <c r="R69" i="3" s="1"/>
  <c r="O69" i="3" s="1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R185" i="3" s="1"/>
  <c r="O185" i="3" s="1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161" i="13" l="1"/>
  <c r="F161" i="13" s="1"/>
  <c r="R282" i="3"/>
  <c r="O282" i="3" s="1"/>
  <c r="E101" i="13"/>
  <c r="F101" i="13" s="1"/>
  <c r="R322" i="3"/>
  <c r="O322" i="3" s="1"/>
  <c r="E13" i="13"/>
  <c r="F13" i="13" s="1"/>
  <c r="R14" i="3"/>
  <c r="O14" i="3" s="1"/>
  <c r="E46" i="13"/>
  <c r="F46" i="13" s="1"/>
  <c r="R46" i="3"/>
  <c r="O46" i="3" s="1"/>
  <c r="E62" i="13"/>
  <c r="F62" i="13" s="1"/>
  <c r="R62" i="3"/>
  <c r="O62" i="3" s="1"/>
  <c r="E188" i="13"/>
  <c r="F188" i="13" s="1"/>
  <c r="R85" i="3"/>
  <c r="O85" i="3" s="1"/>
  <c r="E204" i="13"/>
  <c r="F204" i="13" s="1"/>
  <c r="R101" i="3"/>
  <c r="O101" i="3" s="1"/>
  <c r="E96" i="13"/>
  <c r="F96" i="13" s="1"/>
  <c r="R133" i="3"/>
  <c r="O133" i="3" s="1"/>
  <c r="E125" i="13"/>
  <c r="F125" i="13" s="1"/>
  <c r="R143" i="3"/>
  <c r="O143" i="3" s="1"/>
  <c r="E104" i="13"/>
  <c r="F104" i="13" s="1"/>
  <c r="R243" i="3"/>
  <c r="O243" i="3" s="1"/>
  <c r="E106" i="13"/>
  <c r="F106" i="13" s="1"/>
  <c r="R261" i="3"/>
  <c r="O261" i="3" s="1"/>
  <c r="E181" i="13"/>
  <c r="F181" i="13" s="1"/>
  <c r="R293" i="3"/>
  <c r="O293" i="3" s="1"/>
  <c r="E120" i="13"/>
  <c r="F120" i="13" s="1"/>
  <c r="R280" i="3"/>
  <c r="O280" i="3" s="1"/>
  <c r="E102" i="13"/>
  <c r="F102" i="13" s="1"/>
  <c r="R323" i="3"/>
  <c r="O323" i="3" s="1"/>
  <c r="E28" i="13"/>
  <c r="F28" i="13" s="1"/>
  <c r="R29" i="3"/>
  <c r="O29" i="3" s="1"/>
  <c r="E91" i="13"/>
  <c r="F91" i="13" s="1"/>
  <c r="R325" i="3"/>
  <c r="O325" i="3" s="1"/>
  <c r="E29" i="13"/>
  <c r="F29" i="13" s="1"/>
  <c r="R30" i="3"/>
  <c r="O30" i="3" s="1"/>
  <c r="E218" i="13"/>
  <c r="F218" i="13" s="1"/>
  <c r="R117" i="3"/>
  <c r="O117" i="3" s="1"/>
  <c r="E14" i="13"/>
  <c r="F14" i="13" s="1"/>
  <c r="R15" i="3"/>
  <c r="O15" i="3" s="1"/>
  <c r="E30" i="13"/>
  <c r="F30" i="13" s="1"/>
  <c r="R31" i="3"/>
  <c r="O31" i="3" s="1"/>
  <c r="E47" i="13"/>
  <c r="F47" i="13" s="1"/>
  <c r="R47" i="3"/>
  <c r="O47" i="3" s="1"/>
  <c r="E63" i="13"/>
  <c r="F63" i="13" s="1"/>
  <c r="R63" i="3"/>
  <c r="O63" i="3" s="1"/>
  <c r="E173" i="13"/>
  <c r="F173" i="13" s="1"/>
  <c r="R70" i="3"/>
  <c r="O70" i="3" s="1"/>
  <c r="E189" i="13"/>
  <c r="F189" i="13" s="1"/>
  <c r="R86" i="3"/>
  <c r="O86" i="3" s="1"/>
  <c r="E205" i="13"/>
  <c r="F205" i="13" s="1"/>
  <c r="R102" i="3"/>
  <c r="O102" i="3" s="1"/>
  <c r="E219" i="13"/>
  <c r="F219" i="13" s="1"/>
  <c r="R118" i="3"/>
  <c r="O118" i="3" s="1"/>
  <c r="E97" i="13"/>
  <c r="F97" i="13" s="1"/>
  <c r="R134" i="3"/>
  <c r="O134" i="3" s="1"/>
  <c r="E127" i="13"/>
  <c r="F127" i="13" s="1"/>
  <c r="R198" i="3"/>
  <c r="O198" i="3" s="1"/>
  <c r="E146" i="13"/>
  <c r="F146" i="13" s="1"/>
  <c r="R222" i="3"/>
  <c r="O222" i="3" s="1"/>
  <c r="E114" i="13"/>
  <c r="F114" i="13" s="1"/>
  <c r="R202" i="3"/>
  <c r="O202" i="3" s="1"/>
  <c r="E105" i="13"/>
  <c r="F105" i="13" s="1"/>
  <c r="R244" i="3"/>
  <c r="O244" i="3" s="1"/>
  <c r="E107" i="13"/>
  <c r="F107" i="13" s="1"/>
  <c r="R260" i="3"/>
  <c r="O260" i="3" s="1"/>
  <c r="E186" i="13"/>
  <c r="F186" i="13" s="1"/>
  <c r="R290" i="3"/>
  <c r="O290" i="3" s="1"/>
  <c r="E164" i="13"/>
  <c r="F164" i="13" s="1"/>
  <c r="R303" i="3"/>
  <c r="O303" i="3" s="1"/>
  <c r="E239" i="13"/>
  <c r="F239" i="13" s="1"/>
  <c r="R327" i="3"/>
  <c r="O327" i="3" s="1"/>
  <c r="E103" i="13"/>
  <c r="F103" i="13" s="1"/>
  <c r="R324" i="3"/>
  <c r="O324" i="3" s="1"/>
  <c r="E262" i="13"/>
  <c r="F262" i="13" s="1"/>
  <c r="R83" i="3"/>
  <c r="O83" i="3" s="1"/>
  <c r="E190" i="13"/>
  <c r="F190" i="13" s="1"/>
  <c r="R87" i="3"/>
  <c r="O87" i="3" s="1"/>
  <c r="E206" i="13"/>
  <c r="F206" i="13" s="1"/>
  <c r="R103" i="3"/>
  <c r="O103" i="3" s="1"/>
  <c r="E220" i="13"/>
  <c r="F220" i="13" s="1"/>
  <c r="R119" i="3"/>
  <c r="O119" i="3" s="1"/>
  <c r="E128" i="13"/>
  <c r="F128" i="13" s="1"/>
  <c r="R197" i="3"/>
  <c r="O197" i="3" s="1"/>
  <c r="E147" i="13"/>
  <c r="F147" i="13" s="1"/>
  <c r="R223" i="3"/>
  <c r="O223" i="3" s="1"/>
  <c r="E117" i="13"/>
  <c r="F117" i="13" s="1"/>
  <c r="R203" i="3"/>
  <c r="O203" i="3" s="1"/>
  <c r="E132" i="13"/>
  <c r="F132" i="13" s="1"/>
  <c r="R219" i="3"/>
  <c r="O219" i="3" s="1"/>
  <c r="E187" i="13"/>
  <c r="F187" i="13" s="1"/>
  <c r="R291" i="3"/>
  <c r="O291" i="3" s="1"/>
  <c r="E165" i="13"/>
  <c r="F165" i="13" s="1"/>
  <c r="R304" i="3"/>
  <c r="O304" i="3" s="1"/>
  <c r="E238" i="13"/>
  <c r="F238" i="13" s="1"/>
  <c r="R328" i="3"/>
  <c r="O328" i="3" s="1"/>
  <c r="E170" i="13"/>
  <c r="F170" i="13" s="1"/>
  <c r="R67" i="3"/>
  <c r="O67" i="3" s="1"/>
  <c r="E160" i="13"/>
  <c r="F160" i="13" s="1"/>
  <c r="R281" i="3"/>
  <c r="O281" i="3" s="1"/>
  <c r="E12" i="13"/>
  <c r="F12" i="13" s="1"/>
  <c r="R13" i="3"/>
  <c r="O13" i="3" s="1"/>
  <c r="E45" i="13"/>
  <c r="F45" i="13" s="1"/>
  <c r="R179" i="3"/>
  <c r="O179" i="3" s="1"/>
  <c r="E191" i="13"/>
  <c r="F191" i="13" s="1"/>
  <c r="R88" i="3"/>
  <c r="O88" i="3" s="1"/>
  <c r="E207" i="13"/>
  <c r="F207" i="13" s="1"/>
  <c r="R104" i="3"/>
  <c r="O104" i="3" s="1"/>
  <c r="E129" i="13"/>
  <c r="F129" i="13" s="1"/>
  <c r="R195" i="3"/>
  <c r="O195" i="3" s="1"/>
  <c r="E148" i="13"/>
  <c r="F148" i="13" s="1"/>
  <c r="R224" i="3"/>
  <c r="O224" i="3" s="1"/>
  <c r="E112" i="13"/>
  <c r="F112" i="13" s="1"/>
  <c r="R137" i="3"/>
  <c r="O137" i="3" s="1"/>
  <c r="E77" i="13"/>
  <c r="F77" i="13" s="1"/>
  <c r="R226" i="3"/>
  <c r="O226" i="3" s="1"/>
  <c r="E133" i="13"/>
  <c r="F133" i="13" s="1"/>
  <c r="R220" i="3"/>
  <c r="O220" i="3" s="1"/>
  <c r="E172" i="13"/>
  <c r="F172" i="13" s="1"/>
  <c r="R305" i="3"/>
  <c r="O305" i="3" s="1"/>
  <c r="E202" i="13"/>
  <c r="F202" i="13" s="1"/>
  <c r="R99" i="3"/>
  <c r="O99" i="3" s="1"/>
  <c r="E222" i="13"/>
  <c r="F222" i="13" s="1"/>
  <c r="R121" i="3"/>
  <c r="O121" i="3" s="1"/>
  <c r="E130" i="13"/>
  <c r="F130" i="13" s="1"/>
  <c r="R196" i="3"/>
  <c r="O196" i="3" s="1"/>
  <c r="E149" i="13"/>
  <c r="F149" i="13" s="1"/>
  <c r="R225" i="3"/>
  <c r="O225" i="3" s="1"/>
  <c r="E113" i="13"/>
  <c r="F113" i="13" s="1"/>
  <c r="R138" i="3"/>
  <c r="O138" i="3" s="1"/>
  <c r="E174" i="13"/>
  <c r="F174" i="13" s="1"/>
  <c r="R306" i="3"/>
  <c r="O306" i="3" s="1"/>
  <c r="E250" i="13"/>
  <c r="F250" i="13" s="1"/>
  <c r="R314" i="3"/>
  <c r="O314" i="3" s="1"/>
  <c r="E157" i="13"/>
  <c r="F157" i="13" s="1"/>
  <c r="R340" i="3"/>
  <c r="O340" i="3" s="1"/>
  <c r="E31" i="13"/>
  <c r="F31" i="13" s="1"/>
  <c r="R32" i="3"/>
  <c r="O32" i="3" s="1"/>
  <c r="E16" i="13"/>
  <c r="F16" i="13" s="1"/>
  <c r="R17" i="3"/>
  <c r="O17" i="3" s="1"/>
  <c r="E33" i="13"/>
  <c r="F33" i="13" s="1"/>
  <c r="R34" i="3"/>
  <c r="O34" i="3" s="1"/>
  <c r="E223" i="13"/>
  <c r="F223" i="13" s="1"/>
  <c r="R122" i="3"/>
  <c r="O122" i="3" s="1"/>
  <c r="E150" i="13"/>
  <c r="F150" i="13" s="1"/>
  <c r="R144" i="3"/>
  <c r="O144" i="3" s="1"/>
  <c r="E175" i="13"/>
  <c r="F175" i="13" s="1"/>
  <c r="R307" i="3"/>
  <c r="O307" i="3" s="1"/>
  <c r="E251" i="13"/>
  <c r="F251" i="13" s="1"/>
  <c r="R315" i="3"/>
  <c r="O315" i="3" s="1"/>
  <c r="E158" i="13"/>
  <c r="F158" i="13" s="1"/>
  <c r="R341" i="3"/>
  <c r="O341" i="3" s="1"/>
  <c r="E27" i="13"/>
  <c r="F27" i="13" s="1"/>
  <c r="R28" i="3"/>
  <c r="O28" i="3" s="1"/>
  <c r="E122" i="13"/>
  <c r="F122" i="13" s="1"/>
  <c r="R141" i="3"/>
  <c r="O141" i="3" s="1"/>
  <c r="E79" i="13"/>
  <c r="F79" i="13" s="1"/>
  <c r="R259" i="3"/>
  <c r="O259" i="3" s="1"/>
  <c r="E263" i="13"/>
  <c r="F263" i="13" s="1"/>
  <c r="R84" i="3"/>
  <c r="O84" i="3" s="1"/>
  <c r="E15" i="13"/>
  <c r="F15" i="13" s="1"/>
  <c r="R16" i="3"/>
  <c r="O16" i="3" s="1"/>
  <c r="E32" i="13"/>
  <c r="F32" i="13" s="1"/>
  <c r="R33" i="3"/>
  <c r="O33" i="3" s="1"/>
  <c r="E65" i="13"/>
  <c r="F65" i="13" s="1"/>
  <c r="R65" i="3"/>
  <c r="O65" i="3" s="1"/>
  <c r="E34" i="13"/>
  <c r="F34" i="13" s="1"/>
  <c r="R35" i="3"/>
  <c r="O35" i="3" s="1"/>
  <c r="E67" i="13"/>
  <c r="F67" i="13" s="1"/>
  <c r="R154" i="3"/>
  <c r="O154" i="3" s="1"/>
  <c r="E178" i="13"/>
  <c r="F178" i="13" s="1"/>
  <c r="R75" i="3"/>
  <c r="O75" i="3" s="1"/>
  <c r="E194" i="13"/>
  <c r="F194" i="13" s="1"/>
  <c r="R91" i="3"/>
  <c r="O91" i="3" s="1"/>
  <c r="E210" i="13"/>
  <c r="F210" i="13" s="1"/>
  <c r="R107" i="3"/>
  <c r="O107" i="3" s="1"/>
  <c r="E224" i="13"/>
  <c r="F224" i="13" s="1"/>
  <c r="R123" i="3"/>
  <c r="O123" i="3" s="1"/>
  <c r="E137" i="13"/>
  <c r="F137" i="13" s="1"/>
  <c r="R186" i="3"/>
  <c r="O186" i="3" s="1"/>
  <c r="E151" i="13"/>
  <c r="F151" i="13" s="1"/>
  <c r="R145" i="3"/>
  <c r="O145" i="3" s="1"/>
  <c r="E119" i="13"/>
  <c r="F119" i="13" s="1"/>
  <c r="R277" i="3"/>
  <c r="O277" i="3" s="1"/>
  <c r="E221" i="13"/>
  <c r="F221" i="13" s="1"/>
  <c r="R308" i="3"/>
  <c r="O308" i="3" s="1"/>
  <c r="E237" i="13"/>
  <c r="F237" i="13" s="1"/>
  <c r="R330" i="3"/>
  <c r="O330" i="3" s="1"/>
  <c r="E135" i="13"/>
  <c r="F135" i="13" s="1"/>
  <c r="R347" i="3"/>
  <c r="O347" i="3" s="1"/>
  <c r="E60" i="13"/>
  <c r="F60" i="13" s="1"/>
  <c r="R60" i="3"/>
  <c r="O60" i="3" s="1"/>
  <c r="E49" i="13"/>
  <c r="F49" i="13" s="1"/>
  <c r="R49" i="3"/>
  <c r="O49" i="3" s="1"/>
  <c r="E209" i="13"/>
  <c r="F209" i="13" s="1"/>
  <c r="R106" i="3"/>
  <c r="O106" i="3" s="1"/>
  <c r="E195" i="13"/>
  <c r="F195" i="13" s="1"/>
  <c r="R92" i="3"/>
  <c r="O92" i="3" s="1"/>
  <c r="E211" i="13"/>
  <c r="F211" i="13" s="1"/>
  <c r="R108" i="3"/>
  <c r="O108" i="3" s="1"/>
  <c r="E225" i="13"/>
  <c r="F225" i="13" s="1"/>
  <c r="R124" i="3"/>
  <c r="O124" i="3" s="1"/>
  <c r="E116" i="13"/>
  <c r="F116" i="13" s="1"/>
  <c r="R200" i="3"/>
  <c r="O200" i="3" s="1"/>
  <c r="E138" i="13"/>
  <c r="F138" i="13" s="1"/>
  <c r="R187" i="3"/>
  <c r="O187" i="3" s="1"/>
  <c r="E152" i="13"/>
  <c r="F152" i="13" s="1"/>
  <c r="R147" i="3"/>
  <c r="O147" i="3" s="1"/>
  <c r="E98" i="13"/>
  <c r="F98" i="13" s="1"/>
  <c r="R155" i="3"/>
  <c r="O155" i="3" s="1"/>
  <c r="E246" i="13"/>
  <c r="F246" i="13" s="1"/>
  <c r="R309" i="3"/>
  <c r="O309" i="3" s="1"/>
  <c r="E233" i="13"/>
  <c r="F233" i="13" s="1"/>
  <c r="R331" i="3"/>
  <c r="O331" i="3" s="1"/>
  <c r="E136" i="13"/>
  <c r="F136" i="13" s="1"/>
  <c r="R348" i="3"/>
  <c r="O348" i="3" s="1"/>
  <c r="E145" i="13"/>
  <c r="F145" i="13" s="1"/>
  <c r="R192" i="3"/>
  <c r="O192" i="3" s="1"/>
  <c r="E100" i="13"/>
  <c r="F100" i="13" s="1"/>
  <c r="R321" i="3"/>
  <c r="O321" i="3" s="1"/>
  <c r="E177" i="13"/>
  <c r="F177" i="13" s="1"/>
  <c r="R74" i="3"/>
  <c r="O74" i="3" s="1"/>
  <c r="E19" i="13"/>
  <c r="F19" i="13" s="1"/>
  <c r="R20" i="3"/>
  <c r="O20" i="3" s="1"/>
  <c r="E36" i="13"/>
  <c r="F36" i="13" s="1"/>
  <c r="R37" i="3"/>
  <c r="O37" i="3" s="1"/>
  <c r="E5" i="13"/>
  <c r="F5" i="13" s="1"/>
  <c r="R6" i="3"/>
  <c r="O6" i="3" s="1"/>
  <c r="E21" i="13"/>
  <c r="F21" i="13" s="1"/>
  <c r="R22" i="3"/>
  <c r="O22" i="3" s="1"/>
  <c r="E37" i="13"/>
  <c r="F37" i="13" s="1"/>
  <c r="R38" i="3"/>
  <c r="O38" i="3" s="1"/>
  <c r="E54" i="13"/>
  <c r="F54" i="13" s="1"/>
  <c r="R54" i="3"/>
  <c r="O54" i="3" s="1"/>
  <c r="E69" i="13"/>
  <c r="F69" i="13" s="1"/>
  <c r="R177" i="3"/>
  <c r="O177" i="3" s="1"/>
  <c r="E180" i="13"/>
  <c r="F180" i="13" s="1"/>
  <c r="R77" i="3"/>
  <c r="O77" i="3" s="1"/>
  <c r="E196" i="13"/>
  <c r="F196" i="13" s="1"/>
  <c r="R93" i="3"/>
  <c r="O93" i="3" s="1"/>
  <c r="E215" i="13"/>
  <c r="F215" i="13" s="1"/>
  <c r="R109" i="3"/>
  <c r="O109" i="3" s="1"/>
  <c r="E226" i="13"/>
  <c r="F226" i="13" s="1"/>
  <c r="R125" i="3"/>
  <c r="O125" i="3" s="1"/>
  <c r="E139" i="13"/>
  <c r="F139" i="13" s="1"/>
  <c r="R188" i="3"/>
  <c r="O188" i="3" s="1"/>
  <c r="E99" i="13"/>
  <c r="F99" i="13" s="1"/>
  <c r="R156" i="3"/>
  <c r="O156" i="3" s="1"/>
  <c r="E111" i="13"/>
  <c r="F111" i="13" s="1"/>
  <c r="R251" i="3"/>
  <c r="O251" i="3" s="1"/>
  <c r="E81" i="13"/>
  <c r="F81" i="13" s="1"/>
  <c r="R268" i="3"/>
  <c r="O268" i="3" s="1"/>
  <c r="E88" i="13"/>
  <c r="F88" i="13" s="1"/>
  <c r="R286" i="3"/>
  <c r="O286" i="3" s="1"/>
  <c r="E248" i="13"/>
  <c r="F248" i="13" s="1"/>
  <c r="R310" i="3"/>
  <c r="O310" i="3" s="1"/>
  <c r="E227" i="13"/>
  <c r="F227" i="13" s="1"/>
  <c r="R332" i="3"/>
  <c r="O332" i="3" s="1"/>
  <c r="E44" i="13"/>
  <c r="F44" i="13" s="1"/>
  <c r="R45" i="3"/>
  <c r="O45" i="3" s="1"/>
  <c r="E208" i="13"/>
  <c r="F208" i="13" s="1"/>
  <c r="R105" i="3"/>
  <c r="O105" i="3" s="1"/>
  <c r="E197" i="13"/>
  <c r="F197" i="13" s="1"/>
  <c r="R94" i="3"/>
  <c r="O94" i="3" s="1"/>
  <c r="E216" i="13"/>
  <c r="F216" i="13" s="1"/>
  <c r="R110" i="3"/>
  <c r="O110" i="3" s="1"/>
  <c r="E87" i="13"/>
  <c r="F87" i="13" s="1"/>
  <c r="R126" i="3"/>
  <c r="O126" i="3" s="1"/>
  <c r="E140" i="13"/>
  <c r="F140" i="13" s="1"/>
  <c r="R190" i="3"/>
  <c r="O190" i="3" s="1"/>
  <c r="E126" i="13"/>
  <c r="F126" i="13" s="1"/>
  <c r="R178" i="3"/>
  <c r="O178" i="3" s="1"/>
  <c r="E110" i="13"/>
  <c r="F110" i="13" s="1"/>
  <c r="R252" i="3"/>
  <c r="O252" i="3" s="1"/>
  <c r="E82" i="13"/>
  <c r="F82" i="13" s="1"/>
  <c r="R270" i="3"/>
  <c r="O270" i="3" s="1"/>
  <c r="E249" i="13"/>
  <c r="F249" i="13" s="1"/>
  <c r="R311" i="3"/>
  <c r="O311" i="3" s="1"/>
  <c r="E230" i="13"/>
  <c r="F230" i="13" s="1"/>
  <c r="R336" i="3"/>
  <c r="O336" i="3" s="1"/>
  <c r="E228" i="13"/>
  <c r="F228" i="13" s="1"/>
  <c r="R349" i="3"/>
  <c r="O349" i="3" s="1"/>
  <c r="E171" i="13"/>
  <c r="F171" i="13" s="1"/>
  <c r="R68" i="3"/>
  <c r="O68" i="3" s="1"/>
  <c r="E75" i="13"/>
  <c r="F75" i="13" s="1"/>
  <c r="R181" i="3"/>
  <c r="O181" i="3" s="1"/>
  <c r="E192" i="13"/>
  <c r="F192" i="13" s="1"/>
  <c r="R89" i="3"/>
  <c r="O89" i="3" s="1"/>
  <c r="E18" i="13"/>
  <c r="F18" i="13" s="1"/>
  <c r="R19" i="3"/>
  <c r="O19" i="3" s="1"/>
  <c r="E179" i="13"/>
  <c r="F179" i="13" s="1"/>
  <c r="R76" i="3"/>
  <c r="O76" i="3" s="1"/>
  <c r="E22" i="13"/>
  <c r="F22" i="13" s="1"/>
  <c r="R23" i="3"/>
  <c r="O23" i="3" s="1"/>
  <c r="E23" i="13"/>
  <c r="F23" i="13" s="1"/>
  <c r="R24" i="3"/>
  <c r="O24" i="3" s="1"/>
  <c r="E56" i="13"/>
  <c r="F56" i="13" s="1"/>
  <c r="R56" i="3"/>
  <c r="O56" i="3" s="1"/>
  <c r="E71" i="13"/>
  <c r="F71" i="13" s="1"/>
  <c r="R180" i="3"/>
  <c r="O180" i="3" s="1"/>
  <c r="E182" i="13"/>
  <c r="F182" i="13" s="1"/>
  <c r="R79" i="3"/>
  <c r="O79" i="3" s="1"/>
  <c r="E198" i="13"/>
  <c r="F198" i="13" s="1"/>
  <c r="R95" i="3"/>
  <c r="O95" i="3" s="1"/>
  <c r="E214" i="13"/>
  <c r="F214" i="13" s="1"/>
  <c r="R111" i="3"/>
  <c r="O111" i="3" s="1"/>
  <c r="E141" i="13"/>
  <c r="F141" i="13" s="1"/>
  <c r="R189" i="3"/>
  <c r="O189" i="3" s="1"/>
  <c r="E80" i="13"/>
  <c r="F80" i="13" s="1"/>
  <c r="R253" i="3"/>
  <c r="O253" i="3" s="1"/>
  <c r="E121" i="13"/>
  <c r="F121" i="13" s="1"/>
  <c r="R279" i="3"/>
  <c r="O279" i="3" s="1"/>
  <c r="E134" i="13"/>
  <c r="F134" i="13" s="1"/>
  <c r="R221" i="3"/>
  <c r="O221" i="3" s="1"/>
  <c r="E85" i="13"/>
  <c r="F85" i="13" s="1"/>
  <c r="R320" i="3"/>
  <c r="O320" i="3" s="1"/>
  <c r="E229" i="13"/>
  <c r="F229" i="13" s="1"/>
  <c r="R337" i="3"/>
  <c r="O337" i="3" s="1"/>
  <c r="E231" i="13"/>
  <c r="F231" i="13" s="1"/>
  <c r="R353" i="3"/>
  <c r="E61" i="13"/>
  <c r="F61" i="13" s="1"/>
  <c r="R61" i="3"/>
  <c r="O61" i="3" s="1"/>
  <c r="E124" i="13"/>
  <c r="F124" i="13" s="1"/>
  <c r="R142" i="3"/>
  <c r="O142" i="3" s="1"/>
  <c r="E64" i="13"/>
  <c r="F64" i="13" s="1"/>
  <c r="R64" i="3"/>
  <c r="O64" i="3" s="1"/>
  <c r="E193" i="13"/>
  <c r="F193" i="13" s="1"/>
  <c r="R90" i="3"/>
  <c r="O90" i="3" s="1"/>
  <c r="E3" i="13"/>
  <c r="F3" i="13" s="1"/>
  <c r="R4" i="3"/>
  <c r="O4" i="3" s="1"/>
  <c r="E4" i="13"/>
  <c r="F4" i="13" s="1"/>
  <c r="R5" i="3"/>
  <c r="O5" i="3" s="1"/>
  <c r="E20" i="13"/>
  <c r="F20" i="13" s="1"/>
  <c r="R21" i="3"/>
  <c r="O21" i="3" s="1"/>
  <c r="E6" i="13"/>
  <c r="F6" i="13" s="1"/>
  <c r="R7" i="3"/>
  <c r="O7" i="3" s="1"/>
  <c r="E70" i="13"/>
  <c r="F70" i="13" s="1"/>
  <c r="R183" i="3"/>
  <c r="O183" i="3" s="1"/>
  <c r="E24" i="13"/>
  <c r="F24" i="13" s="1"/>
  <c r="R25" i="3"/>
  <c r="O25" i="3" s="1"/>
  <c r="E72" i="13"/>
  <c r="F72" i="13" s="1"/>
  <c r="R184" i="3"/>
  <c r="O184" i="3" s="1"/>
  <c r="E143" i="13"/>
  <c r="F143" i="13" s="1"/>
  <c r="R193" i="3"/>
  <c r="O193" i="3" s="1"/>
  <c r="E76" i="13"/>
  <c r="F76" i="13" s="1"/>
  <c r="R237" i="3"/>
  <c r="O237" i="3" s="1"/>
  <c r="E93" i="13"/>
  <c r="F93" i="13" s="1"/>
  <c r="R269" i="3"/>
  <c r="O269" i="3" s="1"/>
  <c r="E245" i="13"/>
  <c r="F245" i="13" s="1"/>
  <c r="R294" i="3"/>
  <c r="O294" i="3" s="1"/>
  <c r="E247" i="13"/>
  <c r="F247" i="13" s="1"/>
  <c r="R318" i="3"/>
  <c r="O318" i="3" s="1"/>
  <c r="E234" i="13"/>
  <c r="F234" i="13" s="1"/>
  <c r="R335" i="3"/>
  <c r="O335" i="3" s="1"/>
  <c r="E217" i="13"/>
  <c r="F217" i="13" s="1"/>
  <c r="R115" i="3"/>
  <c r="O115" i="3" s="1"/>
  <c r="E176" i="13"/>
  <c r="F176" i="13" s="1"/>
  <c r="R73" i="3"/>
  <c r="O73" i="3" s="1"/>
  <c r="E51" i="13"/>
  <c r="F51" i="13" s="1"/>
  <c r="R51" i="3"/>
  <c r="O51" i="3" s="1"/>
  <c r="E52" i="13"/>
  <c r="F52" i="13" s="1"/>
  <c r="R52" i="3"/>
  <c r="O52" i="3" s="1"/>
  <c r="E53" i="13"/>
  <c r="F53" i="13" s="1"/>
  <c r="R53" i="3"/>
  <c r="O53" i="3" s="1"/>
  <c r="E55" i="13"/>
  <c r="F55" i="13" s="1"/>
  <c r="R55" i="3"/>
  <c r="O55" i="3" s="1"/>
  <c r="E7" i="13"/>
  <c r="F7" i="13" s="1"/>
  <c r="R8" i="3"/>
  <c r="O8" i="3" s="1"/>
  <c r="E8" i="13"/>
  <c r="F8" i="13" s="1"/>
  <c r="R9" i="3"/>
  <c r="O9" i="3" s="1"/>
  <c r="E57" i="13"/>
  <c r="F57" i="13" s="1"/>
  <c r="R57" i="3"/>
  <c r="O57" i="3" s="1"/>
  <c r="E183" i="13"/>
  <c r="F183" i="13" s="1"/>
  <c r="R80" i="3"/>
  <c r="O80" i="3" s="1"/>
  <c r="E199" i="13"/>
  <c r="F199" i="13" s="1"/>
  <c r="R96" i="3"/>
  <c r="O96" i="3" s="1"/>
  <c r="E25" i="13"/>
  <c r="F25" i="13" s="1"/>
  <c r="R26" i="3"/>
  <c r="O26" i="3" s="1"/>
  <c r="E41" i="13"/>
  <c r="F41" i="13" s="1"/>
  <c r="R42" i="3"/>
  <c r="O42" i="3" s="1"/>
  <c r="E73" i="13"/>
  <c r="F73" i="13" s="1"/>
  <c r="R182" i="3"/>
  <c r="O182" i="3" s="1"/>
  <c r="E184" i="13"/>
  <c r="F184" i="13" s="1"/>
  <c r="R81" i="3"/>
  <c r="O81" i="3" s="1"/>
  <c r="E200" i="13"/>
  <c r="F200" i="13" s="1"/>
  <c r="R97" i="3"/>
  <c r="O97" i="3" s="1"/>
  <c r="E212" i="13"/>
  <c r="F212" i="13" s="1"/>
  <c r="R113" i="3"/>
  <c r="O113" i="3" s="1"/>
  <c r="E142" i="13"/>
  <c r="F142" i="13" s="1"/>
  <c r="R194" i="3"/>
  <c r="O194" i="3" s="1"/>
  <c r="E162" i="13"/>
  <c r="F162" i="13" s="1"/>
  <c r="R149" i="3"/>
  <c r="O149" i="3" s="1"/>
  <c r="E131" i="13"/>
  <c r="F131" i="13" s="1"/>
  <c r="R255" i="3"/>
  <c r="O255" i="3" s="1"/>
  <c r="E94" i="13"/>
  <c r="F94" i="13" s="1"/>
  <c r="R267" i="3"/>
  <c r="O267" i="3" s="1"/>
  <c r="E155" i="13"/>
  <c r="F155" i="13" s="1"/>
  <c r="R283" i="3"/>
  <c r="O283" i="3" s="1"/>
  <c r="E83" i="13"/>
  <c r="F83" i="13" s="1"/>
  <c r="R299" i="3"/>
  <c r="O299" i="3" s="1"/>
  <c r="E252" i="13"/>
  <c r="F252" i="13" s="1"/>
  <c r="R316" i="3"/>
  <c r="O316" i="3" s="1"/>
  <c r="E235" i="13"/>
  <c r="F235" i="13" s="1"/>
  <c r="R334" i="3"/>
  <c r="O334" i="3" s="1"/>
  <c r="E240" i="13"/>
  <c r="F240" i="13" s="1"/>
  <c r="R350" i="3"/>
  <c r="O350" i="3" s="1"/>
  <c r="E11" i="13"/>
  <c r="F11" i="13" s="1"/>
  <c r="R12" i="3"/>
  <c r="O12" i="3" s="1"/>
  <c r="E169" i="13"/>
  <c r="F169" i="13" s="1"/>
  <c r="R151" i="3"/>
  <c r="O151" i="3" s="1"/>
  <c r="E86" i="13"/>
  <c r="F86" i="13" s="1"/>
  <c r="R319" i="3"/>
  <c r="O319" i="3" s="1"/>
  <c r="E203" i="13"/>
  <c r="F203" i="13" s="1"/>
  <c r="R100" i="3"/>
  <c r="O100" i="3" s="1"/>
  <c r="E48" i="13"/>
  <c r="F48" i="13" s="1"/>
  <c r="R48" i="3"/>
  <c r="O48" i="3" s="1"/>
  <c r="E17" i="13"/>
  <c r="F17" i="13" s="1"/>
  <c r="R18" i="3"/>
  <c r="O18" i="3" s="1"/>
  <c r="E50" i="13"/>
  <c r="F50" i="13" s="1"/>
  <c r="R50" i="3"/>
  <c r="O50" i="3" s="1"/>
  <c r="E66" i="13"/>
  <c r="F66" i="13" s="1"/>
  <c r="R66" i="3"/>
  <c r="O66" i="3" s="1"/>
  <c r="E35" i="13"/>
  <c r="F35" i="13" s="1"/>
  <c r="R36" i="3"/>
  <c r="O36" i="3" s="1"/>
  <c r="E68" i="13"/>
  <c r="F68" i="13" s="1"/>
  <c r="R176" i="3"/>
  <c r="O176" i="3" s="1"/>
  <c r="E38" i="13"/>
  <c r="F38" i="13" s="1"/>
  <c r="R39" i="3"/>
  <c r="O39" i="3" s="1"/>
  <c r="E39" i="13"/>
  <c r="F39" i="13" s="1"/>
  <c r="R40" i="3"/>
  <c r="O40" i="3" s="1"/>
  <c r="E40" i="13"/>
  <c r="F40" i="13" s="1"/>
  <c r="R41" i="3"/>
  <c r="O41" i="3" s="1"/>
  <c r="E9" i="13"/>
  <c r="F9" i="13" s="1"/>
  <c r="R10" i="3"/>
  <c r="O10" i="3" s="1"/>
  <c r="E58" i="13"/>
  <c r="F58" i="13" s="1"/>
  <c r="R58" i="3"/>
  <c r="O58" i="3" s="1"/>
  <c r="E10" i="13"/>
  <c r="F10" i="13" s="1"/>
  <c r="R11" i="3"/>
  <c r="O11" i="3" s="1"/>
  <c r="E26" i="13"/>
  <c r="F26" i="13" s="1"/>
  <c r="R27" i="3"/>
  <c r="O27" i="3" s="1"/>
  <c r="E42" i="13"/>
  <c r="F42" i="13" s="1"/>
  <c r="R43" i="3"/>
  <c r="O43" i="3" s="1"/>
  <c r="E59" i="13"/>
  <c r="F59" i="13" s="1"/>
  <c r="R59" i="3"/>
  <c r="O59" i="3" s="1"/>
  <c r="E74" i="13"/>
  <c r="F74" i="13" s="1"/>
  <c r="R199" i="3"/>
  <c r="O199" i="3" s="1"/>
  <c r="E185" i="13"/>
  <c r="F185" i="13" s="1"/>
  <c r="R82" i="3"/>
  <c r="O82" i="3" s="1"/>
  <c r="E201" i="13"/>
  <c r="F201" i="13" s="1"/>
  <c r="R98" i="3"/>
  <c r="O98" i="3" s="1"/>
  <c r="E213" i="13"/>
  <c r="F213" i="13" s="1"/>
  <c r="R114" i="3"/>
  <c r="O114" i="3" s="1"/>
  <c r="E144" i="13"/>
  <c r="F144" i="13" s="1"/>
  <c r="R191" i="3"/>
  <c r="O191" i="3" s="1"/>
  <c r="E168" i="13"/>
  <c r="F168" i="13" s="1"/>
  <c r="R150" i="3"/>
  <c r="O150" i="3" s="1"/>
  <c r="E90" i="13"/>
  <c r="F90" i="13" s="1"/>
  <c r="R171" i="3"/>
  <c r="O171" i="3" s="1"/>
  <c r="E78" i="13"/>
  <c r="F78" i="13" s="1"/>
  <c r="R258" i="3"/>
  <c r="O258" i="3" s="1"/>
  <c r="E95" i="13"/>
  <c r="F95" i="13" s="1"/>
  <c r="R266" i="3"/>
  <c r="O266" i="3" s="1"/>
  <c r="E156" i="13"/>
  <c r="F156" i="13" s="1"/>
  <c r="R284" i="3"/>
  <c r="O284" i="3" s="1"/>
  <c r="E84" i="13"/>
  <c r="F84" i="13" s="1"/>
  <c r="R300" i="3"/>
  <c r="O300" i="3" s="1"/>
  <c r="E253" i="13"/>
  <c r="F253" i="13" s="1"/>
  <c r="R317" i="3"/>
  <c r="O317" i="3" s="1"/>
  <c r="E92" i="13"/>
  <c r="F92" i="13" s="1"/>
  <c r="R333" i="3"/>
  <c r="O333" i="3" s="1"/>
  <c r="E232" i="13"/>
  <c r="F232" i="13" s="1"/>
  <c r="E236" i="13"/>
  <c r="F236" i="13" s="1"/>
  <c r="H1244" i="2"/>
  <c r="K1244" i="2" s="1"/>
  <c r="M1244" i="2" s="1"/>
  <c r="O353" i="3" l="1"/>
  <c r="Q353" i="3" s="1"/>
  <c r="T353" i="3"/>
  <c r="G1193" i="2"/>
  <c r="M1195" i="2" s="1"/>
  <c r="G1192" i="2"/>
  <c r="H352" i="3"/>
  <c r="N352" i="3" s="1"/>
  <c r="M352" i="3" s="1"/>
  <c r="P352" i="3" s="1"/>
  <c r="H351" i="3"/>
  <c r="N351" i="3" s="1"/>
  <c r="M351" i="3" s="1"/>
  <c r="P351" i="3" s="1"/>
  <c r="H350" i="3"/>
  <c r="N350" i="3" s="1"/>
  <c r="M350" i="3" s="1"/>
  <c r="P350" i="3" s="1"/>
  <c r="H349" i="3"/>
  <c r="N349" i="3" s="1"/>
  <c r="M349" i="3" s="1"/>
  <c r="P349" i="3" s="1"/>
  <c r="H348" i="3"/>
  <c r="N348" i="3" s="1"/>
  <c r="M348" i="3" s="1"/>
  <c r="P348" i="3" s="1"/>
  <c r="H347" i="3"/>
  <c r="N347" i="3" s="1"/>
  <c r="M347" i="3" s="1"/>
  <c r="P347" i="3" s="1"/>
  <c r="H343" i="3"/>
  <c r="N343" i="3" s="1"/>
  <c r="M343" i="3" s="1"/>
  <c r="P343" i="3" s="1"/>
  <c r="H342" i="3"/>
  <c r="N342" i="3" s="1"/>
  <c r="M342" i="3" s="1"/>
  <c r="P342" i="3" s="1"/>
  <c r="S342" i="3" l="1"/>
  <c r="T342" i="3" s="1"/>
  <c r="Q342" i="3"/>
  <c r="S349" i="3"/>
  <c r="T349" i="3" s="1"/>
  <c r="Q349" i="3"/>
  <c r="S347" i="3"/>
  <c r="T347" i="3" s="1"/>
  <c r="Q347" i="3"/>
  <c r="S351" i="3"/>
  <c r="T351" i="3" s="1"/>
  <c r="Q351" i="3"/>
  <c r="S343" i="3"/>
  <c r="T343" i="3" s="1"/>
  <c r="Q343" i="3"/>
  <c r="S348" i="3"/>
  <c r="T348" i="3" s="1"/>
  <c r="Q348" i="3"/>
  <c r="S350" i="3"/>
  <c r="T350" i="3" s="1"/>
  <c r="Q350" i="3"/>
  <c r="S352" i="3"/>
  <c r="T352" i="3" s="1"/>
  <c r="Q352" i="3"/>
  <c r="H1243" i="2"/>
  <c r="K1243" i="2" s="1"/>
  <c r="M1243" i="2" s="1"/>
  <c r="D340" i="6"/>
  <c r="E340" i="6" s="1"/>
  <c r="D342" i="6"/>
  <c r="E342" i="6" s="1"/>
  <c r="D341" i="6"/>
  <c r="E341" i="6" s="1"/>
  <c r="D329" i="6"/>
  <c r="E329" i="6" s="1"/>
  <c r="D324" i="6"/>
  <c r="E324" i="6" s="1"/>
  <c r="D328" i="6"/>
  <c r="E328" i="6" s="1"/>
  <c r="D325" i="6"/>
  <c r="E325" i="6" s="1"/>
  <c r="D327" i="6"/>
  <c r="E327" i="6" s="1"/>
  <c r="D326" i="6"/>
  <c r="E326" i="6" s="1"/>
  <c r="D330" i="6"/>
  <c r="E330" i="6" s="1"/>
  <c r="L47" i="1" l="1"/>
  <c r="G47" i="1"/>
  <c r="L46" i="1"/>
  <c r="G46" i="1"/>
  <c r="L45" i="1"/>
  <c r="G45" i="1"/>
  <c r="L44" i="1"/>
  <c r="G44" i="1"/>
  <c r="K1166" i="2"/>
  <c r="O1166" i="2" s="1"/>
  <c r="G1160" i="2"/>
  <c r="G1161" i="2" s="1"/>
  <c r="G1134" i="2"/>
  <c r="G1135" i="2" s="1"/>
  <c r="G1136" i="2" s="1"/>
  <c r="G1119" i="2"/>
  <c r="G1110" i="2"/>
  <c r="G1111" i="2" s="1"/>
  <c r="M1114" i="2" s="1"/>
  <c r="G1095" i="2"/>
  <c r="H1240" i="2" l="1"/>
  <c r="K1240" i="2" s="1"/>
  <c r="M1240" i="2" s="1"/>
  <c r="H47" i="1"/>
  <c r="M1165" i="2"/>
  <c r="M1166" i="2"/>
  <c r="M1137" i="2"/>
  <c r="H44" i="1"/>
  <c r="H45" i="1"/>
  <c r="H46" i="1"/>
  <c r="G1112" i="2"/>
  <c r="G1162" i="2"/>
  <c r="H1111" i="2" l="1"/>
  <c r="K1111" i="2" s="1"/>
  <c r="M1111" i="2" s="1"/>
  <c r="H1112" i="2"/>
  <c r="K1112" i="2" s="1"/>
  <c r="M1112" i="2" s="1"/>
  <c r="G1164" i="2"/>
  <c r="G1163" i="2"/>
  <c r="H341" i="3" l="1"/>
  <c r="N341" i="3" s="1"/>
  <c r="M341" i="3" s="1"/>
  <c r="P341" i="3" s="1"/>
  <c r="H340" i="3"/>
  <c r="N340" i="3" s="1"/>
  <c r="M340" i="3" s="1"/>
  <c r="P340" i="3" s="1"/>
  <c r="H339" i="3"/>
  <c r="N339" i="3" s="1"/>
  <c r="M339" i="3" s="1"/>
  <c r="P339" i="3" s="1"/>
  <c r="H338" i="3"/>
  <c r="N338" i="3" s="1"/>
  <c r="M338" i="3" s="1"/>
  <c r="P338" i="3" s="1"/>
  <c r="H337" i="3"/>
  <c r="N337" i="3" s="1"/>
  <c r="M337" i="3" s="1"/>
  <c r="P337" i="3" s="1"/>
  <c r="H336" i="3"/>
  <c r="N336" i="3" s="1"/>
  <c r="M336" i="3" s="1"/>
  <c r="P336" i="3" s="1"/>
  <c r="H335" i="3"/>
  <c r="N335" i="3" s="1"/>
  <c r="M335" i="3" s="1"/>
  <c r="P335" i="3" s="1"/>
  <c r="H334" i="3"/>
  <c r="N334" i="3" s="1"/>
  <c r="M334" i="3" s="1"/>
  <c r="P334" i="3" s="1"/>
  <c r="S334" i="3" l="1"/>
  <c r="T334" i="3" s="1"/>
  <c r="Q334" i="3"/>
  <c r="S337" i="3"/>
  <c r="T337" i="3" s="1"/>
  <c r="Q337" i="3"/>
  <c r="S336" i="3"/>
  <c r="T336" i="3" s="1"/>
  <c r="Q336" i="3"/>
  <c r="S340" i="3"/>
  <c r="T340" i="3" s="1"/>
  <c r="Q340" i="3"/>
  <c r="S335" i="3"/>
  <c r="T335" i="3" s="1"/>
  <c r="Q335" i="3"/>
  <c r="S338" i="3"/>
  <c r="T338" i="3" s="1"/>
  <c r="Q338" i="3"/>
  <c r="S339" i="3"/>
  <c r="T339" i="3" s="1"/>
  <c r="Q339" i="3"/>
  <c r="S341" i="3"/>
  <c r="T341" i="3" s="1"/>
  <c r="Q341" i="3"/>
  <c r="D312" i="6"/>
  <c r="E312" i="6" s="1"/>
  <c r="D314" i="6"/>
  <c r="E314" i="6" s="1"/>
  <c r="D313" i="6"/>
  <c r="E313" i="6" s="1"/>
  <c r="D311" i="6"/>
  <c r="E311" i="6" s="1"/>
  <c r="D320" i="6"/>
  <c r="E320" i="6" s="1"/>
  <c r="D321" i="6"/>
  <c r="E321" i="6" s="1"/>
  <c r="D322" i="6"/>
  <c r="E322" i="6" s="1"/>
  <c r="D323" i="6"/>
  <c r="E323" i="6" s="1"/>
  <c r="G1088" i="2" l="1"/>
  <c r="G1089" i="2" s="1"/>
  <c r="G1087" i="2"/>
  <c r="M1090" i="2" l="1"/>
  <c r="H324" i="3"/>
  <c r="N324" i="3" s="1"/>
  <c r="M324" i="3" s="1"/>
  <c r="P324" i="3" s="1"/>
  <c r="H323" i="3"/>
  <c r="N323" i="3" s="1"/>
  <c r="M323" i="3" s="1"/>
  <c r="P323" i="3" s="1"/>
  <c r="H322" i="3"/>
  <c r="N322" i="3" s="1"/>
  <c r="M322" i="3" s="1"/>
  <c r="P322" i="3" s="1"/>
  <c r="H321" i="3"/>
  <c r="N321" i="3" s="1"/>
  <c r="M321" i="3" s="1"/>
  <c r="P321" i="3" s="1"/>
  <c r="H333" i="3"/>
  <c r="N333" i="3" s="1"/>
  <c r="M333" i="3" s="1"/>
  <c r="P333" i="3" s="1"/>
  <c r="M1064" i="2"/>
  <c r="G1062" i="2"/>
  <c r="K1062" i="2" s="1"/>
  <c r="M1062" i="2" s="1"/>
  <c r="S321" i="3" l="1"/>
  <c r="T321" i="3" s="1"/>
  <c r="Q321" i="3"/>
  <c r="S322" i="3"/>
  <c r="T322" i="3" s="1"/>
  <c r="Q322" i="3"/>
  <c r="S323" i="3"/>
  <c r="T323" i="3" s="1"/>
  <c r="Q323" i="3"/>
  <c r="S333" i="3"/>
  <c r="T333" i="3" s="1"/>
  <c r="Q333" i="3"/>
  <c r="S324" i="3"/>
  <c r="T324" i="3" s="1"/>
  <c r="Q324" i="3"/>
  <c r="D318" i="6"/>
  <c r="E318" i="6" s="1"/>
  <c r="D315" i="6"/>
  <c r="E315" i="6" s="1"/>
  <c r="D319" i="6"/>
  <c r="E319" i="6" s="1"/>
  <c r="D317" i="6"/>
  <c r="E317" i="6" s="1"/>
  <c r="D316" i="6"/>
  <c r="E316" i="6" s="1"/>
  <c r="G1063" i="2"/>
  <c r="K1063" i="2" s="1"/>
  <c r="M1063" i="2" s="1"/>
  <c r="G1028" i="2" l="1"/>
  <c r="G1031" i="2" s="1"/>
  <c r="G1007" i="2"/>
  <c r="G1010" i="2" s="1"/>
  <c r="L43" i="1"/>
  <c r="G43" i="1"/>
  <c r="O43" i="1" s="1"/>
  <c r="L42" i="1"/>
  <c r="G42" i="1"/>
  <c r="O42" i="1" s="1"/>
  <c r="L41" i="1"/>
  <c r="G41" i="1"/>
  <c r="L40" i="1"/>
  <c r="G40" i="1"/>
  <c r="L39" i="1"/>
  <c r="G39" i="1"/>
  <c r="O64" i="1" l="1"/>
  <c r="G1030" i="2"/>
  <c r="M1032" i="2"/>
  <c r="M1011" i="2"/>
  <c r="G1029" i="2"/>
  <c r="G1008" i="2"/>
  <c r="G1009" i="2"/>
  <c r="H42" i="1"/>
  <c r="H40" i="1"/>
  <c r="H41" i="1"/>
  <c r="H43" i="1"/>
  <c r="H39" i="1"/>
  <c r="H1162" i="2" l="1"/>
  <c r="K1162" i="2" s="1"/>
  <c r="H1161" i="2"/>
  <c r="K1161" i="2" s="1"/>
  <c r="H1215" i="2"/>
  <c r="K1215" i="2" s="1"/>
  <c r="M1215" i="2" s="1"/>
  <c r="H1163" i="2"/>
  <c r="K1163" i="2" s="1"/>
  <c r="H1216" i="2"/>
  <c r="K1216" i="2" s="1"/>
  <c r="M1216" i="2" s="1"/>
  <c r="H1242" i="2"/>
  <c r="K1242" i="2" s="1"/>
  <c r="M1242" i="2" s="1"/>
  <c r="H1241" i="2"/>
  <c r="K1241" i="2" s="1"/>
  <c r="M1241" i="2" s="1"/>
  <c r="M1161" i="2" l="1"/>
  <c r="O1161" i="2"/>
  <c r="M1162" i="2"/>
  <c r="O1162" i="2"/>
  <c r="M1163" i="2"/>
  <c r="O1163" i="2"/>
  <c r="H1028" i="2"/>
  <c r="K1028" i="2" s="1"/>
  <c r="M1028" i="2" s="1"/>
  <c r="H1029" i="2"/>
  <c r="K1029" i="2" s="1"/>
  <c r="M1029" i="2" s="1"/>
  <c r="H1009" i="2"/>
  <c r="K1009" i="2" s="1"/>
  <c r="M1009" i="2" s="1"/>
  <c r="H1007" i="2"/>
  <c r="K1007" i="2" s="1"/>
  <c r="M1007" i="2" s="1"/>
  <c r="H1008" i="2"/>
  <c r="K1008" i="2" s="1"/>
  <c r="M1008" i="2" s="1"/>
  <c r="D308" i="6" l="1"/>
  <c r="E308" i="6" s="1"/>
  <c r="D309" i="6"/>
  <c r="E309" i="6" s="1"/>
  <c r="D310" i="6"/>
  <c r="E310" i="6" s="1"/>
  <c r="C2" i="6"/>
  <c r="C357" i="6" s="1"/>
  <c r="D305" i="6" l="1"/>
  <c r="E305" i="6" s="1"/>
  <c r="D301" i="6"/>
  <c r="E301" i="6" s="1"/>
  <c r="E2" i="13"/>
  <c r="E264" i="13" s="1"/>
  <c r="D303" i="6" l="1"/>
  <c r="E303" i="6" s="1"/>
  <c r="D302" i="6"/>
  <c r="E302" i="6" s="1"/>
  <c r="D304" i="6"/>
  <c r="E304" i="6" s="1"/>
  <c r="F2" i="13"/>
  <c r="F264" i="13" s="1"/>
  <c r="H332" i="3" l="1"/>
  <c r="N332" i="3" s="1"/>
  <c r="M332" i="3" s="1"/>
  <c r="P332" i="3" s="1"/>
  <c r="S332" i="3" l="1"/>
  <c r="T332" i="3" s="1"/>
  <c r="Q332" i="3"/>
  <c r="H328" i="3"/>
  <c r="H327" i="3"/>
  <c r="H326" i="3"/>
  <c r="H325" i="3"/>
  <c r="N325" i="3" s="1"/>
  <c r="M325" i="3" s="1"/>
  <c r="P325" i="3" s="1"/>
  <c r="H331" i="3"/>
  <c r="N331" i="3" s="1"/>
  <c r="M331" i="3" s="1"/>
  <c r="P331" i="3" s="1"/>
  <c r="H330" i="3"/>
  <c r="H329" i="3"/>
  <c r="N330" i="3" l="1"/>
  <c r="M330" i="3" s="1"/>
  <c r="P330" i="3" s="1"/>
  <c r="H984" i="2" s="1"/>
  <c r="K984" i="2" s="1"/>
  <c r="M984" i="2" s="1"/>
  <c r="S331" i="3"/>
  <c r="T331" i="3" s="1"/>
  <c r="Q331" i="3"/>
  <c r="H986" i="2"/>
  <c r="K986" i="2" s="1"/>
  <c r="M986" i="2" s="1"/>
  <c r="N327" i="3"/>
  <c r="M327" i="3" s="1"/>
  <c r="P327" i="3" s="1"/>
  <c r="N329" i="3"/>
  <c r="M329" i="3" s="1"/>
  <c r="P329" i="3" s="1"/>
  <c r="H983" i="2" s="1"/>
  <c r="K983" i="2" s="1"/>
  <c r="M983" i="2" s="1"/>
  <c r="S325" i="3"/>
  <c r="T325" i="3" s="1"/>
  <c r="Q325" i="3"/>
  <c r="N326" i="3"/>
  <c r="M326" i="3" s="1"/>
  <c r="P326" i="3" s="1"/>
  <c r="H985" i="2" s="1"/>
  <c r="K985" i="2" s="1"/>
  <c r="M985" i="2" s="1"/>
  <c r="H987" i="2"/>
  <c r="K987" i="2" s="1"/>
  <c r="M987" i="2" s="1"/>
  <c r="N328" i="3"/>
  <c r="M328" i="3" s="1"/>
  <c r="P328" i="3" s="1"/>
  <c r="H1374" i="2"/>
  <c r="K1374" i="2" s="1"/>
  <c r="M1374" i="2" s="1"/>
  <c r="H1372" i="2"/>
  <c r="K1372" i="2" s="1"/>
  <c r="M1372" i="2" s="1"/>
  <c r="H1214" i="2" l="1"/>
  <c r="K1214" i="2" s="1"/>
  <c r="M1214" i="2" s="1"/>
  <c r="S326" i="3"/>
  <c r="T326" i="3" s="1"/>
  <c r="Q326" i="3"/>
  <c r="S329" i="3"/>
  <c r="T329" i="3" s="1"/>
  <c r="Q329" i="3"/>
  <c r="S327" i="3"/>
  <c r="T327" i="3" s="1"/>
  <c r="Q327" i="3"/>
  <c r="S328" i="3"/>
  <c r="T328" i="3" s="1"/>
  <c r="Q328" i="3"/>
  <c r="H1375" i="2"/>
  <c r="K1375" i="2" s="1"/>
  <c r="M1375" i="2" s="1"/>
  <c r="S330" i="3"/>
  <c r="T330" i="3" s="1"/>
  <c r="Q330" i="3"/>
  <c r="H1239" i="2"/>
  <c r="K1239" i="2" s="1"/>
  <c r="M1239" i="2" s="1"/>
  <c r="H1213" i="2"/>
  <c r="K1213" i="2" s="1"/>
  <c r="M1213" i="2" s="1"/>
  <c r="H1373" i="2"/>
  <c r="K1373" i="2" s="1"/>
  <c r="M1373" i="2" s="1"/>
  <c r="H1217" i="2"/>
  <c r="K1217" i="2" s="1"/>
  <c r="M1217" i="2" s="1"/>
  <c r="H1030" i="2"/>
  <c r="K1030" i="2" s="1"/>
  <c r="M1030" i="2" s="1"/>
  <c r="L38" i="1" l="1"/>
  <c r="G38" i="1"/>
  <c r="M960" i="2"/>
  <c r="G959" i="2"/>
  <c r="K959" i="2" s="1"/>
  <c r="M959" i="2" s="1"/>
  <c r="G958" i="2"/>
  <c r="K958" i="2" s="1"/>
  <c r="M958" i="2" s="1"/>
  <c r="G923" i="2"/>
  <c r="M926" i="2" s="1"/>
  <c r="G925" i="2" l="1"/>
  <c r="G924" i="2"/>
  <c r="H38" i="1"/>
  <c r="L37" i="1" l="1"/>
  <c r="G37" i="1"/>
  <c r="H37" i="1" l="1"/>
  <c r="G875" i="2" l="1"/>
  <c r="G876" i="2" s="1"/>
  <c r="G874" i="2"/>
  <c r="G848" i="2"/>
  <c r="G849" i="2" s="1"/>
  <c r="G847" i="2"/>
  <c r="G824" i="2"/>
  <c r="G825" i="2" s="1"/>
  <c r="G823" i="2"/>
  <c r="G822" i="2"/>
  <c r="G820" i="2"/>
  <c r="G805" i="2"/>
  <c r="G804" i="2"/>
  <c r="G787" i="2"/>
  <c r="G793" i="2" s="1"/>
  <c r="G761" i="2"/>
  <c r="G760" i="2" s="1"/>
  <c r="G734" i="2"/>
  <c r="G735" i="2" s="1"/>
  <c r="G733" i="2"/>
  <c r="G707" i="2"/>
  <c r="G708" i="2" s="1"/>
  <c r="G706" i="2"/>
  <c r="G682" i="2"/>
  <c r="G685" i="2" s="1"/>
  <c r="G662" i="2"/>
  <c r="G663" i="2" s="1"/>
  <c r="G639" i="2"/>
  <c r="G642" i="2" s="1"/>
  <c r="G618" i="2"/>
  <c r="G620" i="2" s="1"/>
  <c r="G617" i="2"/>
  <c r="G615" i="2"/>
  <c r="G587" i="2"/>
  <c r="G590" i="2" s="1"/>
  <c r="G567" i="2"/>
  <c r="G568" i="2" s="1"/>
  <c r="G566" i="2"/>
  <c r="G539" i="2"/>
  <c r="G540" i="2" s="1"/>
  <c r="G538" i="2"/>
  <c r="G515" i="2"/>
  <c r="G516" i="2" s="1"/>
  <c r="G512" i="2"/>
  <c r="G497" i="2"/>
  <c r="G496" i="2"/>
  <c r="G485" i="2"/>
  <c r="G461" i="2"/>
  <c r="G462" i="2" s="1"/>
  <c r="G435" i="2"/>
  <c r="G436" i="2" s="1"/>
  <c r="G403" i="2"/>
  <c r="G404" i="2" s="1"/>
  <c r="G344" i="2"/>
  <c r="G345" i="2" s="1"/>
  <c r="G312" i="2"/>
  <c r="G313" i="2" s="1"/>
  <c r="G280" i="2"/>
  <c r="G281" i="2" s="1"/>
  <c r="G248" i="2"/>
  <c r="G249" i="2" s="1"/>
  <c r="G216" i="2"/>
  <c r="G217" i="2" s="1"/>
  <c r="G185" i="2"/>
  <c r="G184" i="2"/>
  <c r="G183" i="2"/>
  <c r="G182" i="2"/>
  <c r="G153" i="2"/>
  <c r="G152" i="2"/>
  <c r="G69" i="2"/>
  <c r="G68" i="2"/>
  <c r="G27" i="2"/>
  <c r="G30" i="2" s="1"/>
  <c r="G789" i="2" l="1"/>
  <c r="G665" i="2"/>
  <c r="G684" i="2"/>
  <c r="G791" i="2"/>
  <c r="G794" i="2"/>
  <c r="G664" i="2"/>
  <c r="G589" i="2"/>
  <c r="G788" i="2"/>
  <c r="G764" i="2"/>
  <c r="G765" i="2" s="1"/>
  <c r="G29" i="2"/>
  <c r="G31" i="2"/>
  <c r="G619" i="2"/>
  <c r="G766" i="2"/>
  <c r="G762" i="2"/>
  <c r="G795" i="2"/>
  <c r="G33" i="2"/>
  <c r="G763" i="2"/>
  <c r="G640" i="2"/>
  <c r="G641" i="2"/>
  <c r="G460" i="2"/>
  <c r="G588" i="2"/>
  <c r="G683" i="2"/>
  <c r="G790" i="2"/>
  <c r="G28" i="2"/>
  <c r="G792" i="2"/>
  <c r="G34" i="2" l="1"/>
  <c r="G35" i="2" s="1"/>
  <c r="N28" i="2"/>
  <c r="G768" i="2"/>
  <c r="G767" i="2"/>
  <c r="L36" i="1" l="1"/>
  <c r="G36" i="1"/>
  <c r="H36" i="1" l="1"/>
  <c r="G902" i="2" l="1"/>
  <c r="G903" i="2" s="1"/>
  <c r="G901" i="2"/>
  <c r="M905" i="2" s="1"/>
  <c r="G900" i="2"/>
  <c r="M904" i="2" l="1"/>
  <c r="R3" i="3" l="1"/>
  <c r="M488" i="2"/>
  <c r="M437" i="2"/>
  <c r="M405" i="2"/>
  <c r="M373" i="2"/>
  <c r="M346" i="2"/>
  <c r="M314" i="2"/>
  <c r="M282" i="2"/>
  <c r="M250" i="2"/>
  <c r="M218" i="2"/>
  <c r="M186" i="2"/>
  <c r="M154" i="2"/>
  <c r="M122" i="2"/>
  <c r="M96" i="2"/>
  <c r="M70" i="2"/>
  <c r="D180" i="6" l="1"/>
  <c r="E180" i="6" s="1"/>
  <c r="D91" i="6"/>
  <c r="E91" i="6" s="1"/>
  <c r="D107" i="6"/>
  <c r="E107" i="6" s="1"/>
  <c r="D123" i="6"/>
  <c r="E123" i="6" s="1"/>
  <c r="D196" i="6"/>
  <c r="E196" i="6" s="1"/>
  <c r="D183" i="6"/>
  <c r="E183" i="6" s="1"/>
  <c r="D215" i="6"/>
  <c r="E215" i="6" s="1"/>
  <c r="D170" i="6"/>
  <c r="E170" i="6" s="1"/>
  <c r="D209" i="6"/>
  <c r="E209" i="6" s="1"/>
  <c r="D248" i="6"/>
  <c r="E248" i="6" s="1"/>
  <c r="D235" i="6"/>
  <c r="E235" i="6" s="1"/>
  <c r="D255" i="6"/>
  <c r="E255" i="6" s="1"/>
  <c r="D271" i="6"/>
  <c r="E271" i="6" s="1"/>
  <c r="D290" i="6"/>
  <c r="E290" i="6" s="1"/>
  <c r="D16" i="6"/>
  <c r="E16" i="6" s="1"/>
  <c r="D182" i="6"/>
  <c r="E182" i="6" s="1"/>
  <c r="D51" i="6"/>
  <c r="E51" i="6" s="1"/>
  <c r="D76" i="6"/>
  <c r="E76" i="6" s="1"/>
  <c r="D92" i="6"/>
  <c r="E92" i="6" s="1"/>
  <c r="D108" i="6"/>
  <c r="E108" i="6" s="1"/>
  <c r="D124" i="6"/>
  <c r="E124" i="6" s="1"/>
  <c r="D140" i="6"/>
  <c r="E140" i="6" s="1"/>
  <c r="D181" i="6"/>
  <c r="E181" i="6" s="1"/>
  <c r="D136" i="6"/>
  <c r="E136" i="6" s="1"/>
  <c r="D45" i="6"/>
  <c r="E45" i="6" s="1"/>
  <c r="D161" i="6"/>
  <c r="E161" i="6" s="1"/>
  <c r="D222" i="6"/>
  <c r="E222" i="6" s="1"/>
  <c r="D236" i="6"/>
  <c r="E236" i="6" s="1"/>
  <c r="D258" i="6"/>
  <c r="E258" i="6" s="1"/>
  <c r="D272" i="6"/>
  <c r="E272" i="6" s="1"/>
  <c r="D291" i="6"/>
  <c r="E291" i="6" s="1"/>
  <c r="D32" i="6"/>
  <c r="E32" i="6" s="1"/>
  <c r="D122" i="6"/>
  <c r="E122" i="6" s="1"/>
  <c r="D33" i="6"/>
  <c r="E33" i="6" s="1"/>
  <c r="D52" i="6"/>
  <c r="E52" i="6" s="1"/>
  <c r="D77" i="6"/>
  <c r="E77" i="6" s="1"/>
  <c r="D93" i="6"/>
  <c r="E93" i="6" s="1"/>
  <c r="D109" i="6"/>
  <c r="E109" i="6" s="1"/>
  <c r="D125" i="6"/>
  <c r="E125" i="6" s="1"/>
  <c r="D141" i="6"/>
  <c r="E141" i="6" s="1"/>
  <c r="D197" i="6"/>
  <c r="E197" i="6" s="1"/>
  <c r="D199" i="6"/>
  <c r="E199" i="6" s="1"/>
  <c r="D72" i="6"/>
  <c r="E72" i="6" s="1"/>
  <c r="D162" i="6"/>
  <c r="E162" i="6" s="1"/>
  <c r="D223" i="6"/>
  <c r="E223" i="6" s="1"/>
  <c r="D239" i="6"/>
  <c r="E239" i="6" s="1"/>
  <c r="D259" i="6"/>
  <c r="E259" i="6" s="1"/>
  <c r="D263" i="6"/>
  <c r="E263" i="6" s="1"/>
  <c r="D292" i="6"/>
  <c r="E292" i="6" s="1"/>
  <c r="D254" i="6"/>
  <c r="E254" i="6" s="1"/>
  <c r="D78" i="6"/>
  <c r="E78" i="6" s="1"/>
  <c r="D94" i="6"/>
  <c r="E94" i="6" s="1"/>
  <c r="D110" i="6"/>
  <c r="E110" i="6" s="1"/>
  <c r="D126" i="6"/>
  <c r="E126" i="6" s="1"/>
  <c r="D142" i="6"/>
  <c r="E142" i="6" s="1"/>
  <c r="D186" i="6"/>
  <c r="E186" i="6" s="1"/>
  <c r="D200" i="6"/>
  <c r="E200" i="6" s="1"/>
  <c r="D205" i="6"/>
  <c r="E205" i="6" s="1"/>
  <c r="D160" i="6"/>
  <c r="E160" i="6" s="1"/>
  <c r="D224" i="6"/>
  <c r="E224" i="6" s="1"/>
  <c r="D238" i="6"/>
  <c r="E238" i="6" s="1"/>
  <c r="D260" i="6"/>
  <c r="E260" i="6" s="1"/>
  <c r="D270" i="6"/>
  <c r="E270" i="6" s="1"/>
  <c r="D293" i="6"/>
  <c r="E293" i="6" s="1"/>
  <c r="D221" i="6"/>
  <c r="E221" i="6" s="1"/>
  <c r="D79" i="6"/>
  <c r="E79" i="6" s="1"/>
  <c r="D95" i="6"/>
  <c r="E95" i="6" s="1"/>
  <c r="D111" i="6"/>
  <c r="E111" i="6" s="1"/>
  <c r="D127" i="6"/>
  <c r="E127" i="6" s="1"/>
  <c r="D143" i="6"/>
  <c r="E143" i="6" s="1"/>
  <c r="D187" i="6"/>
  <c r="E187" i="6" s="1"/>
  <c r="D145" i="6"/>
  <c r="E145" i="6" s="1"/>
  <c r="D74" i="6"/>
  <c r="E74" i="6" s="1"/>
  <c r="D159" i="6"/>
  <c r="E159" i="6" s="1"/>
  <c r="D225" i="6"/>
  <c r="E225" i="6" s="1"/>
  <c r="D244" i="6"/>
  <c r="E244" i="6" s="1"/>
  <c r="D261" i="6"/>
  <c r="E261" i="6" s="1"/>
  <c r="D281" i="6"/>
  <c r="E281" i="6" s="1"/>
  <c r="D294" i="6"/>
  <c r="E294" i="6" s="1"/>
  <c r="D178" i="6"/>
  <c r="E178" i="6" s="1"/>
  <c r="D36" i="6"/>
  <c r="E36" i="6" s="1"/>
  <c r="D6" i="6"/>
  <c r="E6" i="6" s="1"/>
  <c r="D22" i="6"/>
  <c r="E22" i="6" s="1"/>
  <c r="D38" i="6"/>
  <c r="E38" i="6" s="1"/>
  <c r="D55" i="6"/>
  <c r="E55" i="6" s="1"/>
  <c r="D80" i="6"/>
  <c r="E80" i="6" s="1"/>
  <c r="D96" i="6"/>
  <c r="E96" i="6" s="1"/>
  <c r="D112" i="6"/>
  <c r="E112" i="6" s="1"/>
  <c r="D128" i="6"/>
  <c r="E128" i="6" s="1"/>
  <c r="D146" i="6"/>
  <c r="E146" i="6" s="1"/>
  <c r="D188" i="6"/>
  <c r="E188" i="6" s="1"/>
  <c r="D144" i="6"/>
  <c r="E144" i="6" s="1"/>
  <c r="D71" i="6"/>
  <c r="E71" i="6" s="1"/>
  <c r="D75" i="6"/>
  <c r="E75" i="6" s="1"/>
  <c r="D154" i="6"/>
  <c r="E154" i="6" s="1"/>
  <c r="D226" i="6"/>
  <c r="E226" i="6" s="1"/>
  <c r="D243" i="6"/>
  <c r="E243" i="6" s="1"/>
  <c r="D264" i="6"/>
  <c r="E264" i="6" s="1"/>
  <c r="D273" i="6"/>
  <c r="E273" i="6" s="1"/>
  <c r="D295" i="6"/>
  <c r="E295" i="6" s="1"/>
  <c r="D195" i="6"/>
  <c r="E195" i="6" s="1"/>
  <c r="D17" i="6"/>
  <c r="E17" i="6" s="1"/>
  <c r="D19" i="6"/>
  <c r="E19" i="6" s="1"/>
  <c r="D39" i="6"/>
  <c r="E39" i="6" s="1"/>
  <c r="D56" i="6"/>
  <c r="E56" i="6" s="1"/>
  <c r="D81" i="6"/>
  <c r="E81" i="6" s="1"/>
  <c r="D97" i="6"/>
  <c r="E97" i="6" s="1"/>
  <c r="D113" i="6"/>
  <c r="E113" i="6" s="1"/>
  <c r="D129" i="6"/>
  <c r="E129" i="6" s="1"/>
  <c r="D147" i="6"/>
  <c r="E147" i="6" s="1"/>
  <c r="D184" i="6"/>
  <c r="E184" i="6" s="1"/>
  <c r="D139" i="6"/>
  <c r="E139" i="6" s="1"/>
  <c r="D73" i="6"/>
  <c r="E73" i="6" s="1"/>
  <c r="D149" i="6"/>
  <c r="E149" i="6" s="1"/>
  <c r="D163" i="6"/>
  <c r="E163" i="6" s="1"/>
  <c r="D227" i="6"/>
  <c r="E227" i="6" s="1"/>
  <c r="D245" i="6"/>
  <c r="E245" i="6" s="1"/>
  <c r="D286" i="6"/>
  <c r="E286" i="6" s="1"/>
  <c r="D274" i="6"/>
  <c r="E274" i="6" s="1"/>
  <c r="D49" i="6"/>
  <c r="E49" i="6" s="1"/>
  <c r="D90" i="6"/>
  <c r="E90" i="6" s="1"/>
  <c r="D67" i="6"/>
  <c r="E67" i="6" s="1"/>
  <c r="D3" i="6"/>
  <c r="E3" i="6" s="1"/>
  <c r="D5" i="6"/>
  <c r="E5" i="6" s="1"/>
  <c r="D57" i="6"/>
  <c r="E57" i="6" s="1"/>
  <c r="D82" i="6"/>
  <c r="E82" i="6" s="1"/>
  <c r="D98" i="6"/>
  <c r="E98" i="6" s="1"/>
  <c r="D114" i="6"/>
  <c r="E114" i="6" s="1"/>
  <c r="D130" i="6"/>
  <c r="E130" i="6" s="1"/>
  <c r="D193" i="6"/>
  <c r="E193" i="6" s="1"/>
  <c r="D185" i="6"/>
  <c r="E185" i="6" s="1"/>
  <c r="D201" i="6"/>
  <c r="E201" i="6" s="1"/>
  <c r="D64" i="6"/>
  <c r="E64" i="6" s="1"/>
  <c r="D206" i="6"/>
  <c r="E206" i="6" s="1"/>
  <c r="D151" i="6"/>
  <c r="E151" i="6" s="1"/>
  <c r="D228" i="6"/>
  <c r="E228" i="6" s="1"/>
  <c r="D237" i="6"/>
  <c r="E237" i="6" s="1"/>
  <c r="D268" i="6"/>
  <c r="E268" i="6" s="1"/>
  <c r="D275" i="6"/>
  <c r="E275" i="6" s="1"/>
  <c r="D289" i="6"/>
  <c r="E289" i="6" s="1"/>
  <c r="D37" i="6"/>
  <c r="E37" i="6" s="1"/>
  <c r="D9" i="6"/>
  <c r="E9" i="6" s="1"/>
  <c r="D25" i="6"/>
  <c r="E25" i="6" s="1"/>
  <c r="D41" i="6"/>
  <c r="E41" i="6" s="1"/>
  <c r="D58" i="6"/>
  <c r="E58" i="6" s="1"/>
  <c r="D83" i="6"/>
  <c r="E83" i="6" s="1"/>
  <c r="D99" i="6"/>
  <c r="E99" i="6" s="1"/>
  <c r="D115" i="6"/>
  <c r="E115" i="6" s="1"/>
  <c r="D131" i="6"/>
  <c r="E131" i="6" s="1"/>
  <c r="D194" i="6"/>
  <c r="E194" i="6" s="1"/>
  <c r="D68" i="6"/>
  <c r="E68" i="6" s="1"/>
  <c r="D202" i="6"/>
  <c r="E202" i="6" s="1"/>
  <c r="D164" i="6"/>
  <c r="E164" i="6" s="1"/>
  <c r="D207" i="6"/>
  <c r="E207" i="6" s="1"/>
  <c r="D216" i="6"/>
  <c r="E216" i="6" s="1"/>
  <c r="D210" i="6"/>
  <c r="E210" i="6" s="1"/>
  <c r="D229" i="6"/>
  <c r="E229" i="6" s="1"/>
  <c r="D251" i="6"/>
  <c r="E251" i="6" s="1"/>
  <c r="D269" i="6"/>
  <c r="E269" i="6" s="1"/>
  <c r="D276" i="6"/>
  <c r="E276" i="6" s="1"/>
  <c r="D306" i="6"/>
  <c r="E306" i="6" s="1"/>
  <c r="D278" i="6"/>
  <c r="E278" i="6" s="1"/>
  <c r="D54" i="6"/>
  <c r="E54" i="6" s="1"/>
  <c r="D26" i="6"/>
  <c r="E26" i="6" s="1"/>
  <c r="D42" i="6"/>
  <c r="E42" i="6" s="1"/>
  <c r="D59" i="6"/>
  <c r="E59" i="6" s="1"/>
  <c r="D84" i="6"/>
  <c r="E84" i="6" s="1"/>
  <c r="D100" i="6"/>
  <c r="E100" i="6" s="1"/>
  <c r="D116" i="6"/>
  <c r="E116" i="6" s="1"/>
  <c r="D132" i="6"/>
  <c r="E132" i="6" s="1"/>
  <c r="D148" i="6"/>
  <c r="E148" i="6" s="1"/>
  <c r="D213" i="6"/>
  <c r="E213" i="6" s="1"/>
  <c r="D203" i="6"/>
  <c r="E203" i="6" s="1"/>
  <c r="D165" i="6"/>
  <c r="E165" i="6" s="1"/>
  <c r="D208" i="6"/>
  <c r="E208" i="6" s="1"/>
  <c r="D256" i="6"/>
  <c r="E256" i="6" s="1"/>
  <c r="D211" i="6"/>
  <c r="E211" i="6" s="1"/>
  <c r="D230" i="6"/>
  <c r="E230" i="6" s="1"/>
  <c r="D250" i="6"/>
  <c r="E250" i="6" s="1"/>
  <c r="D266" i="6"/>
  <c r="E266" i="6" s="1"/>
  <c r="D282" i="6"/>
  <c r="E282" i="6" s="1"/>
  <c r="D307" i="6"/>
  <c r="E307" i="6" s="1"/>
  <c r="D53" i="6"/>
  <c r="E53" i="6" s="1"/>
  <c r="D24" i="6"/>
  <c r="E24" i="6" s="1"/>
  <c r="D27" i="6"/>
  <c r="E27" i="6" s="1"/>
  <c r="D43" i="6"/>
  <c r="E43" i="6" s="1"/>
  <c r="D60" i="6"/>
  <c r="E60" i="6" s="1"/>
  <c r="D85" i="6"/>
  <c r="E85" i="6" s="1"/>
  <c r="D101" i="6"/>
  <c r="E101" i="6" s="1"/>
  <c r="D117" i="6"/>
  <c r="E117" i="6" s="1"/>
  <c r="D133" i="6"/>
  <c r="E133" i="6" s="1"/>
  <c r="D240" i="6"/>
  <c r="E240" i="6" s="1"/>
  <c r="D214" i="6"/>
  <c r="E214" i="6" s="1"/>
  <c r="D204" i="6"/>
  <c r="E204" i="6" s="1"/>
  <c r="D166" i="6"/>
  <c r="E166" i="6" s="1"/>
  <c r="D189" i="6"/>
  <c r="E189" i="6" s="1"/>
  <c r="D257" i="6"/>
  <c r="E257" i="6" s="1"/>
  <c r="D212" i="6"/>
  <c r="E212" i="6" s="1"/>
  <c r="D231" i="6"/>
  <c r="E231" i="6" s="1"/>
  <c r="D246" i="6"/>
  <c r="E246" i="6" s="1"/>
  <c r="D267" i="6"/>
  <c r="E267" i="6" s="1"/>
  <c r="D283" i="6"/>
  <c r="E283" i="6" s="1"/>
  <c r="D298" i="6"/>
  <c r="E298" i="6" s="1"/>
  <c r="D242" i="6"/>
  <c r="E242" i="6" s="1"/>
  <c r="D35" i="6"/>
  <c r="E35" i="6" s="1"/>
  <c r="D23" i="6"/>
  <c r="E23" i="6" s="1"/>
  <c r="D28" i="6"/>
  <c r="E28" i="6" s="1"/>
  <c r="D44" i="6"/>
  <c r="E44" i="6" s="1"/>
  <c r="D61" i="6"/>
  <c r="E61" i="6" s="1"/>
  <c r="D86" i="6"/>
  <c r="E86" i="6" s="1"/>
  <c r="D102" i="6"/>
  <c r="E102" i="6" s="1"/>
  <c r="D118" i="6"/>
  <c r="E118" i="6" s="1"/>
  <c r="D134" i="6"/>
  <c r="E134" i="6" s="1"/>
  <c r="D156" i="6"/>
  <c r="E156" i="6" s="1"/>
  <c r="D174" i="6"/>
  <c r="E174" i="6" s="1"/>
  <c r="D152" i="6"/>
  <c r="E152" i="6" s="1"/>
  <c r="D168" i="6"/>
  <c r="E168" i="6" s="1"/>
  <c r="D190" i="6"/>
  <c r="E190" i="6" s="1"/>
  <c r="D280" i="6"/>
  <c r="E280" i="6" s="1"/>
  <c r="D217" i="6"/>
  <c r="E217" i="6" s="1"/>
  <c r="D232" i="6"/>
  <c r="E232" i="6" s="1"/>
  <c r="D249" i="6"/>
  <c r="E249" i="6" s="1"/>
  <c r="D265" i="6"/>
  <c r="E265" i="6" s="1"/>
  <c r="D284" i="6"/>
  <c r="E284" i="6" s="1"/>
  <c r="D299" i="6"/>
  <c r="E299" i="6" s="1"/>
  <c r="D66" i="6"/>
  <c r="E66" i="6" s="1"/>
  <c r="D70" i="6"/>
  <c r="E70" i="6" s="1"/>
  <c r="D34" i="6"/>
  <c r="E34" i="6" s="1"/>
  <c r="D21" i="6"/>
  <c r="E21" i="6" s="1"/>
  <c r="D8" i="6"/>
  <c r="E8" i="6" s="1"/>
  <c r="D11" i="6"/>
  <c r="E11" i="6" s="1"/>
  <c r="D13" i="6"/>
  <c r="E13" i="6" s="1"/>
  <c r="D29" i="6"/>
  <c r="E29" i="6" s="1"/>
  <c r="D46" i="6"/>
  <c r="E46" i="6" s="1"/>
  <c r="D62" i="6"/>
  <c r="E62" i="6" s="1"/>
  <c r="D87" i="6"/>
  <c r="E87" i="6" s="1"/>
  <c r="D103" i="6"/>
  <c r="E103" i="6" s="1"/>
  <c r="D119" i="6"/>
  <c r="E119" i="6" s="1"/>
  <c r="D135" i="6"/>
  <c r="E135" i="6" s="1"/>
  <c r="D157" i="6"/>
  <c r="E157" i="6" s="1"/>
  <c r="D173" i="6"/>
  <c r="E173" i="6" s="1"/>
  <c r="D153" i="6"/>
  <c r="E153" i="6" s="1"/>
  <c r="D167" i="6"/>
  <c r="E167" i="6" s="1"/>
  <c r="D191" i="6"/>
  <c r="E191" i="6" s="1"/>
  <c r="D175" i="6"/>
  <c r="E175" i="6" s="1"/>
  <c r="D218" i="6"/>
  <c r="E218" i="6" s="1"/>
  <c r="D233" i="6"/>
  <c r="E233" i="6" s="1"/>
  <c r="D247" i="6"/>
  <c r="E247" i="6" s="1"/>
  <c r="D262" i="6"/>
  <c r="E262" i="6" s="1"/>
  <c r="D285" i="6"/>
  <c r="E285" i="6" s="1"/>
  <c r="D297" i="6"/>
  <c r="E297" i="6" s="1"/>
  <c r="D106" i="6"/>
  <c r="E106" i="6" s="1"/>
  <c r="D50" i="6"/>
  <c r="E50" i="6" s="1"/>
  <c r="D20" i="6"/>
  <c r="E20" i="6" s="1"/>
  <c r="D7" i="6"/>
  <c r="E7" i="6" s="1"/>
  <c r="D10" i="6"/>
  <c r="E10" i="6" s="1"/>
  <c r="D14" i="6"/>
  <c r="E14" i="6" s="1"/>
  <c r="D47" i="6"/>
  <c r="E47" i="6" s="1"/>
  <c r="D63" i="6"/>
  <c r="E63" i="6" s="1"/>
  <c r="D88" i="6"/>
  <c r="E88" i="6" s="1"/>
  <c r="D104" i="6"/>
  <c r="E104" i="6" s="1"/>
  <c r="D120" i="6"/>
  <c r="E120" i="6" s="1"/>
  <c r="D137" i="6"/>
  <c r="E137" i="6" s="1"/>
  <c r="D158" i="6"/>
  <c r="E158" i="6" s="1"/>
  <c r="D155" i="6"/>
  <c r="E155" i="6" s="1"/>
  <c r="D150" i="6"/>
  <c r="E150" i="6" s="1"/>
  <c r="D171" i="6"/>
  <c r="E171" i="6" s="1"/>
  <c r="D192" i="6"/>
  <c r="E192" i="6" s="1"/>
  <c r="D176" i="6"/>
  <c r="E176" i="6" s="1"/>
  <c r="D219" i="6"/>
  <c r="E219" i="6" s="1"/>
  <c r="D234" i="6"/>
  <c r="E234" i="6" s="1"/>
  <c r="D252" i="6"/>
  <c r="E252" i="6" s="1"/>
  <c r="D279" i="6"/>
  <c r="E279" i="6" s="1"/>
  <c r="D287" i="6"/>
  <c r="E287" i="6" s="1"/>
  <c r="D169" i="6"/>
  <c r="E169" i="6" s="1"/>
  <c r="D18" i="6"/>
  <c r="E18" i="6" s="1"/>
  <c r="D4" i="6"/>
  <c r="E4" i="6" s="1"/>
  <c r="D40" i="6"/>
  <c r="E40" i="6" s="1"/>
  <c r="D12" i="6"/>
  <c r="E12" i="6" s="1"/>
  <c r="D30" i="6"/>
  <c r="E30" i="6" s="1"/>
  <c r="D15" i="6"/>
  <c r="E15" i="6" s="1"/>
  <c r="D31" i="6"/>
  <c r="E31" i="6" s="1"/>
  <c r="D48" i="6"/>
  <c r="E48" i="6" s="1"/>
  <c r="D65" i="6"/>
  <c r="E65" i="6" s="1"/>
  <c r="D89" i="6"/>
  <c r="E89" i="6" s="1"/>
  <c r="D105" i="6"/>
  <c r="E105" i="6" s="1"/>
  <c r="D121" i="6"/>
  <c r="E121" i="6" s="1"/>
  <c r="D138" i="6"/>
  <c r="E138" i="6" s="1"/>
  <c r="D179" i="6"/>
  <c r="E179" i="6" s="1"/>
  <c r="D198" i="6"/>
  <c r="E198" i="6" s="1"/>
  <c r="D69" i="6"/>
  <c r="E69" i="6" s="1"/>
  <c r="D172" i="6"/>
  <c r="E172" i="6" s="1"/>
  <c r="D177" i="6"/>
  <c r="E177" i="6" s="1"/>
  <c r="D220" i="6"/>
  <c r="E220" i="6" s="1"/>
  <c r="D241" i="6"/>
  <c r="E241" i="6" s="1"/>
  <c r="D253" i="6"/>
  <c r="E253" i="6" s="1"/>
  <c r="D277" i="6"/>
  <c r="E277" i="6" s="1"/>
  <c r="D288" i="6"/>
  <c r="E288" i="6" s="1"/>
  <c r="D296" i="6"/>
  <c r="E296" i="6" s="1"/>
  <c r="R382" i="3"/>
  <c r="D2" i="6"/>
  <c r="D300" i="6"/>
  <c r="E300" i="6" s="1"/>
  <c r="H16" i="3"/>
  <c r="N16" i="3" s="1"/>
  <c r="M16" i="3" s="1"/>
  <c r="P16" i="3" s="1"/>
  <c r="H45" i="3"/>
  <c r="N45" i="3" s="1"/>
  <c r="M45" i="3" s="1"/>
  <c r="P45" i="3" s="1"/>
  <c r="H54" i="3"/>
  <c r="N54" i="3" s="1"/>
  <c r="M54" i="3" s="1"/>
  <c r="P54" i="3" s="1"/>
  <c r="H130" i="3"/>
  <c r="N130" i="3" s="1"/>
  <c r="M130" i="3" s="1"/>
  <c r="P130" i="3" s="1"/>
  <c r="H131" i="3"/>
  <c r="N131" i="3" s="1"/>
  <c r="M131" i="3" s="1"/>
  <c r="P131" i="3" s="1"/>
  <c r="H132" i="3"/>
  <c r="N132" i="3" s="1"/>
  <c r="M132" i="3" s="1"/>
  <c r="P132" i="3" s="1"/>
  <c r="H155" i="3"/>
  <c r="N155" i="3" s="1"/>
  <c r="M155" i="3" s="1"/>
  <c r="P155" i="3" s="1"/>
  <c r="H156" i="3"/>
  <c r="N156" i="3" s="1"/>
  <c r="M156" i="3" s="1"/>
  <c r="P156" i="3" s="1"/>
  <c r="H161" i="3"/>
  <c r="N161" i="3" s="1"/>
  <c r="M161" i="3" s="1"/>
  <c r="P161" i="3" s="1"/>
  <c r="H162" i="3"/>
  <c r="N162" i="3" s="1"/>
  <c r="M162" i="3" s="1"/>
  <c r="P162" i="3" s="1"/>
  <c r="H168" i="3"/>
  <c r="N168" i="3" s="1"/>
  <c r="M168" i="3" s="1"/>
  <c r="P168" i="3" s="1"/>
  <c r="H169" i="3"/>
  <c r="N169" i="3" s="1"/>
  <c r="M169" i="3" s="1"/>
  <c r="P169" i="3" s="1"/>
  <c r="H170" i="3"/>
  <c r="N170" i="3" s="1"/>
  <c r="M170" i="3" s="1"/>
  <c r="P170" i="3" s="1"/>
  <c r="H172" i="3"/>
  <c r="N172" i="3" s="1"/>
  <c r="M172" i="3" s="1"/>
  <c r="P172" i="3" s="1"/>
  <c r="H174" i="3"/>
  <c r="N174" i="3" s="1"/>
  <c r="M174" i="3" s="1"/>
  <c r="P174" i="3" s="1"/>
  <c r="H186" i="3"/>
  <c r="N186" i="3" s="1"/>
  <c r="M186" i="3" s="1"/>
  <c r="P186" i="3" s="1"/>
  <c r="H189" i="3"/>
  <c r="N189" i="3" s="1"/>
  <c r="M189" i="3" s="1"/>
  <c r="P189" i="3" s="1"/>
  <c r="H190" i="3"/>
  <c r="N190" i="3" s="1"/>
  <c r="M190" i="3" s="1"/>
  <c r="P190" i="3" s="1"/>
  <c r="H210" i="3"/>
  <c r="N210" i="3" s="1"/>
  <c r="M210" i="3" s="1"/>
  <c r="P210" i="3" s="1"/>
  <c r="H215" i="3"/>
  <c r="N215" i="3" s="1"/>
  <c r="M215" i="3" s="1"/>
  <c r="P215" i="3" s="1"/>
  <c r="H219" i="3"/>
  <c r="N219" i="3" s="1"/>
  <c r="M219" i="3" s="1"/>
  <c r="P219" i="3" s="1"/>
  <c r="H224" i="3"/>
  <c r="N224" i="3" s="1"/>
  <c r="M224" i="3" s="1"/>
  <c r="P224" i="3" s="1"/>
  <c r="H237" i="3"/>
  <c r="N237" i="3" s="1"/>
  <c r="M237" i="3" s="1"/>
  <c r="P237" i="3" s="1"/>
  <c r="H240" i="3"/>
  <c r="N240" i="3" s="1"/>
  <c r="M240" i="3" s="1"/>
  <c r="P240" i="3" s="1"/>
  <c r="H241" i="3"/>
  <c r="N241" i="3" s="1"/>
  <c r="M241" i="3" s="1"/>
  <c r="P241" i="3" s="1"/>
  <c r="H242" i="3"/>
  <c r="N242" i="3" s="1"/>
  <c r="M242" i="3" s="1"/>
  <c r="P242" i="3" s="1"/>
  <c r="H243" i="3"/>
  <c r="N243" i="3" s="1"/>
  <c r="M243" i="3" s="1"/>
  <c r="P243" i="3" s="1"/>
  <c r="H244" i="3"/>
  <c r="N244" i="3" s="1"/>
  <c r="M244" i="3" s="1"/>
  <c r="P244" i="3" s="1"/>
  <c r="H245" i="3"/>
  <c r="N245" i="3" s="1"/>
  <c r="M245" i="3" s="1"/>
  <c r="P245" i="3" s="1"/>
  <c r="H246" i="3"/>
  <c r="N246" i="3" s="1"/>
  <c r="M246" i="3" s="1"/>
  <c r="P246" i="3" s="1"/>
  <c r="H262" i="3"/>
  <c r="N262" i="3" s="1"/>
  <c r="M262" i="3" s="1"/>
  <c r="P262" i="3" s="1"/>
  <c r="H263" i="3"/>
  <c r="N263" i="3" s="1"/>
  <c r="M263" i="3" s="1"/>
  <c r="P263" i="3" s="1"/>
  <c r="H264" i="3"/>
  <c r="N264" i="3" s="1"/>
  <c r="M264" i="3" s="1"/>
  <c r="P264" i="3" s="1"/>
  <c r="H269" i="3"/>
  <c r="N269" i="3" s="1"/>
  <c r="M269" i="3" s="1"/>
  <c r="P269" i="3" s="1"/>
  <c r="H273" i="3"/>
  <c r="N273" i="3" s="1"/>
  <c r="M273" i="3" s="1"/>
  <c r="P273" i="3" s="1"/>
  <c r="H274" i="3"/>
  <c r="N274" i="3" s="1"/>
  <c r="M274" i="3" s="1"/>
  <c r="P274" i="3" s="1"/>
  <c r="H283" i="3"/>
  <c r="N283" i="3" s="1"/>
  <c r="M283" i="3" s="1"/>
  <c r="P283" i="3" s="1"/>
  <c r="H284" i="3"/>
  <c r="N284" i="3" s="1"/>
  <c r="M284" i="3" s="1"/>
  <c r="P284" i="3" s="1"/>
  <c r="H288" i="3"/>
  <c r="N288" i="3" s="1"/>
  <c r="M288" i="3" s="1"/>
  <c r="P288" i="3" s="1"/>
  <c r="S269" i="3" l="1"/>
  <c r="T269" i="3" s="1"/>
  <c r="Q269" i="3"/>
  <c r="S190" i="3"/>
  <c r="T190" i="3" s="1"/>
  <c r="Q190" i="3"/>
  <c r="S45" i="3"/>
  <c r="T45" i="3" s="1"/>
  <c r="Q45" i="3"/>
  <c r="S169" i="3"/>
  <c r="T169" i="3" s="1"/>
  <c r="Q169" i="3"/>
  <c r="S172" i="3"/>
  <c r="T172" i="3" s="1"/>
  <c r="Q172" i="3"/>
  <c r="S170" i="3"/>
  <c r="T170" i="3" s="1"/>
  <c r="Q170" i="3"/>
  <c r="S262" i="3"/>
  <c r="T262" i="3" s="1"/>
  <c r="Q262" i="3"/>
  <c r="S241" i="3"/>
  <c r="T241" i="3" s="1"/>
  <c r="Q241" i="3"/>
  <c r="S189" i="3"/>
  <c r="T189" i="3" s="1"/>
  <c r="Q189" i="3"/>
  <c r="S162" i="3"/>
  <c r="T162" i="3" s="1"/>
  <c r="Q162" i="3"/>
  <c r="S16" i="3"/>
  <c r="T16" i="3" s="1"/>
  <c r="Q16" i="3"/>
  <c r="S263" i="3"/>
  <c r="T263" i="3" s="1"/>
  <c r="Q263" i="3"/>
  <c r="S244" i="3"/>
  <c r="T244" i="3" s="1"/>
  <c r="Q244" i="3"/>
  <c r="S242" i="3"/>
  <c r="T242" i="3" s="1"/>
  <c r="Q242" i="3"/>
  <c r="S243" i="3"/>
  <c r="T243" i="3" s="1"/>
  <c r="Q243" i="3"/>
  <c r="S161" i="3"/>
  <c r="T161" i="3" s="1"/>
  <c r="Q161" i="3"/>
  <c r="S237" i="3"/>
  <c r="T237" i="3" s="1"/>
  <c r="Q237" i="3"/>
  <c r="S132" i="3"/>
  <c r="T132" i="3" s="1"/>
  <c r="Q132" i="3"/>
  <c r="S186" i="3"/>
  <c r="T186" i="3" s="1"/>
  <c r="Q186" i="3"/>
  <c r="S168" i="3"/>
  <c r="T168" i="3" s="1"/>
  <c r="Q168" i="3"/>
  <c r="S156" i="3"/>
  <c r="T156" i="3" s="1"/>
  <c r="Q156" i="3"/>
  <c r="S155" i="3"/>
  <c r="T155" i="3" s="1"/>
  <c r="Q155" i="3"/>
  <c r="S284" i="3"/>
  <c r="T284" i="3" s="1"/>
  <c r="Q284" i="3"/>
  <c r="S224" i="3"/>
  <c r="T224" i="3" s="1"/>
  <c r="Q224" i="3"/>
  <c r="S283" i="3"/>
  <c r="T283" i="3" s="1"/>
  <c r="Q283" i="3"/>
  <c r="S219" i="3"/>
  <c r="T219" i="3" s="1"/>
  <c r="Q219" i="3"/>
  <c r="S131" i="3"/>
  <c r="T131" i="3" s="1"/>
  <c r="Q131" i="3"/>
  <c r="S264" i="3"/>
  <c r="T264" i="3" s="1"/>
  <c r="Q264" i="3"/>
  <c r="S240" i="3"/>
  <c r="T240" i="3" s="1"/>
  <c r="Q240" i="3"/>
  <c r="S288" i="3"/>
  <c r="T288" i="3" s="1"/>
  <c r="Q288" i="3"/>
  <c r="S274" i="3"/>
  <c r="T274" i="3" s="1"/>
  <c r="Q274" i="3"/>
  <c r="S215" i="3"/>
  <c r="T215" i="3" s="1"/>
  <c r="Q215" i="3"/>
  <c r="S130" i="3"/>
  <c r="T130" i="3" s="1"/>
  <c r="Q130" i="3"/>
  <c r="S174" i="3"/>
  <c r="T174" i="3" s="1"/>
  <c r="Q174" i="3"/>
  <c r="S246" i="3"/>
  <c r="T246" i="3" s="1"/>
  <c r="Q246" i="3"/>
  <c r="S245" i="3"/>
  <c r="T245" i="3" s="1"/>
  <c r="Q245" i="3"/>
  <c r="S273" i="3"/>
  <c r="T273" i="3" s="1"/>
  <c r="Q273" i="3"/>
  <c r="S210" i="3"/>
  <c r="T210" i="3" s="1"/>
  <c r="Q210" i="3"/>
  <c r="S54" i="3"/>
  <c r="T54" i="3" s="1"/>
  <c r="Q54" i="3"/>
  <c r="D357" i="6"/>
  <c r="H1429" i="2"/>
  <c r="K1429" i="2" s="1"/>
  <c r="M1429" i="2" s="1"/>
  <c r="E2" i="6"/>
  <c r="E356" i="6" s="1"/>
  <c r="K487" i="2"/>
  <c r="M487" i="2" s="1"/>
  <c r="H1149" i="2" l="1"/>
  <c r="K1149" i="2" s="1"/>
  <c r="M1149" i="2" s="1"/>
  <c r="H1283" i="2"/>
  <c r="K1283" i="2" s="1"/>
  <c r="M1283" i="2" s="1"/>
  <c r="H1153" i="2"/>
  <c r="K1153" i="2" s="1"/>
  <c r="M1153" i="2" s="1"/>
  <c r="H1287" i="2"/>
  <c r="K1287" i="2" s="1"/>
  <c r="M1287" i="2" s="1"/>
  <c r="H998" i="2"/>
  <c r="K998" i="2" s="1"/>
  <c r="M998" i="2" s="1"/>
  <c r="H682" i="2"/>
  <c r="H902" i="2"/>
  <c r="K902" i="2" s="1"/>
  <c r="M902" i="2" s="1"/>
  <c r="H893" i="2"/>
  <c r="K893" i="2" s="1"/>
  <c r="M893" i="2" s="1"/>
  <c r="H359" i="2"/>
  <c r="H889" i="2"/>
  <c r="K889" i="2" s="1"/>
  <c r="M889" i="2" s="1"/>
  <c r="H386" i="2"/>
  <c r="H673" i="2"/>
  <c r="H901" i="2"/>
  <c r="K901" i="2" s="1"/>
  <c r="M901" i="2" s="1"/>
  <c r="H683" i="2"/>
  <c r="O1153" i="2" l="1"/>
  <c r="O1149" i="2"/>
  <c r="L35" i="1"/>
  <c r="G35" i="1"/>
  <c r="L34" i="1"/>
  <c r="G34" i="1"/>
  <c r="L33" i="1"/>
  <c r="G33" i="1"/>
  <c r="M877" i="2" l="1"/>
  <c r="M850" i="2"/>
  <c r="M826" i="2"/>
  <c r="M827" i="2"/>
  <c r="H33" i="1"/>
  <c r="H35" i="1"/>
  <c r="H34" i="1"/>
  <c r="H319" i="3" l="1"/>
  <c r="N319" i="3" s="1"/>
  <c r="M319" i="3" s="1"/>
  <c r="P319" i="3" s="1"/>
  <c r="S319" i="3" l="1"/>
  <c r="T319" i="3" s="1"/>
  <c r="Q319" i="3"/>
  <c r="H1516" i="2"/>
  <c r="K1516" i="2" s="1"/>
  <c r="M1516" i="2" s="1"/>
  <c r="H1181" i="2"/>
  <c r="K1181" i="2" s="1"/>
  <c r="M1181" i="2" s="1"/>
  <c r="L32" i="1" l="1"/>
  <c r="G32" i="1"/>
  <c r="M796" i="2" l="1"/>
  <c r="H32" i="1"/>
  <c r="K794" i="2"/>
  <c r="M794" i="2" s="1"/>
  <c r="K795" i="2"/>
  <c r="M795" i="2" s="1"/>
  <c r="H317" i="3" l="1"/>
  <c r="N317" i="3" s="1"/>
  <c r="M317" i="3" s="1"/>
  <c r="P317" i="3" s="1"/>
  <c r="H316" i="3"/>
  <c r="N316" i="3" s="1"/>
  <c r="M316" i="3" s="1"/>
  <c r="P316" i="3" s="1"/>
  <c r="H315" i="3"/>
  <c r="N315" i="3" s="1"/>
  <c r="M315" i="3" s="1"/>
  <c r="P315" i="3" s="1"/>
  <c r="H314" i="3"/>
  <c r="N314" i="3" s="1"/>
  <c r="M314" i="3" s="1"/>
  <c r="P314" i="3" s="1"/>
  <c r="H313" i="3"/>
  <c r="N313" i="3" s="1"/>
  <c r="M313" i="3" s="1"/>
  <c r="P313" i="3" s="1"/>
  <c r="H312" i="3"/>
  <c r="N312" i="3" s="1"/>
  <c r="M312" i="3" s="1"/>
  <c r="P312" i="3" s="1"/>
  <c r="S312" i="3" l="1"/>
  <c r="T312" i="3" s="1"/>
  <c r="Q312" i="3"/>
  <c r="S315" i="3"/>
  <c r="T315" i="3" s="1"/>
  <c r="Q315" i="3"/>
  <c r="S313" i="3"/>
  <c r="T313" i="3" s="1"/>
  <c r="Q313" i="3"/>
  <c r="S314" i="3"/>
  <c r="T314" i="3" s="1"/>
  <c r="Q314" i="3"/>
  <c r="S316" i="3"/>
  <c r="T316" i="3" s="1"/>
  <c r="Q316" i="3"/>
  <c r="S317" i="3"/>
  <c r="T317" i="3" s="1"/>
  <c r="Q317" i="3"/>
  <c r="H318" i="3"/>
  <c r="N318" i="3" s="1"/>
  <c r="M318" i="3" s="1"/>
  <c r="P318" i="3" s="1"/>
  <c r="H320" i="3"/>
  <c r="N320" i="3" s="1"/>
  <c r="M320" i="3" s="1"/>
  <c r="P320" i="3" s="1"/>
  <c r="H311" i="3"/>
  <c r="N311" i="3" s="1"/>
  <c r="M311" i="3" s="1"/>
  <c r="P311" i="3" s="1"/>
  <c r="H310" i="3"/>
  <c r="N310" i="3" s="1"/>
  <c r="M310" i="3" s="1"/>
  <c r="P310" i="3" s="1"/>
  <c r="H309" i="3"/>
  <c r="N309" i="3" s="1"/>
  <c r="M309" i="3" s="1"/>
  <c r="P309" i="3" s="1"/>
  <c r="H308" i="3"/>
  <c r="H307" i="3"/>
  <c r="N307" i="3" s="1"/>
  <c r="M307" i="3" s="1"/>
  <c r="P307" i="3" s="1"/>
  <c r="H306" i="3"/>
  <c r="N306" i="3" s="1"/>
  <c r="M306" i="3" s="1"/>
  <c r="P306" i="3" s="1"/>
  <c r="H305" i="3"/>
  <c r="N305" i="3" s="1"/>
  <c r="M305" i="3" s="1"/>
  <c r="P305" i="3" s="1"/>
  <c r="H304" i="3"/>
  <c r="N304" i="3" s="1"/>
  <c r="M304" i="3" s="1"/>
  <c r="P304" i="3" s="1"/>
  <c r="H303" i="3"/>
  <c r="N303" i="3" s="1"/>
  <c r="M303" i="3" s="1"/>
  <c r="P303" i="3" s="1"/>
  <c r="H302" i="3"/>
  <c r="N302" i="3" s="1"/>
  <c r="M302" i="3" s="1"/>
  <c r="P302" i="3" s="1"/>
  <c r="H301" i="3"/>
  <c r="N301" i="3" s="1"/>
  <c r="M301" i="3" s="1"/>
  <c r="P301" i="3" s="1"/>
  <c r="H300" i="3"/>
  <c r="N300" i="3" s="1"/>
  <c r="M300" i="3" s="1"/>
  <c r="P300" i="3" s="1"/>
  <c r="H299" i="3"/>
  <c r="N299" i="3" s="1"/>
  <c r="M299" i="3" s="1"/>
  <c r="P299" i="3" s="1"/>
  <c r="S311" i="3" l="1"/>
  <c r="T311" i="3" s="1"/>
  <c r="Q311" i="3"/>
  <c r="S320" i="3"/>
  <c r="T320" i="3" s="1"/>
  <c r="Q320" i="3"/>
  <c r="S303" i="3"/>
  <c r="T303" i="3" s="1"/>
  <c r="Q303" i="3"/>
  <c r="S300" i="3"/>
  <c r="T300" i="3" s="1"/>
  <c r="Q300" i="3"/>
  <c r="S304" i="3"/>
  <c r="T304" i="3" s="1"/>
  <c r="Q304" i="3"/>
  <c r="S310" i="3"/>
  <c r="T310" i="3" s="1"/>
  <c r="Q310" i="3"/>
  <c r="S299" i="3"/>
  <c r="T299" i="3" s="1"/>
  <c r="Q299" i="3"/>
  <c r="S301" i="3"/>
  <c r="T301" i="3" s="1"/>
  <c r="Q301" i="3"/>
  <c r="S302" i="3"/>
  <c r="T302" i="3" s="1"/>
  <c r="Q302" i="3"/>
  <c r="S306" i="3"/>
  <c r="T306" i="3" s="1"/>
  <c r="Q306" i="3"/>
  <c r="S318" i="3"/>
  <c r="T318" i="3" s="1"/>
  <c r="Q318" i="3"/>
  <c r="S305" i="3"/>
  <c r="T305" i="3" s="1"/>
  <c r="Q305" i="3"/>
  <c r="S307" i="3"/>
  <c r="T307" i="3" s="1"/>
  <c r="Q307" i="3"/>
  <c r="N308" i="3"/>
  <c r="M308" i="3" s="1"/>
  <c r="P308" i="3" s="1"/>
  <c r="H398" i="2" s="1"/>
  <c r="S309" i="3"/>
  <c r="T309" i="3" s="1"/>
  <c r="Q309" i="3"/>
  <c r="H1233" i="2"/>
  <c r="K1233" i="2" s="1"/>
  <c r="M1233" i="2" s="1"/>
  <c r="H1207" i="2"/>
  <c r="K1207" i="2" s="1"/>
  <c r="M1207" i="2" s="1"/>
  <c r="H1237" i="2"/>
  <c r="K1237" i="2" s="1"/>
  <c r="M1237" i="2" s="1"/>
  <c r="H1211" i="2"/>
  <c r="K1211" i="2" s="1"/>
  <c r="M1211" i="2" s="1"/>
  <c r="H1212" i="2"/>
  <c r="K1212" i="2" s="1"/>
  <c r="M1212" i="2" s="1"/>
  <c r="H1238" i="2"/>
  <c r="K1238" i="2" s="1"/>
  <c r="M1238" i="2" s="1"/>
  <c r="H922" i="2"/>
  <c r="K922" i="2" s="1"/>
  <c r="M922" i="2" s="1"/>
  <c r="H921" i="2"/>
  <c r="K921" i="2" s="1"/>
  <c r="M921" i="2" s="1"/>
  <c r="H917" i="2"/>
  <c r="K917" i="2" s="1"/>
  <c r="M917" i="2" s="1"/>
  <c r="H33" i="2"/>
  <c r="H923" i="2"/>
  <c r="K923" i="2" s="1"/>
  <c r="M923" i="2" s="1"/>
  <c r="H924" i="2"/>
  <c r="K924" i="2" s="1"/>
  <c r="H790" i="2"/>
  <c r="K790" i="2" s="1"/>
  <c r="M790" i="2" s="1"/>
  <c r="H791" i="2"/>
  <c r="K791" i="2" s="1"/>
  <c r="M791" i="2" s="1"/>
  <c r="H787" i="2"/>
  <c r="K787" i="2" s="1"/>
  <c r="M787" i="2" s="1"/>
  <c r="H1441" i="2" l="1"/>
  <c r="K1441" i="2" s="1"/>
  <c r="M1441" i="2" s="1"/>
  <c r="S308" i="3"/>
  <c r="T308" i="3" s="1"/>
  <c r="Q308" i="3"/>
  <c r="M924" i="2"/>
  <c r="M769" i="2"/>
  <c r="H781" i="2"/>
  <c r="K781" i="2" s="1"/>
  <c r="M781" i="2" s="1"/>
  <c r="H785" i="2"/>
  <c r="K785" i="2" s="1"/>
  <c r="M785" i="2" s="1"/>
  <c r="H789" i="2"/>
  <c r="K789" i="2" s="1"/>
  <c r="M789" i="2" s="1"/>
  <c r="H786" i="2"/>
  <c r="K786" i="2" s="1"/>
  <c r="M786" i="2" s="1"/>
  <c r="L31" i="1"/>
  <c r="G31" i="1"/>
  <c r="L30" i="1"/>
  <c r="G30" i="1"/>
  <c r="L29" i="1"/>
  <c r="G29" i="1"/>
  <c r="M736" i="2" l="1"/>
  <c r="M709" i="2"/>
  <c r="H31" i="1"/>
  <c r="K768" i="2"/>
  <c r="M768" i="2" s="1"/>
  <c r="K767" i="2"/>
  <c r="M767" i="2" s="1"/>
  <c r="H30" i="1"/>
  <c r="H29" i="1"/>
  <c r="M36" i="2" l="1"/>
  <c r="H221" i="3" l="1"/>
  <c r="N221" i="3" s="1"/>
  <c r="M221" i="3" s="1"/>
  <c r="P221" i="3" s="1"/>
  <c r="H220" i="3"/>
  <c r="N220" i="3" s="1"/>
  <c r="M220" i="3" s="1"/>
  <c r="P220" i="3" s="1"/>
  <c r="S220" i="3" l="1"/>
  <c r="T220" i="3" s="1"/>
  <c r="Q220" i="3"/>
  <c r="S221" i="3"/>
  <c r="T221" i="3" s="1"/>
  <c r="Q221" i="3"/>
  <c r="H298" i="3"/>
  <c r="N298" i="3" s="1"/>
  <c r="M298" i="3" s="1"/>
  <c r="P298" i="3" s="1"/>
  <c r="H297" i="3"/>
  <c r="N297" i="3" s="1"/>
  <c r="M297" i="3" s="1"/>
  <c r="P297" i="3" s="1"/>
  <c r="H296" i="3"/>
  <c r="N296" i="3" s="1"/>
  <c r="M296" i="3" s="1"/>
  <c r="P296" i="3" s="1"/>
  <c r="H295" i="3"/>
  <c r="N295" i="3" s="1"/>
  <c r="M295" i="3" s="1"/>
  <c r="P295" i="3" s="1"/>
  <c r="H294" i="3"/>
  <c r="N294" i="3" s="1"/>
  <c r="M294" i="3" s="1"/>
  <c r="P294" i="3" s="1"/>
  <c r="H293" i="3"/>
  <c r="N293" i="3" s="1"/>
  <c r="M293" i="3" s="1"/>
  <c r="P293" i="3" s="1"/>
  <c r="H292" i="3"/>
  <c r="N292" i="3" s="1"/>
  <c r="M292" i="3" s="1"/>
  <c r="P292" i="3" s="1"/>
  <c r="H291" i="3"/>
  <c r="N291" i="3" s="1"/>
  <c r="M291" i="3" s="1"/>
  <c r="P291" i="3" s="1"/>
  <c r="H290" i="3"/>
  <c r="N290" i="3" s="1"/>
  <c r="M290" i="3" s="1"/>
  <c r="P290" i="3" s="1"/>
  <c r="H289" i="3"/>
  <c r="N289" i="3" s="1"/>
  <c r="M289" i="3" s="1"/>
  <c r="P289" i="3" s="1"/>
  <c r="H287" i="3"/>
  <c r="N287" i="3" s="1"/>
  <c r="M287" i="3" s="1"/>
  <c r="P287" i="3" s="1"/>
  <c r="H286" i="3"/>
  <c r="N286" i="3" s="1"/>
  <c r="M286" i="3" s="1"/>
  <c r="P286" i="3" s="1"/>
  <c r="H285" i="3"/>
  <c r="N285" i="3" s="1"/>
  <c r="M285" i="3" s="1"/>
  <c r="P285" i="3" s="1"/>
  <c r="H282" i="3"/>
  <c r="N282" i="3" s="1"/>
  <c r="M282" i="3" s="1"/>
  <c r="P282" i="3" s="1"/>
  <c r="H281" i="3"/>
  <c r="N281" i="3" s="1"/>
  <c r="M281" i="3" s="1"/>
  <c r="P281" i="3" s="1"/>
  <c r="H280" i="3"/>
  <c r="N280" i="3" s="1"/>
  <c r="M280" i="3" s="1"/>
  <c r="P280" i="3" s="1"/>
  <c r="H279" i="3"/>
  <c r="N279" i="3" s="1"/>
  <c r="M279" i="3" s="1"/>
  <c r="P279" i="3" s="1"/>
  <c r="S292" i="3" l="1"/>
  <c r="T292" i="3" s="1"/>
  <c r="Q292" i="3"/>
  <c r="S289" i="3"/>
  <c r="T289" i="3" s="1"/>
  <c r="Q289" i="3"/>
  <c r="S296" i="3"/>
  <c r="T296" i="3" s="1"/>
  <c r="Q296" i="3"/>
  <c r="S286" i="3"/>
  <c r="T286" i="3" s="1"/>
  <c r="Q286" i="3"/>
  <c r="S293" i="3"/>
  <c r="T293" i="3" s="1"/>
  <c r="Q293" i="3"/>
  <c r="S297" i="3"/>
  <c r="T297" i="3" s="1"/>
  <c r="Q297" i="3"/>
  <c r="S287" i="3"/>
  <c r="T287" i="3" s="1"/>
  <c r="Q287" i="3"/>
  <c r="S291" i="3"/>
  <c r="T291" i="3" s="1"/>
  <c r="Q291" i="3"/>
  <c r="S295" i="3"/>
  <c r="T295" i="3" s="1"/>
  <c r="Q295" i="3"/>
  <c r="S298" i="3"/>
  <c r="T298" i="3" s="1"/>
  <c r="Q298" i="3"/>
  <c r="S282" i="3"/>
  <c r="T282" i="3" s="1"/>
  <c r="Q282" i="3"/>
  <c r="S290" i="3"/>
  <c r="T290" i="3" s="1"/>
  <c r="Q290" i="3"/>
  <c r="S294" i="3"/>
  <c r="T294" i="3" s="1"/>
  <c r="Q294" i="3"/>
  <c r="S279" i="3"/>
  <c r="T279" i="3" s="1"/>
  <c r="Q279" i="3"/>
  <c r="S280" i="3"/>
  <c r="T280" i="3" s="1"/>
  <c r="Q280" i="3"/>
  <c r="S281" i="3"/>
  <c r="T281" i="3" s="1"/>
  <c r="Q281" i="3"/>
  <c r="S285" i="3"/>
  <c r="T285" i="3" s="1"/>
  <c r="Q285" i="3"/>
  <c r="H822" i="2"/>
  <c r="K822" i="2" s="1"/>
  <c r="M822" i="2" s="1"/>
  <c r="H874" i="2"/>
  <c r="K874" i="2" s="1"/>
  <c r="M874" i="2" s="1"/>
  <c r="H1088" i="2" l="1"/>
  <c r="K1088" i="2" s="1"/>
  <c r="M1088" i="2" s="1"/>
  <c r="H1135" i="2"/>
  <c r="K1135" i="2" s="1"/>
  <c r="M1135" i="2" s="1"/>
  <c r="H1087" i="2"/>
  <c r="K1087" i="2" s="1"/>
  <c r="M1087" i="2" s="1"/>
  <c r="H1268" i="2"/>
  <c r="K1268" i="2" s="1"/>
  <c r="M1268" i="2" s="1"/>
  <c r="H847" i="2"/>
  <c r="K847" i="2" s="1"/>
  <c r="M847" i="2" s="1"/>
  <c r="L28" i="1"/>
  <c r="G28" i="1"/>
  <c r="L27" i="1"/>
  <c r="G27" i="1"/>
  <c r="L26" i="1"/>
  <c r="G26" i="1"/>
  <c r="L25" i="1"/>
  <c r="G25" i="1"/>
  <c r="H619" i="2"/>
  <c r="H1134" i="2" l="1"/>
  <c r="K1134" i="2" s="1"/>
  <c r="M1134" i="2" s="1"/>
  <c r="H1110" i="2"/>
  <c r="K1110" i="2" s="1"/>
  <c r="M1110" i="2" s="1"/>
  <c r="H641" i="2"/>
  <c r="H706" i="2"/>
  <c r="K706" i="2" s="1"/>
  <c r="M706" i="2" s="1"/>
  <c r="H766" i="2"/>
  <c r="K766" i="2" s="1"/>
  <c r="M766" i="2" s="1"/>
  <c r="H733" i="2"/>
  <c r="K733" i="2" s="1"/>
  <c r="M733" i="2" s="1"/>
  <c r="H707" i="2"/>
  <c r="K707" i="2" s="1"/>
  <c r="M707" i="2" s="1"/>
  <c r="H664" i="2"/>
  <c r="K664" i="2" s="1"/>
  <c r="M664" i="2" s="1"/>
  <c r="H734" i="2"/>
  <c r="K734" i="2" s="1"/>
  <c r="M734" i="2" s="1"/>
  <c r="M686" i="2"/>
  <c r="M666" i="2"/>
  <c r="M622" i="2"/>
  <c r="M621" i="2"/>
  <c r="M643" i="2"/>
  <c r="H788" i="2"/>
  <c r="K788" i="2" s="1"/>
  <c r="M788" i="2" s="1"/>
  <c r="K619" i="2"/>
  <c r="M619" i="2" s="1"/>
  <c r="H28" i="1"/>
  <c r="H618" i="2"/>
  <c r="H26" i="1"/>
  <c r="H27" i="1"/>
  <c r="H25" i="1"/>
  <c r="K618" i="2" l="1"/>
  <c r="M618" i="2" s="1"/>
  <c r="K641" i="2"/>
  <c r="M641" i="2" s="1"/>
  <c r="H278" i="3" l="1"/>
  <c r="N278" i="3" s="1"/>
  <c r="M278" i="3" s="1"/>
  <c r="P278" i="3" s="1"/>
  <c r="H277" i="3"/>
  <c r="N277" i="3" s="1"/>
  <c r="M277" i="3" s="1"/>
  <c r="P277" i="3" s="1"/>
  <c r="H276" i="3"/>
  <c r="N276" i="3" s="1"/>
  <c r="M276" i="3" s="1"/>
  <c r="P276" i="3" s="1"/>
  <c r="H275" i="3"/>
  <c r="N275" i="3" s="1"/>
  <c r="M275" i="3" s="1"/>
  <c r="P275" i="3" s="1"/>
  <c r="H272" i="3"/>
  <c r="N272" i="3" s="1"/>
  <c r="M272" i="3" s="1"/>
  <c r="P272" i="3" s="1"/>
  <c r="H271" i="3"/>
  <c r="N271" i="3" s="1"/>
  <c r="M271" i="3" s="1"/>
  <c r="P271" i="3" s="1"/>
  <c r="S275" i="3" l="1"/>
  <c r="T275" i="3" s="1"/>
  <c r="Q275" i="3"/>
  <c r="S272" i="3"/>
  <c r="T272" i="3" s="1"/>
  <c r="Q272" i="3"/>
  <c r="S277" i="3"/>
  <c r="T277" i="3" s="1"/>
  <c r="Q277" i="3"/>
  <c r="S271" i="3"/>
  <c r="T271" i="3" s="1"/>
  <c r="Q271" i="3"/>
  <c r="S276" i="3"/>
  <c r="T276" i="3" s="1"/>
  <c r="Q276" i="3"/>
  <c r="S278" i="3"/>
  <c r="T278" i="3" s="1"/>
  <c r="Q278" i="3"/>
  <c r="H1160" i="2"/>
  <c r="K1160" i="2" s="1"/>
  <c r="M1160" i="2" s="1"/>
  <c r="H1294" i="2"/>
  <c r="K1294" i="2" s="1"/>
  <c r="M1294" i="2" s="1"/>
  <c r="H900" i="2"/>
  <c r="K900" i="2" s="1"/>
  <c r="M900" i="2" s="1"/>
  <c r="H684" i="2"/>
  <c r="O1160" i="2" l="1"/>
  <c r="L24" i="1"/>
  <c r="G24" i="1"/>
  <c r="H617" i="2" l="1"/>
  <c r="H24" i="1"/>
  <c r="K617" i="2" l="1"/>
  <c r="M617" i="2" s="1"/>
  <c r="K684" i="2"/>
  <c r="M684" i="2" s="1"/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4" i="1" l="1"/>
  <c r="M591" i="2"/>
  <c r="H589" i="2" l="1"/>
  <c r="K589" i="2" s="1"/>
  <c r="M589" i="2" s="1"/>
  <c r="H270" i="3" l="1"/>
  <c r="N270" i="3" l="1"/>
  <c r="M270" i="3" s="1"/>
  <c r="P270" i="3" s="1"/>
  <c r="H1551" i="2" s="1"/>
  <c r="K1551" i="2" s="1"/>
  <c r="M1551" i="2" s="1"/>
  <c r="H1232" i="2"/>
  <c r="K1232" i="2" s="1"/>
  <c r="M1232" i="2" s="1"/>
  <c r="H916" i="2"/>
  <c r="K916" i="2" s="1"/>
  <c r="M916" i="2" s="1"/>
  <c r="M570" i="2"/>
  <c r="M569" i="2"/>
  <c r="M542" i="2"/>
  <c r="M541" i="2"/>
  <c r="M517" i="2"/>
  <c r="M518" i="2"/>
  <c r="H780" i="2"/>
  <c r="K780" i="2" s="1"/>
  <c r="M780" i="2" s="1"/>
  <c r="H267" i="3"/>
  <c r="N267" i="3" s="1"/>
  <c r="M267" i="3" s="1"/>
  <c r="P267" i="3" s="1"/>
  <c r="H266" i="3"/>
  <c r="N266" i="3" s="1"/>
  <c r="M266" i="3" s="1"/>
  <c r="P266" i="3" s="1"/>
  <c r="H1206" i="2" l="1"/>
  <c r="K1206" i="2" s="1"/>
  <c r="M1206" i="2" s="1"/>
  <c r="S266" i="3"/>
  <c r="T266" i="3" s="1"/>
  <c r="Q266" i="3"/>
  <c r="S267" i="3"/>
  <c r="T267" i="3" s="1"/>
  <c r="Q267" i="3"/>
  <c r="S270" i="3"/>
  <c r="T270" i="3" s="1"/>
  <c r="Q270" i="3"/>
  <c r="H268" i="3"/>
  <c r="N268" i="3" s="1"/>
  <c r="M268" i="3" s="1"/>
  <c r="P268" i="3" s="1"/>
  <c r="H260" i="3"/>
  <c r="N260" i="3" s="1"/>
  <c r="M260" i="3" s="1"/>
  <c r="P260" i="3" s="1"/>
  <c r="H258" i="3"/>
  <c r="N258" i="3" s="1"/>
  <c r="M258" i="3" s="1"/>
  <c r="P258" i="3" s="1"/>
  <c r="H256" i="3"/>
  <c r="N256" i="3" s="1"/>
  <c r="M256" i="3" s="1"/>
  <c r="P256" i="3" s="1"/>
  <c r="H254" i="3"/>
  <c r="N254" i="3" s="1"/>
  <c r="M254" i="3" s="1"/>
  <c r="P254" i="3" s="1"/>
  <c r="H252" i="3"/>
  <c r="N252" i="3" s="1"/>
  <c r="M252" i="3" s="1"/>
  <c r="P252" i="3" s="1"/>
  <c r="H250" i="3"/>
  <c r="N250" i="3" s="1"/>
  <c r="M250" i="3" s="1"/>
  <c r="P250" i="3" s="1"/>
  <c r="H248" i="3"/>
  <c r="N248" i="3" s="1"/>
  <c r="M248" i="3" s="1"/>
  <c r="P248" i="3" s="1"/>
  <c r="H239" i="3"/>
  <c r="N239" i="3" s="1"/>
  <c r="M239" i="3" s="1"/>
  <c r="P239" i="3" s="1"/>
  <c r="H235" i="3"/>
  <c r="N235" i="3" s="1"/>
  <c r="M235" i="3" s="1"/>
  <c r="P235" i="3" s="1"/>
  <c r="H233" i="3"/>
  <c r="N233" i="3" s="1"/>
  <c r="M233" i="3" s="1"/>
  <c r="P233" i="3" s="1"/>
  <c r="H231" i="3"/>
  <c r="N231" i="3" s="1"/>
  <c r="M231" i="3" s="1"/>
  <c r="P231" i="3" s="1"/>
  <c r="H229" i="3"/>
  <c r="N229" i="3" s="1"/>
  <c r="M229" i="3" s="1"/>
  <c r="P229" i="3" s="1"/>
  <c r="H227" i="3"/>
  <c r="N227" i="3" s="1"/>
  <c r="M227" i="3" s="1"/>
  <c r="P227" i="3" s="1"/>
  <c r="H225" i="3"/>
  <c r="N225" i="3" s="1"/>
  <c r="M225" i="3" s="1"/>
  <c r="P225" i="3" s="1"/>
  <c r="H223" i="3"/>
  <c r="N223" i="3" s="1"/>
  <c r="M223" i="3" s="1"/>
  <c r="P223" i="3" s="1"/>
  <c r="H218" i="3"/>
  <c r="N218" i="3" s="1"/>
  <c r="M218" i="3" s="1"/>
  <c r="P218" i="3" s="1"/>
  <c r="H216" i="3"/>
  <c r="N216" i="3" s="1"/>
  <c r="M216" i="3" s="1"/>
  <c r="P216" i="3" s="1"/>
  <c r="H214" i="3"/>
  <c r="N214" i="3" s="1"/>
  <c r="M214" i="3" s="1"/>
  <c r="P214" i="3" s="1"/>
  <c r="H212" i="3"/>
  <c r="N212" i="3" s="1"/>
  <c r="M212" i="3" s="1"/>
  <c r="P212" i="3" s="1"/>
  <c r="H208" i="3"/>
  <c r="N208" i="3" s="1"/>
  <c r="M208" i="3" s="1"/>
  <c r="P208" i="3" s="1"/>
  <c r="H206" i="3"/>
  <c r="N206" i="3" s="1"/>
  <c r="M206" i="3" s="1"/>
  <c r="P206" i="3" s="1"/>
  <c r="H204" i="3"/>
  <c r="N204" i="3" s="1"/>
  <c r="M204" i="3" s="1"/>
  <c r="P204" i="3" s="1"/>
  <c r="H202" i="3"/>
  <c r="N202" i="3" s="1"/>
  <c r="M202" i="3" s="1"/>
  <c r="P202" i="3" s="1"/>
  <c r="H200" i="3"/>
  <c r="N200" i="3" s="1"/>
  <c r="M200" i="3" s="1"/>
  <c r="P200" i="3" s="1"/>
  <c r="H198" i="3"/>
  <c r="H196" i="3"/>
  <c r="N196" i="3" s="1"/>
  <c r="M196" i="3" s="1"/>
  <c r="P196" i="3" s="1"/>
  <c r="H194" i="3"/>
  <c r="N194" i="3" s="1"/>
  <c r="M194" i="3" s="1"/>
  <c r="P194" i="3" s="1"/>
  <c r="H192" i="3"/>
  <c r="N192" i="3" s="1"/>
  <c r="M192" i="3" s="1"/>
  <c r="P192" i="3" s="1"/>
  <c r="H188" i="3"/>
  <c r="N188" i="3" s="1"/>
  <c r="M188" i="3" s="1"/>
  <c r="P188" i="3" s="1"/>
  <c r="H184" i="3"/>
  <c r="H182" i="3"/>
  <c r="H180" i="3"/>
  <c r="H178" i="3"/>
  <c r="N178" i="3" s="1"/>
  <c r="M178" i="3" s="1"/>
  <c r="P178" i="3" s="1"/>
  <c r="H176" i="3"/>
  <c r="H171" i="3"/>
  <c r="N171" i="3" s="1"/>
  <c r="M171" i="3" s="1"/>
  <c r="P171" i="3" s="1"/>
  <c r="H167" i="3"/>
  <c r="N167" i="3" s="1"/>
  <c r="M167" i="3" s="1"/>
  <c r="P167" i="3" s="1"/>
  <c r="H165" i="3"/>
  <c r="N165" i="3" s="1"/>
  <c r="M165" i="3" s="1"/>
  <c r="P165" i="3" s="1"/>
  <c r="H164" i="3"/>
  <c r="N164" i="3" s="1"/>
  <c r="M164" i="3" s="1"/>
  <c r="P164" i="3" s="1"/>
  <c r="H163" i="3"/>
  <c r="N163" i="3" s="1"/>
  <c r="M163" i="3" s="1"/>
  <c r="P163" i="3" s="1"/>
  <c r="H160" i="3"/>
  <c r="N160" i="3" s="1"/>
  <c r="M160" i="3" s="1"/>
  <c r="P160" i="3" s="1"/>
  <c r="H159" i="3"/>
  <c r="N159" i="3" s="1"/>
  <c r="M159" i="3" s="1"/>
  <c r="P159" i="3" s="1"/>
  <c r="H157" i="3"/>
  <c r="N157" i="3" s="1"/>
  <c r="M157" i="3" s="1"/>
  <c r="P157" i="3" s="1"/>
  <c r="H153" i="3"/>
  <c r="N153" i="3" s="1"/>
  <c r="M153" i="3" s="1"/>
  <c r="P153" i="3" s="1"/>
  <c r="H152" i="3"/>
  <c r="N152" i="3" s="1"/>
  <c r="M152" i="3" s="1"/>
  <c r="P152" i="3" s="1"/>
  <c r="H151" i="3"/>
  <c r="N151" i="3" s="1"/>
  <c r="M151" i="3" s="1"/>
  <c r="P151" i="3" s="1"/>
  <c r="H149" i="3"/>
  <c r="N149" i="3" s="1"/>
  <c r="M149" i="3" s="1"/>
  <c r="P149" i="3" s="1"/>
  <c r="H148" i="3"/>
  <c r="N148" i="3" s="1"/>
  <c r="M148" i="3" s="1"/>
  <c r="P148" i="3" s="1"/>
  <c r="H147" i="3"/>
  <c r="N147" i="3" s="1"/>
  <c r="M147" i="3" s="1"/>
  <c r="P147" i="3" s="1"/>
  <c r="H145" i="3"/>
  <c r="N145" i="3" s="1"/>
  <c r="M145" i="3" s="1"/>
  <c r="P145" i="3" s="1"/>
  <c r="H144" i="3"/>
  <c r="N144" i="3" s="1"/>
  <c r="M144" i="3" s="1"/>
  <c r="P144" i="3" s="1"/>
  <c r="H143" i="3"/>
  <c r="N143" i="3" s="1"/>
  <c r="M143" i="3" s="1"/>
  <c r="P143" i="3" s="1"/>
  <c r="H141" i="3"/>
  <c r="N141" i="3" s="1"/>
  <c r="M141" i="3" s="1"/>
  <c r="P141" i="3" s="1"/>
  <c r="H140" i="3"/>
  <c r="N140" i="3" s="1"/>
  <c r="M140" i="3" s="1"/>
  <c r="P140" i="3" s="1"/>
  <c r="H139" i="3"/>
  <c r="N139" i="3" s="1"/>
  <c r="M139" i="3" s="1"/>
  <c r="P139" i="3" s="1"/>
  <c r="H137" i="3"/>
  <c r="N137" i="3" s="1"/>
  <c r="M137" i="3" s="1"/>
  <c r="P137" i="3" s="1"/>
  <c r="H136" i="3"/>
  <c r="N136" i="3" s="1"/>
  <c r="M136" i="3" s="1"/>
  <c r="P136" i="3" s="1"/>
  <c r="H135" i="3"/>
  <c r="N135" i="3" s="1"/>
  <c r="M135" i="3" s="1"/>
  <c r="P135" i="3" s="1"/>
  <c r="H133" i="3"/>
  <c r="N133" i="3" s="1"/>
  <c r="M133" i="3" s="1"/>
  <c r="P133" i="3" s="1"/>
  <c r="H129" i="3"/>
  <c r="N129" i="3" s="1"/>
  <c r="M129" i="3" s="1"/>
  <c r="P129" i="3" s="1"/>
  <c r="H128" i="3"/>
  <c r="N128" i="3" s="1"/>
  <c r="M128" i="3" s="1"/>
  <c r="P128" i="3" s="1"/>
  <c r="H127" i="3"/>
  <c r="N127" i="3" s="1"/>
  <c r="M127" i="3" s="1"/>
  <c r="P127" i="3" s="1"/>
  <c r="H125" i="3"/>
  <c r="N125" i="3" s="1"/>
  <c r="M125" i="3" s="1"/>
  <c r="P125" i="3" s="1"/>
  <c r="H124" i="3"/>
  <c r="H123" i="3"/>
  <c r="H121" i="3"/>
  <c r="N121" i="3" s="1"/>
  <c r="M121" i="3" s="1"/>
  <c r="P121" i="3" s="1"/>
  <c r="H120" i="3"/>
  <c r="N120" i="3" s="1"/>
  <c r="M120" i="3" s="1"/>
  <c r="P120" i="3" s="1"/>
  <c r="H119" i="3"/>
  <c r="N119" i="3" s="1"/>
  <c r="M119" i="3" s="1"/>
  <c r="P119" i="3" s="1"/>
  <c r="H117" i="3"/>
  <c r="N117" i="3" s="1"/>
  <c r="M117" i="3" s="1"/>
  <c r="P117" i="3" s="1"/>
  <c r="H116" i="3"/>
  <c r="N116" i="3" s="1"/>
  <c r="M116" i="3" s="1"/>
  <c r="P116" i="3" s="1"/>
  <c r="H115" i="3"/>
  <c r="N115" i="3" s="1"/>
  <c r="M115" i="3" s="1"/>
  <c r="P115" i="3" s="1"/>
  <c r="H113" i="3"/>
  <c r="N113" i="3" s="1"/>
  <c r="M113" i="3" s="1"/>
  <c r="P113" i="3" s="1"/>
  <c r="H112" i="3"/>
  <c r="N112" i="3" s="1"/>
  <c r="M112" i="3" s="1"/>
  <c r="P112" i="3" s="1"/>
  <c r="H111" i="3"/>
  <c r="N111" i="3" s="1"/>
  <c r="M111" i="3" s="1"/>
  <c r="P111" i="3" s="1"/>
  <c r="H109" i="3"/>
  <c r="N109" i="3" s="1"/>
  <c r="M109" i="3" s="1"/>
  <c r="P109" i="3" s="1"/>
  <c r="H108" i="3"/>
  <c r="N108" i="3" s="1"/>
  <c r="M108" i="3" s="1"/>
  <c r="P108" i="3" s="1"/>
  <c r="H107" i="3"/>
  <c r="N107" i="3" s="1"/>
  <c r="M107" i="3" s="1"/>
  <c r="P107" i="3" s="1"/>
  <c r="H105" i="3"/>
  <c r="N105" i="3" s="1"/>
  <c r="M105" i="3" s="1"/>
  <c r="P105" i="3" s="1"/>
  <c r="H104" i="3"/>
  <c r="N104" i="3" s="1"/>
  <c r="M104" i="3" s="1"/>
  <c r="P104" i="3" s="1"/>
  <c r="H103" i="3"/>
  <c r="N103" i="3" s="1"/>
  <c r="M103" i="3" s="1"/>
  <c r="P103" i="3" s="1"/>
  <c r="H101" i="3"/>
  <c r="N101" i="3" s="1"/>
  <c r="M101" i="3" s="1"/>
  <c r="P101" i="3" s="1"/>
  <c r="H100" i="3"/>
  <c r="N100" i="3" s="1"/>
  <c r="M100" i="3" s="1"/>
  <c r="P100" i="3" s="1"/>
  <c r="H99" i="3"/>
  <c r="N99" i="3" s="1"/>
  <c r="M99" i="3" s="1"/>
  <c r="P99" i="3" s="1"/>
  <c r="H97" i="3"/>
  <c r="N97" i="3" s="1"/>
  <c r="M97" i="3" s="1"/>
  <c r="P97" i="3" s="1"/>
  <c r="H96" i="3"/>
  <c r="N96" i="3" s="1"/>
  <c r="M96" i="3" s="1"/>
  <c r="P96" i="3" s="1"/>
  <c r="H95" i="3"/>
  <c r="H93" i="3"/>
  <c r="H92" i="3"/>
  <c r="N92" i="3" s="1"/>
  <c r="M92" i="3" s="1"/>
  <c r="P92" i="3" s="1"/>
  <c r="H91" i="3"/>
  <c r="H89" i="3"/>
  <c r="N89" i="3" s="1"/>
  <c r="M89" i="3" s="1"/>
  <c r="P89" i="3" s="1"/>
  <c r="H88" i="3"/>
  <c r="N88" i="3" s="1"/>
  <c r="M88" i="3" s="1"/>
  <c r="P88" i="3" s="1"/>
  <c r="H87" i="3"/>
  <c r="N87" i="3" s="1"/>
  <c r="M87" i="3" s="1"/>
  <c r="P87" i="3" s="1"/>
  <c r="H85" i="3"/>
  <c r="N85" i="3" s="1"/>
  <c r="M85" i="3" s="1"/>
  <c r="P85" i="3" s="1"/>
  <c r="H84" i="3"/>
  <c r="N84" i="3" s="1"/>
  <c r="M84" i="3" s="1"/>
  <c r="P84" i="3" s="1"/>
  <c r="H83" i="3"/>
  <c r="N83" i="3" s="1"/>
  <c r="M83" i="3" s="1"/>
  <c r="P83" i="3" s="1"/>
  <c r="H81" i="3"/>
  <c r="N81" i="3" s="1"/>
  <c r="M81" i="3" s="1"/>
  <c r="P81" i="3" s="1"/>
  <c r="H80" i="3"/>
  <c r="N80" i="3" s="1"/>
  <c r="M80" i="3" s="1"/>
  <c r="P80" i="3" s="1"/>
  <c r="H79" i="3"/>
  <c r="N79" i="3" s="1"/>
  <c r="M79" i="3" s="1"/>
  <c r="P79" i="3" s="1"/>
  <c r="H77" i="3"/>
  <c r="N77" i="3" s="1"/>
  <c r="M77" i="3" s="1"/>
  <c r="P77" i="3" s="1"/>
  <c r="H76" i="3"/>
  <c r="N76" i="3" s="1"/>
  <c r="M76" i="3" s="1"/>
  <c r="P76" i="3" s="1"/>
  <c r="H75" i="3"/>
  <c r="N75" i="3" s="1"/>
  <c r="M75" i="3" s="1"/>
  <c r="P75" i="3" s="1"/>
  <c r="H73" i="3"/>
  <c r="N73" i="3" s="1"/>
  <c r="M73" i="3" s="1"/>
  <c r="P73" i="3" s="1"/>
  <c r="H72" i="3"/>
  <c r="N72" i="3" s="1"/>
  <c r="M72" i="3" s="1"/>
  <c r="P72" i="3" s="1"/>
  <c r="H71" i="3"/>
  <c r="N71" i="3" s="1"/>
  <c r="M71" i="3" s="1"/>
  <c r="P71" i="3" s="1"/>
  <c r="H69" i="3"/>
  <c r="N69" i="3" s="1"/>
  <c r="M69" i="3" s="1"/>
  <c r="P69" i="3" s="1"/>
  <c r="H68" i="3"/>
  <c r="N68" i="3" s="1"/>
  <c r="M68" i="3" s="1"/>
  <c r="P68" i="3" s="1"/>
  <c r="H67" i="3"/>
  <c r="N67" i="3" s="1"/>
  <c r="M67" i="3" s="1"/>
  <c r="P67" i="3" s="1"/>
  <c r="H65" i="3"/>
  <c r="N65" i="3" s="1"/>
  <c r="M65" i="3" s="1"/>
  <c r="P65" i="3" s="1"/>
  <c r="H64" i="3"/>
  <c r="N64" i="3" s="1"/>
  <c r="M64" i="3" s="1"/>
  <c r="P64" i="3" s="1"/>
  <c r="H63" i="3"/>
  <c r="H61" i="3"/>
  <c r="N61" i="3" s="1"/>
  <c r="M61" i="3" s="1"/>
  <c r="P61" i="3" s="1"/>
  <c r="H60" i="3"/>
  <c r="N60" i="3" s="1"/>
  <c r="M60" i="3" s="1"/>
  <c r="P60" i="3" s="1"/>
  <c r="H59" i="3"/>
  <c r="N59" i="3" s="1"/>
  <c r="M59" i="3" s="1"/>
  <c r="P59" i="3" s="1"/>
  <c r="H57" i="3"/>
  <c r="N57" i="3" s="1"/>
  <c r="M57" i="3" s="1"/>
  <c r="P57" i="3" s="1"/>
  <c r="H56" i="3"/>
  <c r="N56" i="3" s="1"/>
  <c r="M56" i="3" s="1"/>
  <c r="P56" i="3" s="1"/>
  <c r="H55" i="3"/>
  <c r="H53" i="3"/>
  <c r="N53" i="3" s="1"/>
  <c r="M53" i="3" s="1"/>
  <c r="P53" i="3" s="1"/>
  <c r="H52" i="3"/>
  <c r="N52" i="3" s="1"/>
  <c r="M52" i="3" s="1"/>
  <c r="P52" i="3" s="1"/>
  <c r="H51" i="3"/>
  <c r="N51" i="3" s="1"/>
  <c r="M51" i="3" s="1"/>
  <c r="P51" i="3" s="1"/>
  <c r="H49" i="3"/>
  <c r="N49" i="3" s="1"/>
  <c r="M49" i="3" s="1"/>
  <c r="P49" i="3" s="1"/>
  <c r="H48" i="3"/>
  <c r="N48" i="3" s="1"/>
  <c r="M48" i="3" s="1"/>
  <c r="P48" i="3" s="1"/>
  <c r="H47" i="3"/>
  <c r="N47" i="3" s="1"/>
  <c r="M47" i="3" s="1"/>
  <c r="P47" i="3" s="1"/>
  <c r="H44" i="3"/>
  <c r="N44" i="3" s="1"/>
  <c r="M44" i="3" s="1"/>
  <c r="P44" i="3" s="1"/>
  <c r="H43" i="3"/>
  <c r="N43" i="3" s="1"/>
  <c r="M43" i="3" s="1"/>
  <c r="P43" i="3" s="1"/>
  <c r="H41" i="3"/>
  <c r="N41" i="3" s="1"/>
  <c r="M41" i="3" s="1"/>
  <c r="P41" i="3" s="1"/>
  <c r="H40" i="3"/>
  <c r="N40" i="3" s="1"/>
  <c r="M40" i="3" s="1"/>
  <c r="P40" i="3" s="1"/>
  <c r="H39" i="3"/>
  <c r="N39" i="3" s="1"/>
  <c r="M39" i="3" s="1"/>
  <c r="P39" i="3" s="1"/>
  <c r="H37" i="3"/>
  <c r="N37" i="3" s="1"/>
  <c r="M37" i="3" s="1"/>
  <c r="P37" i="3" s="1"/>
  <c r="H36" i="3"/>
  <c r="N36" i="3" s="1"/>
  <c r="M36" i="3" s="1"/>
  <c r="P36" i="3" s="1"/>
  <c r="H35" i="3"/>
  <c r="N35" i="3" s="1"/>
  <c r="M35" i="3" s="1"/>
  <c r="P35" i="3" s="1"/>
  <c r="H33" i="3"/>
  <c r="N33" i="3" s="1"/>
  <c r="M33" i="3" s="1"/>
  <c r="P33" i="3" s="1"/>
  <c r="H32" i="3"/>
  <c r="N32" i="3" s="1"/>
  <c r="M32" i="3" s="1"/>
  <c r="P32" i="3" s="1"/>
  <c r="H31" i="3"/>
  <c r="N31" i="3" s="1"/>
  <c r="M31" i="3" s="1"/>
  <c r="P31" i="3" s="1"/>
  <c r="H29" i="3"/>
  <c r="N29" i="3" s="1"/>
  <c r="M29" i="3" s="1"/>
  <c r="P29" i="3" s="1"/>
  <c r="H28" i="3"/>
  <c r="N28" i="3" s="1"/>
  <c r="M28" i="3" s="1"/>
  <c r="P28" i="3" s="1"/>
  <c r="H27" i="3"/>
  <c r="N27" i="3" s="1"/>
  <c r="M27" i="3" s="1"/>
  <c r="P27" i="3" s="1"/>
  <c r="H25" i="3"/>
  <c r="N25" i="3" s="1"/>
  <c r="M25" i="3" s="1"/>
  <c r="P25" i="3" s="1"/>
  <c r="H24" i="3"/>
  <c r="N24" i="3" s="1"/>
  <c r="M24" i="3" s="1"/>
  <c r="P24" i="3" s="1"/>
  <c r="H23" i="3"/>
  <c r="N23" i="3" s="1"/>
  <c r="M23" i="3" s="1"/>
  <c r="P23" i="3" s="1"/>
  <c r="H21" i="3"/>
  <c r="N21" i="3" s="1"/>
  <c r="M21" i="3" s="1"/>
  <c r="P21" i="3" s="1"/>
  <c r="H20" i="3"/>
  <c r="N20" i="3" s="1"/>
  <c r="M20" i="3" s="1"/>
  <c r="P20" i="3" s="1"/>
  <c r="H19" i="3"/>
  <c r="H17" i="3"/>
  <c r="N17" i="3" s="1"/>
  <c r="M17" i="3" s="1"/>
  <c r="P17" i="3" s="1"/>
  <c r="H15" i="3"/>
  <c r="N15" i="3" s="1"/>
  <c r="M15" i="3" s="1"/>
  <c r="P15" i="3" s="1"/>
  <c r="H13" i="3"/>
  <c r="N13" i="3" s="1"/>
  <c r="M13" i="3" s="1"/>
  <c r="P13" i="3" s="1"/>
  <c r="H12" i="3"/>
  <c r="N12" i="3" s="1"/>
  <c r="M12" i="3" s="1"/>
  <c r="P12" i="3" s="1"/>
  <c r="H11" i="3"/>
  <c r="N11" i="3" s="1"/>
  <c r="M11" i="3" s="1"/>
  <c r="P11" i="3" s="1"/>
  <c r="H9" i="3"/>
  <c r="N9" i="3" s="1"/>
  <c r="M9" i="3" s="1"/>
  <c r="P9" i="3" s="1"/>
  <c r="H8" i="3"/>
  <c r="N8" i="3" s="1"/>
  <c r="M8" i="3" s="1"/>
  <c r="P8" i="3" s="1"/>
  <c r="H7" i="3"/>
  <c r="N7" i="3" s="1"/>
  <c r="M7" i="3" s="1"/>
  <c r="P7" i="3" s="1"/>
  <c r="H5" i="3"/>
  <c r="N5" i="3" s="1"/>
  <c r="M5" i="3" s="1"/>
  <c r="P5" i="3" s="1"/>
  <c r="H4" i="3"/>
  <c r="N4" i="3" s="1"/>
  <c r="M4" i="3" s="1"/>
  <c r="P4" i="3" s="1"/>
  <c r="H3" i="3"/>
  <c r="H6" i="3"/>
  <c r="N6" i="3" s="1"/>
  <c r="M6" i="3" s="1"/>
  <c r="P6" i="3" s="1"/>
  <c r="H10" i="3"/>
  <c r="N10" i="3" s="1"/>
  <c r="M10" i="3" s="1"/>
  <c r="P10" i="3" s="1"/>
  <c r="H14" i="3"/>
  <c r="N14" i="3" s="1"/>
  <c r="M14" i="3" s="1"/>
  <c r="P14" i="3" s="1"/>
  <c r="H18" i="3"/>
  <c r="N18" i="3" s="1"/>
  <c r="M18" i="3" s="1"/>
  <c r="P18" i="3" s="1"/>
  <c r="H22" i="3"/>
  <c r="N22" i="3" s="1"/>
  <c r="M22" i="3" s="1"/>
  <c r="P22" i="3" s="1"/>
  <c r="H26" i="3"/>
  <c r="N26" i="3" s="1"/>
  <c r="M26" i="3" s="1"/>
  <c r="P26" i="3" s="1"/>
  <c r="H30" i="3"/>
  <c r="N30" i="3" s="1"/>
  <c r="M30" i="3" s="1"/>
  <c r="P30" i="3" s="1"/>
  <c r="H34" i="3"/>
  <c r="N34" i="3" s="1"/>
  <c r="M34" i="3" s="1"/>
  <c r="P34" i="3" s="1"/>
  <c r="H38" i="3"/>
  <c r="N38" i="3" s="1"/>
  <c r="M38" i="3" s="1"/>
  <c r="P38" i="3" s="1"/>
  <c r="H42" i="3"/>
  <c r="N42" i="3" s="1"/>
  <c r="M42" i="3" s="1"/>
  <c r="P42" i="3" s="1"/>
  <c r="H46" i="3"/>
  <c r="N46" i="3" s="1"/>
  <c r="M46" i="3" s="1"/>
  <c r="P46" i="3" s="1"/>
  <c r="H50" i="3"/>
  <c r="N50" i="3" s="1"/>
  <c r="M50" i="3" s="1"/>
  <c r="P50" i="3" s="1"/>
  <c r="H58" i="3"/>
  <c r="N58" i="3" s="1"/>
  <c r="M58" i="3" s="1"/>
  <c r="P58" i="3" s="1"/>
  <c r="H62" i="3"/>
  <c r="H66" i="3"/>
  <c r="N66" i="3" s="1"/>
  <c r="M66" i="3" s="1"/>
  <c r="P66" i="3" s="1"/>
  <c r="H70" i="3"/>
  <c r="N70" i="3" s="1"/>
  <c r="M70" i="3" s="1"/>
  <c r="P70" i="3" s="1"/>
  <c r="H74" i="3"/>
  <c r="N74" i="3" s="1"/>
  <c r="M74" i="3" s="1"/>
  <c r="P74" i="3" s="1"/>
  <c r="H78" i="3"/>
  <c r="N78" i="3" s="1"/>
  <c r="M78" i="3" s="1"/>
  <c r="P78" i="3" s="1"/>
  <c r="H82" i="3"/>
  <c r="N82" i="3" s="1"/>
  <c r="M82" i="3" s="1"/>
  <c r="P82" i="3" s="1"/>
  <c r="H86" i="3"/>
  <c r="N86" i="3" s="1"/>
  <c r="M86" i="3" s="1"/>
  <c r="P86" i="3" s="1"/>
  <c r="H90" i="3"/>
  <c r="N90" i="3" s="1"/>
  <c r="M90" i="3" s="1"/>
  <c r="P90" i="3" s="1"/>
  <c r="H94" i="3"/>
  <c r="H98" i="3"/>
  <c r="N98" i="3" s="1"/>
  <c r="M98" i="3" s="1"/>
  <c r="P98" i="3" s="1"/>
  <c r="H102" i="3"/>
  <c r="N102" i="3" s="1"/>
  <c r="M102" i="3" s="1"/>
  <c r="P102" i="3" s="1"/>
  <c r="H106" i="3"/>
  <c r="N106" i="3" s="1"/>
  <c r="M106" i="3" s="1"/>
  <c r="P106" i="3" s="1"/>
  <c r="H110" i="3"/>
  <c r="N110" i="3" s="1"/>
  <c r="M110" i="3" s="1"/>
  <c r="P110" i="3" s="1"/>
  <c r="H114" i="3"/>
  <c r="N114" i="3" s="1"/>
  <c r="M114" i="3" s="1"/>
  <c r="P114" i="3" s="1"/>
  <c r="H118" i="3"/>
  <c r="N118" i="3" s="1"/>
  <c r="M118" i="3" s="1"/>
  <c r="P118" i="3" s="1"/>
  <c r="H122" i="3"/>
  <c r="H126" i="3"/>
  <c r="N126" i="3" s="1"/>
  <c r="M126" i="3" s="1"/>
  <c r="P126" i="3" s="1"/>
  <c r="H134" i="3"/>
  <c r="N134" i="3" s="1"/>
  <c r="M134" i="3" s="1"/>
  <c r="P134" i="3" s="1"/>
  <c r="H138" i="3"/>
  <c r="N138" i="3" s="1"/>
  <c r="M138" i="3" s="1"/>
  <c r="P138" i="3" s="1"/>
  <c r="H142" i="3"/>
  <c r="H146" i="3"/>
  <c r="N146" i="3" s="1"/>
  <c r="M146" i="3" s="1"/>
  <c r="P146" i="3" s="1"/>
  <c r="H150" i="3"/>
  <c r="H154" i="3"/>
  <c r="N154" i="3" s="1"/>
  <c r="M154" i="3" s="1"/>
  <c r="P154" i="3" s="1"/>
  <c r="H158" i="3"/>
  <c r="N158" i="3" s="1"/>
  <c r="M158" i="3" s="1"/>
  <c r="P158" i="3" s="1"/>
  <c r="H166" i="3"/>
  <c r="N166" i="3" s="1"/>
  <c r="M166" i="3" s="1"/>
  <c r="P166" i="3" s="1"/>
  <c r="H173" i="3"/>
  <c r="N173" i="3" s="1"/>
  <c r="M173" i="3" s="1"/>
  <c r="P173" i="3" s="1"/>
  <c r="H175" i="3"/>
  <c r="N175" i="3" s="1"/>
  <c r="M175" i="3" s="1"/>
  <c r="P175" i="3" s="1"/>
  <c r="H177" i="3"/>
  <c r="H179" i="3"/>
  <c r="H181" i="3"/>
  <c r="N181" i="3" s="1"/>
  <c r="M181" i="3" s="1"/>
  <c r="P181" i="3" s="1"/>
  <c r="H183" i="3"/>
  <c r="H185" i="3"/>
  <c r="N185" i="3" s="1"/>
  <c r="M185" i="3" s="1"/>
  <c r="P185" i="3" s="1"/>
  <c r="H187" i="3"/>
  <c r="N187" i="3" s="1"/>
  <c r="M187" i="3" s="1"/>
  <c r="P187" i="3" s="1"/>
  <c r="H191" i="3"/>
  <c r="N191" i="3" s="1"/>
  <c r="M191" i="3" s="1"/>
  <c r="P191" i="3" s="1"/>
  <c r="H193" i="3"/>
  <c r="N193" i="3" s="1"/>
  <c r="M193" i="3" s="1"/>
  <c r="P193" i="3" s="1"/>
  <c r="H195" i="3"/>
  <c r="N195" i="3" s="1"/>
  <c r="M195" i="3" s="1"/>
  <c r="P195" i="3" s="1"/>
  <c r="H197" i="3"/>
  <c r="N197" i="3" s="1"/>
  <c r="M197" i="3" s="1"/>
  <c r="P197" i="3" s="1"/>
  <c r="H199" i="3"/>
  <c r="N199" i="3" s="1"/>
  <c r="M199" i="3" s="1"/>
  <c r="P199" i="3" s="1"/>
  <c r="H201" i="3"/>
  <c r="N201" i="3" s="1"/>
  <c r="M201" i="3" s="1"/>
  <c r="P201" i="3" s="1"/>
  <c r="H203" i="3"/>
  <c r="N203" i="3" s="1"/>
  <c r="M203" i="3" s="1"/>
  <c r="P203" i="3" s="1"/>
  <c r="H205" i="3"/>
  <c r="N205" i="3" s="1"/>
  <c r="M205" i="3" s="1"/>
  <c r="P205" i="3" s="1"/>
  <c r="H207" i="3"/>
  <c r="N207" i="3" s="1"/>
  <c r="M207" i="3" s="1"/>
  <c r="P207" i="3" s="1"/>
  <c r="H209" i="3"/>
  <c r="N209" i="3" s="1"/>
  <c r="M209" i="3" s="1"/>
  <c r="P209" i="3" s="1"/>
  <c r="H211" i="3"/>
  <c r="N211" i="3" s="1"/>
  <c r="M211" i="3" s="1"/>
  <c r="P211" i="3" s="1"/>
  <c r="H213" i="3"/>
  <c r="N213" i="3" s="1"/>
  <c r="M213" i="3" s="1"/>
  <c r="P213" i="3" s="1"/>
  <c r="H217" i="3"/>
  <c r="N217" i="3" s="1"/>
  <c r="M217" i="3" s="1"/>
  <c r="P217" i="3" s="1"/>
  <c r="H222" i="3"/>
  <c r="N222" i="3" s="1"/>
  <c r="M222" i="3" s="1"/>
  <c r="P222" i="3" s="1"/>
  <c r="H226" i="3"/>
  <c r="N226" i="3" s="1"/>
  <c r="M226" i="3" s="1"/>
  <c r="P226" i="3" s="1"/>
  <c r="H228" i="3"/>
  <c r="N228" i="3" s="1"/>
  <c r="M228" i="3" s="1"/>
  <c r="P228" i="3" s="1"/>
  <c r="H230" i="3"/>
  <c r="N230" i="3" s="1"/>
  <c r="M230" i="3" s="1"/>
  <c r="P230" i="3" s="1"/>
  <c r="H232" i="3"/>
  <c r="N232" i="3" s="1"/>
  <c r="M232" i="3" s="1"/>
  <c r="P232" i="3" s="1"/>
  <c r="H234" i="3"/>
  <c r="N234" i="3" s="1"/>
  <c r="M234" i="3" s="1"/>
  <c r="P234" i="3" s="1"/>
  <c r="H236" i="3"/>
  <c r="N236" i="3" s="1"/>
  <c r="M236" i="3" s="1"/>
  <c r="P236" i="3" s="1"/>
  <c r="H238" i="3"/>
  <c r="N238" i="3" s="1"/>
  <c r="M238" i="3" s="1"/>
  <c r="P238" i="3" s="1"/>
  <c r="H247" i="3"/>
  <c r="N247" i="3" s="1"/>
  <c r="M247" i="3" s="1"/>
  <c r="P247" i="3" s="1"/>
  <c r="H249" i="3"/>
  <c r="N249" i="3" s="1"/>
  <c r="M249" i="3" s="1"/>
  <c r="P249" i="3" s="1"/>
  <c r="H251" i="3"/>
  <c r="N251" i="3" s="1"/>
  <c r="M251" i="3" s="1"/>
  <c r="P251" i="3" s="1"/>
  <c r="H253" i="3"/>
  <c r="N253" i="3" s="1"/>
  <c r="M253" i="3" s="1"/>
  <c r="P253" i="3" s="1"/>
  <c r="H255" i="3"/>
  <c r="H257" i="3"/>
  <c r="N257" i="3" s="1"/>
  <c r="M257" i="3" s="1"/>
  <c r="P257" i="3" s="1"/>
  <c r="H259" i="3"/>
  <c r="N259" i="3" s="1"/>
  <c r="M259" i="3" s="1"/>
  <c r="P259" i="3" s="1"/>
  <c r="H261" i="3"/>
  <c r="N261" i="3" s="1"/>
  <c r="M261" i="3" s="1"/>
  <c r="P261" i="3" s="1"/>
  <c r="H265" i="3"/>
  <c r="N265" i="3" s="1"/>
  <c r="M265" i="3" s="1"/>
  <c r="P265" i="3" s="1"/>
  <c r="S47" i="3" l="1"/>
  <c r="T47" i="3" s="1"/>
  <c r="Q47" i="3"/>
  <c r="S239" i="3"/>
  <c r="T239" i="3" s="1"/>
  <c r="Q239" i="3"/>
  <c r="S126" i="3"/>
  <c r="T126" i="3" s="1"/>
  <c r="Q126" i="3"/>
  <c r="N93" i="3"/>
  <c r="M93" i="3" s="1"/>
  <c r="P93" i="3" s="1"/>
  <c r="H178" i="2" s="1"/>
  <c r="S115" i="3"/>
  <c r="T115" i="3" s="1"/>
  <c r="Q115" i="3"/>
  <c r="S139" i="3"/>
  <c r="T139" i="3" s="1"/>
  <c r="Q139" i="3"/>
  <c r="S164" i="3"/>
  <c r="T164" i="3" s="1"/>
  <c r="Q164" i="3"/>
  <c r="S204" i="3"/>
  <c r="T204" i="3" s="1"/>
  <c r="Q204" i="3"/>
  <c r="S250" i="3"/>
  <c r="T250" i="3" s="1"/>
  <c r="Q250" i="3"/>
  <c r="S135" i="3"/>
  <c r="T135" i="3" s="1"/>
  <c r="Q135" i="3"/>
  <c r="S70" i="3"/>
  <c r="T70" i="3" s="1"/>
  <c r="Q70" i="3"/>
  <c r="S191" i="3"/>
  <c r="T191" i="3" s="1"/>
  <c r="Q191" i="3"/>
  <c r="S92" i="3"/>
  <c r="T92" i="3" s="1"/>
  <c r="Q92" i="3"/>
  <c r="S226" i="3"/>
  <c r="T226" i="3" s="1"/>
  <c r="Q226" i="3"/>
  <c r="S7" i="3"/>
  <c r="T7" i="3" s="1"/>
  <c r="Q7" i="3"/>
  <c r="S29" i="3"/>
  <c r="T29" i="3" s="1"/>
  <c r="Q29" i="3"/>
  <c r="S52" i="3"/>
  <c r="T52" i="3" s="1"/>
  <c r="Q52" i="3"/>
  <c r="S73" i="3"/>
  <c r="T73" i="3" s="1"/>
  <c r="Q73" i="3"/>
  <c r="H1410" i="2"/>
  <c r="K1410" i="2" s="1"/>
  <c r="M1410" i="2" s="1"/>
  <c r="N95" i="3"/>
  <c r="M95" i="3" s="1"/>
  <c r="P95" i="3" s="1"/>
  <c r="S116" i="3"/>
  <c r="T116" i="3" s="1"/>
  <c r="Q116" i="3"/>
  <c r="S140" i="3"/>
  <c r="T140" i="3" s="1"/>
  <c r="Q140" i="3"/>
  <c r="S165" i="3"/>
  <c r="T165" i="3" s="1"/>
  <c r="Q165" i="3"/>
  <c r="S206" i="3"/>
  <c r="T206" i="3" s="1"/>
  <c r="Q206" i="3"/>
  <c r="S252" i="3"/>
  <c r="T252" i="3" s="1"/>
  <c r="Q252" i="3"/>
  <c r="S195" i="3"/>
  <c r="T195" i="3" s="1"/>
  <c r="Q195" i="3"/>
  <c r="N198" i="3"/>
  <c r="M198" i="3" s="1"/>
  <c r="P198" i="3" s="1"/>
  <c r="H1556" i="2" s="1"/>
  <c r="K1556" i="2" s="1"/>
  <c r="M1556" i="2" s="1"/>
  <c r="S69" i="3"/>
  <c r="T69" i="3" s="1"/>
  <c r="Q69" i="3"/>
  <c r="S202" i="3"/>
  <c r="T202" i="3" s="1"/>
  <c r="Q202" i="3"/>
  <c r="S222" i="3"/>
  <c r="T222" i="3" s="1"/>
  <c r="Q222" i="3"/>
  <c r="S50" i="3"/>
  <c r="T50" i="3" s="1"/>
  <c r="Q50" i="3"/>
  <c r="S8" i="3"/>
  <c r="T8" i="3" s="1"/>
  <c r="Q8" i="3"/>
  <c r="S31" i="3"/>
  <c r="T31" i="3" s="1"/>
  <c r="Q31" i="3"/>
  <c r="S53" i="3"/>
  <c r="T53" i="3" s="1"/>
  <c r="Q53" i="3"/>
  <c r="S75" i="3"/>
  <c r="T75" i="3" s="1"/>
  <c r="Q75" i="3"/>
  <c r="S96" i="3"/>
  <c r="T96" i="3" s="1"/>
  <c r="Q96" i="3"/>
  <c r="S117" i="3"/>
  <c r="T117" i="3" s="1"/>
  <c r="Q117" i="3"/>
  <c r="S141" i="3"/>
  <c r="T141" i="3" s="1"/>
  <c r="Q141" i="3"/>
  <c r="S167" i="3"/>
  <c r="T167" i="3" s="1"/>
  <c r="Q167" i="3"/>
  <c r="S208" i="3"/>
  <c r="T208" i="3" s="1"/>
  <c r="Q208" i="3"/>
  <c r="S254" i="3"/>
  <c r="T254" i="3" s="1"/>
  <c r="Q254" i="3"/>
  <c r="S24" i="3"/>
  <c r="T24" i="3" s="1"/>
  <c r="Q24" i="3"/>
  <c r="S200" i="3"/>
  <c r="T200" i="3" s="1"/>
  <c r="Q200" i="3"/>
  <c r="S4" i="3"/>
  <c r="T4" i="3" s="1"/>
  <c r="Q4" i="3"/>
  <c r="S28" i="3"/>
  <c r="T28" i="3" s="1"/>
  <c r="Q28" i="3"/>
  <c r="S46" i="3"/>
  <c r="T46" i="3" s="1"/>
  <c r="Q46" i="3"/>
  <c r="S9" i="3"/>
  <c r="T9" i="3" s="1"/>
  <c r="Q9" i="3"/>
  <c r="S32" i="3"/>
  <c r="T32" i="3" s="1"/>
  <c r="Q32" i="3"/>
  <c r="N55" i="3"/>
  <c r="M55" i="3" s="1"/>
  <c r="P55" i="3" s="1"/>
  <c r="S76" i="3"/>
  <c r="T76" i="3" s="1"/>
  <c r="Q76" i="3"/>
  <c r="S97" i="3"/>
  <c r="T97" i="3" s="1"/>
  <c r="Q97" i="3"/>
  <c r="S119" i="3"/>
  <c r="T119" i="3" s="1"/>
  <c r="Q119" i="3"/>
  <c r="S143" i="3"/>
  <c r="T143" i="3" s="1"/>
  <c r="Q143" i="3"/>
  <c r="S171" i="3"/>
  <c r="T171" i="3" s="1"/>
  <c r="Q171" i="3"/>
  <c r="S212" i="3"/>
  <c r="T212" i="3" s="1"/>
  <c r="Q212" i="3"/>
  <c r="S256" i="3"/>
  <c r="T256" i="3" s="1"/>
  <c r="Q256" i="3"/>
  <c r="S6" i="3"/>
  <c r="T6" i="3" s="1"/>
  <c r="Q6" i="3"/>
  <c r="S138" i="3"/>
  <c r="T138" i="3" s="1"/>
  <c r="Q138" i="3"/>
  <c r="N91" i="3"/>
  <c r="M91" i="3" s="1"/>
  <c r="P91" i="3" s="1"/>
  <c r="H1408" i="2" s="1"/>
  <c r="K1408" i="2" s="1"/>
  <c r="M1408" i="2" s="1"/>
  <c r="S137" i="3"/>
  <c r="T137" i="3" s="1"/>
  <c r="Q137" i="3"/>
  <c r="S58" i="3"/>
  <c r="T58" i="3" s="1"/>
  <c r="Q58" i="3"/>
  <c r="S110" i="3"/>
  <c r="T110" i="3" s="1"/>
  <c r="Q110" i="3"/>
  <c r="S42" i="3"/>
  <c r="T42" i="3" s="1"/>
  <c r="Q42" i="3"/>
  <c r="S11" i="3"/>
  <c r="T11" i="3" s="1"/>
  <c r="Q11" i="3"/>
  <c r="S33" i="3"/>
  <c r="T33" i="3" s="1"/>
  <c r="Q33" i="3"/>
  <c r="S56" i="3"/>
  <c r="T56" i="3" s="1"/>
  <c r="Q56" i="3"/>
  <c r="S77" i="3"/>
  <c r="T77" i="3" s="1"/>
  <c r="Q77" i="3"/>
  <c r="S99" i="3"/>
  <c r="T99" i="3" s="1"/>
  <c r="Q99" i="3"/>
  <c r="S120" i="3"/>
  <c r="T120" i="3" s="1"/>
  <c r="Q120" i="3"/>
  <c r="S144" i="3"/>
  <c r="T144" i="3" s="1"/>
  <c r="Q144" i="3"/>
  <c r="N176" i="3"/>
  <c r="M176" i="3" s="1"/>
  <c r="P176" i="3" s="1"/>
  <c r="H1542" i="2" s="1"/>
  <c r="K1542" i="2" s="1"/>
  <c r="M1542" i="2" s="1"/>
  <c r="S214" i="3"/>
  <c r="T214" i="3" s="1"/>
  <c r="Q214" i="3"/>
  <c r="S258" i="3"/>
  <c r="T258" i="3" s="1"/>
  <c r="Q258" i="3"/>
  <c r="S159" i="3"/>
  <c r="T159" i="3" s="1"/>
  <c r="Q159" i="3"/>
  <c r="S48" i="3"/>
  <c r="T48" i="3" s="1"/>
  <c r="Q48" i="3"/>
  <c r="S27" i="3"/>
  <c r="T27" i="3" s="1"/>
  <c r="Q27" i="3"/>
  <c r="S5" i="3"/>
  <c r="T5" i="3" s="1"/>
  <c r="Q5" i="3"/>
  <c r="S217" i="3"/>
  <c r="T217" i="3" s="1"/>
  <c r="Q217" i="3"/>
  <c r="S211" i="3"/>
  <c r="T211" i="3" s="1"/>
  <c r="Q211" i="3"/>
  <c r="N177" i="3"/>
  <c r="M177" i="3" s="1"/>
  <c r="P177" i="3" s="1"/>
  <c r="H1548" i="2" s="1"/>
  <c r="K1548" i="2" s="1"/>
  <c r="M1548" i="2" s="1"/>
  <c r="S106" i="3"/>
  <c r="T106" i="3" s="1"/>
  <c r="Q106" i="3"/>
  <c r="S38" i="3"/>
  <c r="T38" i="3" s="1"/>
  <c r="Q38" i="3"/>
  <c r="S12" i="3"/>
  <c r="T12" i="3" s="1"/>
  <c r="Q12" i="3"/>
  <c r="S35" i="3"/>
  <c r="T35" i="3" s="1"/>
  <c r="Q35" i="3"/>
  <c r="S57" i="3"/>
  <c r="T57" i="3" s="1"/>
  <c r="Q57" i="3"/>
  <c r="S79" i="3"/>
  <c r="T79" i="3" s="1"/>
  <c r="Q79" i="3"/>
  <c r="S100" i="3"/>
  <c r="T100" i="3" s="1"/>
  <c r="Q100" i="3"/>
  <c r="S121" i="3"/>
  <c r="T121" i="3" s="1"/>
  <c r="Q121" i="3"/>
  <c r="S145" i="3"/>
  <c r="T145" i="3" s="1"/>
  <c r="Q145" i="3"/>
  <c r="S178" i="3"/>
  <c r="T178" i="3" s="1"/>
  <c r="Q178" i="3"/>
  <c r="S216" i="3"/>
  <c r="T216" i="3" s="1"/>
  <c r="Q216" i="3"/>
  <c r="S260" i="3"/>
  <c r="T260" i="3" s="1"/>
  <c r="Q260" i="3"/>
  <c r="S235" i="3"/>
  <c r="T235" i="3" s="1"/>
  <c r="Q235" i="3"/>
  <c r="S248" i="3"/>
  <c r="T248" i="3" s="1"/>
  <c r="Q248" i="3"/>
  <c r="S118" i="3"/>
  <c r="T118" i="3" s="1"/>
  <c r="Q118" i="3"/>
  <c r="S175" i="3"/>
  <c r="T175" i="3" s="1"/>
  <c r="Q175" i="3"/>
  <c r="S102" i="3"/>
  <c r="T102" i="3" s="1"/>
  <c r="Q102" i="3"/>
  <c r="S34" i="3"/>
  <c r="T34" i="3" s="1"/>
  <c r="Q34" i="3"/>
  <c r="S13" i="3"/>
  <c r="T13" i="3" s="1"/>
  <c r="Q13" i="3"/>
  <c r="S36" i="3"/>
  <c r="T36" i="3" s="1"/>
  <c r="Q36" i="3"/>
  <c r="S59" i="3"/>
  <c r="T59" i="3" s="1"/>
  <c r="Q59" i="3"/>
  <c r="S80" i="3"/>
  <c r="T80" i="3" s="1"/>
  <c r="Q80" i="3"/>
  <c r="S101" i="3"/>
  <c r="T101" i="3" s="1"/>
  <c r="Q101" i="3"/>
  <c r="N123" i="3"/>
  <c r="M123" i="3" s="1"/>
  <c r="P123" i="3" s="1"/>
  <c r="H1442" i="2" s="1"/>
  <c r="K1442" i="2" s="1"/>
  <c r="M1442" i="2" s="1"/>
  <c r="S147" i="3"/>
  <c r="T147" i="3" s="1"/>
  <c r="Q147" i="3"/>
  <c r="N180" i="3"/>
  <c r="M180" i="3" s="1"/>
  <c r="P180" i="3" s="1"/>
  <c r="H1546" i="2" s="1"/>
  <c r="K1546" i="2" s="1"/>
  <c r="M1546" i="2" s="1"/>
  <c r="S218" i="3"/>
  <c r="T218" i="3" s="1"/>
  <c r="Q218" i="3"/>
  <c r="S268" i="3"/>
  <c r="T268" i="3" s="1"/>
  <c r="Q268" i="3"/>
  <c r="S111" i="3"/>
  <c r="T111" i="3" s="1"/>
  <c r="Q111" i="3"/>
  <c r="S25" i="3"/>
  <c r="T25" i="3" s="1"/>
  <c r="Q25" i="3"/>
  <c r="S49" i="3"/>
  <c r="T49" i="3" s="1"/>
  <c r="Q49" i="3"/>
  <c r="S228" i="3"/>
  <c r="T228" i="3" s="1"/>
  <c r="Q228" i="3"/>
  <c r="N122" i="3"/>
  <c r="M122" i="3" s="1"/>
  <c r="P122" i="3" s="1"/>
  <c r="H1440" i="2" s="1"/>
  <c r="K1440" i="2" s="1"/>
  <c r="M1440" i="2" s="1"/>
  <c r="S15" i="3"/>
  <c r="T15" i="3" s="1"/>
  <c r="Q15" i="3"/>
  <c r="S37" i="3"/>
  <c r="T37" i="3" s="1"/>
  <c r="Q37" i="3"/>
  <c r="S60" i="3"/>
  <c r="T60" i="3" s="1"/>
  <c r="Q60" i="3"/>
  <c r="S81" i="3"/>
  <c r="T81" i="3" s="1"/>
  <c r="Q81" i="3"/>
  <c r="S103" i="3"/>
  <c r="T103" i="3" s="1"/>
  <c r="Q103" i="3"/>
  <c r="N124" i="3"/>
  <c r="M124" i="3" s="1"/>
  <c r="P124" i="3" s="1"/>
  <c r="H1443" i="2" s="1"/>
  <c r="K1443" i="2" s="1"/>
  <c r="M1443" i="2" s="1"/>
  <c r="S148" i="3"/>
  <c r="T148" i="3" s="1"/>
  <c r="Q148" i="3"/>
  <c r="N182" i="3"/>
  <c r="M182" i="3" s="1"/>
  <c r="P182" i="3" s="1"/>
  <c r="H1544" i="2" s="1"/>
  <c r="K1544" i="2" s="1"/>
  <c r="M1544" i="2" s="1"/>
  <c r="S223" i="3"/>
  <c r="T223" i="3" s="1"/>
  <c r="Q223" i="3"/>
  <c r="S68" i="3"/>
  <c r="T68" i="3" s="1"/>
  <c r="Q68" i="3"/>
  <c r="S193" i="3"/>
  <c r="T193" i="3" s="1"/>
  <c r="Q193" i="3"/>
  <c r="S71" i="3"/>
  <c r="T71" i="3" s="1"/>
  <c r="Q71" i="3"/>
  <c r="S187" i="3"/>
  <c r="T187" i="3" s="1"/>
  <c r="Q187" i="3"/>
  <c r="S265" i="3"/>
  <c r="T265" i="3" s="1"/>
  <c r="Q265" i="3"/>
  <c r="S213" i="3"/>
  <c r="T213" i="3" s="1"/>
  <c r="Q213" i="3"/>
  <c r="S253" i="3"/>
  <c r="T253" i="3" s="1"/>
  <c r="Q253" i="3"/>
  <c r="S251" i="3"/>
  <c r="T251" i="3" s="1"/>
  <c r="Q251" i="3"/>
  <c r="S166" i="3"/>
  <c r="T166" i="3" s="1"/>
  <c r="Q166" i="3"/>
  <c r="N94" i="3"/>
  <c r="M94" i="3" s="1"/>
  <c r="P94" i="3" s="1"/>
  <c r="H180" i="2" s="1"/>
  <c r="S26" i="3"/>
  <c r="T26" i="3" s="1"/>
  <c r="Q26" i="3"/>
  <c r="S17" i="3"/>
  <c r="T17" i="3" s="1"/>
  <c r="Q17" i="3"/>
  <c r="S39" i="3"/>
  <c r="T39" i="3" s="1"/>
  <c r="Q39" i="3"/>
  <c r="S61" i="3"/>
  <c r="T61" i="3" s="1"/>
  <c r="Q61" i="3"/>
  <c r="S83" i="3"/>
  <c r="T83" i="3" s="1"/>
  <c r="Q83" i="3"/>
  <c r="S104" i="3"/>
  <c r="T104" i="3" s="1"/>
  <c r="Q104" i="3"/>
  <c r="S125" i="3"/>
  <c r="T125" i="3" s="1"/>
  <c r="Q125" i="3"/>
  <c r="S149" i="3"/>
  <c r="T149" i="3" s="1"/>
  <c r="Q149" i="3"/>
  <c r="N184" i="3"/>
  <c r="M184" i="3" s="1"/>
  <c r="P184" i="3" s="1"/>
  <c r="H1549" i="2" s="1"/>
  <c r="K1549" i="2" s="1"/>
  <c r="M1549" i="2" s="1"/>
  <c r="S225" i="3"/>
  <c r="T225" i="3" s="1"/>
  <c r="Q225" i="3"/>
  <c r="S74" i="3"/>
  <c r="T74" i="3" s="1"/>
  <c r="Q74" i="3"/>
  <c r="S136" i="3"/>
  <c r="T136" i="3" s="1"/>
  <c r="Q136" i="3"/>
  <c r="S66" i="3"/>
  <c r="T66" i="3" s="1"/>
  <c r="Q66" i="3"/>
  <c r="S51" i="3"/>
  <c r="T51" i="3" s="1"/>
  <c r="Q51" i="3"/>
  <c r="S114" i="3"/>
  <c r="T114" i="3" s="1"/>
  <c r="Q114" i="3"/>
  <c r="S209" i="3"/>
  <c r="T209" i="3" s="1"/>
  <c r="Q209" i="3"/>
  <c r="S207" i="3"/>
  <c r="T207" i="3" s="1"/>
  <c r="Q207" i="3"/>
  <c r="S158" i="3"/>
  <c r="T158" i="3" s="1"/>
  <c r="Q158" i="3"/>
  <c r="S90" i="3"/>
  <c r="T90" i="3" s="1"/>
  <c r="Q90" i="3"/>
  <c r="S22" i="3"/>
  <c r="T22" i="3" s="1"/>
  <c r="Q22" i="3"/>
  <c r="N19" i="3"/>
  <c r="M19" i="3" s="1"/>
  <c r="P19" i="3" s="1"/>
  <c r="H1541" i="2" s="1"/>
  <c r="K1541" i="2" s="1"/>
  <c r="M1541" i="2" s="1"/>
  <c r="S40" i="3"/>
  <c r="T40" i="3" s="1"/>
  <c r="Q40" i="3"/>
  <c r="N63" i="3"/>
  <c r="M63" i="3" s="1"/>
  <c r="P63" i="3" s="1"/>
  <c r="H392" i="2" s="1"/>
  <c r="S84" i="3"/>
  <c r="T84" i="3" s="1"/>
  <c r="Q84" i="3"/>
  <c r="S105" i="3"/>
  <c r="T105" i="3" s="1"/>
  <c r="Q105" i="3"/>
  <c r="S127" i="3"/>
  <c r="T127" i="3" s="1"/>
  <c r="Q127" i="3"/>
  <c r="S151" i="3"/>
  <c r="T151" i="3" s="1"/>
  <c r="Q151" i="3"/>
  <c r="S188" i="3"/>
  <c r="T188" i="3" s="1"/>
  <c r="Q188" i="3"/>
  <c r="S227" i="3"/>
  <c r="T227" i="3" s="1"/>
  <c r="Q227" i="3"/>
  <c r="S89" i="3"/>
  <c r="T89" i="3" s="1"/>
  <c r="Q89" i="3"/>
  <c r="S232" i="3"/>
  <c r="T232" i="3" s="1"/>
  <c r="Q232" i="3"/>
  <c r="S230" i="3"/>
  <c r="T230" i="3" s="1"/>
  <c r="Q230" i="3"/>
  <c r="S113" i="3"/>
  <c r="T113" i="3" s="1"/>
  <c r="Q113" i="3"/>
  <c r="N62" i="3"/>
  <c r="M62" i="3" s="1"/>
  <c r="P62" i="3" s="1"/>
  <c r="H1437" i="2" s="1"/>
  <c r="K1437" i="2" s="1"/>
  <c r="M1437" i="2" s="1"/>
  <c r="S181" i="3"/>
  <c r="T181" i="3" s="1"/>
  <c r="Q181" i="3"/>
  <c r="N179" i="3"/>
  <c r="M179" i="3" s="1"/>
  <c r="P179" i="3" s="1"/>
  <c r="H1552" i="2" s="1"/>
  <c r="K1552" i="2" s="1"/>
  <c r="M1552" i="2" s="1"/>
  <c r="S173" i="3"/>
  <c r="T173" i="3" s="1"/>
  <c r="Q173" i="3"/>
  <c r="S249" i="3"/>
  <c r="T249" i="3" s="1"/>
  <c r="Q249" i="3"/>
  <c r="S201" i="3"/>
  <c r="T201" i="3" s="1"/>
  <c r="Q201" i="3"/>
  <c r="S154" i="3"/>
  <c r="T154" i="3" s="1"/>
  <c r="Q154" i="3"/>
  <c r="S86" i="3"/>
  <c r="T86" i="3" s="1"/>
  <c r="Q86" i="3"/>
  <c r="S18" i="3"/>
  <c r="T18" i="3" s="1"/>
  <c r="Q18" i="3"/>
  <c r="S20" i="3"/>
  <c r="T20" i="3" s="1"/>
  <c r="Q20" i="3"/>
  <c r="S41" i="3"/>
  <c r="T41" i="3" s="1"/>
  <c r="Q41" i="3"/>
  <c r="S64" i="3"/>
  <c r="T64" i="3" s="1"/>
  <c r="Q64" i="3"/>
  <c r="S85" i="3"/>
  <c r="T85" i="3" s="1"/>
  <c r="Q85" i="3"/>
  <c r="S107" i="3"/>
  <c r="T107" i="3" s="1"/>
  <c r="Q107" i="3"/>
  <c r="S128" i="3"/>
  <c r="T128" i="3" s="1"/>
  <c r="Q128" i="3"/>
  <c r="S152" i="3"/>
  <c r="T152" i="3" s="1"/>
  <c r="Q152" i="3"/>
  <c r="S192" i="3"/>
  <c r="T192" i="3" s="1"/>
  <c r="Q192" i="3"/>
  <c r="S229" i="3"/>
  <c r="T229" i="3" s="1"/>
  <c r="Q229" i="3"/>
  <c r="S112" i="3"/>
  <c r="T112" i="3" s="1"/>
  <c r="Q112" i="3"/>
  <c r="S163" i="3"/>
  <c r="T163" i="3" s="1"/>
  <c r="Q163" i="3"/>
  <c r="S185" i="3"/>
  <c r="T185" i="3" s="1"/>
  <c r="Q185" i="3"/>
  <c r="S261" i="3"/>
  <c r="T261" i="3" s="1"/>
  <c r="Q261" i="3"/>
  <c r="S257" i="3"/>
  <c r="T257" i="3" s="1"/>
  <c r="Q257" i="3"/>
  <c r="S30" i="3"/>
  <c r="T30" i="3" s="1"/>
  <c r="Q30" i="3"/>
  <c r="S203" i="3"/>
  <c r="T203" i="3" s="1"/>
  <c r="Q203" i="3"/>
  <c r="S247" i="3"/>
  <c r="T247" i="3" s="1"/>
  <c r="Q247" i="3"/>
  <c r="S238" i="3"/>
  <c r="T238" i="3" s="1"/>
  <c r="Q238" i="3"/>
  <c r="S199" i="3"/>
  <c r="T199" i="3" s="1"/>
  <c r="Q199" i="3"/>
  <c r="N150" i="3"/>
  <c r="M150" i="3" s="1"/>
  <c r="P150" i="3" s="1"/>
  <c r="H1528" i="2" s="1"/>
  <c r="K1528" i="2" s="1"/>
  <c r="M1528" i="2" s="1"/>
  <c r="S82" i="3"/>
  <c r="T82" i="3" s="1"/>
  <c r="Q82" i="3"/>
  <c r="S14" i="3"/>
  <c r="T14" i="3" s="1"/>
  <c r="Q14" i="3"/>
  <c r="S21" i="3"/>
  <c r="T21" i="3" s="1"/>
  <c r="Q21" i="3"/>
  <c r="S43" i="3"/>
  <c r="T43" i="3" s="1"/>
  <c r="Q43" i="3"/>
  <c r="S65" i="3"/>
  <c r="T65" i="3" s="1"/>
  <c r="Q65" i="3"/>
  <c r="S87" i="3"/>
  <c r="T87" i="3" s="1"/>
  <c r="Q87" i="3"/>
  <c r="S108" i="3"/>
  <c r="T108" i="3" s="1"/>
  <c r="Q108" i="3"/>
  <c r="S129" i="3"/>
  <c r="T129" i="3" s="1"/>
  <c r="Q129" i="3"/>
  <c r="S153" i="3"/>
  <c r="T153" i="3" s="1"/>
  <c r="Q153" i="3"/>
  <c r="S194" i="3"/>
  <c r="T194" i="3" s="1"/>
  <c r="Q194" i="3"/>
  <c r="S231" i="3"/>
  <c r="T231" i="3" s="1"/>
  <c r="Q231" i="3"/>
  <c r="S234" i="3"/>
  <c r="T234" i="3" s="1"/>
  <c r="Q234" i="3"/>
  <c r="N142" i="3"/>
  <c r="M142" i="3" s="1"/>
  <c r="P142" i="3" s="1"/>
  <c r="H1527" i="2" s="1"/>
  <c r="K1527" i="2" s="1"/>
  <c r="M1527" i="2" s="1"/>
  <c r="S160" i="3"/>
  <c r="T160" i="3" s="1"/>
  <c r="Q160" i="3"/>
  <c r="S134" i="3"/>
  <c r="T134" i="3" s="1"/>
  <c r="Q134" i="3"/>
  <c r="S72" i="3"/>
  <c r="T72" i="3" s="1"/>
  <c r="Q72" i="3"/>
  <c r="N183" i="3"/>
  <c r="M183" i="3" s="1"/>
  <c r="P183" i="3" s="1"/>
  <c r="H1538" i="2" s="1"/>
  <c r="K1538" i="2" s="1"/>
  <c r="M1538" i="2" s="1"/>
  <c r="S259" i="3"/>
  <c r="T259" i="3" s="1"/>
  <c r="Q259" i="3"/>
  <c r="N255" i="3"/>
  <c r="M255" i="3" s="1"/>
  <c r="P255" i="3" s="1"/>
  <c r="H1555" i="2" s="1"/>
  <c r="K1555" i="2" s="1"/>
  <c r="M1555" i="2" s="1"/>
  <c r="S98" i="3"/>
  <c r="T98" i="3" s="1"/>
  <c r="Q98" i="3"/>
  <c r="S205" i="3"/>
  <c r="T205" i="3" s="1"/>
  <c r="Q205" i="3"/>
  <c r="S236" i="3"/>
  <c r="T236" i="3" s="1"/>
  <c r="Q236" i="3"/>
  <c r="S197" i="3"/>
  <c r="T197" i="3" s="1"/>
  <c r="Q197" i="3"/>
  <c r="S146" i="3"/>
  <c r="T146" i="3" s="1"/>
  <c r="Q146" i="3"/>
  <c r="S78" i="3"/>
  <c r="T78" i="3" s="1"/>
  <c r="Q78" i="3"/>
  <c r="S10" i="3"/>
  <c r="T10" i="3" s="1"/>
  <c r="Q10" i="3"/>
  <c r="S23" i="3"/>
  <c r="T23" i="3" s="1"/>
  <c r="Q23" i="3"/>
  <c r="S44" i="3"/>
  <c r="T44" i="3" s="1"/>
  <c r="Q44" i="3"/>
  <c r="S67" i="3"/>
  <c r="T67" i="3" s="1"/>
  <c r="Q67" i="3"/>
  <c r="S88" i="3"/>
  <c r="T88" i="3" s="1"/>
  <c r="Q88" i="3"/>
  <c r="S109" i="3"/>
  <c r="T109" i="3" s="1"/>
  <c r="Q109" i="3"/>
  <c r="S133" i="3"/>
  <c r="T133" i="3" s="1"/>
  <c r="Q133" i="3"/>
  <c r="S157" i="3"/>
  <c r="T157" i="3" s="1"/>
  <c r="Q157" i="3"/>
  <c r="S196" i="3"/>
  <c r="T196" i="3" s="1"/>
  <c r="Q196" i="3"/>
  <c r="S233" i="3"/>
  <c r="T233" i="3" s="1"/>
  <c r="Q233" i="3"/>
  <c r="H382" i="3"/>
  <c r="H1504" i="2"/>
  <c r="K1504" i="2" s="1"/>
  <c r="M1504" i="2" s="1"/>
  <c r="H1539" i="2"/>
  <c r="K1539" i="2" s="1"/>
  <c r="M1539" i="2" s="1"/>
  <c r="H1458" i="2"/>
  <c r="K1458" i="2" s="1"/>
  <c r="M1458" i="2" s="1"/>
  <c r="H1484" i="2"/>
  <c r="K1484" i="2" s="1"/>
  <c r="M1484" i="2" s="1"/>
  <c r="H1514" i="2"/>
  <c r="K1514" i="2" s="1"/>
  <c r="M1514" i="2" s="1"/>
  <c r="H1468" i="2"/>
  <c r="K1468" i="2" s="1"/>
  <c r="M1468" i="2" s="1"/>
  <c r="H1494" i="2"/>
  <c r="K1494" i="2" s="1"/>
  <c r="M1494" i="2" s="1"/>
  <c r="H1520" i="2"/>
  <c r="K1520" i="2" s="1"/>
  <c r="M1520" i="2" s="1"/>
  <c r="H1505" i="2"/>
  <c r="K1505" i="2" s="1"/>
  <c r="M1505" i="2" s="1"/>
  <c r="H1533" i="2"/>
  <c r="K1533" i="2" s="1"/>
  <c r="M1533" i="2" s="1"/>
  <c r="H1454" i="2"/>
  <c r="K1454" i="2" s="1"/>
  <c r="M1454" i="2" s="1"/>
  <c r="H1509" i="2"/>
  <c r="K1509" i="2" s="1"/>
  <c r="M1509" i="2" s="1"/>
  <c r="H1480" i="2"/>
  <c r="K1480" i="2" s="1"/>
  <c r="M1480" i="2" s="1"/>
  <c r="H1550" i="2"/>
  <c r="K1550" i="2" s="1"/>
  <c r="M1550" i="2" s="1"/>
  <c r="H1521" i="2"/>
  <c r="K1521" i="2" s="1"/>
  <c r="M1521" i="2" s="1"/>
  <c r="H1459" i="2"/>
  <c r="K1459" i="2" s="1"/>
  <c r="M1459" i="2" s="1"/>
  <c r="H1485" i="2"/>
  <c r="K1485" i="2" s="1"/>
  <c r="M1485" i="2" s="1"/>
  <c r="H1470" i="2"/>
  <c r="K1470" i="2" s="1"/>
  <c r="M1470" i="2" s="1"/>
  <c r="H1496" i="2"/>
  <c r="K1496" i="2" s="1"/>
  <c r="M1496" i="2" s="1"/>
  <c r="H1523" i="2"/>
  <c r="K1523" i="2" s="1"/>
  <c r="M1523" i="2" s="1"/>
  <c r="H1534" i="2"/>
  <c r="K1534" i="2" s="1"/>
  <c r="M1534" i="2" s="1"/>
  <c r="H1492" i="2"/>
  <c r="K1492" i="2" s="1"/>
  <c r="M1492" i="2" s="1"/>
  <c r="H1466" i="2"/>
  <c r="K1466" i="2" s="1"/>
  <c r="M1466" i="2" s="1"/>
  <c r="H1535" i="2"/>
  <c r="K1535" i="2" s="1"/>
  <c r="M1535" i="2" s="1"/>
  <c r="H1455" i="2"/>
  <c r="K1455" i="2" s="1"/>
  <c r="M1455" i="2" s="1"/>
  <c r="H1481" i="2"/>
  <c r="K1481" i="2" s="1"/>
  <c r="M1481" i="2" s="1"/>
  <c r="H1511" i="2"/>
  <c r="K1511" i="2" s="1"/>
  <c r="M1511" i="2" s="1"/>
  <c r="H1510" i="2"/>
  <c r="K1510" i="2" s="1"/>
  <c r="M1510" i="2" s="1"/>
  <c r="H1486" i="2"/>
  <c r="K1486" i="2" s="1"/>
  <c r="M1486" i="2" s="1"/>
  <c r="H1460" i="2"/>
  <c r="K1460" i="2" s="1"/>
  <c r="M1460" i="2" s="1"/>
  <c r="H1495" i="2"/>
  <c r="K1495" i="2" s="1"/>
  <c r="M1495" i="2" s="1"/>
  <c r="H1469" i="2"/>
  <c r="K1469" i="2" s="1"/>
  <c r="M1469" i="2" s="1"/>
  <c r="H1491" i="2"/>
  <c r="K1491" i="2" s="1"/>
  <c r="M1491" i="2" s="1"/>
  <c r="H1465" i="2"/>
  <c r="K1465" i="2" s="1"/>
  <c r="M1465" i="2" s="1"/>
  <c r="H1493" i="2"/>
  <c r="K1493" i="2" s="1"/>
  <c r="M1493" i="2" s="1"/>
  <c r="H1522" i="2"/>
  <c r="K1522" i="2" s="1"/>
  <c r="M1522" i="2" s="1"/>
  <c r="H1467" i="2"/>
  <c r="K1467" i="2" s="1"/>
  <c r="M1467" i="2" s="1"/>
  <c r="H1490" i="2"/>
  <c r="K1490" i="2" s="1"/>
  <c r="M1490" i="2" s="1"/>
  <c r="H1464" i="2"/>
  <c r="K1464" i="2" s="1"/>
  <c r="M1464" i="2" s="1"/>
  <c r="H1479" i="2"/>
  <c r="K1479" i="2" s="1"/>
  <c r="M1479" i="2" s="1"/>
  <c r="H1453" i="2"/>
  <c r="K1453" i="2" s="1"/>
  <c r="M1453" i="2" s="1"/>
  <c r="H1537" i="2"/>
  <c r="K1537" i="2" s="1"/>
  <c r="M1537" i="2" s="1"/>
  <c r="H1506" i="2"/>
  <c r="K1506" i="2" s="1"/>
  <c r="M1506" i="2" s="1"/>
  <c r="H1536" i="2"/>
  <c r="K1536" i="2" s="1"/>
  <c r="M1536" i="2" s="1"/>
  <c r="H1456" i="2"/>
  <c r="K1456" i="2" s="1"/>
  <c r="M1456" i="2" s="1"/>
  <c r="H1512" i="2"/>
  <c r="K1512" i="2" s="1"/>
  <c r="M1512" i="2" s="1"/>
  <c r="H1482" i="2"/>
  <c r="K1482" i="2" s="1"/>
  <c r="M1482" i="2" s="1"/>
  <c r="H1457" i="2"/>
  <c r="K1457" i="2" s="1"/>
  <c r="M1457" i="2" s="1"/>
  <c r="H1547" i="2"/>
  <c r="K1547" i="2" s="1"/>
  <c r="M1547" i="2" s="1"/>
  <c r="H1513" i="2"/>
  <c r="K1513" i="2" s="1"/>
  <c r="M1513" i="2" s="1"/>
  <c r="H1483" i="2"/>
  <c r="K1483" i="2" s="1"/>
  <c r="M1483" i="2" s="1"/>
  <c r="H1478" i="2"/>
  <c r="K1478" i="2" s="1"/>
  <c r="M1478" i="2" s="1"/>
  <c r="H1532" i="2"/>
  <c r="K1532" i="2" s="1"/>
  <c r="M1532" i="2" s="1"/>
  <c r="H1452" i="2"/>
  <c r="K1452" i="2" s="1"/>
  <c r="M1452" i="2" s="1"/>
  <c r="H1503" i="2"/>
  <c r="K1503" i="2" s="1"/>
  <c r="M1503" i="2" s="1"/>
  <c r="H1316" i="2"/>
  <c r="K1316" i="2" s="1"/>
  <c r="M1316" i="2" s="1"/>
  <c r="H1517" i="2"/>
  <c r="K1517" i="2" s="1"/>
  <c r="M1517" i="2" s="1"/>
  <c r="H1543" i="2"/>
  <c r="K1543" i="2" s="1"/>
  <c r="M1543" i="2" s="1"/>
  <c r="H1476" i="2"/>
  <c r="K1476" i="2" s="1"/>
  <c r="M1476" i="2" s="1"/>
  <c r="H1450" i="2"/>
  <c r="K1450" i="2" s="1"/>
  <c r="M1450" i="2" s="1"/>
  <c r="H1554" i="2"/>
  <c r="K1554" i="2" s="1"/>
  <c r="M1554" i="2" s="1"/>
  <c r="H1526" i="2"/>
  <c r="K1526" i="2" s="1"/>
  <c r="M1526" i="2" s="1"/>
  <c r="H1515" i="2"/>
  <c r="K1515" i="2" s="1"/>
  <c r="M1515" i="2" s="1"/>
  <c r="H1519" i="2"/>
  <c r="K1519" i="2" s="1"/>
  <c r="M1519" i="2" s="1"/>
  <c r="H1489" i="2"/>
  <c r="K1489" i="2" s="1"/>
  <c r="M1489" i="2" s="1"/>
  <c r="H1463" i="2"/>
  <c r="K1463" i="2" s="1"/>
  <c r="M1463" i="2" s="1"/>
  <c r="H1524" i="2"/>
  <c r="K1524" i="2" s="1"/>
  <c r="M1524" i="2" s="1"/>
  <c r="H1518" i="2"/>
  <c r="K1518" i="2" s="1"/>
  <c r="M1518" i="2" s="1"/>
  <c r="H1477" i="2"/>
  <c r="K1477" i="2" s="1"/>
  <c r="M1477" i="2" s="1"/>
  <c r="H1531" i="2"/>
  <c r="K1531" i="2" s="1"/>
  <c r="M1531" i="2" s="1"/>
  <c r="H1502" i="2"/>
  <c r="K1502" i="2" s="1"/>
  <c r="M1502" i="2" s="1"/>
  <c r="H1451" i="2"/>
  <c r="K1451" i="2" s="1"/>
  <c r="M1451" i="2" s="1"/>
  <c r="H1461" i="2"/>
  <c r="K1461" i="2" s="1"/>
  <c r="M1461" i="2" s="1"/>
  <c r="H1507" i="2"/>
  <c r="K1507" i="2" s="1"/>
  <c r="M1507" i="2" s="1"/>
  <c r="H1487" i="2"/>
  <c r="K1487" i="2" s="1"/>
  <c r="M1487" i="2" s="1"/>
  <c r="H1540" i="2"/>
  <c r="K1540" i="2" s="1"/>
  <c r="M1540" i="2" s="1"/>
  <c r="H1462" i="2"/>
  <c r="K1462" i="2" s="1"/>
  <c r="M1462" i="2" s="1"/>
  <c r="H1545" i="2"/>
  <c r="K1545" i="2" s="1"/>
  <c r="M1545" i="2" s="1"/>
  <c r="H1488" i="2"/>
  <c r="K1488" i="2" s="1"/>
  <c r="M1488" i="2" s="1"/>
  <c r="H1471" i="2"/>
  <c r="K1471" i="2" s="1"/>
  <c r="M1471" i="2" s="1"/>
  <c r="H1497" i="2"/>
  <c r="K1497" i="2" s="1"/>
  <c r="M1497" i="2" s="1"/>
  <c r="H1553" i="2"/>
  <c r="K1553" i="2" s="1"/>
  <c r="M1553" i="2" s="1"/>
  <c r="H1525" i="2"/>
  <c r="K1525" i="2" s="1"/>
  <c r="M1525" i="2" s="1"/>
  <c r="H969" i="2"/>
  <c r="K969" i="2" s="1"/>
  <c r="M969" i="2" s="1"/>
  <c r="H1430" i="2"/>
  <c r="K1430" i="2" s="1"/>
  <c r="M1430" i="2" s="1"/>
  <c r="H1392" i="2"/>
  <c r="K1392" i="2" s="1"/>
  <c r="M1392" i="2" s="1"/>
  <c r="H1446" i="2"/>
  <c r="K1446" i="2" s="1"/>
  <c r="M1446" i="2" s="1"/>
  <c r="H1413" i="2"/>
  <c r="K1413" i="2" s="1"/>
  <c r="M1413" i="2" s="1"/>
  <c r="H970" i="2"/>
  <c r="K970" i="2" s="1"/>
  <c r="M970" i="2" s="1"/>
  <c r="H1431" i="2"/>
  <c r="K1431" i="2" s="1"/>
  <c r="M1431" i="2" s="1"/>
  <c r="H1393" i="2"/>
  <c r="K1393" i="2" s="1"/>
  <c r="M1393" i="2" s="1"/>
  <c r="H981" i="2"/>
  <c r="K981" i="2" s="1"/>
  <c r="M981" i="2" s="1"/>
  <c r="H1404" i="2"/>
  <c r="K1404" i="2" s="1"/>
  <c r="M1404" i="2" s="1"/>
  <c r="H965" i="2"/>
  <c r="K965" i="2" s="1"/>
  <c r="M965" i="2" s="1"/>
  <c r="H1422" i="2"/>
  <c r="K1422" i="2" s="1"/>
  <c r="M1422" i="2" s="1"/>
  <c r="H1388" i="2"/>
  <c r="K1388" i="2" s="1"/>
  <c r="M1388" i="2" s="1"/>
  <c r="H966" i="2"/>
  <c r="K966" i="2" s="1"/>
  <c r="M966" i="2" s="1"/>
  <c r="H1389" i="2"/>
  <c r="K1389" i="2" s="1"/>
  <c r="M1389" i="2" s="1"/>
  <c r="H1425" i="2"/>
  <c r="K1425" i="2" s="1"/>
  <c r="M1425" i="2" s="1"/>
  <c r="H977" i="2"/>
  <c r="K977" i="2" s="1"/>
  <c r="M977" i="2" s="1"/>
  <c r="H1400" i="2"/>
  <c r="K1400" i="2" s="1"/>
  <c r="M1400" i="2" s="1"/>
  <c r="H1424" i="2"/>
  <c r="K1424" i="2" s="1"/>
  <c r="M1424" i="2" s="1"/>
  <c r="H971" i="2"/>
  <c r="K971" i="2" s="1"/>
  <c r="M971" i="2" s="1"/>
  <c r="H1394" i="2"/>
  <c r="K1394" i="2" s="1"/>
  <c r="M1394" i="2" s="1"/>
  <c r="H1423" i="2"/>
  <c r="K1423" i="2" s="1"/>
  <c r="M1423" i="2" s="1"/>
  <c r="H980" i="2"/>
  <c r="K980" i="2" s="1"/>
  <c r="M980" i="2" s="1"/>
  <c r="H1403" i="2"/>
  <c r="K1403" i="2" s="1"/>
  <c r="M1403" i="2" s="1"/>
  <c r="H976" i="2"/>
  <c r="K976" i="2" s="1"/>
  <c r="M976" i="2" s="1"/>
  <c r="H1434" i="2"/>
  <c r="K1434" i="2" s="1"/>
  <c r="M1434" i="2" s="1"/>
  <c r="H1399" i="2"/>
  <c r="K1399" i="2" s="1"/>
  <c r="M1399" i="2" s="1"/>
  <c r="H978" i="2"/>
  <c r="K978" i="2" s="1"/>
  <c r="M978" i="2" s="1"/>
  <c r="H1401" i="2"/>
  <c r="K1401" i="2" s="1"/>
  <c r="M1401" i="2" s="1"/>
  <c r="H975" i="2"/>
  <c r="K975" i="2" s="1"/>
  <c r="M975" i="2" s="1"/>
  <c r="H1398" i="2"/>
  <c r="K1398" i="2" s="1"/>
  <c r="M1398" i="2" s="1"/>
  <c r="H968" i="2"/>
  <c r="K968" i="2" s="1"/>
  <c r="M968" i="2" s="1"/>
  <c r="H1427" i="2"/>
  <c r="K1427" i="2" s="1"/>
  <c r="M1427" i="2" s="1"/>
  <c r="H1391" i="2"/>
  <c r="K1391" i="2" s="1"/>
  <c r="M1391" i="2" s="1"/>
  <c r="H967" i="2"/>
  <c r="K967" i="2" s="1"/>
  <c r="M967" i="2" s="1"/>
  <c r="H1426" i="2"/>
  <c r="K1426" i="2" s="1"/>
  <c r="M1426" i="2" s="1"/>
  <c r="H1390" i="2"/>
  <c r="K1390" i="2" s="1"/>
  <c r="M1390" i="2" s="1"/>
  <c r="H974" i="2"/>
  <c r="K974" i="2" s="1"/>
  <c r="M974" i="2" s="1"/>
  <c r="H1397" i="2"/>
  <c r="K1397" i="2" s="1"/>
  <c r="M1397" i="2" s="1"/>
  <c r="H979" i="2"/>
  <c r="K979" i="2" s="1"/>
  <c r="M979" i="2" s="1"/>
  <c r="H1402" i="2"/>
  <c r="K1402" i="2" s="1"/>
  <c r="M1402" i="2" s="1"/>
  <c r="H961" i="2"/>
  <c r="K961" i="2" s="1"/>
  <c r="M961" i="2" s="1"/>
  <c r="H1384" i="2"/>
  <c r="K1384" i="2" s="1"/>
  <c r="H1438" i="2"/>
  <c r="K1438" i="2" s="1"/>
  <c r="M1438" i="2" s="1"/>
  <c r="H963" i="2"/>
  <c r="K963" i="2" s="1"/>
  <c r="M963" i="2" s="1"/>
  <c r="H1386" i="2"/>
  <c r="K1386" i="2" s="1"/>
  <c r="M1386" i="2" s="1"/>
  <c r="H1428" i="2"/>
  <c r="K1428" i="2" s="1"/>
  <c r="M1428" i="2" s="1"/>
  <c r="H964" i="2"/>
  <c r="K964" i="2" s="1"/>
  <c r="M964" i="2" s="1"/>
  <c r="H1387" i="2"/>
  <c r="K1387" i="2" s="1"/>
  <c r="M1387" i="2" s="1"/>
  <c r="H1421" i="2"/>
  <c r="K1421" i="2" s="1"/>
  <c r="M1421" i="2" s="1"/>
  <c r="H962" i="2"/>
  <c r="K962" i="2" s="1"/>
  <c r="M962" i="2" s="1"/>
  <c r="H1385" i="2"/>
  <c r="K1385" i="2" s="1"/>
  <c r="M1385" i="2" s="1"/>
  <c r="H1417" i="2"/>
  <c r="K1417" i="2" s="1"/>
  <c r="H972" i="2"/>
  <c r="K972" i="2" s="1"/>
  <c r="M972" i="2" s="1"/>
  <c r="H1418" i="2"/>
  <c r="K1418" i="2" s="1"/>
  <c r="M1418" i="2" s="1"/>
  <c r="H1395" i="2"/>
  <c r="K1395" i="2" s="1"/>
  <c r="M1395" i="2" s="1"/>
  <c r="H973" i="2"/>
  <c r="K973" i="2" s="1"/>
  <c r="M973" i="2" s="1"/>
  <c r="H1396" i="2"/>
  <c r="K1396" i="2" s="1"/>
  <c r="M1396" i="2" s="1"/>
  <c r="H982" i="2"/>
  <c r="K982" i="2" s="1"/>
  <c r="M982" i="2" s="1"/>
  <c r="H1436" i="2"/>
  <c r="K1436" i="2" s="1"/>
  <c r="M1436" i="2" s="1"/>
  <c r="H1405" i="2"/>
  <c r="K1405" i="2" s="1"/>
  <c r="M1405" i="2" s="1"/>
  <c r="H1263" i="2"/>
  <c r="K1263" i="2" s="1"/>
  <c r="M1263" i="2" s="1"/>
  <c r="H1058" i="2"/>
  <c r="K1058" i="2" s="1"/>
  <c r="M1058" i="2" s="1"/>
  <c r="H308" i="2"/>
  <c r="H306" i="2"/>
  <c r="H1303" i="2"/>
  <c r="K1303" i="2" s="1"/>
  <c r="M1303" i="2" s="1"/>
  <c r="H1060" i="2"/>
  <c r="K1060" i="2" s="1"/>
  <c r="M1060" i="2" s="1"/>
  <c r="H996" i="2"/>
  <c r="K996" i="2" s="1"/>
  <c r="M996" i="2" s="1"/>
  <c r="H1433" i="2"/>
  <c r="K1433" i="2" s="1"/>
  <c r="M1433" i="2" s="1"/>
  <c r="H1089" i="2"/>
  <c r="K1089" i="2" s="1"/>
  <c r="M1089" i="2" s="1"/>
  <c r="H1182" i="2"/>
  <c r="K1182" i="2" s="1"/>
  <c r="M1182" i="2" s="1"/>
  <c r="H1290" i="2"/>
  <c r="K1290" i="2" s="1"/>
  <c r="M1290" i="2" s="1"/>
  <c r="H1260" i="2"/>
  <c r="K1260" i="2" s="1"/>
  <c r="M1260" i="2" s="1"/>
  <c r="H1191" i="2"/>
  <c r="K1191" i="2" s="1"/>
  <c r="M1191" i="2" s="1"/>
  <c r="H1349" i="2"/>
  <c r="K1349" i="2" s="1"/>
  <c r="M1349" i="2" s="1"/>
  <c r="H1323" i="2"/>
  <c r="K1323" i="2" s="1"/>
  <c r="H1317" i="2"/>
  <c r="K1317" i="2" s="1"/>
  <c r="M1317" i="2" s="1"/>
  <c r="H1249" i="2"/>
  <c r="K1249" i="2" s="1"/>
  <c r="H1210" i="2"/>
  <c r="K1210" i="2" s="1"/>
  <c r="M1210" i="2" s="1"/>
  <c r="H1236" i="2"/>
  <c r="K1236" i="2" s="1"/>
  <c r="M1236" i="2" s="1"/>
  <c r="H1292" i="2"/>
  <c r="K1292" i="2" s="1"/>
  <c r="M1292" i="2" s="1"/>
  <c r="H1288" i="2"/>
  <c r="K1288" i="2" s="1"/>
  <c r="M1288" i="2" s="1"/>
  <c r="H1265" i="2"/>
  <c r="K1265" i="2" s="1"/>
  <c r="M1265" i="2" s="1"/>
  <c r="H1226" i="2"/>
  <c r="K1226" i="2" s="1"/>
  <c r="M1226" i="2" s="1"/>
  <c r="H1167" i="2"/>
  <c r="K1167" i="2" s="1"/>
  <c r="M1167" i="2" s="1"/>
  <c r="H1350" i="2"/>
  <c r="K1350" i="2" s="1"/>
  <c r="M1350" i="2" s="1"/>
  <c r="H1324" i="2"/>
  <c r="K1324" i="2" s="1"/>
  <c r="M1324" i="2" s="1"/>
  <c r="H1196" i="2"/>
  <c r="K1196" i="2" s="1"/>
  <c r="H1272" i="2"/>
  <c r="K1272" i="2" s="1"/>
  <c r="H1300" i="2"/>
  <c r="K1300" i="2" s="1"/>
  <c r="H1250" i="2"/>
  <c r="K1250" i="2" s="1"/>
  <c r="M1250" i="2" s="1"/>
  <c r="H1222" i="2"/>
  <c r="K1222" i="2" s="1"/>
  <c r="H1172" i="2"/>
  <c r="K1172" i="2" s="1"/>
  <c r="M1172" i="2" s="1"/>
  <c r="H1334" i="2"/>
  <c r="K1334" i="2" s="1"/>
  <c r="M1334" i="2" s="1"/>
  <c r="H1360" i="2"/>
  <c r="K1360" i="2" s="1"/>
  <c r="M1360" i="2" s="1"/>
  <c r="H1282" i="2"/>
  <c r="K1282" i="2" s="1"/>
  <c r="M1282" i="2" s="1"/>
  <c r="H1262" i="2"/>
  <c r="K1262" i="2" s="1"/>
  <c r="M1262" i="2" s="1"/>
  <c r="H1335" i="2"/>
  <c r="K1335" i="2" s="1"/>
  <c r="M1335" i="2" s="1"/>
  <c r="H1361" i="2"/>
  <c r="K1361" i="2" s="1"/>
  <c r="M1361" i="2" s="1"/>
  <c r="H1310" i="2"/>
  <c r="K1310" i="2" s="1"/>
  <c r="M1310" i="2" s="1"/>
  <c r="H1190" i="2"/>
  <c r="K1190" i="2" s="1"/>
  <c r="M1190" i="2" s="1"/>
  <c r="H1370" i="2"/>
  <c r="K1370" i="2" s="1"/>
  <c r="M1370" i="2" s="1"/>
  <c r="H1344" i="2"/>
  <c r="K1344" i="2" s="1"/>
  <c r="M1344" i="2" s="1"/>
  <c r="H1291" i="2"/>
  <c r="K1291" i="2" s="1"/>
  <c r="M1291" i="2" s="1"/>
  <c r="H1209" i="2"/>
  <c r="K1209" i="2" s="1"/>
  <c r="M1209" i="2" s="1"/>
  <c r="H1314" i="2"/>
  <c r="K1314" i="2" s="1"/>
  <c r="M1314" i="2" s="1"/>
  <c r="H1267" i="2"/>
  <c r="K1267" i="2" s="1"/>
  <c r="M1267" i="2" s="1"/>
  <c r="H1235" i="2"/>
  <c r="K1235" i="2" s="1"/>
  <c r="M1235" i="2" s="1"/>
  <c r="H1208" i="2"/>
  <c r="K1208" i="2" s="1"/>
  <c r="M1208" i="2" s="1"/>
  <c r="H1234" i="2"/>
  <c r="K1234" i="2" s="1"/>
  <c r="M1234" i="2" s="1"/>
  <c r="H1159" i="2"/>
  <c r="K1159" i="2" s="1"/>
  <c r="M1159" i="2" s="1"/>
  <c r="H1293" i="2"/>
  <c r="K1293" i="2" s="1"/>
  <c r="M1293" i="2" s="1"/>
  <c r="H1174" i="2"/>
  <c r="K1174" i="2" s="1"/>
  <c r="M1174" i="2" s="1"/>
  <c r="H1353" i="2"/>
  <c r="K1353" i="2" s="1"/>
  <c r="M1353" i="2" s="1"/>
  <c r="H1327" i="2"/>
  <c r="K1327" i="2" s="1"/>
  <c r="M1327" i="2" s="1"/>
  <c r="H1254" i="2"/>
  <c r="K1254" i="2" s="1"/>
  <c r="M1254" i="2" s="1"/>
  <c r="H1315" i="2"/>
  <c r="K1315" i="2" s="1"/>
  <c r="M1315" i="2" s="1"/>
  <c r="H1276" i="2"/>
  <c r="K1276" i="2" s="1"/>
  <c r="M1276" i="2" s="1"/>
  <c r="H1179" i="2"/>
  <c r="K1179" i="2" s="1"/>
  <c r="M1179" i="2" s="1"/>
  <c r="H1357" i="2"/>
  <c r="K1357" i="2" s="1"/>
  <c r="M1357" i="2" s="1"/>
  <c r="H1331" i="2"/>
  <c r="K1331" i="2" s="1"/>
  <c r="M1331" i="2" s="1"/>
  <c r="H1258" i="2"/>
  <c r="K1258" i="2" s="1"/>
  <c r="M1258" i="2" s="1"/>
  <c r="H1225" i="2"/>
  <c r="K1225" i="2" s="1"/>
  <c r="M1225" i="2" s="1"/>
  <c r="H1284" i="2"/>
  <c r="K1284" i="2" s="1"/>
  <c r="M1284" i="2" s="1"/>
  <c r="H1199" i="2"/>
  <c r="K1199" i="2" s="1"/>
  <c r="M1199" i="2" s="1"/>
  <c r="H1308" i="2"/>
  <c r="K1308" i="2" s="1"/>
  <c r="M1308" i="2" s="1"/>
  <c r="H1266" i="2"/>
  <c r="K1266" i="2" s="1"/>
  <c r="M1266" i="2" s="1"/>
  <c r="H1289" i="2"/>
  <c r="K1289" i="2" s="1"/>
  <c r="M1289" i="2" s="1"/>
  <c r="H1367" i="2"/>
  <c r="K1367" i="2" s="1"/>
  <c r="M1367" i="2" s="1"/>
  <c r="H1341" i="2"/>
  <c r="K1341" i="2" s="1"/>
  <c r="M1341" i="2" s="1"/>
  <c r="H1309" i="2"/>
  <c r="K1309" i="2" s="1"/>
  <c r="M1309" i="2" s="1"/>
  <c r="H1228" i="2"/>
  <c r="K1228" i="2" s="1"/>
  <c r="M1228" i="2" s="1"/>
  <c r="H1202" i="2"/>
  <c r="K1202" i="2" s="1"/>
  <c r="M1202" i="2" s="1"/>
  <c r="H1176" i="2"/>
  <c r="K1176" i="2" s="1"/>
  <c r="M1176" i="2" s="1"/>
  <c r="H1354" i="2"/>
  <c r="K1354" i="2" s="1"/>
  <c r="M1354" i="2" s="1"/>
  <c r="H1328" i="2"/>
  <c r="K1328" i="2" s="1"/>
  <c r="M1328" i="2" s="1"/>
  <c r="H1229" i="2"/>
  <c r="K1229" i="2" s="1"/>
  <c r="M1229" i="2" s="1"/>
  <c r="H1255" i="2"/>
  <c r="K1255" i="2" s="1"/>
  <c r="M1255" i="2" s="1"/>
  <c r="H1203" i="2"/>
  <c r="K1203" i="2" s="1"/>
  <c r="M1203" i="2" s="1"/>
  <c r="H1279" i="2"/>
  <c r="K1279" i="2" s="1"/>
  <c r="M1279" i="2" s="1"/>
  <c r="H1152" i="2"/>
  <c r="K1152" i="2" s="1"/>
  <c r="M1152" i="2" s="1"/>
  <c r="H1286" i="2"/>
  <c r="K1286" i="2" s="1"/>
  <c r="M1286" i="2" s="1"/>
  <c r="H1168" i="2"/>
  <c r="K1168" i="2" s="1"/>
  <c r="M1168" i="2" s="1"/>
  <c r="H1351" i="2"/>
  <c r="K1351" i="2" s="1"/>
  <c r="M1351" i="2" s="1"/>
  <c r="H1325" i="2"/>
  <c r="K1325" i="2" s="1"/>
  <c r="M1325" i="2" s="1"/>
  <c r="H1301" i="2"/>
  <c r="K1301" i="2" s="1"/>
  <c r="M1301" i="2" s="1"/>
  <c r="H1251" i="2"/>
  <c r="K1251" i="2" s="1"/>
  <c r="M1251" i="2" s="1"/>
  <c r="H1223" i="2"/>
  <c r="K1223" i="2" s="1"/>
  <c r="M1223" i="2" s="1"/>
  <c r="H1273" i="2"/>
  <c r="K1273" i="2" s="1"/>
  <c r="M1273" i="2" s="1"/>
  <c r="H1197" i="2"/>
  <c r="K1197" i="2" s="1"/>
  <c r="M1197" i="2" s="1"/>
  <c r="H1332" i="2"/>
  <c r="K1332" i="2" s="1"/>
  <c r="M1332" i="2" s="1"/>
  <c r="H1358" i="2"/>
  <c r="K1358" i="2" s="1"/>
  <c r="M1358" i="2" s="1"/>
  <c r="H1285" i="2"/>
  <c r="K1285" i="2" s="1"/>
  <c r="M1285" i="2" s="1"/>
  <c r="H1259" i="2"/>
  <c r="K1259" i="2" s="1"/>
  <c r="M1259" i="2" s="1"/>
  <c r="H1343" i="2"/>
  <c r="K1343" i="2" s="1"/>
  <c r="M1343" i="2" s="1"/>
  <c r="H1369" i="2"/>
  <c r="K1369" i="2" s="1"/>
  <c r="M1369" i="2" s="1"/>
  <c r="H1313" i="2"/>
  <c r="K1313" i="2" s="1"/>
  <c r="M1313" i="2" s="1"/>
  <c r="H1188" i="2"/>
  <c r="K1188" i="2" s="1"/>
  <c r="M1188" i="2" s="1"/>
  <c r="H1365" i="2"/>
  <c r="K1365" i="2" s="1"/>
  <c r="M1365" i="2" s="1"/>
  <c r="H1339" i="2"/>
  <c r="K1339" i="2" s="1"/>
  <c r="M1339" i="2" s="1"/>
  <c r="H1302" i="2"/>
  <c r="K1302" i="2" s="1"/>
  <c r="M1302" i="2" s="1"/>
  <c r="H1224" i="2"/>
  <c r="K1224" i="2" s="1"/>
  <c r="M1224" i="2" s="1"/>
  <c r="H1264" i="2"/>
  <c r="K1264" i="2" s="1"/>
  <c r="M1264" i="2" s="1"/>
  <c r="H1278" i="2"/>
  <c r="K1278" i="2" s="1"/>
  <c r="M1278" i="2" s="1"/>
  <c r="H1198" i="2"/>
  <c r="K1198" i="2" s="1"/>
  <c r="M1198" i="2" s="1"/>
  <c r="H1175" i="2"/>
  <c r="K1175" i="2" s="1"/>
  <c r="M1175" i="2" s="1"/>
  <c r="H1333" i="2"/>
  <c r="K1333" i="2" s="1"/>
  <c r="M1333" i="2" s="1"/>
  <c r="H1359" i="2"/>
  <c r="K1359" i="2" s="1"/>
  <c r="M1359" i="2" s="1"/>
  <c r="H1305" i="2"/>
  <c r="K1305" i="2" s="1"/>
  <c r="M1305" i="2" s="1"/>
  <c r="H1261" i="2"/>
  <c r="K1261" i="2" s="1"/>
  <c r="M1261" i="2" s="1"/>
  <c r="H1277" i="2"/>
  <c r="K1277" i="2" s="1"/>
  <c r="M1277" i="2" s="1"/>
  <c r="H1368" i="2"/>
  <c r="K1368" i="2" s="1"/>
  <c r="M1368" i="2" s="1"/>
  <c r="H1342" i="2"/>
  <c r="K1342" i="2" s="1"/>
  <c r="M1342" i="2" s="1"/>
  <c r="H1306" i="2"/>
  <c r="K1306" i="2" s="1"/>
  <c r="M1306" i="2" s="1"/>
  <c r="H1364" i="2"/>
  <c r="K1364" i="2" s="1"/>
  <c r="M1364" i="2" s="1"/>
  <c r="H1338" i="2"/>
  <c r="K1338" i="2" s="1"/>
  <c r="M1338" i="2" s="1"/>
  <c r="H1312" i="2"/>
  <c r="K1312" i="2" s="1"/>
  <c r="M1312" i="2" s="1"/>
  <c r="H1366" i="2"/>
  <c r="K1366" i="2" s="1"/>
  <c r="M1366" i="2" s="1"/>
  <c r="H1340" i="2"/>
  <c r="K1340" i="2" s="1"/>
  <c r="M1340" i="2" s="1"/>
  <c r="H1307" i="2"/>
  <c r="K1307" i="2" s="1"/>
  <c r="M1307" i="2" s="1"/>
  <c r="H1363" i="2"/>
  <c r="K1363" i="2" s="1"/>
  <c r="M1363" i="2" s="1"/>
  <c r="H1337" i="2"/>
  <c r="K1337" i="2" s="1"/>
  <c r="M1337" i="2" s="1"/>
  <c r="H1184" i="2"/>
  <c r="K1184" i="2" s="1"/>
  <c r="M1184" i="2" s="1"/>
  <c r="H1311" i="2"/>
  <c r="K1311" i="2" s="1"/>
  <c r="M1311" i="2" s="1"/>
  <c r="H1336" i="2"/>
  <c r="K1336" i="2" s="1"/>
  <c r="M1336" i="2" s="1"/>
  <c r="H1362" i="2"/>
  <c r="K1362" i="2" s="1"/>
  <c r="M1362" i="2" s="1"/>
  <c r="H1171" i="2"/>
  <c r="K1171" i="2" s="1"/>
  <c r="M1171" i="2" s="1"/>
  <c r="H1326" i="2"/>
  <c r="K1326" i="2" s="1"/>
  <c r="M1326" i="2" s="1"/>
  <c r="H1352" i="2"/>
  <c r="K1352" i="2" s="1"/>
  <c r="M1352" i="2" s="1"/>
  <c r="H1275" i="2"/>
  <c r="K1275" i="2" s="1"/>
  <c r="M1275" i="2" s="1"/>
  <c r="H1227" i="2"/>
  <c r="K1227" i="2" s="1"/>
  <c r="M1227" i="2" s="1"/>
  <c r="H1253" i="2"/>
  <c r="K1253" i="2" s="1"/>
  <c r="M1253" i="2" s="1"/>
  <c r="H1201" i="2"/>
  <c r="K1201" i="2" s="1"/>
  <c r="M1201" i="2" s="1"/>
  <c r="H1178" i="2"/>
  <c r="K1178" i="2" s="1"/>
  <c r="M1178" i="2" s="1"/>
  <c r="H1356" i="2"/>
  <c r="K1356" i="2" s="1"/>
  <c r="M1356" i="2" s="1"/>
  <c r="H1330" i="2"/>
  <c r="K1330" i="2" s="1"/>
  <c r="M1330" i="2" s="1"/>
  <c r="H1231" i="2"/>
  <c r="K1231" i="2" s="1"/>
  <c r="M1231" i="2" s="1"/>
  <c r="H1257" i="2"/>
  <c r="K1257" i="2" s="1"/>
  <c r="M1257" i="2" s="1"/>
  <c r="H1205" i="2"/>
  <c r="K1205" i="2" s="1"/>
  <c r="M1205" i="2" s="1"/>
  <c r="H1281" i="2"/>
  <c r="K1281" i="2" s="1"/>
  <c r="M1281" i="2" s="1"/>
  <c r="H1177" i="2"/>
  <c r="K1177" i="2" s="1"/>
  <c r="M1177" i="2" s="1"/>
  <c r="H1329" i="2"/>
  <c r="K1329" i="2" s="1"/>
  <c r="M1329" i="2" s="1"/>
  <c r="H1355" i="2"/>
  <c r="K1355" i="2" s="1"/>
  <c r="M1355" i="2" s="1"/>
  <c r="H1230" i="2"/>
  <c r="K1230" i="2" s="1"/>
  <c r="M1230" i="2" s="1"/>
  <c r="H1256" i="2"/>
  <c r="K1256" i="2" s="1"/>
  <c r="M1256" i="2" s="1"/>
  <c r="H1204" i="2"/>
  <c r="K1204" i="2" s="1"/>
  <c r="M1204" i="2" s="1"/>
  <c r="H1280" i="2"/>
  <c r="K1280" i="2" s="1"/>
  <c r="M1280" i="2" s="1"/>
  <c r="H1193" i="2"/>
  <c r="K1193" i="2" s="1"/>
  <c r="M1193" i="2" s="1"/>
  <c r="H1180" i="2"/>
  <c r="K1180" i="2" s="1"/>
  <c r="M1180" i="2" s="1"/>
  <c r="H1169" i="2"/>
  <c r="K1169" i="2" s="1"/>
  <c r="M1169" i="2" s="1"/>
  <c r="H1185" i="2"/>
  <c r="K1185" i="2" s="1"/>
  <c r="M1185" i="2" s="1"/>
  <c r="H1170" i="2"/>
  <c r="K1170" i="2" s="1"/>
  <c r="M1170" i="2" s="1"/>
  <c r="H1186" i="2"/>
  <c r="K1186" i="2" s="1"/>
  <c r="M1186" i="2" s="1"/>
  <c r="H1183" i="2"/>
  <c r="K1183" i="2" s="1"/>
  <c r="M1183" i="2" s="1"/>
  <c r="H1192" i="2"/>
  <c r="K1192" i="2" s="1"/>
  <c r="M1192" i="2" s="1"/>
  <c r="H1187" i="2"/>
  <c r="K1187" i="2" s="1"/>
  <c r="M1187" i="2" s="1"/>
  <c r="H1189" i="2"/>
  <c r="K1189" i="2" s="1"/>
  <c r="M1189" i="2" s="1"/>
  <c r="H1077" i="2"/>
  <c r="K1077" i="2" s="1"/>
  <c r="M1077" i="2" s="1"/>
  <c r="H1126" i="2"/>
  <c r="K1126" i="2" s="1"/>
  <c r="M1126" i="2" s="1"/>
  <c r="H1102" i="2"/>
  <c r="K1102" i="2" s="1"/>
  <c r="M1102" i="2" s="1"/>
  <c r="H1156" i="2"/>
  <c r="K1156" i="2" s="1"/>
  <c r="H1086" i="2"/>
  <c r="K1086" i="2" s="1"/>
  <c r="M1086" i="2" s="1"/>
  <c r="H1115" i="2"/>
  <c r="K1115" i="2" s="1"/>
  <c r="H1158" i="2"/>
  <c r="K1158" i="2" s="1"/>
  <c r="H1091" i="2"/>
  <c r="K1091" i="2" s="1"/>
  <c r="H1131" i="2"/>
  <c r="K1131" i="2" s="1"/>
  <c r="M1131" i="2" s="1"/>
  <c r="H1107" i="2"/>
  <c r="K1107" i="2" s="1"/>
  <c r="M1107" i="2" s="1"/>
  <c r="H1154" i="2"/>
  <c r="K1154" i="2" s="1"/>
  <c r="H1065" i="2"/>
  <c r="K1065" i="2" s="1"/>
  <c r="M1065" i="2" s="1"/>
  <c r="H1116" i="2"/>
  <c r="K1116" i="2" s="1"/>
  <c r="M1116" i="2" s="1"/>
  <c r="H1092" i="2"/>
  <c r="K1092" i="2" s="1"/>
  <c r="M1092" i="2" s="1"/>
  <c r="H1138" i="2"/>
  <c r="K1138" i="2" s="1"/>
  <c r="O1138" i="2" s="1"/>
  <c r="H1083" i="2"/>
  <c r="K1083" i="2" s="1"/>
  <c r="M1083" i="2" s="1"/>
  <c r="H1148" i="2"/>
  <c r="K1148" i="2" s="1"/>
  <c r="H1128" i="2"/>
  <c r="K1128" i="2" s="1"/>
  <c r="M1128" i="2" s="1"/>
  <c r="H1104" i="2"/>
  <c r="K1104" i="2" s="1"/>
  <c r="M1104" i="2" s="1"/>
  <c r="H1085" i="2"/>
  <c r="K1085" i="2" s="1"/>
  <c r="M1085" i="2" s="1"/>
  <c r="H1109" i="2"/>
  <c r="K1109" i="2" s="1"/>
  <c r="M1109" i="2" s="1"/>
  <c r="H1157" i="2"/>
  <c r="K1157" i="2" s="1"/>
  <c r="H1133" i="2"/>
  <c r="K1133" i="2" s="1"/>
  <c r="M1133" i="2" s="1"/>
  <c r="H1066" i="2"/>
  <c r="K1066" i="2" s="1"/>
  <c r="M1066" i="2" s="1"/>
  <c r="H1093" i="2"/>
  <c r="K1093" i="2" s="1"/>
  <c r="M1093" i="2" s="1"/>
  <c r="H1139" i="2"/>
  <c r="K1139" i="2" s="1"/>
  <c r="H1117" i="2"/>
  <c r="K1117" i="2" s="1"/>
  <c r="M1117" i="2" s="1"/>
  <c r="H1068" i="2"/>
  <c r="K1068" i="2" s="1"/>
  <c r="M1068" i="2" s="1"/>
  <c r="H1096" i="2"/>
  <c r="K1096" i="2" s="1"/>
  <c r="M1096" i="2" s="1"/>
  <c r="H1142" i="2"/>
  <c r="K1142" i="2" s="1"/>
  <c r="H1120" i="2"/>
  <c r="K1120" i="2" s="1"/>
  <c r="M1120" i="2" s="1"/>
  <c r="H1069" i="2"/>
  <c r="K1069" i="2" s="1"/>
  <c r="M1069" i="2" s="1"/>
  <c r="H1097" i="2"/>
  <c r="K1097" i="2" s="1"/>
  <c r="M1097" i="2" s="1"/>
  <c r="H1145" i="2"/>
  <c r="K1145" i="2" s="1"/>
  <c r="H1121" i="2"/>
  <c r="K1121" i="2" s="1"/>
  <c r="M1121" i="2" s="1"/>
  <c r="H1072" i="2"/>
  <c r="K1072" i="2" s="1"/>
  <c r="M1072" i="2" s="1"/>
  <c r="H1124" i="2"/>
  <c r="K1124" i="2" s="1"/>
  <c r="M1124" i="2" s="1"/>
  <c r="H1150" i="2"/>
  <c r="K1150" i="2" s="1"/>
  <c r="H1100" i="2"/>
  <c r="K1100" i="2" s="1"/>
  <c r="M1100" i="2" s="1"/>
  <c r="H1074" i="2"/>
  <c r="K1074" i="2" s="1"/>
  <c r="M1074" i="2" s="1"/>
  <c r="H1101" i="2"/>
  <c r="K1101" i="2" s="1"/>
  <c r="M1101" i="2" s="1"/>
  <c r="H1125" i="2"/>
  <c r="K1125" i="2" s="1"/>
  <c r="M1125" i="2" s="1"/>
  <c r="H1151" i="2"/>
  <c r="K1151" i="2" s="1"/>
  <c r="H1084" i="2"/>
  <c r="K1084" i="2" s="1"/>
  <c r="M1084" i="2" s="1"/>
  <c r="H1129" i="2"/>
  <c r="K1129" i="2" s="1"/>
  <c r="M1129" i="2" s="1"/>
  <c r="H1105" i="2"/>
  <c r="K1105" i="2" s="1"/>
  <c r="M1105" i="2" s="1"/>
  <c r="H1073" i="2"/>
  <c r="K1073" i="2" s="1"/>
  <c r="M1073" i="2" s="1"/>
  <c r="H1130" i="2"/>
  <c r="K1130" i="2" s="1"/>
  <c r="M1130" i="2" s="1"/>
  <c r="H1144" i="2"/>
  <c r="K1144" i="2" s="1"/>
  <c r="H1106" i="2"/>
  <c r="K1106" i="2" s="1"/>
  <c r="M1106" i="2" s="1"/>
  <c r="H1079" i="2"/>
  <c r="K1079" i="2" s="1"/>
  <c r="M1079" i="2" s="1"/>
  <c r="H1127" i="2"/>
  <c r="K1127" i="2" s="1"/>
  <c r="M1127" i="2" s="1"/>
  <c r="H1143" i="2"/>
  <c r="K1143" i="2" s="1"/>
  <c r="H1103" i="2"/>
  <c r="K1103" i="2" s="1"/>
  <c r="M1103" i="2" s="1"/>
  <c r="H1132" i="2"/>
  <c r="K1132" i="2" s="1"/>
  <c r="M1132" i="2" s="1"/>
  <c r="H1108" i="2"/>
  <c r="K1108" i="2" s="1"/>
  <c r="M1108" i="2" s="1"/>
  <c r="H1155" i="2"/>
  <c r="K1155" i="2" s="1"/>
  <c r="H1067" i="2"/>
  <c r="K1067" i="2" s="1"/>
  <c r="M1067" i="2" s="1"/>
  <c r="H1095" i="2"/>
  <c r="K1095" i="2" s="1"/>
  <c r="M1095" i="2" s="1"/>
  <c r="H1141" i="2"/>
  <c r="K1141" i="2" s="1"/>
  <c r="H1119" i="2"/>
  <c r="K1119" i="2" s="1"/>
  <c r="M1119" i="2" s="1"/>
  <c r="H1071" i="2"/>
  <c r="K1071" i="2" s="1"/>
  <c r="M1071" i="2" s="1"/>
  <c r="H1099" i="2"/>
  <c r="K1099" i="2" s="1"/>
  <c r="M1099" i="2" s="1"/>
  <c r="H1147" i="2"/>
  <c r="K1147" i="2" s="1"/>
  <c r="H1123" i="2"/>
  <c r="K1123" i="2" s="1"/>
  <c r="M1123" i="2" s="1"/>
  <c r="H1070" i="2"/>
  <c r="K1070" i="2" s="1"/>
  <c r="M1070" i="2" s="1"/>
  <c r="H1098" i="2"/>
  <c r="K1098" i="2" s="1"/>
  <c r="M1098" i="2" s="1"/>
  <c r="H1146" i="2"/>
  <c r="K1146" i="2" s="1"/>
  <c r="H1122" i="2"/>
  <c r="K1122" i="2" s="1"/>
  <c r="M1122" i="2" s="1"/>
  <c r="H1019" i="2"/>
  <c r="K1019" i="2" s="1"/>
  <c r="M1019" i="2" s="1"/>
  <c r="H1081" i="2"/>
  <c r="K1081" i="2" s="1"/>
  <c r="M1081" i="2" s="1"/>
  <c r="H1018" i="2"/>
  <c r="K1018" i="2" s="1"/>
  <c r="M1018" i="2" s="1"/>
  <c r="H1080" i="2"/>
  <c r="K1080" i="2" s="1"/>
  <c r="M1080" i="2" s="1"/>
  <c r="H1047" i="2"/>
  <c r="K1047" i="2" s="1"/>
  <c r="M1047" i="2" s="1"/>
  <c r="H1076" i="2"/>
  <c r="K1076" i="2" s="1"/>
  <c r="M1076" i="2" s="1"/>
  <c r="H1024" i="2"/>
  <c r="K1024" i="2" s="1"/>
  <c r="M1024" i="2" s="1"/>
  <c r="H1078" i="2"/>
  <c r="K1078" i="2" s="1"/>
  <c r="M1078" i="2" s="1"/>
  <c r="H1033" i="2"/>
  <c r="K1033" i="2" s="1"/>
  <c r="H1012" i="2"/>
  <c r="K1012" i="2" s="1"/>
  <c r="H1034" i="2"/>
  <c r="K1034" i="2" s="1"/>
  <c r="M1034" i="2" s="1"/>
  <c r="H1013" i="2"/>
  <c r="K1013" i="2" s="1"/>
  <c r="M1013" i="2" s="1"/>
  <c r="H1045" i="2"/>
  <c r="K1045" i="2" s="1"/>
  <c r="M1045" i="2" s="1"/>
  <c r="H1054" i="2"/>
  <c r="K1054" i="2" s="1"/>
  <c r="M1054" i="2" s="1"/>
  <c r="H1025" i="2"/>
  <c r="K1025" i="2" s="1"/>
  <c r="M1025" i="2" s="1"/>
  <c r="H1035" i="2"/>
  <c r="K1035" i="2" s="1"/>
  <c r="M1035" i="2" s="1"/>
  <c r="H1014" i="2"/>
  <c r="K1014" i="2" s="1"/>
  <c r="M1014" i="2" s="1"/>
  <c r="H1002" i="2"/>
  <c r="K1002" i="2" s="1"/>
  <c r="M1002" i="2" s="1"/>
  <c r="H1022" i="2"/>
  <c r="K1022" i="2" s="1"/>
  <c r="M1022" i="2" s="1"/>
  <c r="H1038" i="2"/>
  <c r="K1038" i="2" s="1"/>
  <c r="M1038" i="2" s="1"/>
  <c r="H1005" i="2"/>
  <c r="K1005" i="2" s="1"/>
  <c r="M1005" i="2" s="1"/>
  <c r="H1053" i="2"/>
  <c r="K1053" i="2" s="1"/>
  <c r="M1053" i="2" s="1"/>
  <c r="H1026" i="2"/>
  <c r="K1026" i="2" s="1"/>
  <c r="M1026" i="2" s="1"/>
  <c r="H1043" i="2"/>
  <c r="K1043" i="2" s="1"/>
  <c r="M1043" i="2" s="1"/>
  <c r="H1042" i="2"/>
  <c r="K1042" i="2" s="1"/>
  <c r="M1042" i="2" s="1"/>
  <c r="H1020" i="2"/>
  <c r="K1020" i="2" s="1"/>
  <c r="M1020" i="2" s="1"/>
  <c r="H1050" i="2"/>
  <c r="K1050" i="2" s="1"/>
  <c r="M1050" i="2" s="1"/>
  <c r="H1015" i="2"/>
  <c r="K1015" i="2" s="1"/>
  <c r="M1015" i="2" s="1"/>
  <c r="H1037" i="2"/>
  <c r="K1037" i="2" s="1"/>
  <c r="M1037" i="2" s="1"/>
  <c r="H1027" i="2"/>
  <c r="K1027" i="2" s="1"/>
  <c r="M1027" i="2" s="1"/>
  <c r="H1044" i="2"/>
  <c r="K1044" i="2" s="1"/>
  <c r="M1044" i="2" s="1"/>
  <c r="H1017" i="2"/>
  <c r="K1017" i="2" s="1"/>
  <c r="M1017" i="2" s="1"/>
  <c r="H1048" i="2"/>
  <c r="K1048" i="2" s="1"/>
  <c r="M1048" i="2" s="1"/>
  <c r="H1055" i="2"/>
  <c r="K1055" i="2" s="1"/>
  <c r="M1055" i="2" s="1"/>
  <c r="H1036" i="2"/>
  <c r="K1036" i="2" s="1"/>
  <c r="M1036" i="2" s="1"/>
  <c r="H1040" i="2"/>
  <c r="K1040" i="2" s="1"/>
  <c r="M1040" i="2" s="1"/>
  <c r="H1039" i="2"/>
  <c r="K1039" i="2" s="1"/>
  <c r="M1039" i="2" s="1"/>
  <c r="H1006" i="2"/>
  <c r="K1006" i="2" s="1"/>
  <c r="M1006" i="2" s="1"/>
  <c r="H992" i="2"/>
  <c r="K992" i="2" s="1"/>
  <c r="H999" i="2"/>
  <c r="K999" i="2" s="1"/>
  <c r="M999" i="2" s="1"/>
  <c r="H1000" i="2"/>
  <c r="K1000" i="2" s="1"/>
  <c r="M1000" i="2" s="1"/>
  <c r="H993" i="2"/>
  <c r="K993" i="2" s="1"/>
  <c r="M993" i="2" s="1"/>
  <c r="H1004" i="2"/>
  <c r="K1004" i="2" s="1"/>
  <c r="M1004" i="2" s="1"/>
  <c r="H994" i="2"/>
  <c r="K994" i="2" s="1"/>
  <c r="M994" i="2" s="1"/>
  <c r="H997" i="2"/>
  <c r="K997" i="2" s="1"/>
  <c r="M997" i="2" s="1"/>
  <c r="H31" i="2"/>
  <c r="H678" i="2"/>
  <c r="K678" i="2" s="1"/>
  <c r="M678" i="2" s="1"/>
  <c r="H210" i="2"/>
  <c r="H396" i="2"/>
  <c r="H371" i="2"/>
  <c r="H400" i="2"/>
  <c r="H177" i="2"/>
  <c r="H644" i="2"/>
  <c r="H316" i="2"/>
  <c r="H688" i="2"/>
  <c r="K688" i="2" s="1"/>
  <c r="M688" i="2" s="1"/>
  <c r="H737" i="2"/>
  <c r="K737" i="2" s="1"/>
  <c r="H220" i="2"/>
  <c r="H98" i="2"/>
  <c r="K98" i="2" s="1"/>
  <c r="M98" i="2" s="1"/>
  <c r="H156" i="2"/>
  <c r="H624" i="2"/>
  <c r="H878" i="2"/>
  <c r="K878" i="2" s="1"/>
  <c r="H667" i="2"/>
  <c r="H374" i="2"/>
  <c r="H252" i="2"/>
  <c r="H4" i="2"/>
  <c r="H928" i="2"/>
  <c r="K928" i="2" s="1"/>
  <c r="M928" i="2" s="1"/>
  <c r="H710" i="2"/>
  <c r="K710" i="2" s="1"/>
  <c r="H439" i="2"/>
  <c r="H284" i="2"/>
  <c r="H72" i="2"/>
  <c r="H124" i="2"/>
  <c r="H906" i="2"/>
  <c r="K906" i="2" s="1"/>
  <c r="H347" i="2"/>
  <c r="H188" i="2"/>
  <c r="H212" i="2"/>
  <c r="H655" i="2"/>
  <c r="K655" i="2" s="1"/>
  <c r="M655" i="2" s="1"/>
  <c r="H898" i="2"/>
  <c r="K898" i="2" s="1"/>
  <c r="M898" i="2" s="1"/>
  <c r="H395" i="2"/>
  <c r="H187" i="2"/>
  <c r="H920" i="2"/>
  <c r="K920" i="2" s="1"/>
  <c r="M920" i="2" s="1"/>
  <c r="H71" i="2"/>
  <c r="H368" i="2"/>
  <c r="H687" i="2"/>
  <c r="K687" i="2" s="1"/>
  <c r="H219" i="2"/>
  <c r="H97" i="2"/>
  <c r="H123" i="2"/>
  <c r="H732" i="2"/>
  <c r="K732" i="2" s="1"/>
  <c r="M732" i="2" s="1"/>
  <c r="H251" i="2"/>
  <c r="H927" i="2"/>
  <c r="K927" i="2" s="1"/>
  <c r="H681" i="2"/>
  <c r="H438" i="2"/>
  <c r="H759" i="2"/>
  <c r="K759" i="2" s="1"/>
  <c r="M759" i="2" s="1"/>
  <c r="H283" i="2"/>
  <c r="H661" i="2"/>
  <c r="H315" i="2"/>
  <c r="H155" i="2"/>
  <c r="H623" i="2"/>
  <c r="H327" i="2"/>
  <c r="H83" i="2"/>
  <c r="H654" i="2"/>
  <c r="H167" i="2"/>
  <c r="H263" i="2"/>
  <c r="H135" i="2"/>
  <c r="H231" i="2"/>
  <c r="H109" i="2"/>
  <c r="K109" i="2" s="1"/>
  <c r="M109" i="2" s="1"/>
  <c r="H950" i="2"/>
  <c r="K950" i="2" s="1"/>
  <c r="M950" i="2" s="1"/>
  <c r="H705" i="2"/>
  <c r="K705" i="2" s="1"/>
  <c r="M705" i="2" s="1"/>
  <c r="H897" i="2"/>
  <c r="K897" i="2" s="1"/>
  <c r="M897" i="2" s="1"/>
  <c r="H272" i="2"/>
  <c r="H366" i="2"/>
  <c r="H636" i="2"/>
  <c r="H393" i="2"/>
  <c r="H459" i="2"/>
  <c r="H304" i="2"/>
  <c r="H26" i="2"/>
  <c r="H144" i="2"/>
  <c r="H118" i="2"/>
  <c r="K118" i="2" s="1"/>
  <c r="M118" i="2" s="1"/>
  <c r="H731" i="2"/>
  <c r="K731" i="2" s="1"/>
  <c r="M731" i="2" s="1"/>
  <c r="H336" i="2"/>
  <c r="H92" i="2"/>
  <c r="H240" i="2"/>
  <c r="H176" i="2"/>
  <c r="H679" i="2"/>
  <c r="H208" i="2"/>
  <c r="H919" i="2"/>
  <c r="K919" i="2" s="1"/>
  <c r="M919" i="2" s="1"/>
  <c r="H758" i="2"/>
  <c r="K758" i="2" s="1"/>
  <c r="M758" i="2" s="1"/>
  <c r="H658" i="2"/>
  <c r="H145" i="2"/>
  <c r="H305" i="2"/>
  <c r="H689" i="2"/>
  <c r="K689" i="2" s="1"/>
  <c r="M689" i="2" s="1"/>
  <c r="H73" i="2"/>
  <c r="H157" i="2"/>
  <c r="H738" i="2"/>
  <c r="K738" i="2" s="1"/>
  <c r="M738" i="2" s="1"/>
  <c r="H221" i="2"/>
  <c r="H99" i="2"/>
  <c r="K99" i="2" s="1"/>
  <c r="M99" i="2" s="1"/>
  <c r="H385" i="2"/>
  <c r="H711" i="2"/>
  <c r="K711" i="2" s="1"/>
  <c r="M711" i="2" s="1"/>
  <c r="H879" i="2"/>
  <c r="K879" i="2" s="1"/>
  <c r="M879" i="2" s="1"/>
  <c r="H930" i="2"/>
  <c r="K930" i="2" s="1"/>
  <c r="M930" i="2" s="1"/>
  <c r="H668" i="2"/>
  <c r="H358" i="2"/>
  <c r="H253" i="2"/>
  <c r="H317" i="2"/>
  <c r="H440" i="2"/>
  <c r="H285" i="2"/>
  <c r="H125" i="2"/>
  <c r="H6" i="2"/>
  <c r="H189" i="2"/>
  <c r="H907" i="2"/>
  <c r="K907" i="2" s="1"/>
  <c r="M907" i="2" s="1"/>
  <c r="H645" i="2"/>
  <c r="H625" i="2"/>
  <c r="H148" i="2"/>
  <c r="H307" i="2"/>
  <c r="H211" i="2"/>
  <c r="H215" i="2"/>
  <c r="H279" i="2"/>
  <c r="H247" i="2"/>
  <c r="H957" i="2"/>
  <c r="K957" i="2" s="1"/>
  <c r="M957" i="2" s="1"/>
  <c r="H882" i="2"/>
  <c r="K882" i="2" s="1"/>
  <c r="M882" i="2" s="1"/>
  <c r="H638" i="2"/>
  <c r="H379" i="2"/>
  <c r="H933" i="2"/>
  <c r="K933" i="2" s="1"/>
  <c r="M933" i="2" s="1"/>
  <c r="H659" i="2"/>
  <c r="H255" i="2"/>
  <c r="H442" i="2"/>
  <c r="H287" i="2"/>
  <c r="H9" i="2"/>
  <c r="H674" i="2"/>
  <c r="H127" i="2"/>
  <c r="H352" i="2"/>
  <c r="H191" i="2"/>
  <c r="H319" i="2"/>
  <c r="H75" i="2"/>
  <c r="H713" i="2"/>
  <c r="K713" i="2" s="1"/>
  <c r="M713" i="2" s="1"/>
  <c r="H159" i="2"/>
  <c r="H692" i="2"/>
  <c r="K692" i="2" s="1"/>
  <c r="M692" i="2" s="1"/>
  <c r="H740" i="2"/>
  <c r="K740" i="2" s="1"/>
  <c r="M740" i="2" s="1"/>
  <c r="H223" i="2"/>
  <c r="H101" i="2"/>
  <c r="K101" i="2" s="1"/>
  <c r="M101" i="2" s="1"/>
  <c r="H754" i="2"/>
  <c r="K754" i="2" s="1"/>
  <c r="M754" i="2" s="1"/>
  <c r="H16" i="2"/>
  <c r="H727" i="2"/>
  <c r="K727" i="2" s="1"/>
  <c r="M727" i="2" s="1"/>
  <c r="H630" i="2"/>
  <c r="H940" i="2"/>
  <c r="K940" i="2" s="1"/>
  <c r="M940" i="2" s="1"/>
  <c r="H27" i="2"/>
  <c r="H149" i="2"/>
  <c r="H724" i="2"/>
  <c r="H635" i="2"/>
  <c r="H751" i="2"/>
  <c r="H945" i="2"/>
  <c r="K945" i="2" s="1"/>
  <c r="M945" i="2" s="1"/>
  <c r="H21" i="2"/>
  <c r="H369" i="2"/>
  <c r="K369" i="2" s="1"/>
  <c r="M369" i="2" s="1"/>
  <c r="H899" i="2"/>
  <c r="K899" i="2" s="1"/>
  <c r="M899" i="2" s="1"/>
  <c r="H753" i="2"/>
  <c r="K753" i="2" s="1"/>
  <c r="M753" i="2" s="1"/>
  <c r="H726" i="2"/>
  <c r="K726" i="2" s="1"/>
  <c r="M726" i="2" s="1"/>
  <c r="H17" i="2"/>
  <c r="H941" i="2"/>
  <c r="K941" i="2" s="1"/>
  <c r="M941" i="2" s="1"/>
  <c r="H629" i="2"/>
  <c r="H292" i="2"/>
  <c r="H744" i="2"/>
  <c r="K744" i="2" s="1"/>
  <c r="M744" i="2" s="1"/>
  <c r="H259" i="2"/>
  <c r="H360" i="2"/>
  <c r="H131" i="2"/>
  <c r="H652" i="2"/>
  <c r="H323" i="2"/>
  <c r="H79" i="2"/>
  <c r="H717" i="2"/>
  <c r="K717" i="2" s="1"/>
  <c r="M717" i="2" s="1"/>
  <c r="H163" i="2"/>
  <c r="H909" i="2"/>
  <c r="K909" i="2" s="1"/>
  <c r="M909" i="2" s="1"/>
  <c r="H631" i="2"/>
  <c r="H196" i="2"/>
  <c r="H227" i="2"/>
  <c r="H18" i="2"/>
  <c r="H942" i="2"/>
  <c r="K942" i="2" s="1"/>
  <c r="M942" i="2" s="1"/>
  <c r="H890" i="2"/>
  <c r="K890" i="2" s="1"/>
  <c r="M890" i="2" s="1"/>
  <c r="H387" i="2"/>
  <c r="H696" i="2"/>
  <c r="K696" i="2" s="1"/>
  <c r="M696" i="2" s="1"/>
  <c r="H105" i="2"/>
  <c r="K105" i="2" s="1"/>
  <c r="M105" i="2" s="1"/>
  <c r="H675" i="2"/>
  <c r="H447" i="2"/>
  <c r="H704" i="2"/>
  <c r="K704" i="2" s="1"/>
  <c r="M704" i="2" s="1"/>
  <c r="H895" i="2"/>
  <c r="K895" i="2" s="1"/>
  <c r="M895" i="2" s="1"/>
  <c r="H29" i="2"/>
  <c r="H150" i="2"/>
  <c r="H237" i="2"/>
  <c r="H115" i="2"/>
  <c r="K115" i="2" s="1"/>
  <c r="M115" i="2" s="1"/>
  <c r="H653" i="2"/>
  <c r="H269" i="2"/>
  <c r="H89" i="2"/>
  <c r="H141" i="2"/>
  <c r="H173" i="2"/>
  <c r="H333" i="2"/>
  <c r="H179" i="2"/>
  <c r="H93" i="2"/>
  <c r="H912" i="2"/>
  <c r="K912" i="2" s="1"/>
  <c r="M912" i="2" s="1"/>
  <c r="H343" i="2"/>
  <c r="H183" i="2"/>
  <c r="H402" i="2"/>
  <c r="H311" i="2"/>
  <c r="H340" i="2"/>
  <c r="H119" i="2"/>
  <c r="K119" i="2" s="1"/>
  <c r="M119" i="2" s="1"/>
  <c r="H209" i="2"/>
  <c r="H763" i="2"/>
  <c r="K763" i="2" s="1"/>
  <c r="M763" i="2" s="1"/>
  <c r="H394" i="2"/>
  <c r="H677" i="2"/>
  <c r="H633" i="2"/>
  <c r="H693" i="2"/>
  <c r="K693" i="2" s="1"/>
  <c r="M693" i="2" s="1"/>
  <c r="H256" i="2"/>
  <c r="H12" i="2"/>
  <c r="H224" i="2"/>
  <c r="H913" i="2"/>
  <c r="K913" i="2" s="1"/>
  <c r="M913" i="2" s="1"/>
  <c r="H443" i="2"/>
  <c r="H936" i="2"/>
  <c r="K936" i="2" s="1"/>
  <c r="M936" i="2" s="1"/>
  <c r="H288" i="2"/>
  <c r="H128" i="2"/>
  <c r="H741" i="2"/>
  <c r="K741" i="2" s="1"/>
  <c r="M741" i="2" s="1"/>
  <c r="H355" i="2"/>
  <c r="H320" i="2"/>
  <c r="H76" i="2"/>
  <c r="H714" i="2"/>
  <c r="K714" i="2" s="1"/>
  <c r="M714" i="2" s="1"/>
  <c r="H160" i="2"/>
  <c r="H102" i="2"/>
  <c r="K102" i="2" s="1"/>
  <c r="M102" i="2" s="1"/>
  <c r="H192" i="2"/>
  <c r="H885" i="2"/>
  <c r="K885" i="2" s="1"/>
  <c r="M885" i="2" s="1"/>
  <c r="H382" i="2"/>
  <c r="H892" i="2"/>
  <c r="K892" i="2" s="1"/>
  <c r="M892" i="2" s="1"/>
  <c r="H338" i="2"/>
  <c r="H337" i="2"/>
  <c r="H30" i="2"/>
  <c r="H703" i="2"/>
  <c r="K703" i="2" s="1"/>
  <c r="M703" i="2" s="1"/>
  <c r="H894" i="2"/>
  <c r="K894" i="2" s="1"/>
  <c r="M894" i="2" s="1"/>
  <c r="H944" i="2"/>
  <c r="K944" i="2" s="1"/>
  <c r="M944" i="2" s="1"/>
  <c r="H20" i="2"/>
  <c r="H761" i="2"/>
  <c r="K761" i="2" s="1"/>
  <c r="M761" i="2" s="1"/>
  <c r="H181" i="2"/>
  <c r="H954" i="2"/>
  <c r="K954" i="2" s="1"/>
  <c r="M954" i="2" s="1"/>
  <c r="H662" i="2"/>
  <c r="K662" i="2" s="1"/>
  <c r="M662" i="2" s="1"/>
  <c r="H147" i="2"/>
  <c r="H28" i="2"/>
  <c r="H722" i="2"/>
  <c r="K722" i="2" s="1"/>
  <c r="M722" i="2" s="1"/>
  <c r="H948" i="2"/>
  <c r="K948" i="2" s="1"/>
  <c r="M948" i="2" s="1"/>
  <c r="H201" i="2"/>
  <c r="H452" i="2"/>
  <c r="H24" i="2"/>
  <c r="H749" i="2"/>
  <c r="K749" i="2" s="1"/>
  <c r="M749" i="2" s="1"/>
  <c r="H297" i="2"/>
  <c r="H448" i="2"/>
  <c r="H361" i="2"/>
  <c r="H132" i="2"/>
  <c r="H106" i="2"/>
  <c r="K106" i="2" s="1"/>
  <c r="M106" i="2" s="1"/>
  <c r="H719" i="2"/>
  <c r="K719" i="2" s="1"/>
  <c r="M719" i="2" s="1"/>
  <c r="H324" i="2"/>
  <c r="H80" i="2"/>
  <c r="H164" i="2"/>
  <c r="H197" i="2"/>
  <c r="H891" i="2"/>
  <c r="K891" i="2" s="1"/>
  <c r="M891" i="2" s="1"/>
  <c r="H388" i="2"/>
  <c r="H228" i="2"/>
  <c r="H697" i="2"/>
  <c r="K697" i="2" s="1"/>
  <c r="M697" i="2" s="1"/>
  <c r="H746" i="2"/>
  <c r="K746" i="2" s="1"/>
  <c r="M746" i="2" s="1"/>
  <c r="H260" i="2"/>
  <c r="H293" i="2"/>
  <c r="H271" i="2"/>
  <c r="H143" i="2"/>
  <c r="H335" i="2"/>
  <c r="H91" i="2"/>
  <c r="H657" i="2"/>
  <c r="H175" i="2"/>
  <c r="H239" i="2"/>
  <c r="H117" i="2"/>
  <c r="K117" i="2" s="1"/>
  <c r="M117" i="2" s="1"/>
  <c r="H19" i="2"/>
  <c r="H943" i="2"/>
  <c r="K943" i="2" s="1"/>
  <c r="M943" i="2" s="1"/>
  <c r="H764" i="2"/>
  <c r="K764" i="2" s="1"/>
  <c r="M764" i="2" s="1"/>
  <c r="H273" i="2"/>
  <c r="H370" i="2"/>
  <c r="H955" i="2"/>
  <c r="K955" i="2" s="1"/>
  <c r="M955" i="2" s="1"/>
  <c r="H637" i="2"/>
  <c r="H896" i="2"/>
  <c r="K896" i="2" s="1"/>
  <c r="M896" i="2" s="1"/>
  <c r="H946" i="2"/>
  <c r="K946" i="2" s="1"/>
  <c r="M946" i="2" s="1"/>
  <c r="H458" i="2"/>
  <c r="H207" i="2"/>
  <c r="H750" i="2"/>
  <c r="K750" i="2" s="1"/>
  <c r="M750" i="2" s="1"/>
  <c r="H303" i="2"/>
  <c r="H698" i="2"/>
  <c r="K698" i="2" s="1"/>
  <c r="M698" i="2" s="1"/>
  <c r="H680" i="2"/>
  <c r="H22" i="2"/>
  <c r="H660" i="2"/>
  <c r="K660" i="2" s="1"/>
  <c r="M660" i="2" s="1"/>
  <c r="H723" i="2"/>
  <c r="K723" i="2" s="1"/>
  <c r="M723" i="2" s="1"/>
  <c r="H949" i="2"/>
  <c r="K949" i="2" s="1"/>
  <c r="M949" i="2" s="1"/>
  <c r="H701" i="2"/>
  <c r="K701" i="2" s="1"/>
  <c r="M701" i="2" s="1"/>
  <c r="H25" i="2"/>
  <c r="H757" i="2"/>
  <c r="K757" i="2" s="1"/>
  <c r="M757" i="2" s="1"/>
  <c r="H730" i="2"/>
  <c r="K730" i="2" s="1"/>
  <c r="M730" i="2" s="1"/>
  <c r="H640" i="2"/>
  <c r="K640" i="2" s="1"/>
  <c r="M640" i="2" s="1"/>
  <c r="H341" i="2"/>
  <c r="H884" i="2"/>
  <c r="K884" i="2" s="1"/>
  <c r="M884" i="2" s="1"/>
  <c r="H702" i="2"/>
  <c r="K702" i="2" s="1"/>
  <c r="M702" i="2" s="1"/>
  <c r="H669" i="2"/>
  <c r="H235" i="2"/>
  <c r="H113" i="2"/>
  <c r="K113" i="2" s="1"/>
  <c r="M113" i="2" s="1"/>
  <c r="H11" i="2"/>
  <c r="H718" i="2"/>
  <c r="K718" i="2" s="1"/>
  <c r="M718" i="2" s="1"/>
  <c r="H626" i="2"/>
  <c r="H87" i="2"/>
  <c r="H267" i="2"/>
  <c r="H381" i="2"/>
  <c r="H455" i="2"/>
  <c r="H908" i="2"/>
  <c r="K908" i="2" s="1"/>
  <c r="M908" i="2" s="1"/>
  <c r="H354" i="2"/>
  <c r="H300" i="2"/>
  <c r="H331" i="2"/>
  <c r="H646" i="2"/>
  <c r="H745" i="2"/>
  <c r="K745" i="2" s="1"/>
  <c r="M745" i="2" s="1"/>
  <c r="H171" i="2"/>
  <c r="H935" i="2"/>
  <c r="K935" i="2" s="1"/>
  <c r="M935" i="2" s="1"/>
  <c r="H204" i="2"/>
  <c r="H139" i="2"/>
  <c r="H765" i="2"/>
  <c r="K765" i="2" s="1"/>
  <c r="M765" i="2" s="1"/>
  <c r="H242" i="2"/>
  <c r="H274" i="2"/>
  <c r="H276" i="2"/>
  <c r="H663" i="2"/>
  <c r="K663" i="2" s="1"/>
  <c r="M663" i="2" s="1"/>
  <c r="H952" i="2"/>
  <c r="K952" i="2" s="1"/>
  <c r="M952" i="2" s="1"/>
  <c r="H934" i="2"/>
  <c r="K934" i="2" s="1"/>
  <c r="M934" i="2" s="1"/>
  <c r="H672" i="2"/>
  <c r="H133" i="2"/>
  <c r="H325" i="2"/>
  <c r="H81" i="2"/>
  <c r="H752" i="2"/>
  <c r="K752" i="2" s="1"/>
  <c r="M752" i="2" s="1"/>
  <c r="H165" i="2"/>
  <c r="H10" i="2"/>
  <c r="H294" i="2"/>
  <c r="H198" i="2"/>
  <c r="H699" i="2"/>
  <c r="K699" i="2" s="1"/>
  <c r="M699" i="2" s="1"/>
  <c r="H649" i="2"/>
  <c r="H628" i="2"/>
  <c r="H353" i="2"/>
  <c r="H229" i="2"/>
  <c r="H107" i="2"/>
  <c r="K107" i="2" s="1"/>
  <c r="M107" i="2" s="1"/>
  <c r="H261" i="2"/>
  <c r="H725" i="2"/>
  <c r="K725" i="2" s="1"/>
  <c r="M725" i="2" s="1"/>
  <c r="H449" i="2"/>
  <c r="H883" i="2"/>
  <c r="K883" i="2" s="1"/>
  <c r="M883" i="2" s="1"/>
  <c r="H380" i="2"/>
  <c r="H238" i="2"/>
  <c r="H116" i="2"/>
  <c r="H270" i="2"/>
  <c r="H650" i="2"/>
  <c r="H142" i="2"/>
  <c r="H90" i="2"/>
  <c r="H174" i="2"/>
  <c r="H334" i="2"/>
  <c r="H298" i="2"/>
  <c r="H170" i="2"/>
  <c r="H202" i="2"/>
  <c r="H138" i="2"/>
  <c r="H391" i="2"/>
  <c r="H234" i="2"/>
  <c r="H112" i="2"/>
  <c r="K112" i="2" s="1"/>
  <c r="M112" i="2" s="1"/>
  <c r="H266" i="2"/>
  <c r="H86" i="2"/>
  <c r="H453" i="2"/>
  <c r="H364" i="2"/>
  <c r="H330" i="2"/>
  <c r="H656" i="2"/>
  <c r="H457" i="2"/>
  <c r="H302" i="2"/>
  <c r="H206" i="2"/>
  <c r="H146" i="2"/>
  <c r="H762" i="2"/>
  <c r="K762" i="2" s="1"/>
  <c r="M762" i="2" s="1"/>
  <c r="H277" i="2"/>
  <c r="H120" i="2"/>
  <c r="K120" i="2" s="1"/>
  <c r="M120" i="2" s="1"/>
  <c r="H460" i="2"/>
  <c r="H918" i="2"/>
  <c r="K918" i="2" s="1"/>
  <c r="M918" i="2" s="1"/>
  <c r="H213" i="2"/>
  <c r="H236" i="2"/>
  <c r="H114" i="2"/>
  <c r="K114" i="2" s="1"/>
  <c r="M114" i="2" s="1"/>
  <c r="H332" i="2"/>
  <c r="H88" i="2"/>
  <c r="H651" i="2"/>
  <c r="H268" i="2"/>
  <c r="H140" i="2"/>
  <c r="H172" i="2"/>
  <c r="H137" i="2"/>
  <c r="H233" i="2"/>
  <c r="H111" i="2"/>
  <c r="K111" i="2" s="1"/>
  <c r="M111" i="2" s="1"/>
  <c r="H265" i="2"/>
  <c r="H329" i="2"/>
  <c r="H85" i="2"/>
  <c r="H169" i="2"/>
  <c r="H953" i="2"/>
  <c r="K953" i="2" s="1"/>
  <c r="M953" i="2" s="1"/>
  <c r="H241" i="2"/>
  <c r="H94" i="2"/>
  <c r="H639" i="2"/>
  <c r="K639" i="2" s="1"/>
  <c r="M639" i="2" s="1"/>
  <c r="H348" i="2"/>
  <c r="H326" i="2"/>
  <c r="H82" i="2"/>
  <c r="H166" i="2"/>
  <c r="H262" i="2"/>
  <c r="H931" i="2"/>
  <c r="K931" i="2" s="1"/>
  <c r="M931" i="2" s="1"/>
  <c r="H375" i="2"/>
  <c r="H199" i="2"/>
  <c r="H700" i="2"/>
  <c r="K700" i="2" s="1"/>
  <c r="M700" i="2" s="1"/>
  <c r="H7" i="2"/>
  <c r="H939" i="2"/>
  <c r="K939" i="2" s="1"/>
  <c r="M939" i="2" s="1"/>
  <c r="H230" i="2"/>
  <c r="H108" i="2"/>
  <c r="K108" i="2" s="1"/>
  <c r="M108" i="2" s="1"/>
  <c r="H450" i="2"/>
  <c r="H729" i="2"/>
  <c r="K729" i="2" s="1"/>
  <c r="M729" i="2" s="1"/>
  <c r="H888" i="2"/>
  <c r="K888" i="2" s="1"/>
  <c r="M888" i="2" s="1"/>
  <c r="H295" i="2"/>
  <c r="H756" i="2"/>
  <c r="K756" i="2" s="1"/>
  <c r="M756" i="2" s="1"/>
  <c r="H134" i="2"/>
  <c r="H15" i="2"/>
  <c r="H245" i="2"/>
  <c r="H168" i="2"/>
  <c r="H232" i="2"/>
  <c r="H110" i="2"/>
  <c r="K110" i="2" s="1"/>
  <c r="M110" i="2" s="1"/>
  <c r="H264" i="2"/>
  <c r="H136" i="2"/>
  <c r="H328" i="2"/>
  <c r="H84" i="2"/>
  <c r="H739" i="2"/>
  <c r="K739" i="2" s="1"/>
  <c r="M739" i="2" s="1"/>
  <c r="H222" i="2"/>
  <c r="H100" i="2"/>
  <c r="K100" i="2" s="1"/>
  <c r="M100" i="2" s="1"/>
  <c r="H691" i="2"/>
  <c r="K691" i="2" s="1"/>
  <c r="M691" i="2" s="1"/>
  <c r="H881" i="2"/>
  <c r="K881" i="2" s="1"/>
  <c r="M881" i="2" s="1"/>
  <c r="H378" i="2"/>
  <c r="H8" i="2"/>
  <c r="H932" i="2"/>
  <c r="K932" i="2" s="1"/>
  <c r="M932" i="2" s="1"/>
  <c r="H254" i="2"/>
  <c r="H351" i="2"/>
  <c r="H911" i="2"/>
  <c r="K911" i="2" s="1"/>
  <c r="M911" i="2" s="1"/>
  <c r="H441" i="2"/>
  <c r="H158" i="2"/>
  <c r="H286" i="2"/>
  <c r="H126" i="2"/>
  <c r="H318" i="2"/>
  <c r="H74" i="2"/>
  <c r="H712" i="2"/>
  <c r="K712" i="2" s="1"/>
  <c r="M712" i="2" s="1"/>
  <c r="H190" i="2"/>
  <c r="H14" i="2"/>
  <c r="H915" i="2"/>
  <c r="K915" i="2" s="1"/>
  <c r="M915" i="2" s="1"/>
  <c r="H445" i="2"/>
  <c r="H384" i="2"/>
  <c r="H938" i="2"/>
  <c r="K938" i="2" s="1"/>
  <c r="M938" i="2" s="1"/>
  <c r="H290" i="2"/>
  <c r="H130" i="2"/>
  <c r="H887" i="2"/>
  <c r="K887" i="2" s="1"/>
  <c r="M887" i="2" s="1"/>
  <c r="H743" i="2"/>
  <c r="K743" i="2" s="1"/>
  <c r="M743" i="2" s="1"/>
  <c r="H357" i="2"/>
  <c r="H322" i="2"/>
  <c r="H78" i="2"/>
  <c r="K78" i="2" s="1"/>
  <c r="M78" i="2" s="1"/>
  <c r="H226" i="2"/>
  <c r="H716" i="2"/>
  <c r="K716" i="2" s="1"/>
  <c r="M716" i="2" s="1"/>
  <c r="H162" i="2"/>
  <c r="H194" i="2"/>
  <c r="H695" i="2"/>
  <c r="K695" i="2" s="1"/>
  <c r="M695" i="2" s="1"/>
  <c r="H104" i="2"/>
  <c r="K104" i="2" s="1"/>
  <c r="M104" i="2" s="1"/>
  <c r="H258" i="2"/>
  <c r="H951" i="2"/>
  <c r="K951" i="2" s="1"/>
  <c r="M951" i="2" s="1"/>
  <c r="H244" i="2"/>
  <c r="H461" i="2"/>
  <c r="H257" i="2"/>
  <c r="K257" i="2" s="1"/>
  <c r="M257" i="2" s="1"/>
  <c r="H13" i="2"/>
  <c r="K13" i="2" s="1"/>
  <c r="M13" i="2" s="1"/>
  <c r="H914" i="2"/>
  <c r="K914" i="2" s="1"/>
  <c r="M914" i="2" s="1"/>
  <c r="H444" i="2"/>
  <c r="K444" i="2" s="1"/>
  <c r="H289" i="2"/>
  <c r="K289" i="2" s="1"/>
  <c r="M289" i="2" s="1"/>
  <c r="H383" i="2"/>
  <c r="K383" i="2" s="1"/>
  <c r="M383" i="2" s="1"/>
  <c r="H129" i="2"/>
  <c r="K129" i="2" s="1"/>
  <c r="M129" i="2" s="1"/>
  <c r="H77" i="2"/>
  <c r="H886" i="2"/>
  <c r="K886" i="2" s="1"/>
  <c r="M886" i="2" s="1"/>
  <c r="H356" i="2"/>
  <c r="K356" i="2" s="1"/>
  <c r="M356" i="2" s="1"/>
  <c r="H321" i="2"/>
  <c r="K321" i="2" s="1"/>
  <c r="M321" i="2" s="1"/>
  <c r="H193" i="2"/>
  <c r="K193" i="2" s="1"/>
  <c r="M193" i="2" s="1"/>
  <c r="H715" i="2"/>
  <c r="K715" i="2" s="1"/>
  <c r="M715" i="2" s="1"/>
  <c r="H161" i="2"/>
  <c r="K161" i="2" s="1"/>
  <c r="M161" i="2" s="1"/>
  <c r="H694" i="2"/>
  <c r="K694" i="2" s="1"/>
  <c r="M694" i="2" s="1"/>
  <c r="H937" i="2"/>
  <c r="K937" i="2" s="1"/>
  <c r="M937" i="2" s="1"/>
  <c r="H742" i="2"/>
  <c r="K742" i="2" s="1"/>
  <c r="M742" i="2" s="1"/>
  <c r="H225" i="2"/>
  <c r="K225" i="2" s="1"/>
  <c r="M225" i="2" s="1"/>
  <c r="H103" i="2"/>
  <c r="K103" i="2" s="1"/>
  <c r="M103" i="2" s="1"/>
  <c r="H848" i="2"/>
  <c r="K848" i="2" s="1"/>
  <c r="M848" i="2" s="1"/>
  <c r="H605" i="2"/>
  <c r="H875" i="2"/>
  <c r="K875" i="2" s="1"/>
  <c r="M875" i="2" s="1"/>
  <c r="H867" i="2"/>
  <c r="K867" i="2" s="1"/>
  <c r="M867" i="2" s="1"/>
  <c r="H863" i="2"/>
  <c r="K863" i="2" s="1"/>
  <c r="M863" i="2" s="1"/>
  <c r="H814" i="2"/>
  <c r="K814" i="2" s="1"/>
  <c r="M814" i="2" s="1"/>
  <c r="H815" i="2"/>
  <c r="K815" i="2" s="1"/>
  <c r="M815" i="2" s="1"/>
  <c r="H823" i="2"/>
  <c r="K823" i="2" s="1"/>
  <c r="M823" i="2" s="1"/>
  <c r="H824" i="2"/>
  <c r="K824" i="2" s="1"/>
  <c r="M824" i="2" s="1"/>
  <c r="H865" i="2"/>
  <c r="K865" i="2" s="1"/>
  <c r="M865" i="2" s="1"/>
  <c r="H811" i="2"/>
  <c r="K811" i="2" s="1"/>
  <c r="M811" i="2" s="1"/>
  <c r="H846" i="2"/>
  <c r="K846" i="2" s="1"/>
  <c r="M846" i="2" s="1"/>
  <c r="H872" i="2"/>
  <c r="K872" i="2" s="1"/>
  <c r="M872" i="2" s="1"/>
  <c r="H819" i="2"/>
  <c r="K819" i="2" s="1"/>
  <c r="M819" i="2" s="1"/>
  <c r="H871" i="2"/>
  <c r="K871" i="2" s="1"/>
  <c r="M871" i="2" s="1"/>
  <c r="H842" i="2"/>
  <c r="K842" i="2" s="1"/>
  <c r="M842" i="2" s="1"/>
  <c r="H818" i="2"/>
  <c r="K818" i="2" s="1"/>
  <c r="M818" i="2" s="1"/>
  <c r="H845" i="2"/>
  <c r="K845" i="2" s="1"/>
  <c r="M845" i="2" s="1"/>
  <c r="H817" i="2"/>
  <c r="K817" i="2" s="1"/>
  <c r="M817" i="2" s="1"/>
  <c r="H834" i="2"/>
  <c r="K834" i="2" s="1"/>
  <c r="M834" i="2" s="1"/>
  <c r="H855" i="2"/>
  <c r="K855" i="2" s="1"/>
  <c r="M855" i="2" s="1"/>
  <c r="H804" i="2"/>
  <c r="K804" i="2" s="1"/>
  <c r="M804" i="2" s="1"/>
  <c r="H809" i="2"/>
  <c r="K809" i="2" s="1"/>
  <c r="M809" i="2" s="1"/>
  <c r="H868" i="2"/>
  <c r="K868" i="2" s="1"/>
  <c r="M868" i="2" s="1"/>
  <c r="H813" i="2"/>
  <c r="K813" i="2" s="1"/>
  <c r="M813" i="2" s="1"/>
  <c r="H860" i="2"/>
  <c r="K860" i="2" s="1"/>
  <c r="M860" i="2" s="1"/>
  <c r="H838" i="2"/>
  <c r="K838" i="2" s="1"/>
  <c r="M838" i="2" s="1"/>
  <c r="H812" i="2"/>
  <c r="K812" i="2" s="1"/>
  <c r="M812" i="2" s="1"/>
  <c r="H858" i="2"/>
  <c r="K858" i="2" s="1"/>
  <c r="M858" i="2" s="1"/>
  <c r="H837" i="2"/>
  <c r="K837" i="2" s="1"/>
  <c r="M837" i="2" s="1"/>
  <c r="H843" i="2"/>
  <c r="K843" i="2" s="1"/>
  <c r="M843" i="2" s="1"/>
  <c r="H859" i="2"/>
  <c r="K859" i="2" s="1"/>
  <c r="M859" i="2" s="1"/>
  <c r="H803" i="2"/>
  <c r="K803" i="2" s="1"/>
  <c r="M803" i="2" s="1"/>
  <c r="H866" i="2"/>
  <c r="K866" i="2" s="1"/>
  <c r="M866" i="2" s="1"/>
  <c r="H802" i="2"/>
  <c r="K802" i="2" s="1"/>
  <c r="M802" i="2" s="1"/>
  <c r="H840" i="2"/>
  <c r="K840" i="2" s="1"/>
  <c r="M840" i="2" s="1"/>
  <c r="H821" i="2"/>
  <c r="K821" i="2" s="1"/>
  <c r="M821" i="2" s="1"/>
  <c r="H833" i="2"/>
  <c r="K833" i="2" s="1"/>
  <c r="M833" i="2" s="1"/>
  <c r="H854" i="2"/>
  <c r="K854" i="2" s="1"/>
  <c r="M854" i="2" s="1"/>
  <c r="H801" i="2"/>
  <c r="K801" i="2" s="1"/>
  <c r="M801" i="2" s="1"/>
  <c r="H798" i="2"/>
  <c r="K798" i="2" s="1"/>
  <c r="M798" i="2" s="1"/>
  <c r="H830" i="2"/>
  <c r="K830" i="2" s="1"/>
  <c r="M830" i="2" s="1"/>
  <c r="H852" i="2"/>
  <c r="K852" i="2" s="1"/>
  <c r="M852" i="2" s="1"/>
  <c r="H806" i="2"/>
  <c r="K806" i="2" s="1"/>
  <c r="M806" i="2" s="1"/>
  <c r="H857" i="2"/>
  <c r="K857" i="2" s="1"/>
  <c r="M857" i="2" s="1"/>
  <c r="H836" i="2"/>
  <c r="K836" i="2" s="1"/>
  <c r="M836" i="2" s="1"/>
  <c r="H864" i="2"/>
  <c r="K864" i="2" s="1"/>
  <c r="M864" i="2" s="1"/>
  <c r="H839" i="2"/>
  <c r="K839" i="2" s="1"/>
  <c r="M839" i="2" s="1"/>
  <c r="H800" i="2"/>
  <c r="K800" i="2" s="1"/>
  <c r="M800" i="2" s="1"/>
  <c r="H853" i="2"/>
  <c r="K853" i="2" s="1"/>
  <c r="M853" i="2" s="1"/>
  <c r="H832" i="2"/>
  <c r="K832" i="2" s="1"/>
  <c r="M832" i="2" s="1"/>
  <c r="H816" i="2"/>
  <c r="K816" i="2" s="1"/>
  <c r="M816" i="2" s="1"/>
  <c r="H844" i="2"/>
  <c r="K844" i="2" s="1"/>
  <c r="M844" i="2" s="1"/>
  <c r="H820" i="2"/>
  <c r="K820" i="2" s="1"/>
  <c r="M820" i="2" s="1"/>
  <c r="H828" i="2"/>
  <c r="K828" i="2" s="1"/>
  <c r="M828" i="2" s="1"/>
  <c r="H873" i="2"/>
  <c r="K873" i="2" s="1"/>
  <c r="M873" i="2" s="1"/>
  <c r="H841" i="2"/>
  <c r="K841" i="2" s="1"/>
  <c r="M841" i="2" s="1"/>
  <c r="H807" i="2"/>
  <c r="K807" i="2" s="1"/>
  <c r="M807" i="2" s="1"/>
  <c r="H870" i="2"/>
  <c r="K870" i="2" s="1"/>
  <c r="M870" i="2" s="1"/>
  <c r="H869" i="2"/>
  <c r="K869" i="2" s="1"/>
  <c r="M869" i="2" s="1"/>
  <c r="H851" i="2"/>
  <c r="K851" i="2" s="1"/>
  <c r="M851" i="2" s="1"/>
  <c r="H797" i="2"/>
  <c r="K797" i="2" s="1"/>
  <c r="M797" i="2" s="1"/>
  <c r="H829" i="2"/>
  <c r="K829" i="2" s="1"/>
  <c r="M829" i="2" s="1"/>
  <c r="H856" i="2"/>
  <c r="K856" i="2" s="1"/>
  <c r="M856" i="2" s="1"/>
  <c r="H805" i="2"/>
  <c r="K805" i="2" s="1"/>
  <c r="M805" i="2" s="1"/>
  <c r="H835" i="2"/>
  <c r="K835" i="2" s="1"/>
  <c r="M835" i="2" s="1"/>
  <c r="H793" i="2"/>
  <c r="K793" i="2" s="1"/>
  <c r="M793" i="2" s="1"/>
  <c r="H782" i="2"/>
  <c r="K782" i="2" s="1"/>
  <c r="M782" i="2" s="1"/>
  <c r="H772" i="2"/>
  <c r="K772" i="2" s="1"/>
  <c r="M772" i="2" s="1"/>
  <c r="H776" i="2"/>
  <c r="K776" i="2" s="1"/>
  <c r="M776" i="2" s="1"/>
  <c r="H773" i="2"/>
  <c r="K773" i="2" s="1"/>
  <c r="M773" i="2" s="1"/>
  <c r="H783" i="2"/>
  <c r="K783" i="2" s="1"/>
  <c r="M783" i="2" s="1"/>
  <c r="H775" i="2"/>
  <c r="K775" i="2" s="1"/>
  <c r="M775" i="2" s="1"/>
  <c r="H771" i="2"/>
  <c r="K771" i="2" s="1"/>
  <c r="M771" i="2" s="1"/>
  <c r="H779" i="2"/>
  <c r="K779" i="2" s="1"/>
  <c r="M779" i="2" s="1"/>
  <c r="H777" i="2"/>
  <c r="K777" i="2" s="1"/>
  <c r="M777" i="2" s="1"/>
  <c r="H784" i="2"/>
  <c r="K784" i="2" s="1"/>
  <c r="M784" i="2" s="1"/>
  <c r="H770" i="2"/>
  <c r="K770" i="2" s="1"/>
  <c r="M770" i="2" s="1"/>
  <c r="H778" i="2"/>
  <c r="K778" i="2" s="1"/>
  <c r="M778" i="2" s="1"/>
  <c r="H526" i="2"/>
  <c r="K526" i="2" s="1"/>
  <c r="M526" i="2" s="1"/>
  <c r="H471" i="2"/>
  <c r="K471" i="2" s="1"/>
  <c r="M471" i="2" s="1"/>
  <c r="H497" i="2"/>
  <c r="K497" i="2" s="1"/>
  <c r="M497" i="2" s="1"/>
  <c r="H548" i="2"/>
  <c r="K548" i="2" s="1"/>
  <c r="M548" i="2" s="1"/>
  <c r="H415" i="2"/>
  <c r="K415" i="2" s="1"/>
  <c r="M415" i="2" s="1"/>
  <c r="H47" i="2"/>
  <c r="K47" i="2" s="1"/>
  <c r="M47" i="2" s="1"/>
  <c r="K683" i="2"/>
  <c r="M683" i="2" s="1"/>
  <c r="K682" i="2"/>
  <c r="M682" i="2" s="1"/>
  <c r="K673" i="2"/>
  <c r="M673" i="2" s="1"/>
  <c r="H243" i="2" l="1"/>
  <c r="H339" i="2"/>
  <c r="H275" i="2"/>
  <c r="H1407" i="2"/>
  <c r="K1407" i="2" s="1"/>
  <c r="M1407" i="2" s="1"/>
  <c r="H399" i="2"/>
  <c r="H367" i="2"/>
  <c r="H1409" i="2"/>
  <c r="K1409" i="2" s="1"/>
  <c r="M1409" i="2" s="1"/>
  <c r="H1435" i="2"/>
  <c r="K1435" i="2" s="1"/>
  <c r="M1435" i="2" s="1"/>
  <c r="H365" i="2"/>
  <c r="S55" i="3"/>
  <c r="T55" i="3" s="1"/>
  <c r="Q55" i="3"/>
  <c r="H831" i="2"/>
  <c r="K831" i="2" s="1"/>
  <c r="M831" i="2" s="1"/>
  <c r="H1420" i="2"/>
  <c r="K1420" i="2" s="1"/>
  <c r="M1420" i="2" s="1"/>
  <c r="S179" i="3"/>
  <c r="T179" i="3" s="1"/>
  <c r="Q179" i="3"/>
  <c r="S123" i="3"/>
  <c r="T123" i="3" s="1"/>
  <c r="Q123" i="3"/>
  <c r="S177" i="3"/>
  <c r="T177" i="3" s="1"/>
  <c r="Q177" i="3"/>
  <c r="S142" i="3"/>
  <c r="T142" i="3" s="1"/>
  <c r="Q142" i="3"/>
  <c r="S124" i="3"/>
  <c r="T124" i="3" s="1"/>
  <c r="Q124" i="3"/>
  <c r="S176" i="3"/>
  <c r="T176" i="3" s="1"/>
  <c r="Q176" i="3"/>
  <c r="S19" i="3"/>
  <c r="T19" i="3" s="1"/>
  <c r="Q19" i="3"/>
  <c r="H350" i="2"/>
  <c r="H690" i="2"/>
  <c r="K690" i="2" s="1"/>
  <c r="M690" i="2" s="1"/>
  <c r="S122" i="3"/>
  <c r="T122" i="3" s="1"/>
  <c r="Q122" i="3"/>
  <c r="H377" i="2"/>
  <c r="H728" i="2"/>
  <c r="K728" i="2" s="1"/>
  <c r="M728" i="2" s="1"/>
  <c r="S62" i="3"/>
  <c r="T62" i="3" s="1"/>
  <c r="Q62" i="3"/>
  <c r="H880" i="2"/>
  <c r="K880" i="2" s="1"/>
  <c r="M880" i="2" s="1"/>
  <c r="H5" i="2"/>
  <c r="H799" i="2"/>
  <c r="K799" i="2" s="1"/>
  <c r="M799" i="2" s="1"/>
  <c r="H195" i="2"/>
  <c r="S255" i="3"/>
  <c r="T255" i="3" s="1"/>
  <c r="Q255" i="3"/>
  <c r="S184" i="3"/>
  <c r="T184" i="3" s="1"/>
  <c r="Q184" i="3"/>
  <c r="S93" i="3"/>
  <c r="T93" i="3" s="1"/>
  <c r="Q93" i="3"/>
  <c r="H910" i="2"/>
  <c r="K910" i="2" s="1"/>
  <c r="M910" i="2" s="1"/>
  <c r="S182" i="3"/>
  <c r="T182" i="3" s="1"/>
  <c r="Q182" i="3"/>
  <c r="H929" i="2"/>
  <c r="K929" i="2" s="1"/>
  <c r="M929" i="2" s="1"/>
  <c r="H1118" i="2"/>
  <c r="K1118" i="2" s="1"/>
  <c r="M1118" i="2" s="1"/>
  <c r="S94" i="3"/>
  <c r="T94" i="3" s="1"/>
  <c r="Q94" i="3"/>
  <c r="S95" i="3"/>
  <c r="T95" i="3" s="1"/>
  <c r="Q95" i="3"/>
  <c r="H291" i="2"/>
  <c r="H1094" i="2"/>
  <c r="K1094" i="2" s="1"/>
  <c r="M1094" i="2" s="1"/>
  <c r="H1274" i="2"/>
  <c r="K1274" i="2" s="1"/>
  <c r="M1274" i="2" s="1"/>
  <c r="H446" i="2"/>
  <c r="H1140" i="2"/>
  <c r="K1140" i="2" s="1"/>
  <c r="M1140" i="2" s="1"/>
  <c r="S183" i="3"/>
  <c r="T183" i="3" s="1"/>
  <c r="Q183" i="3"/>
  <c r="S63" i="3"/>
  <c r="T63" i="3" s="1"/>
  <c r="Q63" i="3"/>
  <c r="S91" i="3"/>
  <c r="T91" i="3" s="1"/>
  <c r="Q91" i="3"/>
  <c r="S198" i="3"/>
  <c r="T198" i="3" s="1"/>
  <c r="Q198" i="3"/>
  <c r="H755" i="2"/>
  <c r="K755" i="2" s="1"/>
  <c r="M755" i="2" s="1"/>
  <c r="H774" i="2"/>
  <c r="K774" i="2" s="1"/>
  <c r="M774" i="2" s="1"/>
  <c r="H397" i="2"/>
  <c r="H1082" i="2"/>
  <c r="K1082" i="2" s="1"/>
  <c r="M1082" i="2" s="1"/>
  <c r="H1200" i="2"/>
  <c r="K1200" i="2" s="1"/>
  <c r="M1200" i="2" s="1"/>
  <c r="S150" i="3"/>
  <c r="T150" i="3" s="1"/>
  <c r="Q150" i="3"/>
  <c r="S180" i="3"/>
  <c r="T180" i="3" s="1"/>
  <c r="Q180" i="3"/>
  <c r="H1041" i="2"/>
  <c r="K1041" i="2" s="1"/>
  <c r="M1041" i="2" s="1"/>
  <c r="H1252" i="2"/>
  <c r="K1252" i="2" s="1"/>
  <c r="M1252" i="2" s="1"/>
  <c r="H627" i="2"/>
  <c r="K627" i="2" s="1"/>
  <c r="M627" i="2" s="1"/>
  <c r="H648" i="2"/>
  <c r="K648" i="2" s="1"/>
  <c r="M648" i="2" s="1"/>
  <c r="H671" i="2"/>
  <c r="K671" i="2" s="1"/>
  <c r="M671" i="2" s="1"/>
  <c r="H760" i="2"/>
  <c r="K760" i="2" s="1"/>
  <c r="M760" i="2" s="1"/>
  <c r="H214" i="2"/>
  <c r="H121" i="2"/>
  <c r="K121" i="2" s="1"/>
  <c r="M121" i="2" s="1"/>
  <c r="H95" i="2"/>
  <c r="H151" i="2"/>
  <c r="H825" i="2"/>
  <c r="K825" i="2" s="1"/>
  <c r="M825" i="2" s="1"/>
  <c r="H876" i="2"/>
  <c r="K876" i="2" s="1"/>
  <c r="M876" i="2" s="1"/>
  <c r="H685" i="2"/>
  <c r="K685" i="2" s="1"/>
  <c r="M685" i="2" s="1"/>
  <c r="H849" i="2"/>
  <c r="K849" i="2" s="1"/>
  <c r="M849" i="2" s="1"/>
  <c r="H735" i="2"/>
  <c r="K735" i="2" s="1"/>
  <c r="M735" i="2" s="1"/>
  <c r="H708" i="2"/>
  <c r="K708" i="2" s="1"/>
  <c r="M708" i="2" s="1"/>
  <c r="H182" i="2"/>
  <c r="H32" i="2"/>
  <c r="H310" i="2"/>
  <c r="H1113" i="2"/>
  <c r="K1113" i="2" s="1"/>
  <c r="M1113" i="2" s="1"/>
  <c r="H401" i="2"/>
  <c r="H278" i="2"/>
  <c r="H956" i="2"/>
  <c r="K956" i="2" s="1"/>
  <c r="M956" i="2" s="1"/>
  <c r="H903" i="2"/>
  <c r="K903" i="2" s="1"/>
  <c r="M903" i="2" s="1"/>
  <c r="H246" i="2"/>
  <c r="H342" i="2"/>
  <c r="H925" i="2"/>
  <c r="K925" i="2" s="1"/>
  <c r="M925" i="2" s="1"/>
  <c r="H462" i="2"/>
  <c r="H792" i="2"/>
  <c r="K792" i="2" s="1"/>
  <c r="M792" i="2" s="1"/>
  <c r="H642" i="2"/>
  <c r="K642" i="2" s="1"/>
  <c r="M642" i="2" s="1"/>
  <c r="H1031" i="2"/>
  <c r="K1031" i="2" s="1"/>
  <c r="M1031" i="2" s="1"/>
  <c r="H372" i="2"/>
  <c r="H665" i="2"/>
  <c r="K665" i="2" s="1"/>
  <c r="M665" i="2" s="1"/>
  <c r="H1164" i="2"/>
  <c r="K1164" i="2" s="1"/>
  <c r="M1164" i="2" s="1"/>
  <c r="H363" i="2"/>
  <c r="H299" i="2"/>
  <c r="H454" i="2"/>
  <c r="H390" i="2"/>
  <c r="H203" i="2"/>
  <c r="H1419" i="2"/>
  <c r="K1419" i="2" s="1"/>
  <c r="M1419" i="2" s="1"/>
  <c r="H1508" i="2"/>
  <c r="K1508" i="2" s="1"/>
  <c r="M1508" i="2" s="1"/>
  <c r="H1557" i="2"/>
  <c r="K1557" i="2" s="1"/>
  <c r="M1557" i="2" s="1"/>
  <c r="I60" i="1" s="1"/>
  <c r="H1529" i="2"/>
  <c r="K1529" i="2" s="1"/>
  <c r="M1529" i="2" s="1"/>
  <c r="I59" i="1" s="1"/>
  <c r="H1500" i="2"/>
  <c r="K1500" i="2" s="1"/>
  <c r="M1500" i="2" s="1"/>
  <c r="I57" i="1" s="1"/>
  <c r="H1474" i="2"/>
  <c r="K1474" i="2" s="1"/>
  <c r="M1474" i="2" s="1"/>
  <c r="I56" i="1"/>
  <c r="H1016" i="2"/>
  <c r="K1016" i="2" s="1"/>
  <c r="M1016" i="2" s="1"/>
  <c r="H309" i="2"/>
  <c r="H1051" i="2"/>
  <c r="K1051" i="2" s="1"/>
  <c r="M1051" i="2" s="1"/>
  <c r="H1432" i="2"/>
  <c r="K1432" i="2" s="1"/>
  <c r="M1432" i="2" s="1"/>
  <c r="M1384" i="2"/>
  <c r="H988" i="2"/>
  <c r="K988" i="2" s="1"/>
  <c r="M988" i="2" s="1"/>
  <c r="I41" i="1" s="1"/>
  <c r="H1445" i="2"/>
  <c r="K1445" i="2" s="1"/>
  <c r="M1445" i="2" s="1"/>
  <c r="H1412" i="2"/>
  <c r="K1412" i="2" s="1"/>
  <c r="M1412" i="2" s="1"/>
  <c r="M1417" i="2"/>
  <c r="H205" i="2"/>
  <c r="H861" i="2"/>
  <c r="K861" i="2" s="1"/>
  <c r="M861" i="2" s="1"/>
  <c r="H747" i="2"/>
  <c r="K747" i="2" s="1"/>
  <c r="M747" i="2" s="1"/>
  <c r="H301" i="2"/>
  <c r="H389" i="2"/>
  <c r="H456" i="2"/>
  <c r="H720" i="2"/>
  <c r="K720" i="2" s="1"/>
  <c r="M720" i="2" s="1"/>
  <c r="H362" i="2"/>
  <c r="H1057" i="2"/>
  <c r="K1057" i="2" s="1"/>
  <c r="M1057" i="2" s="1"/>
  <c r="H1347" i="2"/>
  <c r="K1347" i="2" s="1"/>
  <c r="M1347" i="2" s="1"/>
  <c r="H1245" i="2"/>
  <c r="K1245" i="2" s="1"/>
  <c r="M1245" i="2" s="1"/>
  <c r="H1297" i="2"/>
  <c r="K1297" i="2" s="1"/>
  <c r="M1297" i="2" s="1"/>
  <c r="H1321" i="2"/>
  <c r="K1321" i="2" s="1"/>
  <c r="M1321" i="2" s="1"/>
  <c r="H1378" i="2"/>
  <c r="K1378" i="2" s="1"/>
  <c r="M1378" i="2" s="1"/>
  <c r="H1059" i="2"/>
  <c r="K1059" i="2" s="1"/>
  <c r="M1059" i="2" s="1"/>
  <c r="H349" i="2"/>
  <c r="H376" i="2"/>
  <c r="H1136" i="2"/>
  <c r="K1136" i="2" s="1"/>
  <c r="M1136" i="2" s="1"/>
  <c r="H1270" i="2"/>
  <c r="K1270" i="2" s="1"/>
  <c r="M1270" i="2" s="1"/>
  <c r="H1075" i="2"/>
  <c r="K1075" i="2" s="1"/>
  <c r="M1075" i="2" s="1"/>
  <c r="H1061" i="2"/>
  <c r="K1061" i="2" s="1"/>
  <c r="M1061" i="2" s="1"/>
  <c r="H1194" i="2"/>
  <c r="K1194" i="2" s="1"/>
  <c r="M1194" i="2" s="1"/>
  <c r="H1010" i="2"/>
  <c r="K1010" i="2" s="1"/>
  <c r="M1010" i="2" s="1"/>
  <c r="H23" i="2"/>
  <c r="H748" i="2"/>
  <c r="K748" i="2" s="1"/>
  <c r="M748" i="2" s="1"/>
  <c r="H947" i="2"/>
  <c r="K947" i="2" s="1"/>
  <c r="M947" i="2" s="1"/>
  <c r="H862" i="2"/>
  <c r="K862" i="2" s="1"/>
  <c r="M862" i="2" s="1"/>
  <c r="H721" i="2"/>
  <c r="K721" i="2" s="1"/>
  <c r="M721" i="2" s="1"/>
  <c r="H1003" i="2"/>
  <c r="K1003" i="2" s="1"/>
  <c r="M1003" i="2" s="1"/>
  <c r="H1023" i="2"/>
  <c r="K1023" i="2" s="1"/>
  <c r="M1023" i="2" s="1"/>
  <c r="H995" i="2"/>
  <c r="K995" i="2" s="1"/>
  <c r="M995" i="2" s="1"/>
  <c r="H647" i="2"/>
  <c r="K647" i="2" s="1"/>
  <c r="M647" i="2" s="1"/>
  <c r="H634" i="2"/>
  <c r="K634" i="2" s="1"/>
  <c r="M634" i="2" s="1"/>
  <c r="H670" i="2"/>
  <c r="K670" i="2" s="1"/>
  <c r="M670" i="2" s="1"/>
  <c r="H1173" i="2"/>
  <c r="K1173" i="2" s="1"/>
  <c r="M1173" i="2" s="1"/>
  <c r="H1218" i="2"/>
  <c r="K1218" i="2" s="1"/>
  <c r="M1218" i="2" s="1"/>
  <c r="H1049" i="2"/>
  <c r="K1049" i="2" s="1"/>
  <c r="M1049" i="2" s="1"/>
  <c r="H1304" i="2"/>
  <c r="K1304" i="2" s="1"/>
  <c r="M1304" i="2" s="1"/>
  <c r="H1052" i="2"/>
  <c r="K1052" i="2" s="1"/>
  <c r="M1052" i="2" s="1"/>
  <c r="H1046" i="2"/>
  <c r="K1046" i="2" s="1"/>
  <c r="M1046" i="2" s="1"/>
  <c r="H451" i="2"/>
  <c r="H296" i="2"/>
  <c r="H200" i="2"/>
  <c r="O1159" i="2"/>
  <c r="O1152" i="2"/>
  <c r="M1222" i="2"/>
  <c r="M1249" i="2"/>
  <c r="M1300" i="2"/>
  <c r="M1323" i="2"/>
  <c r="I53" i="1" s="1"/>
  <c r="N53" i="1" s="1"/>
  <c r="M1272" i="2"/>
  <c r="M1196" i="2"/>
  <c r="M1145" i="2"/>
  <c r="O1145" i="2"/>
  <c r="M1156" i="2"/>
  <c r="O1156" i="2"/>
  <c r="M1148" i="2"/>
  <c r="O1148" i="2"/>
  <c r="M1141" i="2"/>
  <c r="O1141" i="2"/>
  <c r="M1142" i="2"/>
  <c r="O1142" i="2"/>
  <c r="M1155" i="2"/>
  <c r="O1155" i="2"/>
  <c r="M1151" i="2"/>
  <c r="O1151" i="2"/>
  <c r="M1139" i="2"/>
  <c r="O1139" i="2"/>
  <c r="M1143" i="2"/>
  <c r="O1143" i="2"/>
  <c r="M1154" i="2"/>
  <c r="O1154" i="2"/>
  <c r="M1146" i="2"/>
  <c r="O1146" i="2"/>
  <c r="M1150" i="2"/>
  <c r="O1150" i="2"/>
  <c r="M1157" i="2"/>
  <c r="O1157" i="2"/>
  <c r="M1144" i="2"/>
  <c r="O1144" i="2"/>
  <c r="M1158" i="2"/>
  <c r="O1158" i="2"/>
  <c r="M1147" i="2"/>
  <c r="O1147" i="2"/>
  <c r="H1056" i="2"/>
  <c r="K1056" i="2" s="1"/>
  <c r="M1056" i="2" s="1"/>
  <c r="M1091" i="2"/>
  <c r="M1115" i="2"/>
  <c r="M1138" i="2"/>
  <c r="M1012" i="2"/>
  <c r="M1033" i="2"/>
  <c r="M992" i="2"/>
  <c r="M927" i="2"/>
  <c r="M878" i="2"/>
  <c r="M906" i="2"/>
  <c r="M710" i="2"/>
  <c r="M737" i="2"/>
  <c r="M687" i="2"/>
  <c r="K751" i="2"/>
  <c r="K724" i="2"/>
  <c r="K116" i="2"/>
  <c r="M116" i="2" s="1"/>
  <c r="H810" i="2"/>
  <c r="K810" i="2" s="1"/>
  <c r="M810" i="2" s="1"/>
  <c r="H808" i="2"/>
  <c r="K808" i="2" s="1"/>
  <c r="M808" i="2" s="1"/>
  <c r="H616" i="2"/>
  <c r="K645" i="2"/>
  <c r="M645" i="2" s="1"/>
  <c r="H593" i="2"/>
  <c r="K625" i="2"/>
  <c r="M625" i="2" s="1"/>
  <c r="K668" i="2"/>
  <c r="M668" i="2" s="1"/>
  <c r="K646" i="2"/>
  <c r="M646" i="2" s="1"/>
  <c r="K626" i="2"/>
  <c r="M626" i="2" s="1"/>
  <c r="K669" i="2"/>
  <c r="M669" i="2" s="1"/>
  <c r="H598" i="2"/>
  <c r="K653" i="2"/>
  <c r="M653" i="2" s="1"/>
  <c r="H614" i="2"/>
  <c r="K658" i="2"/>
  <c r="M658" i="2" s="1"/>
  <c r="K679" i="2"/>
  <c r="M679" i="2" s="1"/>
  <c r="K636" i="2"/>
  <c r="M636" i="2" s="1"/>
  <c r="K644" i="2"/>
  <c r="H592" i="2"/>
  <c r="K624" i="2"/>
  <c r="M624" i="2" s="1"/>
  <c r="K667" i="2"/>
  <c r="H594" i="2"/>
  <c r="K629" i="2"/>
  <c r="M629" i="2" s="1"/>
  <c r="H610" i="2"/>
  <c r="K654" i="2"/>
  <c r="M654" i="2" s="1"/>
  <c r="H613" i="2"/>
  <c r="H602" i="2"/>
  <c r="H612" i="2"/>
  <c r="K656" i="2"/>
  <c r="M656" i="2" s="1"/>
  <c r="K651" i="2"/>
  <c r="M651" i="2" s="1"/>
  <c r="K657" i="2"/>
  <c r="M657" i="2" s="1"/>
  <c r="H595" i="2"/>
  <c r="H597" i="2"/>
  <c r="K672" i="2"/>
  <c r="M672" i="2" s="1"/>
  <c r="K628" i="2"/>
  <c r="M628" i="2" s="1"/>
  <c r="K649" i="2"/>
  <c r="M649" i="2" s="1"/>
  <c r="H620" i="2"/>
  <c r="K677" i="2"/>
  <c r="M677" i="2" s="1"/>
  <c r="K633" i="2"/>
  <c r="M633" i="2" s="1"/>
  <c r="K675" i="2"/>
  <c r="M675" i="2" s="1"/>
  <c r="K631" i="2"/>
  <c r="M631" i="2" s="1"/>
  <c r="H607" i="2"/>
  <c r="K652" i="2"/>
  <c r="M652" i="2" s="1"/>
  <c r="K661" i="2"/>
  <c r="M661" i="2" s="1"/>
  <c r="K623" i="2"/>
  <c r="H615" i="2"/>
  <c r="K681" i="2"/>
  <c r="M681" i="2" s="1"/>
  <c r="H608" i="2"/>
  <c r="H596" i="2"/>
  <c r="K674" i="2"/>
  <c r="M674" i="2" s="1"/>
  <c r="K659" i="2"/>
  <c r="M659" i="2" s="1"/>
  <c r="K638" i="2"/>
  <c r="M638" i="2" s="1"/>
  <c r="H609" i="2"/>
  <c r="H611" i="2"/>
  <c r="H601" i="2"/>
  <c r="H603" i="2"/>
  <c r="K650" i="2"/>
  <c r="M650" i="2" s="1"/>
  <c r="K605" i="2"/>
  <c r="M605" i="2" s="1"/>
  <c r="H606" i="2"/>
  <c r="H599" i="2"/>
  <c r="K635" i="2"/>
  <c r="M635" i="2" s="1"/>
  <c r="K630" i="2"/>
  <c r="M630" i="2" s="1"/>
  <c r="H604" i="2"/>
  <c r="K637" i="2"/>
  <c r="M637" i="2" s="1"/>
  <c r="K680" i="2"/>
  <c r="M680" i="2" s="1"/>
  <c r="H585" i="2"/>
  <c r="K585" i="2" s="1"/>
  <c r="M585" i="2" s="1"/>
  <c r="H588" i="2"/>
  <c r="K588" i="2" s="1"/>
  <c r="M588" i="2" s="1"/>
  <c r="H587" i="2"/>
  <c r="K587" i="2" s="1"/>
  <c r="M587" i="2" s="1"/>
  <c r="I29" i="1" l="1"/>
  <c r="I48" i="1"/>
  <c r="I49" i="1"/>
  <c r="I50" i="1"/>
  <c r="N50" i="1" s="1"/>
  <c r="O1140" i="2"/>
  <c r="I58" i="1"/>
  <c r="N58" i="1" s="1"/>
  <c r="I55" i="1"/>
  <c r="J55" i="1" s="1"/>
  <c r="K55" i="1" s="1"/>
  <c r="I39" i="1"/>
  <c r="N39" i="1" s="1"/>
  <c r="I38" i="1"/>
  <c r="N38" i="1" s="1"/>
  <c r="L926" i="2"/>
  <c r="L905" i="2"/>
  <c r="L709" i="2"/>
  <c r="L1475" i="2"/>
  <c r="L1501" i="2"/>
  <c r="L850" i="2"/>
  <c r="I34" i="1" s="1"/>
  <c r="L796" i="2"/>
  <c r="I32" i="1" s="1"/>
  <c r="I47" i="1"/>
  <c r="N47" i="1" s="1"/>
  <c r="O1164" i="2"/>
  <c r="L1166" i="2"/>
  <c r="L1114" i="2"/>
  <c r="I37" i="1"/>
  <c r="N37" i="1" s="1"/>
  <c r="J57" i="1"/>
  <c r="K57" i="1" s="1"/>
  <c r="N57" i="1"/>
  <c r="J60" i="1"/>
  <c r="K60" i="1" s="1"/>
  <c r="N60" i="1"/>
  <c r="J56" i="1"/>
  <c r="K56" i="1" s="1"/>
  <c r="N56" i="1"/>
  <c r="J59" i="1"/>
  <c r="K59" i="1" s="1"/>
  <c r="N59" i="1"/>
  <c r="L1221" i="2"/>
  <c r="L877" i="2"/>
  <c r="I35" i="1" s="1"/>
  <c r="L1416" i="2"/>
  <c r="I51" i="1"/>
  <c r="N51" i="1" s="1"/>
  <c r="I46" i="1"/>
  <c r="J46" i="1" s="1"/>
  <c r="K46" i="1" s="1"/>
  <c r="I52" i="1"/>
  <c r="N52" i="1" s="1"/>
  <c r="L991" i="2"/>
  <c r="L1449" i="2"/>
  <c r="I45" i="1"/>
  <c r="N45" i="1" s="1"/>
  <c r="L1248" i="2"/>
  <c r="I36" i="1"/>
  <c r="J36" i="1" s="1"/>
  <c r="K36" i="1" s="1"/>
  <c r="L1348" i="2"/>
  <c r="L1299" i="2"/>
  <c r="L1090" i="2"/>
  <c r="L1271" i="2"/>
  <c r="L1137" i="2"/>
  <c r="L960" i="2"/>
  <c r="L1322" i="2"/>
  <c r="L1195" i="2"/>
  <c r="N49" i="1"/>
  <c r="J49" i="1"/>
  <c r="K49" i="1" s="1"/>
  <c r="I40" i="1"/>
  <c r="N40" i="1" s="1"/>
  <c r="J53" i="1"/>
  <c r="K53" i="1" s="1"/>
  <c r="N48" i="1"/>
  <c r="J48" i="1"/>
  <c r="K48" i="1" s="1"/>
  <c r="L1064" i="2"/>
  <c r="I44" i="1"/>
  <c r="N44" i="1" s="1"/>
  <c r="N29" i="1"/>
  <c r="J41" i="1"/>
  <c r="K41" i="1" s="1"/>
  <c r="N41" i="1"/>
  <c r="L769" i="2"/>
  <c r="L736" i="2"/>
  <c r="M623" i="2"/>
  <c r="M644" i="2"/>
  <c r="I28" i="1" s="1"/>
  <c r="L666" i="2"/>
  <c r="M667" i="2"/>
  <c r="M751" i="2"/>
  <c r="I31" i="1" s="1"/>
  <c r="M724" i="2"/>
  <c r="I30" i="1" s="1"/>
  <c r="N30" i="1" s="1"/>
  <c r="K616" i="2"/>
  <c r="M616" i="2" s="1"/>
  <c r="K604" i="2"/>
  <c r="M604" i="2" s="1"/>
  <c r="K603" i="2"/>
  <c r="M603" i="2" s="1"/>
  <c r="K607" i="2"/>
  <c r="M607" i="2" s="1"/>
  <c r="K601" i="2"/>
  <c r="M601" i="2" s="1"/>
  <c r="K612" i="2"/>
  <c r="M612" i="2" s="1"/>
  <c r="K594" i="2"/>
  <c r="M594" i="2" s="1"/>
  <c r="K602" i="2"/>
  <c r="M602" i="2" s="1"/>
  <c r="K598" i="2"/>
  <c r="M598" i="2" s="1"/>
  <c r="K609" i="2"/>
  <c r="M609" i="2" s="1"/>
  <c r="K596" i="2"/>
  <c r="M596" i="2" s="1"/>
  <c r="K597" i="2"/>
  <c r="M597" i="2" s="1"/>
  <c r="K608" i="2"/>
  <c r="M608" i="2" s="1"/>
  <c r="K595" i="2"/>
  <c r="M595" i="2" s="1"/>
  <c r="K610" i="2"/>
  <c r="M610" i="2" s="1"/>
  <c r="K614" i="2"/>
  <c r="M614" i="2" s="1"/>
  <c r="K599" i="2"/>
  <c r="M599" i="2" s="1"/>
  <c r="K613" i="2"/>
  <c r="M613" i="2" s="1"/>
  <c r="K592" i="2"/>
  <c r="M592" i="2" s="1"/>
  <c r="K606" i="2"/>
  <c r="M606" i="2" s="1"/>
  <c r="K615" i="2"/>
  <c r="M615" i="2" s="1"/>
  <c r="K611" i="2"/>
  <c r="M611" i="2" s="1"/>
  <c r="K620" i="2"/>
  <c r="M620" i="2" s="1"/>
  <c r="K593" i="2"/>
  <c r="M593" i="2" s="1"/>
  <c r="L827" i="2"/>
  <c r="I33" i="1" s="1"/>
  <c r="H600" i="2"/>
  <c r="J58" i="1" l="1"/>
  <c r="K58" i="1" s="1"/>
  <c r="J50" i="1"/>
  <c r="K50" i="1" s="1"/>
  <c r="N55" i="1"/>
  <c r="J39" i="1"/>
  <c r="K39" i="1" s="1"/>
  <c r="J38" i="1"/>
  <c r="K38" i="1" s="1"/>
  <c r="J47" i="1"/>
  <c r="K47" i="1" s="1"/>
  <c r="J37" i="1"/>
  <c r="K37" i="1" s="1"/>
  <c r="J51" i="1"/>
  <c r="K51" i="1" s="1"/>
  <c r="J52" i="1"/>
  <c r="K52" i="1" s="1"/>
  <c r="N46" i="1"/>
  <c r="J45" i="1"/>
  <c r="K45" i="1" s="1"/>
  <c r="N36" i="1"/>
  <c r="J40" i="1"/>
  <c r="K40" i="1" s="1"/>
  <c r="J44" i="1"/>
  <c r="K44" i="1" s="1"/>
  <c r="N28" i="1"/>
  <c r="N31" i="1"/>
  <c r="K600" i="2"/>
  <c r="L622" i="2" l="1"/>
  <c r="M600" i="2"/>
  <c r="I25" i="1" l="1"/>
  <c r="H577" i="2"/>
  <c r="K577" i="2" s="1"/>
  <c r="M577" i="2" s="1"/>
  <c r="I3" i="3" l="1"/>
  <c r="I382" i="3" s="1"/>
  <c r="K3" i="3"/>
  <c r="K382" i="3" s="1"/>
  <c r="K384" i="3" l="1"/>
  <c r="I384" i="3"/>
  <c r="H582" i="2"/>
  <c r="K582" i="2" s="1"/>
  <c r="M582" i="2" s="1"/>
  <c r="H567" i="2"/>
  <c r="K567" i="2" s="1"/>
  <c r="M567" i="2" s="1"/>
  <c r="H539" i="2"/>
  <c r="K539" i="2" s="1"/>
  <c r="M539" i="2" s="1"/>
  <c r="H538" i="2"/>
  <c r="K538" i="2" s="1"/>
  <c r="M538" i="2" s="1"/>
  <c r="H513" i="2"/>
  <c r="K513" i="2" s="1"/>
  <c r="M513" i="2" s="1"/>
  <c r="H491" i="2"/>
  <c r="K491" i="2" s="1"/>
  <c r="M491" i="2" s="1"/>
  <c r="H507" i="2"/>
  <c r="K507" i="2" s="1"/>
  <c r="M507" i="2" s="1"/>
  <c r="H506" i="2"/>
  <c r="K506" i="2" s="1"/>
  <c r="M506" i="2" s="1"/>
  <c r="L3" i="3"/>
  <c r="J3" i="3"/>
  <c r="N3" i="3"/>
  <c r="H581" i="2" l="1"/>
  <c r="K581" i="2" s="1"/>
  <c r="M581" i="2" s="1"/>
  <c r="H514" i="2"/>
  <c r="K514" i="2" s="1"/>
  <c r="M514" i="2" s="1"/>
  <c r="H554" i="2"/>
  <c r="K554" i="2" s="1"/>
  <c r="M554" i="2" s="1"/>
  <c r="H557" i="2"/>
  <c r="K557" i="2" s="1"/>
  <c r="M557" i="2" s="1"/>
  <c r="H515" i="2"/>
  <c r="K515" i="2" s="1"/>
  <c r="M515" i="2" s="1"/>
  <c r="H57" i="2"/>
  <c r="H432" i="2"/>
  <c r="H423" i="2"/>
  <c r="H63" i="2"/>
  <c r="H409" i="2"/>
  <c r="H426" i="2"/>
  <c r="H62" i="2"/>
  <c r="H483" i="2"/>
  <c r="H485" i="2"/>
  <c r="H55" i="2"/>
  <c r="H431" i="2"/>
  <c r="H484" i="2"/>
  <c r="M3" i="3"/>
  <c r="P3" i="3" l="1"/>
  <c r="H1001" i="2" l="1"/>
  <c r="K1001" i="2" s="1"/>
  <c r="M1001" i="2" s="1"/>
  <c r="I43" i="1" s="1"/>
  <c r="H1021" i="2"/>
  <c r="K1021" i="2" s="1"/>
  <c r="H632" i="2"/>
  <c r="K632" i="2" s="1"/>
  <c r="L643" i="2" s="1"/>
  <c r="H676" i="2"/>
  <c r="K676" i="2" s="1"/>
  <c r="L686" i="2" s="1"/>
  <c r="H580" i="2"/>
  <c r="K580" i="2" s="1"/>
  <c r="M580" i="2" s="1"/>
  <c r="S3" i="3"/>
  <c r="L1011" i="2" l="1"/>
  <c r="M1021" i="2"/>
  <c r="L1032" i="2"/>
  <c r="I42" i="1" s="1"/>
  <c r="N43" i="1"/>
  <c r="J43" i="1"/>
  <c r="K43" i="1" s="1"/>
  <c r="M676" i="2"/>
  <c r="I26" i="1" s="1"/>
  <c r="N26" i="1" s="1"/>
  <c r="M632" i="2"/>
  <c r="I27" i="1" s="1"/>
  <c r="N27" i="1" s="1"/>
  <c r="H573" i="2"/>
  <c r="K573" i="2" s="1"/>
  <c r="M573" i="2" s="1"/>
  <c r="H578" i="2"/>
  <c r="K578" i="2" s="1"/>
  <c r="M578" i="2" s="1"/>
  <c r="H574" i="2"/>
  <c r="K574" i="2" s="1"/>
  <c r="M574" i="2" s="1"/>
  <c r="H571" i="2"/>
  <c r="K571" i="2" s="1"/>
  <c r="M571" i="2" s="1"/>
  <c r="H590" i="2"/>
  <c r="K590" i="2" s="1"/>
  <c r="M590" i="2" s="1"/>
  <c r="H584" i="2"/>
  <c r="K584" i="2" s="1"/>
  <c r="M584" i="2" s="1"/>
  <c r="H575" i="2"/>
  <c r="K575" i="2" s="1"/>
  <c r="M575" i="2" s="1"/>
  <c r="H579" i="2"/>
  <c r="K579" i="2" s="1"/>
  <c r="M579" i="2" s="1"/>
  <c r="H576" i="2"/>
  <c r="K576" i="2" s="1"/>
  <c r="M576" i="2" s="1"/>
  <c r="H572" i="2"/>
  <c r="K572" i="2" s="1"/>
  <c r="M572" i="2" s="1"/>
  <c r="H586" i="2"/>
  <c r="K586" i="2" s="1"/>
  <c r="M586" i="2" s="1"/>
  <c r="H583" i="2"/>
  <c r="K583" i="2" s="1"/>
  <c r="M583" i="2" s="1"/>
  <c r="H555" i="2"/>
  <c r="K555" i="2" s="1"/>
  <c r="M555" i="2" s="1"/>
  <c r="H553" i="2"/>
  <c r="K553" i="2" s="1"/>
  <c r="M553" i="2" s="1"/>
  <c r="H566" i="2"/>
  <c r="K566" i="2" s="1"/>
  <c r="M566" i="2" s="1"/>
  <c r="H568" i="2"/>
  <c r="K568" i="2" s="1"/>
  <c r="M568" i="2" s="1"/>
  <c r="H540" i="2"/>
  <c r="K540" i="2" s="1"/>
  <c r="M540" i="2" s="1"/>
  <c r="H516" i="2"/>
  <c r="K516" i="2" s="1"/>
  <c r="M516" i="2" s="1"/>
  <c r="H564" i="2"/>
  <c r="K564" i="2" s="1"/>
  <c r="M564" i="2" s="1"/>
  <c r="H537" i="2"/>
  <c r="K537" i="2" s="1"/>
  <c r="M537" i="2" s="1"/>
  <c r="H511" i="2"/>
  <c r="K511" i="2" s="1"/>
  <c r="M511" i="2" s="1"/>
  <c r="H533" i="2"/>
  <c r="K533" i="2" s="1"/>
  <c r="M533" i="2" s="1"/>
  <c r="H510" i="2"/>
  <c r="K510" i="2" s="1"/>
  <c r="M510" i="2" s="1"/>
  <c r="H563" i="2"/>
  <c r="K563" i="2" s="1"/>
  <c r="M563" i="2" s="1"/>
  <c r="H550" i="2"/>
  <c r="K550" i="2" s="1"/>
  <c r="M550" i="2" s="1"/>
  <c r="H504" i="2"/>
  <c r="K504" i="2" s="1"/>
  <c r="M504" i="2" s="1"/>
  <c r="H528" i="2"/>
  <c r="K528" i="2" s="1"/>
  <c r="M528" i="2" s="1"/>
  <c r="H558" i="2"/>
  <c r="K558" i="2" s="1"/>
  <c r="M558" i="2" s="1"/>
  <c r="H531" i="2"/>
  <c r="K531" i="2" s="1"/>
  <c r="M531" i="2" s="1"/>
  <c r="H494" i="2"/>
  <c r="K494" i="2" s="1"/>
  <c r="M494" i="2" s="1"/>
  <c r="H535" i="2"/>
  <c r="K535" i="2" s="1"/>
  <c r="M535" i="2" s="1"/>
  <c r="H508" i="2"/>
  <c r="K508" i="2" s="1"/>
  <c r="M508" i="2" s="1"/>
  <c r="H536" i="2"/>
  <c r="K536" i="2" s="1"/>
  <c r="M536" i="2" s="1"/>
  <c r="H509" i="2"/>
  <c r="K509" i="2" s="1"/>
  <c r="M509" i="2" s="1"/>
  <c r="H545" i="2"/>
  <c r="K545" i="2" s="1"/>
  <c r="M545" i="2" s="1"/>
  <c r="H523" i="2"/>
  <c r="K523" i="2" s="1"/>
  <c r="M523" i="2" s="1"/>
  <c r="H492" i="2"/>
  <c r="K492" i="2" s="1"/>
  <c r="M492" i="2" s="1"/>
  <c r="H524" i="2"/>
  <c r="K524" i="2" s="1"/>
  <c r="M524" i="2" s="1"/>
  <c r="H493" i="2"/>
  <c r="K493" i="2" s="1"/>
  <c r="M493" i="2" s="1"/>
  <c r="H546" i="2"/>
  <c r="K546" i="2" s="1"/>
  <c r="M546" i="2" s="1"/>
  <c r="H522" i="2"/>
  <c r="K522" i="2" s="1"/>
  <c r="M522" i="2" s="1"/>
  <c r="H561" i="2"/>
  <c r="K561" i="2" s="1"/>
  <c r="M561" i="2" s="1"/>
  <c r="H552" i="2"/>
  <c r="K552" i="2" s="1"/>
  <c r="M552" i="2" s="1"/>
  <c r="H529" i="2"/>
  <c r="K529" i="2" s="1"/>
  <c r="M529" i="2" s="1"/>
  <c r="H505" i="2"/>
  <c r="K505" i="2" s="1"/>
  <c r="M505" i="2" s="1"/>
  <c r="H547" i="2"/>
  <c r="K547" i="2" s="1"/>
  <c r="M547" i="2" s="1"/>
  <c r="H496" i="2"/>
  <c r="K496" i="2" s="1"/>
  <c r="M496" i="2" s="1"/>
  <c r="H525" i="2"/>
  <c r="K525" i="2" s="1"/>
  <c r="M525" i="2" s="1"/>
  <c r="H560" i="2"/>
  <c r="K560" i="2" s="1"/>
  <c r="M560" i="2" s="1"/>
  <c r="H501" i="2"/>
  <c r="K501" i="2" s="1"/>
  <c r="M501" i="2" s="1"/>
  <c r="H543" i="2"/>
  <c r="K543" i="2" s="1"/>
  <c r="M543" i="2" s="1"/>
  <c r="H520" i="2"/>
  <c r="K520" i="2" s="1"/>
  <c r="M520" i="2" s="1"/>
  <c r="H489" i="2"/>
  <c r="K489" i="2" s="1"/>
  <c r="M489" i="2" s="1"/>
  <c r="H495" i="2"/>
  <c r="K495" i="2" s="1"/>
  <c r="M495" i="2" s="1"/>
  <c r="H551" i="2"/>
  <c r="K551" i="2" s="1"/>
  <c r="M551" i="2" s="1"/>
  <c r="H534" i="2"/>
  <c r="K534" i="2" s="1"/>
  <c r="M534" i="2" s="1"/>
  <c r="H527" i="2"/>
  <c r="K527" i="2" s="1"/>
  <c r="M527" i="2" s="1"/>
  <c r="H498" i="2"/>
  <c r="K498" i="2" s="1"/>
  <c r="M498" i="2" s="1"/>
  <c r="H549" i="2"/>
  <c r="K549" i="2" s="1"/>
  <c r="M549" i="2" s="1"/>
  <c r="H562" i="2"/>
  <c r="K562" i="2" s="1"/>
  <c r="M562" i="2" s="1"/>
  <c r="H532" i="2"/>
  <c r="K532" i="2" s="1"/>
  <c r="M532" i="2" s="1"/>
  <c r="H499" i="2"/>
  <c r="K499" i="2" s="1"/>
  <c r="M499" i="2" s="1"/>
  <c r="H544" i="2"/>
  <c r="K544" i="2" s="1"/>
  <c r="M544" i="2" s="1"/>
  <c r="H521" i="2"/>
  <c r="K521" i="2" s="1"/>
  <c r="M521" i="2" s="1"/>
  <c r="H490" i="2"/>
  <c r="K490" i="2" s="1"/>
  <c r="M490" i="2" s="1"/>
  <c r="H512" i="2"/>
  <c r="K512" i="2" s="1"/>
  <c r="M512" i="2" s="1"/>
  <c r="H565" i="2"/>
  <c r="K565" i="2" s="1"/>
  <c r="M565" i="2" s="1"/>
  <c r="H519" i="2"/>
  <c r="K519" i="2" s="1"/>
  <c r="M519" i="2" s="1"/>
  <c r="H434" i="2"/>
  <c r="H67" i="2"/>
  <c r="H413" i="2"/>
  <c r="H479" i="2"/>
  <c r="H45" i="2"/>
  <c r="H430" i="2"/>
  <c r="H486" i="2"/>
  <c r="H66" i="2"/>
  <c r="H433" i="2"/>
  <c r="H482" i="2"/>
  <c r="H60" i="2"/>
  <c r="H425" i="2"/>
  <c r="H478" i="2"/>
  <c r="H59" i="2"/>
  <c r="H419" i="2"/>
  <c r="H52" i="2"/>
  <c r="H473" i="2"/>
  <c r="H476" i="2"/>
  <c r="H412" i="2"/>
  <c r="H44" i="2"/>
  <c r="H480" i="2"/>
  <c r="H54" i="2"/>
  <c r="H472" i="2"/>
  <c r="H416" i="2"/>
  <c r="H48" i="2"/>
  <c r="H407" i="2"/>
  <c r="H41" i="2"/>
  <c r="H477" i="2"/>
  <c r="H49" i="2"/>
  <c r="H65" i="2"/>
  <c r="H466" i="2"/>
  <c r="H417" i="2"/>
  <c r="H40" i="2"/>
  <c r="H427" i="2"/>
  <c r="H37" i="2"/>
  <c r="H464" i="2"/>
  <c r="H3" i="2"/>
  <c r="H481" i="2"/>
  <c r="H64" i="2"/>
  <c r="H410" i="2"/>
  <c r="H468" i="2"/>
  <c r="H42" i="2"/>
  <c r="H422" i="2"/>
  <c r="H469" i="2"/>
  <c r="H411" i="2"/>
  <c r="H43" i="2"/>
  <c r="H467" i="2"/>
  <c r="H39" i="2"/>
  <c r="H474" i="2"/>
  <c r="H420" i="2"/>
  <c r="H408" i="2"/>
  <c r="H53" i="2"/>
  <c r="H428" i="2"/>
  <c r="H470" i="2"/>
  <c r="H414" i="2"/>
  <c r="H46" i="2"/>
  <c r="H424" i="2"/>
  <c r="H61" i="2"/>
  <c r="H50" i="2"/>
  <c r="H465" i="2"/>
  <c r="H406" i="2"/>
  <c r="H38" i="2"/>
  <c r="N42" i="1" l="1"/>
  <c r="J42" i="1"/>
  <c r="K42" i="1" s="1"/>
  <c r="H56" i="2"/>
  <c r="L591" i="2"/>
  <c r="I24" i="1" s="1"/>
  <c r="H502" i="2"/>
  <c r="K502" i="2" s="1"/>
  <c r="M502" i="2" s="1"/>
  <c r="H556" i="2"/>
  <c r="K556" i="2" s="1"/>
  <c r="M556" i="2" s="1"/>
  <c r="H475" i="2"/>
  <c r="H503" i="2"/>
  <c r="K503" i="2" s="1"/>
  <c r="M503" i="2" s="1"/>
  <c r="H421" i="2"/>
  <c r="H58" i="2"/>
  <c r="H418" i="2"/>
  <c r="H530" i="2"/>
  <c r="K530" i="2" s="1"/>
  <c r="H500" i="2"/>
  <c r="K500" i="2" s="1"/>
  <c r="M500" i="2" s="1"/>
  <c r="H429" i="2"/>
  <c r="H559" i="2"/>
  <c r="K559" i="2" s="1"/>
  <c r="M559" i="2" s="1"/>
  <c r="K94" i="2"/>
  <c r="M94" i="2" s="1"/>
  <c r="K151" i="2"/>
  <c r="M151" i="2" s="1"/>
  <c r="K95" i="2"/>
  <c r="M95" i="2" s="1"/>
  <c r="L542" i="2" l="1"/>
  <c r="M530" i="2"/>
  <c r="L570" i="2"/>
  <c r="I23" i="1" s="1"/>
  <c r="L518" i="2"/>
  <c r="I22" i="1" s="1"/>
  <c r="H51" i="2"/>
  <c r="I21" i="1" l="1"/>
  <c r="G23" i="1"/>
  <c r="G22" i="1"/>
  <c r="G21" i="1"/>
  <c r="G20" i="1"/>
  <c r="G19" i="1"/>
  <c r="H20" i="1" l="1"/>
  <c r="H21" i="1"/>
  <c r="H23" i="1"/>
  <c r="H22" i="1"/>
  <c r="T3" i="3" l="1"/>
  <c r="O3" i="3"/>
  <c r="Q3" i="3" l="1"/>
  <c r="H19" i="1"/>
  <c r="L6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K185" i="2"/>
  <c r="M185" i="2" s="1"/>
  <c r="K184" i="2"/>
  <c r="M184" i="2" s="1"/>
  <c r="K153" i="2"/>
  <c r="M153" i="2" s="1"/>
  <c r="K152" i="2"/>
  <c r="M152" i="2" s="1"/>
  <c r="G64" i="1" l="1"/>
  <c r="M463" i="2"/>
  <c r="M444" i="2"/>
  <c r="N32" i="1"/>
  <c r="N25" i="1"/>
  <c r="N24" i="1"/>
  <c r="N21" i="1"/>
  <c r="N23" i="1"/>
  <c r="N22" i="1"/>
  <c r="K249" i="2"/>
  <c r="M249" i="2" s="1"/>
  <c r="K248" i="2"/>
  <c r="M248" i="2" s="1"/>
  <c r="K281" i="2"/>
  <c r="M281" i="2" s="1"/>
  <c r="K280" i="2"/>
  <c r="M280" i="2" s="1"/>
  <c r="K313" i="2"/>
  <c r="M313" i="2" s="1"/>
  <c r="K312" i="2"/>
  <c r="M312" i="2" s="1"/>
  <c r="K345" i="2"/>
  <c r="M345" i="2" s="1"/>
  <c r="K344" i="2"/>
  <c r="M344" i="2" s="1"/>
  <c r="H15" i="1"/>
  <c r="H13" i="1"/>
  <c r="H9" i="1"/>
  <c r="H7" i="1"/>
  <c r="H6" i="1"/>
  <c r="H18" i="1"/>
  <c r="H17" i="1"/>
  <c r="H16" i="1"/>
  <c r="H11" i="1"/>
  <c r="H12" i="1"/>
  <c r="H8" i="1"/>
  <c r="H5" i="1"/>
  <c r="H14" i="1"/>
  <c r="H10" i="1"/>
  <c r="K69" i="2"/>
  <c r="M69" i="2" s="1"/>
  <c r="K68" i="2"/>
  <c r="M68" i="2" s="1"/>
  <c r="N33" i="1" l="1"/>
  <c r="J33" i="1"/>
  <c r="K33" i="1" s="1"/>
  <c r="J35" i="1"/>
  <c r="K35" i="1" s="1"/>
  <c r="N35" i="1"/>
  <c r="J34" i="1"/>
  <c r="K34" i="1" s="1"/>
  <c r="N34" i="1"/>
  <c r="J31" i="1"/>
  <c r="K31" i="1" s="1"/>
  <c r="J32" i="1"/>
  <c r="K32" i="1" s="1"/>
  <c r="J30" i="1"/>
  <c r="K30" i="1" s="1"/>
  <c r="J29" i="1"/>
  <c r="K29" i="1" s="1"/>
  <c r="J26" i="1"/>
  <c r="K26" i="1" s="1"/>
  <c r="J27" i="1"/>
  <c r="K27" i="1" s="1"/>
  <c r="J25" i="1"/>
  <c r="K25" i="1" s="1"/>
  <c r="J28" i="1"/>
  <c r="K28" i="1" s="1"/>
  <c r="J24" i="1"/>
  <c r="K24" i="1" s="1"/>
  <c r="K436" i="2"/>
  <c r="M436" i="2" s="1"/>
  <c r="K435" i="2"/>
  <c r="M435" i="2" s="1"/>
  <c r="K217" i="2"/>
  <c r="M217" i="2" s="1"/>
  <c r="K216" i="2"/>
  <c r="M216" i="2" s="1"/>
  <c r="K35" i="2"/>
  <c r="M35" i="2" s="1"/>
  <c r="K34" i="2"/>
  <c r="M34" i="2" s="1"/>
  <c r="K404" i="2" l="1"/>
  <c r="M404" i="2" s="1"/>
  <c r="K403" i="2"/>
  <c r="M403" i="2" s="1"/>
  <c r="K28" i="2" l="1"/>
  <c r="M28" i="2" s="1"/>
  <c r="K337" i="2"/>
  <c r="M337" i="2" s="1"/>
  <c r="K31" i="2"/>
  <c r="M31" i="2" s="1"/>
  <c r="K364" i="2"/>
  <c r="M364" i="2" s="1"/>
  <c r="K391" i="2"/>
  <c r="M391" i="2" s="1"/>
  <c r="K453" i="2"/>
  <c r="M453" i="2" s="1"/>
  <c r="K423" i="2"/>
  <c r="M423" i="2" s="1"/>
  <c r="K245" i="2"/>
  <c r="M245" i="2" s="1"/>
  <c r="K309" i="2"/>
  <c r="M309" i="2" s="1"/>
  <c r="K399" i="2"/>
  <c r="M399" i="2" s="1"/>
  <c r="K461" i="2"/>
  <c r="M461" i="2" s="1"/>
  <c r="K460" i="2"/>
  <c r="M460" i="2" s="1"/>
  <c r="K376" i="2"/>
  <c r="M376" i="2" s="1"/>
  <c r="K349" i="2"/>
  <c r="M349" i="2" s="1"/>
  <c r="K408" i="2"/>
  <c r="M408" i="2" s="1"/>
  <c r="K350" i="2"/>
  <c r="M350" i="2" s="1"/>
  <c r="K377" i="2"/>
  <c r="M377" i="2" s="1"/>
  <c r="K409" i="2"/>
  <c r="M409" i="2" s="1"/>
  <c r="K63" i="2"/>
  <c r="M63" i="2" s="1"/>
  <c r="K62" i="2"/>
  <c r="M62" i="2" s="1"/>
  <c r="K308" i="2"/>
  <c r="M308" i="2" s="1"/>
  <c r="K458" i="2"/>
  <c r="M458" i="2" s="1"/>
  <c r="K475" i="2"/>
  <c r="M475" i="2" s="1"/>
  <c r="K485" i="2"/>
  <c r="M485" i="2" s="1"/>
  <c r="K483" i="2"/>
  <c r="M483" i="2" s="1"/>
  <c r="K150" i="2"/>
  <c r="M150" i="2" s="1"/>
  <c r="K212" i="2"/>
  <c r="M212" i="2" s="1"/>
  <c r="K340" i="2"/>
  <c r="M340" i="2" s="1"/>
  <c r="K371" i="2"/>
  <c r="M371" i="2" s="1"/>
  <c r="K484" i="2"/>
  <c r="M484" i="2" s="1"/>
  <c r="K213" i="2"/>
  <c r="M213" i="2" s="1"/>
  <c r="K341" i="2"/>
  <c r="M341" i="2" s="1"/>
  <c r="K209" i="2"/>
  <c r="M209" i="2" s="1"/>
  <c r="K306" i="2"/>
  <c r="M306" i="2" s="1"/>
  <c r="K432" i="2"/>
  <c r="M432" i="2" s="1"/>
  <c r="K27" i="2"/>
  <c r="M27" i="2" s="1"/>
  <c r="K22" i="2"/>
  <c r="M22" i="2" s="1"/>
  <c r="K56" i="2"/>
  <c r="M56" i="2" s="1"/>
  <c r="K21" i="2"/>
  <c r="M21" i="2" s="1"/>
  <c r="K55" i="2"/>
  <c r="M55" i="2" s="1"/>
  <c r="K23" i="2"/>
  <c r="M23" i="2" s="1"/>
  <c r="K57" i="2"/>
  <c r="M57" i="2" s="1"/>
  <c r="K210" i="2" l="1"/>
  <c r="M210" i="2" s="1"/>
  <c r="K305" i="2"/>
  <c r="M305" i="2" s="1"/>
  <c r="K400" i="2"/>
  <c r="M400" i="2" s="1"/>
  <c r="K146" i="2"/>
  <c r="M146" i="2" s="1"/>
  <c r="K29" i="2"/>
  <c r="M29" i="2" s="1"/>
  <c r="K147" i="2"/>
  <c r="M147" i="2" s="1"/>
  <c r="K307" i="2"/>
  <c r="M307" i="2" s="1"/>
  <c r="K211" i="2"/>
  <c r="M211" i="2" s="1"/>
  <c r="K354" i="2"/>
  <c r="M354" i="2" s="1"/>
  <c r="K381" i="2"/>
  <c r="M381" i="2" s="1"/>
  <c r="K413" i="2"/>
  <c r="M413" i="2" s="1"/>
  <c r="K455" i="2"/>
  <c r="M455" i="2" s="1"/>
  <c r="K479" i="2"/>
  <c r="M479" i="2" s="1"/>
  <c r="K331" i="2"/>
  <c r="M331" i="2" s="1"/>
  <c r="K204" i="2"/>
  <c r="M204" i="2" s="1"/>
  <c r="K87" i="2"/>
  <c r="M87" i="2" s="1"/>
  <c r="K139" i="2"/>
  <c r="M139" i="2" s="1"/>
  <c r="K300" i="2"/>
  <c r="M300" i="2" s="1"/>
  <c r="K267" i="2"/>
  <c r="M267" i="2" s="1"/>
  <c r="K235" i="2"/>
  <c r="M235" i="2" s="1"/>
  <c r="K171" i="2"/>
  <c r="M171" i="2" s="1"/>
  <c r="K277" i="2"/>
  <c r="M277" i="2" s="1"/>
  <c r="K268" i="2"/>
  <c r="M268" i="2" s="1"/>
  <c r="K236" i="2"/>
  <c r="M236" i="2" s="1"/>
  <c r="K172" i="2"/>
  <c r="M172" i="2" s="1"/>
  <c r="K140" i="2"/>
  <c r="M140" i="2" s="1"/>
  <c r="K88" i="2"/>
  <c r="M88" i="2" s="1"/>
  <c r="K332" i="2"/>
  <c r="M332" i="2" s="1"/>
  <c r="K372" i="2"/>
  <c r="M372" i="2" s="1"/>
  <c r="K433" i="2"/>
  <c r="M433" i="2" s="1"/>
  <c r="K401" i="2"/>
  <c r="M401" i="2" s="1"/>
  <c r="K462" i="2"/>
  <c r="M462" i="2" s="1"/>
  <c r="K486" i="2"/>
  <c r="M486" i="2" s="1"/>
  <c r="K278" i="2"/>
  <c r="M278" i="2" s="1"/>
  <c r="K246" i="2"/>
  <c r="M246" i="2" s="1"/>
  <c r="K214" i="2"/>
  <c r="M214" i="2" s="1"/>
  <c r="K182" i="2"/>
  <c r="M182" i="2" s="1"/>
  <c r="K342" i="2"/>
  <c r="M342" i="2" s="1"/>
  <c r="K310" i="2"/>
  <c r="M310" i="2" s="1"/>
  <c r="K361" i="2"/>
  <c r="M361" i="2" s="1"/>
  <c r="K420" i="2"/>
  <c r="M420" i="2" s="1"/>
  <c r="K388" i="2"/>
  <c r="M388" i="2" s="1"/>
  <c r="K448" i="2"/>
  <c r="M448" i="2" s="1"/>
  <c r="K474" i="2"/>
  <c r="M474" i="2" s="1"/>
  <c r="K293" i="2"/>
  <c r="M293" i="2" s="1"/>
  <c r="K260" i="2"/>
  <c r="M260" i="2" s="1"/>
  <c r="K228" i="2"/>
  <c r="M228" i="2" s="1"/>
  <c r="K164" i="2"/>
  <c r="M164" i="2" s="1"/>
  <c r="K132" i="2"/>
  <c r="M132" i="2" s="1"/>
  <c r="K80" i="2"/>
  <c r="M80" i="2" s="1"/>
  <c r="K324" i="2"/>
  <c r="M324" i="2" s="1"/>
  <c r="K197" i="2"/>
  <c r="M197" i="2" s="1"/>
  <c r="K357" i="2"/>
  <c r="M357" i="2" s="1"/>
  <c r="K416" i="2"/>
  <c r="M416" i="2" s="1"/>
  <c r="K445" i="2"/>
  <c r="M445" i="2" s="1"/>
  <c r="K384" i="2"/>
  <c r="M384" i="2" s="1"/>
  <c r="K472" i="2"/>
  <c r="M472" i="2" s="1"/>
  <c r="K258" i="2"/>
  <c r="M258" i="2" s="1"/>
  <c r="K226" i="2"/>
  <c r="M226" i="2" s="1"/>
  <c r="K194" i="2"/>
  <c r="M194" i="2" s="1"/>
  <c r="K162" i="2"/>
  <c r="M162" i="2" s="1"/>
  <c r="K130" i="2"/>
  <c r="M130" i="2" s="1"/>
  <c r="K77" i="2"/>
  <c r="M77" i="2" s="1"/>
  <c r="K322" i="2"/>
  <c r="M322" i="2" s="1"/>
  <c r="K290" i="2"/>
  <c r="M290" i="2" s="1"/>
  <c r="K358" i="2"/>
  <c r="M358" i="2" s="1"/>
  <c r="K385" i="2"/>
  <c r="M385" i="2" s="1"/>
  <c r="K440" i="2"/>
  <c r="M440" i="2" s="1"/>
  <c r="K417" i="2"/>
  <c r="M417" i="2" s="1"/>
  <c r="K466" i="2"/>
  <c r="M466" i="2" s="1"/>
  <c r="K253" i="2"/>
  <c r="M253" i="2" s="1"/>
  <c r="K221" i="2"/>
  <c r="M221" i="2" s="1"/>
  <c r="K189" i="2"/>
  <c r="M189" i="2" s="1"/>
  <c r="K157" i="2"/>
  <c r="M157" i="2" s="1"/>
  <c r="K125" i="2"/>
  <c r="M125" i="2" s="1"/>
  <c r="K73" i="2"/>
  <c r="M73" i="2" s="1"/>
  <c r="K317" i="2"/>
  <c r="M317" i="2" s="1"/>
  <c r="K285" i="2"/>
  <c r="M285" i="2" s="1"/>
  <c r="K397" i="2"/>
  <c r="M397" i="2" s="1"/>
  <c r="K274" i="2"/>
  <c r="M274" i="2" s="1"/>
  <c r="K242" i="2"/>
  <c r="M242" i="2" s="1"/>
  <c r="K273" i="2"/>
  <c r="M273" i="2" s="1"/>
  <c r="K368" i="2"/>
  <c r="M368" i="2" s="1"/>
  <c r="K427" i="2"/>
  <c r="M427" i="2" s="1"/>
  <c r="K438" i="2"/>
  <c r="K395" i="2"/>
  <c r="M395" i="2" s="1"/>
  <c r="K464" i="2"/>
  <c r="M464" i="2" s="1"/>
  <c r="K251" i="2"/>
  <c r="M251" i="2" s="1"/>
  <c r="K219" i="2"/>
  <c r="M219" i="2" s="1"/>
  <c r="K187" i="2"/>
  <c r="M187" i="2" s="1"/>
  <c r="K155" i="2"/>
  <c r="M155" i="2" s="1"/>
  <c r="K123" i="2"/>
  <c r="M123" i="2" s="1"/>
  <c r="K97" i="2"/>
  <c r="M97" i="2" s="1"/>
  <c r="K71" i="2"/>
  <c r="M71" i="2" s="1"/>
  <c r="K315" i="2"/>
  <c r="M315" i="2" s="1"/>
  <c r="K283" i="2"/>
  <c r="M283" i="2" s="1"/>
  <c r="K363" i="2"/>
  <c r="M363" i="2" s="1"/>
  <c r="K422" i="2"/>
  <c r="M422" i="2" s="1"/>
  <c r="K390" i="2"/>
  <c r="M390" i="2" s="1"/>
  <c r="K454" i="2"/>
  <c r="M454" i="2" s="1"/>
  <c r="K299" i="2"/>
  <c r="M299" i="2" s="1"/>
  <c r="K203" i="2"/>
  <c r="M203" i="2" s="1"/>
  <c r="K352" i="2"/>
  <c r="M352" i="2" s="1"/>
  <c r="K379" i="2"/>
  <c r="M379" i="2" s="1"/>
  <c r="K411" i="2"/>
  <c r="M411" i="2" s="1"/>
  <c r="K442" i="2"/>
  <c r="M442" i="2" s="1"/>
  <c r="K469" i="2"/>
  <c r="M469" i="2" s="1"/>
  <c r="K255" i="2"/>
  <c r="M255" i="2" s="1"/>
  <c r="K223" i="2"/>
  <c r="M223" i="2" s="1"/>
  <c r="K191" i="2"/>
  <c r="M191" i="2" s="1"/>
  <c r="K159" i="2"/>
  <c r="M159" i="2" s="1"/>
  <c r="K127" i="2"/>
  <c r="M127" i="2" s="1"/>
  <c r="K75" i="2"/>
  <c r="M75" i="2" s="1"/>
  <c r="K319" i="2"/>
  <c r="M319" i="2" s="1"/>
  <c r="K287" i="2"/>
  <c r="M287" i="2" s="1"/>
  <c r="K429" i="2"/>
  <c r="K428" i="2"/>
  <c r="K480" i="2"/>
  <c r="M480" i="2" s="1"/>
  <c r="K360" i="2"/>
  <c r="M360" i="2" s="1"/>
  <c r="K387" i="2"/>
  <c r="M387" i="2" s="1"/>
  <c r="K447" i="2"/>
  <c r="M447" i="2" s="1"/>
  <c r="K419" i="2"/>
  <c r="M419" i="2" s="1"/>
  <c r="K473" i="2"/>
  <c r="M473" i="2" s="1"/>
  <c r="K323" i="2"/>
  <c r="M323" i="2" s="1"/>
  <c r="K196" i="2"/>
  <c r="M196" i="2" s="1"/>
  <c r="K79" i="2"/>
  <c r="M79" i="2" s="1"/>
  <c r="K292" i="2"/>
  <c r="M292" i="2" s="1"/>
  <c r="K259" i="2"/>
  <c r="M259" i="2" s="1"/>
  <c r="K227" i="2"/>
  <c r="M227" i="2" s="1"/>
  <c r="K163" i="2"/>
  <c r="M163" i="2" s="1"/>
  <c r="K131" i="2"/>
  <c r="M131" i="2" s="1"/>
  <c r="K241" i="2"/>
  <c r="M241" i="2" s="1"/>
  <c r="K178" i="2"/>
  <c r="M178" i="2" s="1"/>
  <c r="K338" i="2"/>
  <c r="M338" i="2" s="1"/>
  <c r="K446" i="2"/>
  <c r="M446" i="2" s="1"/>
  <c r="K467" i="2"/>
  <c r="M467" i="2" s="1"/>
  <c r="K291" i="2"/>
  <c r="M291" i="2" s="1"/>
  <c r="K195" i="2"/>
  <c r="M195" i="2" s="1"/>
  <c r="K452" i="2"/>
  <c r="M452" i="2" s="1"/>
  <c r="K297" i="2"/>
  <c r="M297" i="2" s="1"/>
  <c r="K201" i="2"/>
  <c r="M201" i="2" s="1"/>
  <c r="K426" i="2"/>
  <c r="M426" i="2" s="1"/>
  <c r="K367" i="2"/>
  <c r="M367" i="2" s="1"/>
  <c r="K394" i="2"/>
  <c r="M394" i="2" s="1"/>
  <c r="K457" i="2"/>
  <c r="M457" i="2" s="1"/>
  <c r="K206" i="2"/>
  <c r="M206" i="2" s="1"/>
  <c r="K302" i="2"/>
  <c r="M302" i="2" s="1"/>
  <c r="K355" i="2"/>
  <c r="M355" i="2" s="1"/>
  <c r="K382" i="2"/>
  <c r="M382" i="2" s="1"/>
  <c r="K414" i="2"/>
  <c r="M414" i="2" s="1"/>
  <c r="K443" i="2"/>
  <c r="M443" i="2" s="1"/>
  <c r="K470" i="2"/>
  <c r="M470" i="2" s="1"/>
  <c r="K320" i="2"/>
  <c r="M320" i="2" s="1"/>
  <c r="K288" i="2"/>
  <c r="M288" i="2" s="1"/>
  <c r="K76" i="2"/>
  <c r="M76" i="2" s="1"/>
  <c r="K256" i="2"/>
  <c r="M256" i="2" s="1"/>
  <c r="K224" i="2"/>
  <c r="M224" i="2" s="1"/>
  <c r="K192" i="2"/>
  <c r="M192" i="2" s="1"/>
  <c r="K160" i="2"/>
  <c r="M160" i="2" s="1"/>
  <c r="K128" i="2"/>
  <c r="M128" i="2" s="1"/>
  <c r="K93" i="2"/>
  <c r="M93" i="2" s="1"/>
  <c r="K348" i="2"/>
  <c r="M348" i="2" s="1"/>
  <c r="K375" i="2"/>
  <c r="M375" i="2" s="1"/>
  <c r="K407" i="2"/>
  <c r="M407" i="2" s="1"/>
  <c r="K450" i="2"/>
  <c r="M450" i="2" s="1"/>
  <c r="K477" i="2"/>
  <c r="M477" i="2" s="1"/>
  <c r="K295" i="2"/>
  <c r="M295" i="2" s="1"/>
  <c r="K262" i="2"/>
  <c r="M262" i="2" s="1"/>
  <c r="K230" i="2"/>
  <c r="M230" i="2" s="1"/>
  <c r="K166" i="2"/>
  <c r="M166" i="2" s="1"/>
  <c r="K134" i="2"/>
  <c r="M134" i="2" s="1"/>
  <c r="K82" i="2"/>
  <c r="M82" i="2" s="1"/>
  <c r="K326" i="2"/>
  <c r="M326" i="2" s="1"/>
  <c r="K199" i="2"/>
  <c r="M199" i="2" s="1"/>
  <c r="K365" i="2"/>
  <c r="M365" i="2" s="1"/>
  <c r="K424" i="2"/>
  <c r="M424" i="2" s="1"/>
  <c r="K392" i="2"/>
  <c r="M392" i="2" s="1"/>
  <c r="K359" i="2"/>
  <c r="M359" i="2" s="1"/>
  <c r="K418" i="2"/>
  <c r="M418" i="2" s="1"/>
  <c r="K386" i="2"/>
  <c r="M386" i="2" s="1"/>
  <c r="K264" i="2"/>
  <c r="M264" i="2" s="1"/>
  <c r="K232" i="2"/>
  <c r="M232" i="2" s="1"/>
  <c r="K168" i="2"/>
  <c r="M168" i="2" s="1"/>
  <c r="K136" i="2"/>
  <c r="M136" i="2" s="1"/>
  <c r="K84" i="2"/>
  <c r="M84" i="2" s="1"/>
  <c r="K328" i="2"/>
  <c r="M328" i="2" s="1"/>
  <c r="K181" i="2"/>
  <c r="M181" i="2" s="1"/>
  <c r="K398" i="2"/>
  <c r="M398" i="2" s="1"/>
  <c r="K430" i="2"/>
  <c r="M430" i="2" s="1"/>
  <c r="K370" i="2"/>
  <c r="M370" i="2" s="1"/>
  <c r="K177" i="2"/>
  <c r="M177" i="2" s="1"/>
  <c r="K145" i="2"/>
  <c r="M145" i="2" s="1"/>
  <c r="K351" i="2"/>
  <c r="M351" i="2" s="1"/>
  <c r="K378" i="2"/>
  <c r="M378" i="2" s="1"/>
  <c r="K410" i="2"/>
  <c r="M410" i="2" s="1"/>
  <c r="K441" i="2"/>
  <c r="M441" i="2" s="1"/>
  <c r="K468" i="2"/>
  <c r="M468" i="2" s="1"/>
  <c r="K318" i="2"/>
  <c r="M318" i="2" s="1"/>
  <c r="K286" i="2"/>
  <c r="M286" i="2" s="1"/>
  <c r="K74" i="2"/>
  <c r="M74" i="2" s="1"/>
  <c r="K254" i="2"/>
  <c r="M254" i="2" s="1"/>
  <c r="K222" i="2"/>
  <c r="M222" i="2" s="1"/>
  <c r="K190" i="2"/>
  <c r="M190" i="2" s="1"/>
  <c r="K158" i="2"/>
  <c r="M158" i="2" s="1"/>
  <c r="K126" i="2"/>
  <c r="M126" i="2" s="1"/>
  <c r="K327" i="2"/>
  <c r="M327" i="2" s="1"/>
  <c r="K83" i="2"/>
  <c r="M83" i="2" s="1"/>
  <c r="K135" i="2"/>
  <c r="M135" i="2" s="1"/>
  <c r="K263" i="2"/>
  <c r="M263" i="2" s="1"/>
  <c r="K231" i="2"/>
  <c r="M231" i="2" s="1"/>
  <c r="K167" i="2"/>
  <c r="M167" i="2" s="1"/>
  <c r="K366" i="2"/>
  <c r="M366" i="2" s="1"/>
  <c r="K393" i="2"/>
  <c r="M393" i="2" s="1"/>
  <c r="K459" i="2"/>
  <c r="M459" i="2" s="1"/>
  <c r="K425" i="2"/>
  <c r="M425" i="2" s="1"/>
  <c r="K482" i="2"/>
  <c r="M482" i="2" s="1"/>
  <c r="K272" i="2"/>
  <c r="M272" i="2" s="1"/>
  <c r="K240" i="2"/>
  <c r="M240" i="2" s="1"/>
  <c r="K208" i="2"/>
  <c r="M208" i="2" s="1"/>
  <c r="K176" i="2"/>
  <c r="M176" i="2" s="1"/>
  <c r="K144" i="2"/>
  <c r="M144" i="2" s="1"/>
  <c r="K92" i="2"/>
  <c r="M92" i="2" s="1"/>
  <c r="K336" i="2"/>
  <c r="M336" i="2" s="1"/>
  <c r="K304" i="2"/>
  <c r="M304" i="2" s="1"/>
  <c r="K362" i="2"/>
  <c r="M362" i="2" s="1"/>
  <c r="K389" i="2"/>
  <c r="M389" i="2" s="1"/>
  <c r="K421" i="2"/>
  <c r="M421" i="2" s="1"/>
  <c r="K456" i="2"/>
  <c r="M456" i="2" s="1"/>
  <c r="K301" i="2"/>
  <c r="M301" i="2" s="1"/>
  <c r="K205" i="2"/>
  <c r="M205" i="2" s="1"/>
  <c r="K481" i="2"/>
  <c r="M481" i="2" s="1"/>
  <c r="K374" i="2"/>
  <c r="M374" i="2" s="1"/>
  <c r="K347" i="2"/>
  <c r="M347" i="2" s="1"/>
  <c r="K406" i="2"/>
  <c r="K439" i="2"/>
  <c r="M439" i="2" s="1"/>
  <c r="K465" i="2"/>
  <c r="M465" i="2" s="1"/>
  <c r="K316" i="2"/>
  <c r="M316" i="2" s="1"/>
  <c r="K284" i="2"/>
  <c r="M284" i="2" s="1"/>
  <c r="K72" i="2"/>
  <c r="M72" i="2" s="1"/>
  <c r="K252" i="2"/>
  <c r="M252" i="2" s="1"/>
  <c r="K220" i="2"/>
  <c r="M220" i="2" s="1"/>
  <c r="K188" i="2"/>
  <c r="M188" i="2" s="1"/>
  <c r="K156" i="2"/>
  <c r="M156" i="2" s="1"/>
  <c r="K124" i="2"/>
  <c r="M124" i="2" s="1"/>
  <c r="K333" i="2"/>
  <c r="M333" i="2" s="1"/>
  <c r="K89" i="2"/>
  <c r="M89" i="2" s="1"/>
  <c r="K141" i="2"/>
  <c r="M141" i="2" s="1"/>
  <c r="K269" i="2"/>
  <c r="M269" i="2" s="1"/>
  <c r="K237" i="2"/>
  <c r="M237" i="2" s="1"/>
  <c r="K173" i="2"/>
  <c r="M173" i="2" s="1"/>
  <c r="K148" i="2"/>
  <c r="M148" i="2" s="1"/>
  <c r="K276" i="2"/>
  <c r="M276" i="2" s="1"/>
  <c r="K402" i="2"/>
  <c r="M402" i="2" s="1"/>
  <c r="K343" i="2"/>
  <c r="M343" i="2" s="1"/>
  <c r="K311" i="2"/>
  <c r="M311" i="2" s="1"/>
  <c r="K183" i="2"/>
  <c r="M183" i="2" s="1"/>
  <c r="K335" i="2"/>
  <c r="M335" i="2" s="1"/>
  <c r="K91" i="2"/>
  <c r="M91" i="2" s="1"/>
  <c r="K143" i="2"/>
  <c r="M143" i="2" s="1"/>
  <c r="K271" i="2"/>
  <c r="M271" i="2" s="1"/>
  <c r="K239" i="2"/>
  <c r="M239" i="2" s="1"/>
  <c r="K175" i="2"/>
  <c r="M175" i="2" s="1"/>
  <c r="K180" i="2"/>
  <c r="M180" i="2" s="1"/>
  <c r="K244" i="2"/>
  <c r="M244" i="2" s="1"/>
  <c r="K478" i="2"/>
  <c r="M478" i="2" s="1"/>
  <c r="K149" i="2"/>
  <c r="M149" i="2" s="1"/>
  <c r="K396" i="2"/>
  <c r="M396" i="2" s="1"/>
  <c r="K353" i="2"/>
  <c r="M353" i="2" s="1"/>
  <c r="K449" i="2"/>
  <c r="M449" i="2" s="1"/>
  <c r="K380" i="2"/>
  <c r="M380" i="2" s="1"/>
  <c r="K412" i="2"/>
  <c r="M412" i="2" s="1"/>
  <c r="K476" i="2"/>
  <c r="M476" i="2" s="1"/>
  <c r="K325" i="2"/>
  <c r="M325" i="2" s="1"/>
  <c r="K198" i="2"/>
  <c r="M198" i="2" s="1"/>
  <c r="K81" i="2"/>
  <c r="M81" i="2" s="1"/>
  <c r="K294" i="2"/>
  <c r="M294" i="2" s="1"/>
  <c r="K261" i="2"/>
  <c r="M261" i="2" s="1"/>
  <c r="K229" i="2"/>
  <c r="M229" i="2" s="1"/>
  <c r="K165" i="2"/>
  <c r="M165" i="2" s="1"/>
  <c r="K133" i="2"/>
  <c r="M133" i="2" s="1"/>
  <c r="K431" i="2"/>
  <c r="M431" i="2" s="1"/>
  <c r="K451" i="2"/>
  <c r="M451" i="2" s="1"/>
  <c r="K200" i="2"/>
  <c r="M200" i="2" s="1"/>
  <c r="K296" i="2"/>
  <c r="M296" i="2" s="1"/>
  <c r="K339" i="2"/>
  <c r="M339" i="2" s="1"/>
  <c r="K275" i="2"/>
  <c r="M275" i="2" s="1"/>
  <c r="K243" i="2"/>
  <c r="M243" i="2" s="1"/>
  <c r="K179" i="2"/>
  <c r="M179" i="2" s="1"/>
  <c r="K434" i="2"/>
  <c r="M434" i="2" s="1"/>
  <c r="K279" i="2"/>
  <c r="M279" i="2" s="1"/>
  <c r="K247" i="2"/>
  <c r="M247" i="2" s="1"/>
  <c r="K215" i="2"/>
  <c r="M215" i="2" s="1"/>
  <c r="K270" i="2"/>
  <c r="M270" i="2" s="1"/>
  <c r="K238" i="2"/>
  <c r="M238" i="2" s="1"/>
  <c r="K174" i="2"/>
  <c r="M174" i="2" s="1"/>
  <c r="K142" i="2"/>
  <c r="M142" i="2" s="1"/>
  <c r="K90" i="2"/>
  <c r="M90" i="2" s="1"/>
  <c r="K334" i="2"/>
  <c r="M334" i="2" s="1"/>
  <c r="K65" i="2"/>
  <c r="M65" i="2" s="1"/>
  <c r="K64" i="2"/>
  <c r="M64" i="2" s="1"/>
  <c r="K61" i="2"/>
  <c r="M61" i="2" s="1"/>
  <c r="K67" i="2"/>
  <c r="M67" i="2" s="1"/>
  <c r="K33" i="2"/>
  <c r="M33" i="2" s="1"/>
  <c r="K30" i="2"/>
  <c r="M30" i="2" s="1"/>
  <c r="K207" i="2"/>
  <c r="M207" i="2" s="1"/>
  <c r="K265" i="2"/>
  <c r="M265" i="2" s="1"/>
  <c r="K170" i="2"/>
  <c r="M170" i="2" s="1"/>
  <c r="K19" i="2"/>
  <c r="M19" i="2" s="1"/>
  <c r="K53" i="2"/>
  <c r="M53" i="2" s="1"/>
  <c r="K26" i="2"/>
  <c r="M26" i="2" s="1"/>
  <c r="K60" i="2"/>
  <c r="M60" i="2" s="1"/>
  <c r="K66" i="2"/>
  <c r="M66" i="2" s="1"/>
  <c r="K32" i="2"/>
  <c r="M32" i="2" s="1"/>
  <c r="K14" i="2"/>
  <c r="M14" i="2" s="1"/>
  <c r="K48" i="2"/>
  <c r="M48" i="2" s="1"/>
  <c r="K4" i="2"/>
  <c r="M4" i="2" s="1"/>
  <c r="K38" i="2"/>
  <c r="M38" i="2" s="1"/>
  <c r="K37" i="2"/>
  <c r="K3" i="2"/>
  <c r="M3" i="2" s="1"/>
  <c r="K50" i="2"/>
  <c r="M50" i="2" s="1"/>
  <c r="K16" i="2"/>
  <c r="M16" i="2" s="1"/>
  <c r="K18" i="2"/>
  <c r="M18" i="2" s="1"/>
  <c r="K52" i="2"/>
  <c r="M52" i="2" s="1"/>
  <c r="K17" i="2"/>
  <c r="M17" i="2" s="1"/>
  <c r="K51" i="2"/>
  <c r="M51" i="2" s="1"/>
  <c r="K58" i="2"/>
  <c r="M58" i="2" s="1"/>
  <c r="K24" i="2"/>
  <c r="M24" i="2" s="1"/>
  <c r="K10" i="2"/>
  <c r="M10" i="2" s="1"/>
  <c r="K44" i="2"/>
  <c r="M44" i="2" s="1"/>
  <c r="K8" i="2"/>
  <c r="M8" i="2" s="1"/>
  <c r="K42" i="2"/>
  <c r="M42" i="2" s="1"/>
  <c r="K45" i="2"/>
  <c r="M45" i="2" s="1"/>
  <c r="K11" i="2"/>
  <c r="M11" i="2" s="1"/>
  <c r="K40" i="2"/>
  <c r="M40" i="2" s="1"/>
  <c r="K6" i="2"/>
  <c r="M6" i="2" s="1"/>
  <c r="K9" i="2"/>
  <c r="M9" i="2" s="1"/>
  <c r="K43" i="2"/>
  <c r="M43" i="2" s="1"/>
  <c r="K5" i="2"/>
  <c r="M5" i="2" s="1"/>
  <c r="K39" i="2"/>
  <c r="M39" i="2" s="1"/>
  <c r="K20" i="2"/>
  <c r="M20" i="2" s="1"/>
  <c r="K54" i="2"/>
  <c r="M54" i="2" s="1"/>
  <c r="K12" i="2"/>
  <c r="M12" i="2" s="1"/>
  <c r="K46" i="2"/>
  <c r="M46" i="2" s="1"/>
  <c r="K41" i="2"/>
  <c r="M41" i="2" s="1"/>
  <c r="K49" i="2"/>
  <c r="M49" i="2" s="1"/>
  <c r="K15" i="2"/>
  <c r="M15" i="2" s="1"/>
  <c r="K7" i="2"/>
  <c r="M7" i="2" s="1"/>
  <c r="K25" i="2"/>
  <c r="M25" i="2" s="1"/>
  <c r="K59" i="2"/>
  <c r="M59" i="2" s="1"/>
  <c r="K234" i="2"/>
  <c r="M234" i="2" s="1"/>
  <c r="K86" i="2"/>
  <c r="M86" i="2" s="1"/>
  <c r="K169" i="2"/>
  <c r="M169" i="2" s="1"/>
  <c r="K266" i="2"/>
  <c r="M266" i="2" s="1"/>
  <c r="K202" i="2"/>
  <c r="M202" i="2" s="1"/>
  <c r="K137" i="2"/>
  <c r="M137" i="2" s="1"/>
  <c r="K233" i="2"/>
  <c r="M233" i="2" s="1"/>
  <c r="K138" i="2"/>
  <c r="M138" i="2" s="1"/>
  <c r="K329" i="2"/>
  <c r="M329" i="2" s="1"/>
  <c r="K85" i="2"/>
  <c r="M85" i="2" s="1"/>
  <c r="K298" i="2"/>
  <c r="M298" i="2" s="1"/>
  <c r="K330" i="2"/>
  <c r="M330" i="2" s="1"/>
  <c r="K303" i="2"/>
  <c r="M303" i="2" s="1"/>
  <c r="M406" i="2" l="1"/>
  <c r="H1379" i="2"/>
  <c r="K1379" i="2" s="1"/>
  <c r="M428" i="2"/>
  <c r="M429" i="2"/>
  <c r="I5" i="1"/>
  <c r="M438" i="2"/>
  <c r="L463" i="2"/>
  <c r="M37" i="2"/>
  <c r="L70" i="2"/>
  <c r="L36" i="2"/>
  <c r="L346" i="2"/>
  <c r="L282" i="2"/>
  <c r="L437" i="2"/>
  <c r="L96" i="2"/>
  <c r="L488" i="2"/>
  <c r="L373" i="2"/>
  <c r="L405" i="2"/>
  <c r="L218" i="2"/>
  <c r="L314" i="2"/>
  <c r="L186" i="2"/>
  <c r="L250" i="2"/>
  <c r="L154" i="2"/>
  <c r="L122" i="2"/>
  <c r="M1379" i="2" l="1"/>
  <c r="I54" i="1" s="1"/>
  <c r="L1383" i="2"/>
  <c r="N5" i="1"/>
  <c r="I7" i="1"/>
  <c r="I14" i="1"/>
  <c r="I20" i="1"/>
  <c r="J20" i="1" s="1"/>
  <c r="K20" i="1" s="1"/>
  <c r="I12" i="1"/>
  <c r="I11" i="1"/>
  <c r="I6" i="1"/>
  <c r="N6" i="1" s="1"/>
  <c r="I13" i="1"/>
  <c r="I19" i="1"/>
  <c r="I18" i="1"/>
  <c r="N18" i="1" s="1"/>
  <c r="I10" i="1"/>
  <c r="I17" i="1"/>
  <c r="N17" i="1" s="1"/>
  <c r="I15" i="1"/>
  <c r="I9" i="1"/>
  <c r="I16" i="1"/>
  <c r="I8" i="1"/>
  <c r="J21" i="1"/>
  <c r="K21" i="1" s="1"/>
  <c r="J23" i="1"/>
  <c r="K23" i="1" s="1"/>
  <c r="J22" i="1"/>
  <c r="K22" i="1" s="1"/>
  <c r="J5" i="1"/>
  <c r="K5" i="1" s="1"/>
  <c r="J54" i="1" l="1"/>
  <c r="K54" i="1" s="1"/>
  <c r="N54" i="1"/>
  <c r="N16" i="1"/>
  <c r="N9" i="1"/>
  <c r="N15" i="1"/>
  <c r="N10" i="1"/>
  <c r="N12" i="1"/>
  <c r="N11" i="1"/>
  <c r="N7" i="1"/>
  <c r="N14" i="1"/>
  <c r="J8" i="1"/>
  <c r="K8" i="1" s="1"/>
  <c r="N8" i="1"/>
  <c r="J19" i="1"/>
  <c r="K19" i="1" s="1"/>
  <c r="N19" i="1"/>
  <c r="J13" i="1"/>
  <c r="K13" i="1" s="1"/>
  <c r="N13" i="1"/>
  <c r="J12" i="1"/>
  <c r="K12" i="1" s="1"/>
  <c r="J6" i="1"/>
  <c r="K6" i="1" s="1"/>
  <c r="J17" i="1"/>
  <c r="K17" i="1" s="1"/>
  <c r="J14" i="1"/>
  <c r="K14" i="1" s="1"/>
  <c r="J11" i="1"/>
  <c r="K11" i="1" s="1"/>
  <c r="J9" i="1"/>
  <c r="K9" i="1" s="1"/>
  <c r="J18" i="1"/>
  <c r="K18" i="1" s="1"/>
  <c r="J15" i="1"/>
  <c r="K15" i="1" s="1"/>
  <c r="J10" i="1"/>
  <c r="K10" i="1" s="1"/>
  <c r="N20" i="1"/>
  <c r="J7" i="1"/>
  <c r="K7" i="1" s="1"/>
  <c r="J16" i="1"/>
  <c r="K16" i="1" s="1"/>
  <c r="N64" i="1" l="1"/>
  <c r="K64" i="1"/>
  <c r="K65" i="1" l="1"/>
  <c r="N65" i="1" l="1"/>
  <c r="T38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37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Less:CFC VALUE
</t>
        </r>
      </text>
    </comment>
  </commentList>
</comments>
</file>

<file path=xl/sharedStrings.xml><?xml version="1.0" encoding="utf-8"?>
<sst xmlns="http://schemas.openxmlformats.org/spreadsheetml/2006/main" count="15618" uniqueCount="2192">
  <si>
    <t>ABSTRACT FOR THE MONTH December'2022</t>
  </si>
  <si>
    <t>SL NO</t>
  </si>
  <si>
    <t>Month</t>
  </si>
  <si>
    <t>NEW PRODUCT CODE</t>
  </si>
  <si>
    <t>PRODUCT NAME</t>
  </si>
  <si>
    <t>Qty</t>
  </si>
  <si>
    <t>PO Rate</t>
  </si>
  <si>
    <t>BOM Rate</t>
  </si>
  <si>
    <t>Diff</t>
  </si>
  <si>
    <t>Value</t>
  </si>
  <si>
    <t>Sales Value</t>
  </si>
  <si>
    <t>Status</t>
  </si>
  <si>
    <t>CS0080JAS05R</t>
  </si>
  <si>
    <t>CHIK PROT LONG N HEALTHYJASMINE 80ML 72P</t>
  </si>
  <si>
    <t>ACTIVE</t>
  </si>
  <si>
    <t>CS0175JAS01R</t>
  </si>
  <si>
    <t>CHIK PROT LONG N HEALTHYJASMINE 175M 48P</t>
  </si>
  <si>
    <t>No Sales</t>
  </si>
  <si>
    <t>KS05D4DMS02S</t>
  </si>
  <si>
    <t>Karthika Damage Shield 5.4ml 10% Extra(43W*70mm L)</t>
  </si>
  <si>
    <t>KS05D4HFS02S</t>
  </si>
  <si>
    <t>Karthika Hairfall Shield 5.4ml 10% Extra(43W*70mm L)</t>
  </si>
  <si>
    <t>KS0035HFS01R</t>
  </si>
  <si>
    <t>KARTHIKA HAIRFALLSHIELD 35ML 144P PETJAR</t>
  </si>
  <si>
    <t>KS0080HFS02R</t>
  </si>
  <si>
    <t>KARTHIKA HAIRFALLSHIELD  HAN PK  80M 72P</t>
  </si>
  <si>
    <t>KS0175DRS01R</t>
  </si>
  <si>
    <t>KARTHIKA DRYNESS SHIELD SH 175ML 48P</t>
  </si>
  <si>
    <t>KS0175DMS02R</t>
  </si>
  <si>
    <t>KARTHIKA DAMAGE SHIELD SHAMPOO 175M 48P</t>
  </si>
  <si>
    <t>KS0175HFS02R</t>
  </si>
  <si>
    <t>KARTHIKA HAIRFALLSHIELD SH AI 175M 48P</t>
  </si>
  <si>
    <t>KS0080DRS01R</t>
  </si>
  <si>
    <t>KARTHIKA DRYNESS SHIELD SH 80ML 72P</t>
  </si>
  <si>
    <t>KS0080DMS02R</t>
  </si>
  <si>
    <t>KARTHIKA DAMAGE SHIELD 80M 72P</t>
  </si>
  <si>
    <t>KS05D4CUL01R</t>
  </si>
  <si>
    <t>KARTHIKA CURRY LEAF SH 5.4M10% 1920 PCS</t>
  </si>
  <si>
    <t>KS0080CUL01R</t>
  </si>
  <si>
    <t>KARTHIKA CURRY LEAF SH 80 ML 72 PCS</t>
  </si>
  <si>
    <t>KS0175CUL01R</t>
  </si>
  <si>
    <t>KARTHIKA CURRY LEAF SH 175 ML 48 PCS</t>
  </si>
  <si>
    <t>KS05D4DRS02S</t>
  </si>
  <si>
    <t xml:space="preserve">KARTHIKA DRYNESS SHEILD SH 5.4 10% EX 1920P </t>
  </si>
  <si>
    <t>CS0005EGW01I</t>
  </si>
  <si>
    <t>CHIK EGG HFP PROSOL 5ML+1ML 1920P MY IB</t>
  </si>
  <si>
    <t>CS0005EGW07I</t>
  </si>
  <si>
    <t>Egg - 1 Re - 720 Sachets Yemen Order</t>
  </si>
  <si>
    <t>CS0005BLK06I</t>
  </si>
  <si>
    <t>Black 1 Re -720 Sachets Yemen Order</t>
  </si>
  <si>
    <t>CS0005JAS06I</t>
  </si>
  <si>
    <t>Jasmine 1 Re -720 Sachets Yemen Order</t>
  </si>
  <si>
    <t>CS0003BLK01I</t>
  </si>
  <si>
    <t>CHIK BLK HFP PRO SOL 3GM 40%EX 4800P IB</t>
  </si>
  <si>
    <t>CS0005BLK15S</t>
  </si>
  <si>
    <t>CHIK BLK PROSOL THK&amp;GLY 5M+1M 1920P 21RL</t>
  </si>
  <si>
    <t>CS0003BLK05S</t>
  </si>
  <si>
    <t>CHIK BLK HFP PROSOL 3G 33%EX 4800PC 21RL</t>
  </si>
  <si>
    <t>CS0003JAS01S</t>
  </si>
  <si>
    <t>CHIK JAS HFP PROSOL 3G33% EX 4800PC 21RL MRP RS.0.50</t>
  </si>
  <si>
    <t>KS0003DMS04S</t>
  </si>
  <si>
    <t>KARTHIKA DAMSHE SH 3G33%EXÂ OFFER4800P I MRPRS.0.50</t>
  </si>
  <si>
    <t>CS0005EGW13S</t>
  </si>
  <si>
    <t>CHIK EGG HFPSH SCH 5ML+1ML EX 1920P 21RL</t>
  </si>
  <si>
    <t>CS0005JAS08S</t>
  </si>
  <si>
    <t>CHIK JAS PROSOL SOYA 4M+2ML EX1920P 21RL MRP RS. 1.00</t>
  </si>
  <si>
    <t>CS0035JAS07R</t>
  </si>
  <si>
    <t>CHIK JAS PROSOL SOYAPRO SH 35ML144P 21RL MRP.RS. 10.00</t>
  </si>
  <si>
    <t>KS0080ADD01R</t>
  </si>
  <si>
    <t>KARTHIKA ANTID ANDRUFF SHAMPOO 80ML 72PC MRP RS.54.00</t>
  </si>
  <si>
    <t>CS0005BLK07I</t>
  </si>
  <si>
    <t>CHIK THICKNGLOSSY BLK 5ML 20%E 1920PC IB - MRP. RS.1.00</t>
  </si>
  <si>
    <t>CS0005EGW08I</t>
  </si>
  <si>
    <t>CHIK HFP EGGWHITE SH 5ML20% EX 1920PC IB  MRP. RS.1.00</t>
  </si>
  <si>
    <t>CS0005JAS07I</t>
  </si>
  <si>
    <t>CHIK LONG HEAL JAS SI 5ML 20%EX 1920P IB  MRP. RS.1.00</t>
  </si>
  <si>
    <t>CS0005BLK16S</t>
  </si>
  <si>
    <t>CHIK BLK PROSOLTHK&amp;GLY4M+2M 1920P 22NF MRP RS.1.00</t>
  </si>
  <si>
    <t>CS0175JAS02R</t>
  </si>
  <si>
    <t>CHIK JAS PRO SOL SOYA PRO SH 175ML 48PCS MRP. RS.102.00</t>
  </si>
  <si>
    <t>KS05D5ADD01S</t>
  </si>
  <si>
    <t>KARTHIKA ADD SH 5.5ML B4 G1 960P+240P FR</t>
  </si>
  <si>
    <t>CS0005JAS09S</t>
  </si>
  <si>
    <t>CHIK JAS PROSOL SOYA 4M+2ML EX1920P 22RL MRP RS.1.00</t>
  </si>
  <si>
    <t>KS0080DRS02R</t>
  </si>
  <si>
    <t>KARTHIKA DRYNESS SHIELD SH 80ML 72P  MRP. RS. 52.00</t>
  </si>
  <si>
    <t>KS0650HFS01R</t>
  </si>
  <si>
    <t>KARTHIKA SHAM HAIRFALL SHIELD 650ML 12PC MRP RS 475.00</t>
  </si>
  <si>
    <t>CS0003JAS02S</t>
  </si>
  <si>
    <t>CHIK JAS HFP PROSOL 3G23% EX 4800PC 22RL MRP RS.0.50</t>
  </si>
  <si>
    <t>CS0003BLK06S</t>
  </si>
  <si>
    <t>CHIK BLK HFP PROSOL 3G 23%EX 4800PC RL22 MRP RS.0.50</t>
  </si>
  <si>
    <t>CS0005BLK17S</t>
  </si>
  <si>
    <t>CHIK BLK 4M 20% E 1920P W C 35ML BL 6P F   MRP RS.1.00</t>
  </si>
  <si>
    <t>CS0005EGW15S</t>
  </si>
  <si>
    <t>CHIK EGG HFP SH 4ML+2ML EX 1920PC 22RL</t>
  </si>
  <si>
    <t>MS0005SNH02S</t>
  </si>
  <si>
    <t>MEERA GOT SNG N HEALTHY SH 5M 20%EX1440P</t>
  </si>
  <si>
    <t>CS0005EGW16S</t>
  </si>
  <si>
    <t>CHIK EGG HFP W CH 35ML EGG 4P FR 1920P</t>
  </si>
  <si>
    <t>KS0340ADD01R</t>
  </si>
  <si>
    <t>KARTHIKA ANTID ANDRUFF SHAMPOO 340ML 24P</t>
  </si>
  <si>
    <t>KS0650ADD01R</t>
  </si>
  <si>
    <t>KARTHIKA ANTID ANDRUFF SHAMPOO 650ML 12P</t>
  </si>
  <si>
    <t>CS0005BLK18S</t>
  </si>
  <si>
    <t>CHIK BLK 4M 50% E 1920P W C1RE BLK 80P F MRP Rs.1.00</t>
  </si>
  <si>
    <t>CS0005EGW17S</t>
  </si>
  <si>
    <t>CHIK EGG 4M 20% E 1920P W C 1RE E 80P F MRP Rs.1.00</t>
  </si>
  <si>
    <t>KS0003DMS05S</t>
  </si>
  <si>
    <t>KARTHIKA DAM SHIELD SH 3G 23% EX 4800PCS MRP Rs.0.50</t>
  </si>
  <si>
    <t>KS05D4DMS04S</t>
  </si>
  <si>
    <t>KARTHIKA DAMAGESH 5.4M10%1920P+480P B4G1  MRP RS. 1.00</t>
  </si>
  <si>
    <t>KS0650HFS01S</t>
  </si>
  <si>
    <t>KARTHIKA SH 650ML HFS W K 175ML CUL 12P MRP Rs.475.00</t>
  </si>
  <si>
    <t>KS0080HFS03R</t>
  </si>
  <si>
    <t>KARTHIKA HAIRFALLSHIELD HAN PK 80M 72P MRP RS.52.00</t>
  </si>
  <si>
    <t>KS0004HFS01S</t>
  </si>
  <si>
    <t>KARTHIKA HAIRFALLSHIELD 4ML 1920P NF MRP RS.1.00</t>
  </si>
  <si>
    <t>KS0004HFS02S</t>
  </si>
  <si>
    <t>KARTHIKA HAIRFALLSHIELD 4M 35%E 1920P NF MRP RS.1.00</t>
  </si>
  <si>
    <t>KS0080CUL02R</t>
  </si>
  <si>
    <t>KARTHIKA CURRY LEAF SH HANGER 80ML 72 PCS MRP RS.52.00</t>
  </si>
  <si>
    <t>MS0005HFC03S</t>
  </si>
  <si>
    <t>MEERA GOT HFC NON HOLO SH 5M 20%EX1440PC</t>
  </si>
  <si>
    <t>MS0005ADD03S</t>
  </si>
  <si>
    <t>MEERA GOT ANTI DANDRUFF SH 5Ml 10%EX1440P</t>
  </si>
  <si>
    <t>Total</t>
  </si>
  <si>
    <t>Total in LAC</t>
  </si>
  <si>
    <t>Type</t>
  </si>
  <si>
    <t>Material Code</t>
  </si>
  <si>
    <t>Material Name</t>
  </si>
  <si>
    <t>Bom</t>
  </si>
  <si>
    <t>Landed Cost</t>
  </si>
  <si>
    <t>Wastage</t>
  </si>
  <si>
    <t>Sp. Gravity</t>
  </si>
  <si>
    <t>Cost/ Ton</t>
  </si>
  <si>
    <t>Cost / Ton</t>
  </si>
  <si>
    <t>Cost / CLD</t>
  </si>
  <si>
    <t>RM</t>
  </si>
  <si>
    <t>C16</t>
  </si>
  <si>
    <t>DM Water</t>
  </si>
  <si>
    <t>C25</t>
  </si>
  <si>
    <t>SLES 70%</t>
  </si>
  <si>
    <t>C18</t>
  </si>
  <si>
    <t>EGDS</t>
  </si>
  <si>
    <t>C14</t>
  </si>
  <si>
    <t>PKMEA/CMEA</t>
  </si>
  <si>
    <t>C17</t>
  </si>
  <si>
    <t>EDTA Disodium</t>
  </si>
  <si>
    <t>C12</t>
  </si>
  <si>
    <t>CITRIC ACID ANHYDROUS</t>
  </si>
  <si>
    <t>C9</t>
  </si>
  <si>
    <t>Carbopol 990</t>
  </si>
  <si>
    <t>C43</t>
  </si>
  <si>
    <t>Sodium hydroxide</t>
  </si>
  <si>
    <t>C24</t>
  </si>
  <si>
    <t>CAPB</t>
  </si>
  <si>
    <t>C30</t>
  </si>
  <si>
    <t>N-hance CG-17</t>
  </si>
  <si>
    <t>DABISCO DCG-20</t>
  </si>
  <si>
    <t>C36</t>
  </si>
  <si>
    <t>Polyox N-60K</t>
  </si>
  <si>
    <t>C45</t>
  </si>
  <si>
    <t>TARTRAZINE CI NO 19140</t>
  </si>
  <si>
    <t>C8</t>
  </si>
  <si>
    <t>BRILLIANT BLUE CL.NO.42090</t>
  </si>
  <si>
    <t>C26</t>
  </si>
  <si>
    <t>Glydant</t>
  </si>
  <si>
    <t>C54</t>
  </si>
  <si>
    <t>CE - 1788 POE EMULSION</t>
  </si>
  <si>
    <t>C51</t>
  </si>
  <si>
    <t>CK 60012</t>
  </si>
  <si>
    <t>FRAGRANCE JASMINE ROYALE NP 2191</t>
  </si>
  <si>
    <t>C28</t>
  </si>
  <si>
    <t>Hydrolysed Egg white protein</t>
  </si>
  <si>
    <t>C53</t>
  </si>
  <si>
    <t>Gluvadin Soya benz</t>
  </si>
  <si>
    <t>C49</t>
  </si>
  <si>
    <t>Alovera Juice</t>
  </si>
  <si>
    <t>C44</t>
  </si>
  <si>
    <t>Sumicos 43149</t>
  </si>
  <si>
    <t>C42</t>
  </si>
  <si>
    <t>Sodium Chloride</t>
  </si>
  <si>
    <t>PM</t>
  </si>
  <si>
    <t>80ml CFC</t>
  </si>
  <si>
    <t>B16</t>
  </si>
  <si>
    <t>Bottle 80 ml</t>
  </si>
  <si>
    <t>B9</t>
  </si>
  <si>
    <t>Cap 80ml</t>
  </si>
  <si>
    <t>80ml Front label</t>
  </si>
  <si>
    <t>80ml Back label</t>
  </si>
  <si>
    <t>Bopp tape</t>
  </si>
  <si>
    <t>BOPP Tape</t>
  </si>
  <si>
    <t>Hanger</t>
  </si>
  <si>
    <t>PM-Charges</t>
  </si>
  <si>
    <t>labelling charges</t>
  </si>
  <si>
    <t>Inkjet Coding</t>
  </si>
  <si>
    <t>CC</t>
  </si>
  <si>
    <t>Conversion Cost</t>
  </si>
  <si>
    <t>175ml CFC</t>
  </si>
  <si>
    <t>B17</t>
  </si>
  <si>
    <t>Bottle 175 ml</t>
  </si>
  <si>
    <t>B10</t>
  </si>
  <si>
    <t>Cap 175ml</t>
  </si>
  <si>
    <t>175ml Front label</t>
  </si>
  <si>
    <t>175ml Back label</t>
  </si>
  <si>
    <t>B29</t>
  </si>
  <si>
    <t>175ml  Sleeves</t>
  </si>
  <si>
    <t>Citric acid</t>
  </si>
  <si>
    <t>C4</t>
  </si>
  <si>
    <t>CK 9819</t>
  </si>
  <si>
    <t>C19</t>
  </si>
  <si>
    <t>Fenugreek PG extract</t>
  </si>
  <si>
    <t>C37</t>
  </si>
  <si>
    <t>PG Extract Reetha</t>
  </si>
  <si>
    <t>C41</t>
  </si>
  <si>
    <t>PG Extract shikakai</t>
  </si>
  <si>
    <t>C3</t>
  </si>
  <si>
    <t>PG extract Amla</t>
  </si>
  <si>
    <t>C11</t>
  </si>
  <si>
    <t>Chocolate brown</t>
  </si>
  <si>
    <t>C27</t>
  </si>
  <si>
    <t>Hibiscus AE PG extract</t>
  </si>
  <si>
    <t>C10</t>
  </si>
  <si>
    <t>Carmoisine CI 14720</t>
  </si>
  <si>
    <t>C33</t>
  </si>
  <si>
    <t>Perfume GFA 51674</t>
  </si>
  <si>
    <t>Laminate Kathirka Re.1 - Damage Sheild   5.4ml 10 % Extra 43x70mm</t>
  </si>
  <si>
    <t>CFC  Kathirka Re.1 - Damage Sheild   5.4ml 10 % Extra 43x70mm</t>
  </si>
  <si>
    <t>Laminate Kathirka Re.1 - Hair Fall Sheild Sheild  5.4m 10% Extra 8/8/30 ,43 X 70 MM</t>
  </si>
  <si>
    <t>CFC  Kathirka Re.1 - Hair Fall Sheild Sheild  5.4m 10% Extra 10/10/30 ,43 X 70 MM</t>
  </si>
  <si>
    <t>B12</t>
  </si>
  <si>
    <t>KA HFS 35ml CFC</t>
  </si>
  <si>
    <t>B1</t>
  </si>
  <si>
    <t>KA HFS Bottle 35 ml</t>
  </si>
  <si>
    <t>B38</t>
  </si>
  <si>
    <t>KA HFS35ml CAP</t>
  </si>
  <si>
    <t>B39</t>
  </si>
  <si>
    <t>KA Pet Jar</t>
  </si>
  <si>
    <t>b14</t>
  </si>
  <si>
    <t>KA HFS Pet Jar Sticker</t>
  </si>
  <si>
    <t>B40</t>
  </si>
  <si>
    <t>KA HFS 35ml Sleeves</t>
  </si>
  <si>
    <t>Sleeving charge</t>
  </si>
  <si>
    <t>b22</t>
  </si>
  <si>
    <t>KA HFS 80ml CFC</t>
  </si>
  <si>
    <t>B42</t>
  </si>
  <si>
    <t>KA  Bottle 80 ml</t>
  </si>
  <si>
    <t>b18</t>
  </si>
  <si>
    <t>KA 80&amp;175ML CAP</t>
  </si>
  <si>
    <t>b23</t>
  </si>
  <si>
    <t>KA HFS 80ml Front label</t>
  </si>
  <si>
    <t>b24</t>
  </si>
  <si>
    <t>KA HFS 80ml Back label</t>
  </si>
  <si>
    <t>B6</t>
  </si>
  <si>
    <t>80ml Sleeves</t>
  </si>
  <si>
    <t>Labelling charges</t>
  </si>
  <si>
    <t>C61</t>
  </si>
  <si>
    <t>Henna PG extract</t>
  </si>
  <si>
    <t>C60</t>
  </si>
  <si>
    <t>Pea Green</t>
  </si>
  <si>
    <t>C50</t>
  </si>
  <si>
    <t>SLM 5512 HP</t>
  </si>
  <si>
    <t>C59</t>
  </si>
  <si>
    <t>Fragrance Herbal Twist -72287</t>
  </si>
  <si>
    <t>b33</t>
  </si>
  <si>
    <t>KA DRS 175ml CFC</t>
  </si>
  <si>
    <t>b34</t>
  </si>
  <si>
    <t>KA DRS Bottle 175 ml</t>
  </si>
  <si>
    <t>b35</t>
  </si>
  <si>
    <t>KA DRS Cap 175ml</t>
  </si>
  <si>
    <t>b36</t>
  </si>
  <si>
    <t>KA DRS 175ml Front label</t>
  </si>
  <si>
    <t>b37</t>
  </si>
  <si>
    <t>KA DRS 175ml Back label</t>
  </si>
  <si>
    <t>b29</t>
  </si>
  <si>
    <t>b25</t>
  </si>
  <si>
    <t>KA DS 175ml CFC</t>
  </si>
  <si>
    <t>b26</t>
  </si>
  <si>
    <t>KA  Bottle 175 ml</t>
  </si>
  <si>
    <t>b27</t>
  </si>
  <si>
    <t>KA DS 175ml Front label</t>
  </si>
  <si>
    <t>b28</t>
  </si>
  <si>
    <t>KA DS 175ml Back label</t>
  </si>
  <si>
    <t>b30</t>
  </si>
  <si>
    <t>KA HFS 175ml CFC</t>
  </si>
  <si>
    <t>B31</t>
  </si>
  <si>
    <t>KA HFS 175ml Front label</t>
  </si>
  <si>
    <t>B32</t>
  </si>
  <si>
    <t>KA HFS 175ml Back label</t>
  </si>
  <si>
    <t>B43</t>
  </si>
  <si>
    <t>KA DRS 80ml CFC</t>
  </si>
  <si>
    <t>B48</t>
  </si>
  <si>
    <t>KA DRS 80ml Bottle</t>
  </si>
  <si>
    <t>B35</t>
  </si>
  <si>
    <t>KA DRS 80/175ml Cap</t>
  </si>
  <si>
    <t>B45</t>
  </si>
  <si>
    <t>KA DRS 80ml Front Label</t>
  </si>
  <si>
    <t>B46</t>
  </si>
  <si>
    <t>KA DRS 80ml Back Label</t>
  </si>
  <si>
    <t>B41</t>
  </si>
  <si>
    <t>KA DS 80ml CFC</t>
  </si>
  <si>
    <t>b19</t>
  </si>
  <si>
    <t>KA DS 80ml Front label</t>
  </si>
  <si>
    <t>b20</t>
  </si>
  <si>
    <t>KA DS 80ml Back label</t>
  </si>
  <si>
    <t>C62</t>
  </si>
  <si>
    <t>Glyceracel mono strearate</t>
  </si>
  <si>
    <t>C55</t>
  </si>
  <si>
    <t>Bringhraj Oil Extract</t>
  </si>
  <si>
    <t>CARBOPOL 990</t>
  </si>
  <si>
    <t>AURATONE BLACK</t>
  </si>
  <si>
    <t>C66</t>
  </si>
  <si>
    <t>FRAGRANCE refresing clean</t>
  </si>
  <si>
    <t>C67</t>
  </si>
  <si>
    <t>Curry leaf extract</t>
  </si>
  <si>
    <t>SUN FLOWER OIL</t>
  </si>
  <si>
    <t>LAMIANTE KARTHIKA CURRY LEAF 5ML +1 ML</t>
  </si>
  <si>
    <t>CFC  KARTHIKA CURRY LEAF 5ML +1 ML</t>
  </si>
  <si>
    <t>B49</t>
  </si>
  <si>
    <t>CFC KARTHIKA CURRY LEAVES 80ML</t>
  </si>
  <si>
    <t>B53</t>
  </si>
  <si>
    <t>CONTAINER KARTHIKA CURRY LEAVES SHAMPOO 80ML</t>
  </si>
  <si>
    <t>CAP KARTHIKA CURRY LEAVES  80ML &amp; 175ML</t>
  </si>
  <si>
    <t>B56</t>
  </si>
  <si>
    <t>LABELS FRONT KARTHIKA CURRY LEAVES 80ML</t>
  </si>
  <si>
    <t>B57</t>
  </si>
  <si>
    <t>LABELS BACK KARTHIKA CURRY LEAVES 80ML</t>
  </si>
  <si>
    <t>B52</t>
  </si>
  <si>
    <t>CFC KARTHIKA CURRY LEAVES 175ML</t>
  </si>
  <si>
    <t>B54</t>
  </si>
  <si>
    <t>CONTAINER KARTHIKA CURRY LEAVES  175ML</t>
  </si>
  <si>
    <t>B50</t>
  </si>
  <si>
    <t>LABELS FRONT KARTHIKA CURRY LEAVES 175ML</t>
  </si>
  <si>
    <t>B51</t>
  </si>
  <si>
    <t>LABELS BACK KARTHIKA CURRY LEAVES 175ML</t>
  </si>
  <si>
    <t>Laminate 10/10/30 43*70MM</t>
  </si>
  <si>
    <t>KDRS 43*70 Outer</t>
  </si>
  <si>
    <t>CFC +1 HSP</t>
  </si>
  <si>
    <t>C7</t>
  </si>
  <si>
    <t xml:space="preserve">Fragrance bloom 2 </t>
  </si>
  <si>
    <t>C21</t>
  </si>
  <si>
    <t>Fragrance hair fall defence</t>
  </si>
  <si>
    <t>LAM CHIK EGG 6ML SIL BK 8/8/30 BURMESE LAM MYANMAR</t>
  </si>
  <si>
    <t>CHIK EGG 6ML BURMESE OUTER CFC</t>
  </si>
  <si>
    <t>CHIK EGG 6ML BURMESE INNER CFC</t>
  </si>
  <si>
    <t>Ex MP</t>
  </si>
  <si>
    <t>Extra Manpower cost</t>
  </si>
  <si>
    <t>CHIK THICKNGLOSSY BLK 5ML 20%E 720PC IB</t>
  </si>
  <si>
    <t>Sodium Hydroxide</t>
  </si>
  <si>
    <t>C15</t>
  </si>
  <si>
    <t>Cos sol black</t>
  </si>
  <si>
    <t>C52</t>
  </si>
  <si>
    <t>GLUADIN ALMOND BENZ</t>
  </si>
  <si>
    <t>C56</t>
  </si>
  <si>
    <t>Black tea Extract</t>
  </si>
  <si>
    <t xml:space="preserve">FRAGRANCE Bloom 2 </t>
  </si>
  <si>
    <t>FRAGRANCE Hair fall defence</t>
  </si>
  <si>
    <t>LAM CHIK BLACK THICK &amp; GLOSSY 5ML 20% EXTRA</t>
  </si>
  <si>
    <t>CHIK BLACK 6ML YEMEN CFC 720PC</t>
  </si>
  <si>
    <t>CHIK HFP EGGWHITE SH 5ML20% EX 720PC IB</t>
  </si>
  <si>
    <t>LAM CHIK EGG WHITE PROTEIN 5ML 20% EXTRA 43*80MM</t>
  </si>
  <si>
    <t>CHIK EGG WHITE 6ML YEMEN</t>
  </si>
  <si>
    <t>CHIK LONG HEAL JAS SI 5ML 20%EX 720P IB</t>
  </si>
  <si>
    <t>SODIUM HYDROXIDE</t>
  </si>
  <si>
    <t>LAM CHIK JASMINE 5ML 20% EXTRA</t>
  </si>
  <si>
    <t>CHIKJASMINE 6ML YEMEN CFC 720PC</t>
  </si>
  <si>
    <t>C5</t>
  </si>
  <si>
    <t>WACKER BELSIL CK 985</t>
  </si>
  <si>
    <t>C39</t>
  </si>
  <si>
    <t>SALCARE SUPER 7</t>
  </si>
  <si>
    <t>C1</t>
  </si>
  <si>
    <t>Almond Oil</t>
  </si>
  <si>
    <t>C2</t>
  </si>
  <si>
    <t>AMLA OIL EXTRACT</t>
  </si>
  <si>
    <t>MANLY MAN 17296M0584</t>
  </si>
  <si>
    <t>C65</t>
  </si>
  <si>
    <t xml:space="preserve">Magic legend excel </t>
  </si>
  <si>
    <t>CHIK BURMESE 4.2GM OUTTER</t>
  </si>
  <si>
    <t>CHIK BURMESE 4.2GM INNER</t>
  </si>
  <si>
    <t>LAM 5OP BLACK &amp; WHITE 4.2GM BURMESE</t>
  </si>
  <si>
    <t>LAM CHIK BLK PROSOL THK&amp;GLY 5M+1M-NEW AW</t>
  </si>
  <si>
    <t xml:space="preserve">CHIK BLACK 4ML 50% EXTRA OUTER CFC </t>
  </si>
  <si>
    <t xml:space="preserve">CHIK BLACK 4ML 50% EXTRA INNER CFC </t>
  </si>
  <si>
    <t>CHIK JAS HFP PROSOL 3G33% EX 4800PC 21RL</t>
  </si>
  <si>
    <t>Salcare Super 7</t>
  </si>
  <si>
    <t>sodium hydroxide</t>
  </si>
  <si>
    <t>c1</t>
  </si>
  <si>
    <t>JASMINE 50PAISE 3GM 33% EXTRA PACK OUTTER  CFC</t>
  </si>
  <si>
    <t>JASMINE 50PAISE 3GM 33% EXTRA  PACK INNER  CFC</t>
  </si>
  <si>
    <t>LAM CHIK JAS  WHITE BACK PANEL 33%</t>
  </si>
  <si>
    <t>CARMOISINE CI 14720</t>
  </si>
  <si>
    <t>FENUGREEK PG EXTRACT</t>
  </si>
  <si>
    <t>C38</t>
  </si>
  <si>
    <t>REETHA PG EXTRACT</t>
  </si>
  <si>
    <t>KARTHIKA 50P DS 33% EXTRA OUTER</t>
  </si>
  <si>
    <t>KARTHIKA 50P DS 33% EXTRA INNER</t>
  </si>
  <si>
    <t>Laminate Karthika Damage  Sheild 50 Paise  33% EXTRA  White back panel</t>
  </si>
  <si>
    <t>CHIK BLK HFP PROSOL 3G 33%EX 4800PC 21RL</t>
  </si>
  <si>
    <t>CHIK BLACK 50P 33% OUTER CFC</t>
  </si>
  <si>
    <t>CHIK BLACK 50P 33% INNER CFC</t>
  </si>
  <si>
    <t>LAM CHIK BLK HFP PROSOL 3G 33%EX-NEW AW</t>
  </si>
  <si>
    <t>LAM CHIK EGG HFPSH SCH 5ML+1ML EX -NEW AW</t>
  </si>
  <si>
    <t>CHIK EGG 4ML 50% EXTRA CFC</t>
  </si>
  <si>
    <t>CHIK JAS PROSOL SCH 5M+1ML EX 1920P 21RL</t>
  </si>
  <si>
    <t>LAM CHIK JAS PROSOL SCH 5M+1ML EX-NEW AW</t>
  </si>
  <si>
    <t>CHIK JASMINE 4ML 50% EXTRA CFC</t>
  </si>
  <si>
    <t>CHIK JAS PROSOL SOYAPRO SH 35ML144P 21RL</t>
  </si>
  <si>
    <t>35ml CFC</t>
  </si>
  <si>
    <t>Bottle 35 ml</t>
  </si>
  <si>
    <t>B5</t>
  </si>
  <si>
    <t>35ml CAP</t>
  </si>
  <si>
    <t>B3</t>
  </si>
  <si>
    <t>Pet Jar</t>
  </si>
  <si>
    <t>B15</t>
  </si>
  <si>
    <t>Pet Jar Sticker</t>
  </si>
  <si>
    <t>SHR SLEEVE CHIK LONG N HEAL JASMINE 35ML 21RL</t>
  </si>
  <si>
    <t>KARTHIKA ANTID ANDRUFF SHAMPOO 80ML 72PC</t>
  </si>
  <si>
    <t>GLYDANT</t>
  </si>
  <si>
    <t>AQUA SFL</t>
  </si>
  <si>
    <t>CK60016</t>
  </si>
  <si>
    <t>Frag Natural Glory Impd Plus</t>
  </si>
  <si>
    <t>ZINC OMADINE 48% FPS</t>
  </si>
  <si>
    <t>COCONUT MILK</t>
  </si>
  <si>
    <t>WHITE PEPPER</t>
  </si>
  <si>
    <t>KARTHIKA AD 80ML CFC</t>
  </si>
  <si>
    <t>KARTHIKA AD 80ML REMAFIN WHITE CONTAINER</t>
  </si>
  <si>
    <t>KARTHIKA AD 80ML &amp; 175ML ORANGE  CAP</t>
  </si>
  <si>
    <t>KARTHIKA AD 80ML FRONT LABEL</t>
  </si>
  <si>
    <t>KARTHIKA AD 80ML BACK LABEL</t>
  </si>
  <si>
    <t>CHIK THICKNGLOSSY BLK 5ML 20%E 1920PC IB</t>
  </si>
  <si>
    <t>Lamiante Chik Black - Thick &amp; Glossy - 5ml 20% Extra Yeman</t>
  </si>
  <si>
    <t>CFC  Chik Black - Thick &amp; Glossy - 5ml -20%  OUTER CFC</t>
  </si>
  <si>
    <t>CFC  Chik Black - Thick &amp; Glossy - 5ml -20%  INNER CFC</t>
  </si>
  <si>
    <t>CHIK HFP EGGWHITE SH 5ML20% EX 1920PC IB</t>
  </si>
  <si>
    <t>Lamiate chik Egg 5ml 20% Extra  Yeman</t>
  </si>
  <si>
    <t>CFC  Chik EGG - White Protein - 5 ml 20% extra-  CFC</t>
  </si>
  <si>
    <t>CHIK LONG HEAL JAS SI 5ML 20%EX 1920P IB</t>
  </si>
  <si>
    <t>Laminate Chik jasmine 5ML 20% Extra Yeman</t>
  </si>
  <si>
    <t>CFC  Chik Jasmine - Long &amp; Healthy - 5ML  -20% EXTRA</t>
  </si>
  <si>
    <t>Conversion</t>
  </si>
  <si>
    <t xml:space="preserve">SLES 70% 1 MOLE </t>
  </si>
  <si>
    <t>CMEA</t>
  </si>
  <si>
    <t>EGDS (ETHYLENE GLYCOL DI-STEARATE)</t>
  </si>
  <si>
    <t>N-HANCE CG 17</t>
  </si>
  <si>
    <t>POLYOX WSR N 60K</t>
  </si>
  <si>
    <t>SODIUM  CHLORIDE</t>
  </si>
  <si>
    <t>DEMINERALISED WATER </t>
  </si>
  <si>
    <t xml:space="preserve">KARTHIKAAD5.5MI-CFC </t>
  </si>
  <si>
    <t>LAM KARTHIKA AD 6ML B3G1</t>
  </si>
  <si>
    <t xml:space="preserve">BOPP Tape </t>
  </si>
  <si>
    <t>KARTHIKA SHAM HAIRFALL SHIELD 650ML 12PC</t>
  </si>
  <si>
    <t>KARTHIKA HAIRFALLSHIELD  650ML CFC</t>
  </si>
  <si>
    <t>CONTAINER KARTHIKA HFS SHAMPOO 650ML-RED</t>
  </si>
  <si>
    <t>KARTHIKA HFS 650ML PUMP</t>
  </si>
  <si>
    <t>pM</t>
  </si>
  <si>
    <t>LAB BK KARTHIKA HAIRFALLSHIELD SH 650ML</t>
  </si>
  <si>
    <t>LAB FR KARTHIKA HAIRFALLSHIELD SH 650ML</t>
  </si>
  <si>
    <t>CHIK BLACK 50P 23% OUTER CFC</t>
  </si>
  <si>
    <t>CHIK BLACK 50P 23% INNER CFC</t>
  </si>
  <si>
    <t>LAM CHIK BLK HFP PROSOL 3G 23%EX-WHITE BACK</t>
  </si>
  <si>
    <t>CHIK JAS HFP PROSOL 3G23% EX 4800PC 22RL</t>
  </si>
  <si>
    <t>CHIK JAS 50P  23% OUTTER CFC</t>
  </si>
  <si>
    <t>CHIK JAS 50P  23% INNER CFC</t>
  </si>
  <si>
    <t>LAM CHIK JAS HFP PROSOL 3G 23%EX</t>
  </si>
  <si>
    <t>KARTHIKA DRYNES SHIELD HANGER PACK 80 ML 72 PCS</t>
  </si>
  <si>
    <t>Peagreen</t>
  </si>
  <si>
    <t>KARTHIKA DRS 80ML HANGER CFC</t>
  </si>
  <si>
    <t>P1</t>
  </si>
  <si>
    <t>HANGER FOR KARTHIKA 80ML SHAMPOO</t>
  </si>
  <si>
    <t>CHIK JAS PROSOL SOYA 4M+2ML EX1920P 22RL</t>
  </si>
  <si>
    <t xml:space="preserve"> PKMEA/CMEA</t>
  </si>
  <si>
    <t xml:space="preserve">DM Water </t>
  </si>
  <si>
    <t>Laminate Chik jasmine 4ML+2ML 50% EXTRA</t>
  </si>
  <si>
    <t>CHIK EGG RE.1 +35 ML OEER CFC</t>
  </si>
  <si>
    <t>CHIK EGG 35ML FG BOTTLE</t>
  </si>
  <si>
    <t>CHIK BLK 4M 20% E 1920P W C 35ML BL 6P F</t>
  </si>
  <si>
    <t>N-Hance CG-17</t>
  </si>
  <si>
    <t xml:space="preserve">CHIK BLACK 4ML 50% EXTRA  OFFER OUTER CFC </t>
  </si>
  <si>
    <t xml:space="preserve">CHIK BLACK 4ML 50% EXTRA  OFFER INNER CFC </t>
  </si>
  <si>
    <t>CHIK BLCAK 35ML FG BOTTLE</t>
  </si>
  <si>
    <t>MEERA GOTSNG N HEALTHY SH 5M 20%EX1440PC</t>
  </si>
  <si>
    <t>C13</t>
  </si>
  <si>
    <t>Climbazole</t>
  </si>
  <si>
    <t>C29</t>
  </si>
  <si>
    <t>Incromine SD</t>
  </si>
  <si>
    <t>Disodium EDTA</t>
  </si>
  <si>
    <t>GMS</t>
  </si>
  <si>
    <t>C40</t>
  </si>
  <si>
    <t>Saurasurf 1200</t>
  </si>
  <si>
    <t>CK60015</t>
  </si>
  <si>
    <t>C63</t>
  </si>
  <si>
    <t>Shikakai soft aqueous extract</t>
  </si>
  <si>
    <t>Reetha Soft exract</t>
  </si>
  <si>
    <t>C48</t>
  </si>
  <si>
    <t>Almond seed</t>
  </si>
  <si>
    <t>C6</t>
  </si>
  <si>
    <t>BUTYLATED HYDROXY TOULENE</t>
  </si>
  <si>
    <t>CHOCLATE BROWN</t>
  </si>
  <si>
    <t>C23</t>
  </si>
  <si>
    <t>Perfume Fruitys</t>
  </si>
  <si>
    <t>Mee Holo SH Lam</t>
  </si>
  <si>
    <t>Laminate 10/10/30 44*75MM</t>
  </si>
  <si>
    <t>Mee SH Outer</t>
  </si>
  <si>
    <t>CONTAINER KARTHIKA AD SHAMPOO 650ML-WHITE</t>
  </si>
  <si>
    <t>KARTHIKA AD650ML CFC</t>
  </si>
  <si>
    <t xml:space="preserve"> KARTHIKA AD 650ML  BACK LABEL</t>
  </si>
  <si>
    <t xml:space="preserve"> KARTHIKA AD 650ML  FRONT LABEL</t>
  </si>
  <si>
    <t>KARTHIKA AD 650ML CAP</t>
  </si>
  <si>
    <t>KARTHIKA AD340ML CAN</t>
  </si>
  <si>
    <t>KARTHIKA AD340ML CFC</t>
  </si>
  <si>
    <t>KARTHIKA AD340ML  FRONT LBL</t>
  </si>
  <si>
    <t>KARTHIKA AD340ML  BACK LBL</t>
  </si>
  <si>
    <t>KARTHIKA AD340ML CAP</t>
  </si>
  <si>
    <t>KARTHIKA AD340ML SLEEVES</t>
  </si>
  <si>
    <t>CHIK EGG 4M 20% E 1920P W C 1RE E 80P F</t>
  </si>
  <si>
    <t>CHIK EGG RE.1 OEER CFC</t>
  </si>
  <si>
    <t>CHIK BLK 4M 50% E 1920P W C 1RE B 80P F</t>
  </si>
  <si>
    <t>EXTRA MANPOWER</t>
  </si>
  <si>
    <t>KARTHIKA DAM SHIELD SH 3G 23% EX 4800PCS</t>
  </si>
  <si>
    <t>PKMEA</t>
  </si>
  <si>
    <t>HIBISCUS PG EXTRACT</t>
  </si>
  <si>
    <t>Hydrolysed Egg protein</t>
  </si>
  <si>
    <t>KARTHIKA50P 23% OUTER CFC</t>
  </si>
  <si>
    <t>KARTHIKA50P 23% INNER CFC</t>
  </si>
  <si>
    <t xml:space="preserve">LAM KARTHIKA 50P  3.69G </t>
  </si>
  <si>
    <t>KARTHIKA DAMAGESHIELD Re 1 1920+480B4g1 Fr</t>
  </si>
  <si>
    <t>KARTHIKA DAMAGE SHIELD RS.1 B4G1 laminate</t>
  </si>
  <si>
    <t>KARTHIKA DAMAGE SHIELD RS.1 B1G1 CFC</t>
  </si>
  <si>
    <t>KARTHIKA SH 650ML HFS W K 175ML CUL 12P</t>
  </si>
  <si>
    <t>KARTHIKA HFS 650ML +BLACK SHIELD OFFER CFC</t>
  </si>
  <si>
    <t>KARTHIKA SHAMPOO 650ML + KARTHIKA SHAMPOO 175ML</t>
  </si>
  <si>
    <t>tag</t>
  </si>
  <si>
    <t>OFFER</t>
  </si>
  <si>
    <t>Extra Manpower</t>
  </si>
  <si>
    <t>KARTHIKA HAIRFALLSHIELD HAN PK 80M 72P</t>
  </si>
  <si>
    <t>KARTHIKA HAIR FALL SHIELD 80ML HANGER CFC</t>
  </si>
  <si>
    <t>KA RED  Bottle 80 ml</t>
  </si>
  <si>
    <t>KARTHIKA HAIR FALL SHIELD 80ML HANGER</t>
  </si>
  <si>
    <t>KARTHIKA CURRY LEAF SH HANGER 80ML 72 PCS</t>
  </si>
  <si>
    <t>KARTHIKA BLACK SHIELD 80ML HANGER CFC</t>
  </si>
  <si>
    <t>KARTHIKA BLACK SHIELD 80ML HANGER</t>
  </si>
  <si>
    <t>KARTHIKA HAIRFALLSHIELD 4ML 1920P NF</t>
  </si>
  <si>
    <t>LAM KARTHIKA HAIRFALLSHIELD 4ML  VALUE PACK</t>
  </si>
  <si>
    <t>KARTHIKA HAIRFALLSHIELD 4ML  VALUE PACK CFC</t>
  </si>
  <si>
    <t>KARTHIKA HAIRFALLSHIELD 4M 35%E 1920P NF</t>
  </si>
  <si>
    <t xml:space="preserve">LAM KARTHIKA HAIRFALLSHIELD 4ML +1.4ML 35% EXTRA </t>
  </si>
  <si>
    <t>KARTHIKA HAIRFALLSHIELD 4ML +14.ML 35% EXTRA CFC</t>
  </si>
  <si>
    <t>Mee Holo HC Lam</t>
  </si>
  <si>
    <t xml:space="preserve">LAMI  MEERA GOT HFC SH 5ML 20% EX         </t>
  </si>
  <si>
    <t>Mee HC Outer</t>
  </si>
  <si>
    <t xml:space="preserve">CFC  MEERA GOT HFC SH 5ML 20% EX         </t>
  </si>
  <si>
    <t>MEERA GOT ANTI DANDRUFF SH 5M 10%EX1440P</t>
  </si>
  <si>
    <t>FRAGRANCE POETIC BLOOM</t>
  </si>
  <si>
    <t>HYDROVANCE</t>
  </si>
  <si>
    <t>Hydrozyled Egg White Protein</t>
  </si>
  <si>
    <t>SMALL ONION AQUEOUS EXTRACT</t>
  </si>
  <si>
    <t>Fenugreek  aqueous extract</t>
  </si>
  <si>
    <t>RICE STARCH</t>
  </si>
  <si>
    <t>KATHON CG/ISOCIL PC</t>
  </si>
  <si>
    <t>PEG-7 GLYCERYL COCOATE</t>
  </si>
  <si>
    <t>BHT</t>
  </si>
  <si>
    <t>Wacker belsil ADM 22</t>
  </si>
  <si>
    <t>LAMINATE MEERA AD 5.5ML</t>
  </si>
  <si>
    <t>MEERA AD 6ML CFC</t>
  </si>
  <si>
    <t>CK COST RECONCILLATION Dec'22</t>
  </si>
  <si>
    <t>OP Stock</t>
  </si>
  <si>
    <t>Arrival</t>
  </si>
  <si>
    <t>Total Stock</t>
  </si>
  <si>
    <t>Consumption</t>
  </si>
  <si>
    <t>Cl Stock</t>
  </si>
  <si>
    <t>Item Category</t>
  </si>
  <si>
    <t>Category</t>
  </si>
  <si>
    <t>ERP Item Code</t>
  </si>
  <si>
    <t>Item Codes</t>
  </si>
  <si>
    <t>Item Description</t>
  </si>
  <si>
    <t>Rate</t>
  </si>
  <si>
    <t>Amount</t>
  </si>
  <si>
    <t>C.K. 9819</t>
  </si>
  <si>
    <t>CHOCOLATE BROWN</t>
  </si>
  <si>
    <t>CLIMBAZOLE</t>
  </si>
  <si>
    <t>COS SOL BLACK</t>
  </si>
  <si>
    <t>EDTA</t>
  </si>
  <si>
    <t>C20</t>
  </si>
  <si>
    <t>FORMALDEHYDE SOLUTION</t>
  </si>
  <si>
    <t>FRAGRANCE Bloom 2 1223134 PREPROCESSING</t>
  </si>
  <si>
    <t>C22</t>
  </si>
  <si>
    <t>FRAGRANCE MAGIC LEGEND</t>
  </si>
  <si>
    <t>GLYDANT (NIPACIDE DMDMH)</t>
  </si>
  <si>
    <t>HIBISCUS AE.PG.EXTRACT</t>
  </si>
  <si>
    <t>Hydrolysed Egg White Protein</t>
  </si>
  <si>
    <t>C31</t>
  </si>
  <si>
    <t>ORTHO PHOSPHORIC ACID</t>
  </si>
  <si>
    <t>PERFUME FRUITYS</t>
  </si>
  <si>
    <t>PERFUME GFA 51674</t>
  </si>
  <si>
    <t>C34</t>
  </si>
  <si>
    <t>Perfume GFA JASMINE 97524</t>
  </si>
  <si>
    <t>PG EXTRACT AMLA</t>
  </si>
  <si>
    <t>PG EXTRACT REETHA</t>
  </si>
  <si>
    <t>PG EXTRACT SHIKAKAI</t>
  </si>
  <si>
    <t>REETHA SOFT EXTRACT</t>
  </si>
  <si>
    <t>SAURASURF 1200</t>
  </si>
  <si>
    <t>Sumica Mica 43149</t>
  </si>
  <si>
    <t>C46</t>
  </si>
  <si>
    <t>VIBRA COLOUR BLACK /BLACK PASTE 6260</t>
  </si>
  <si>
    <t>Fragrance Hairfall Defence</t>
  </si>
  <si>
    <t>SLM 5512HP</t>
  </si>
  <si>
    <t>GLUADIN SOY BENZ</t>
  </si>
  <si>
    <t>ALOEVERA JUICE</t>
  </si>
  <si>
    <t>Gluadin Almond Benz</t>
  </si>
  <si>
    <t>MEM- 1788</t>
  </si>
  <si>
    <t>BLACK TEA  PG EXTRACT*</t>
  </si>
  <si>
    <t>BHRINGRAJ sunlower Oil extract*</t>
  </si>
  <si>
    <t>FRAGRANCE HERBAL TWIST-72287</t>
  </si>
  <si>
    <t>PEAGREEN</t>
  </si>
  <si>
    <t>HENNA PG EXTRACT</t>
  </si>
  <si>
    <t>SHIKAKAI SOFT AQUEOUS EXTRACT</t>
  </si>
  <si>
    <t>FRAGRANCE MAGIC LEGEND EXCEL</t>
  </si>
  <si>
    <t>FRAGRANCE REFRSHING CLEAN</t>
  </si>
  <si>
    <t>LEMON PG EXTRACT</t>
  </si>
  <si>
    <t xml:space="preserve">ZINC OMADINE 48% </t>
  </si>
  <si>
    <t xml:space="preserve">AQUA SFL </t>
  </si>
  <si>
    <t>CFC CHIK LONG N HEALT JASMINE 80ML 72P</t>
  </si>
  <si>
    <t>CAP CHIK LONG N HEALT JASMINE 80ML</t>
  </si>
  <si>
    <t>B4</t>
  </si>
  <si>
    <t>Chik Jasmine 80ml Hanger</t>
  </si>
  <si>
    <t>CONTAINER CHIK LONG N HEALT JASMINE 80ML</t>
  </si>
  <si>
    <t>80ml FL</t>
  </si>
  <si>
    <t>LABEL FR CHIK LONG N HEALT JASMINE 80ML</t>
  </si>
  <si>
    <t>80ml BL</t>
  </si>
  <si>
    <t>LABEL BK CHIK LONG N HEALT JASMINE 80ML</t>
  </si>
  <si>
    <t>CFC CHIK LONG N HEALT JASMINE 35ML 144P</t>
  </si>
  <si>
    <t>CAP CHIK NEW SIZE 40ML-GREEN</t>
  </si>
  <si>
    <t>PETJAR W CAPCHIK ADHPSHAMPTHICK HAIR35ML</t>
  </si>
  <si>
    <t>Chik Jasmine Long &amp; Healthy 35ml Sticker Cap</t>
  </si>
  <si>
    <t>Chik Container Jasmine 30ml</t>
  </si>
  <si>
    <t>B2</t>
  </si>
  <si>
    <t>Chik Jasmine 35ml Sleeves</t>
  </si>
  <si>
    <t>CAP CHIK LONG N HEALT JASMINE 175ml</t>
  </si>
  <si>
    <t>CFC CHIK LONG N HEALT JASMINE 175ML 48P</t>
  </si>
  <si>
    <t>Container Bundle Sleeve 175ml</t>
  </si>
  <si>
    <t>Chik Jasmine 175ml Container</t>
  </si>
  <si>
    <t>B13</t>
  </si>
  <si>
    <t>LABEL FR CHIK LONG N HEALT JASMINE 175ML</t>
  </si>
  <si>
    <t>B11</t>
  </si>
  <si>
    <t>LABEL BK CHIK LONG N HEALT JASMINE 175ML</t>
  </si>
  <si>
    <t>b12</t>
  </si>
  <si>
    <t>CFC KARTHIKA 35ML 144P</t>
  </si>
  <si>
    <t>b38</t>
  </si>
  <si>
    <t>Karthika HFS 35ml Cap Red</t>
  </si>
  <si>
    <t>PETJAR W CAP KARTHIKA 35ML</t>
  </si>
  <si>
    <t>B14</t>
  </si>
  <si>
    <t>Karthika 35ml Sticker Cap</t>
  </si>
  <si>
    <t>Karthika Hairfall Shield 35ml Sleeves</t>
  </si>
  <si>
    <t>B22</t>
  </si>
  <si>
    <t>Karthika Hairfall Shield 80ml CFC</t>
  </si>
  <si>
    <t>Karthika HFS 80ml&amp;175ml Cap</t>
  </si>
  <si>
    <t>Container Bundle Sleeve 80ml</t>
  </si>
  <si>
    <t>KARTHIKA HFS 80ML CONTAINER</t>
  </si>
  <si>
    <t>LABEL FR KARTHIKA 80ML HFS</t>
  </si>
  <si>
    <t>B24</t>
  </si>
  <si>
    <t>LABEL BK  KARTHIKA 80ML HFS</t>
  </si>
  <si>
    <t>B30</t>
  </si>
  <si>
    <t>Karthika Hairfall Shield 175ml CFC</t>
  </si>
  <si>
    <t>B26</t>
  </si>
  <si>
    <t>Karthika HFS/DS 175ml Container</t>
  </si>
  <si>
    <t>LABEL FR KARTHIKA 175ML HFS</t>
  </si>
  <si>
    <t>LABEL BK  KARTHIKA 175ML HFS</t>
  </si>
  <si>
    <t>B25</t>
  </si>
  <si>
    <t>Karthika Damage Shiled 175ml CFC</t>
  </si>
  <si>
    <t>B27</t>
  </si>
  <si>
    <t>LABEL FR KARTHIKA 175ML DS</t>
  </si>
  <si>
    <t>B28</t>
  </si>
  <si>
    <t>LABEL BK  KARTHIKA 175ML DS</t>
  </si>
  <si>
    <t>B33</t>
  </si>
  <si>
    <t>Karthika Dryness Shield 175ml CFC</t>
  </si>
  <si>
    <t>B34</t>
  </si>
  <si>
    <t>Karthika Dryness Shield 175ml Container</t>
  </si>
  <si>
    <t>B36</t>
  </si>
  <si>
    <t>LABEL FR KARTHIKA 175ML DRS</t>
  </si>
  <si>
    <t>B37</t>
  </si>
  <si>
    <t>LABEL BK  KARTHIKA 175ML DRS</t>
  </si>
  <si>
    <t>KARTHIKA DRYNESS SHIELD 80ML CFC</t>
  </si>
  <si>
    <t>Karthika Dryness Shileld 80ml &amp; 175ml Cap</t>
  </si>
  <si>
    <t>LABEL FR KARTHIKA 80ML DRS</t>
  </si>
  <si>
    <t>LABEL BK  KARTHIKA 80ML DRS</t>
  </si>
  <si>
    <t>Karthika Dryness Shield 80ml Container</t>
  </si>
  <si>
    <t>B47</t>
  </si>
  <si>
    <t>Karthika Dryness Shield 35ml Cap</t>
  </si>
  <si>
    <t>B19</t>
  </si>
  <si>
    <t>LABEL FR KARTHIKA 80ML DS</t>
  </si>
  <si>
    <t>B20</t>
  </si>
  <si>
    <t>LABEL BK  KARTHIKA 80ML DS</t>
  </si>
  <si>
    <t>KARTHIKA DAMAGE SHIELD 80ML CFC</t>
  </si>
  <si>
    <t>CONTAINER KARTHIKA CURRY LEAVES 175ML</t>
  </si>
  <si>
    <t xml:space="preserve">F LBL KARTHIKA CURRY LEAVES 175ML </t>
  </si>
  <si>
    <t xml:space="preserve">BACK LBL KARTHIKA CURRY LEAVES 175ML </t>
  </si>
  <si>
    <t>B55</t>
  </si>
  <si>
    <t>CAP KARTHIKA CURRY LEAVES 175ML &amp; 80ML</t>
  </si>
  <si>
    <t xml:space="preserve">CFC  KARTHIKA CURRY LEAVES 175ML </t>
  </si>
  <si>
    <t xml:space="preserve">F LBL KARTHIKA CURRY LEAVES 80ML </t>
  </si>
  <si>
    <t xml:space="preserve">BACK LBL KARTHIKA CURRY LEAVES 80ML </t>
  </si>
  <si>
    <t>CFC  KARTHIKA CURRY  &amp; 80ML</t>
  </si>
  <si>
    <t>Bopp Tape</t>
  </si>
  <si>
    <t>Kar 50p Laminate</t>
  </si>
  <si>
    <t>Laminate Karthika Damage  Sheild 50 Paise  10% EXTRA [ Reduced Size ] 10/40 , 36 X 62 MM</t>
  </si>
  <si>
    <t>LAM CHIK RELAUNCH JASMINE LONG&amp;HEA 50P OFFER PACK</t>
  </si>
  <si>
    <t>KA DRS 50p Lam</t>
  </si>
  <si>
    <t>Laminate Karthika Dryness Sheild 50 Paise  10% EXTRA [ Reduced Size ] 10/40 , 36 X 62 MM</t>
  </si>
  <si>
    <t>Blk 50p Laminate</t>
  </si>
  <si>
    <t>Lamiante Chik Black - Thick &amp; Glossy - 3.6 gm - 10 % extra   [ Reduced Size ] 10/40 ,  36 X 62 MM</t>
  </si>
  <si>
    <t>Blk 50p outer(N)</t>
  </si>
  <si>
    <t>CFC - SET  Chik Black - Thick &amp; Glossy - 3.6  gm - outer  - 10 % Extra(Reduced)</t>
  </si>
  <si>
    <t>Blk 50p Inner(N)</t>
  </si>
  <si>
    <t>CFC - SET  Chik Black - Thick &amp; Glossy - 3.6  gm - INNER  - 10 % Extra(Reduced)</t>
  </si>
  <si>
    <t>Jas 50P Outer(N)</t>
  </si>
  <si>
    <t>CFC - SET Chik Jasmine - Long &amp; Healthy - 3.6 gm - OUTER  - 10 % Extra [ Reduced Size ]</t>
  </si>
  <si>
    <t>Jas 50p Inner (N)</t>
  </si>
  <si>
    <t>CFC - SET Chik Jasmine - Long &amp; Healthy - 3.6 gm - INNER  - 10 % Extra [ Reduced Size ]</t>
  </si>
  <si>
    <t>Kar 50p Outer(N)</t>
  </si>
  <si>
    <t>CFC Outer Karthika  50 Paise - 4800 10% extra pcs(Reduced)</t>
  </si>
  <si>
    <t>Kar 50p Inner (N)</t>
  </si>
  <si>
    <t>CFC INNER Karthika  50 Paise - 4800 10% extra pcs(Reduced)</t>
  </si>
  <si>
    <t>KA DRS 50p Outer</t>
  </si>
  <si>
    <t>CFC Outer Karthika  DRS 50 Paise - 4800 10% extra pcs(Reduced)</t>
  </si>
  <si>
    <t>KA DRS 50p Inner</t>
  </si>
  <si>
    <t>CFC INNER Karthika  DRS50 Paise - 4800 10% extra pcs(Reduced)</t>
  </si>
  <si>
    <t>KHF 43*70 Lam</t>
  </si>
  <si>
    <t>Laminate Kathirka Re.1 - Hair Fall Sheild Sheild  5.4m 10% Extra 10/10/30 ,43 X 70 MM</t>
  </si>
  <si>
    <t>KDS 43*70 Lam</t>
  </si>
  <si>
    <t xml:space="preserve">LAMI MEERA GOT STN N HEAL 5M20% EX  </t>
  </si>
  <si>
    <t>KDRS B2G1 CFC</t>
  </si>
  <si>
    <t>CFC Kathirka Re.1 -Dryness  Sheild  BY 2 GET1  10/10/30 ,43 X 70 MM</t>
  </si>
  <si>
    <t xml:space="preserve"> CFC Karthika Dryness sheild 5.4ml 10% EXTRA  10/10/30 ,43 X 70 MM</t>
  </si>
  <si>
    <t>Egg 43*80MM VP Outer</t>
  </si>
  <si>
    <t>CFC  Chik EGG - White Protein - 5 ml -  CFC</t>
  </si>
  <si>
    <t xml:space="preserve">CFC  MEERA GOT STN N HEAL 5M20% EX  </t>
  </si>
  <si>
    <t>CHIK JASMINE LONG &amp; HEALTHY 5ML 20% EXT 43*70MM</t>
  </si>
  <si>
    <t>CHIK EGG WHITE PROTEIN 5ML 20% EXTRA CFC 43*70MM</t>
  </si>
  <si>
    <t>CHIK BLACK 4GM 4800PC + EGG OFFER PACK OUTER CFC</t>
  </si>
  <si>
    <t>CHIK BLACK 4GM 4800PC + EGG OFFER PACK INNER CFC</t>
  </si>
  <si>
    <t>LAM KARTHIKA DAM SHIE SCH OFF 5.4M10%</t>
  </si>
  <si>
    <t>KHF 43*70 Lam 8/8/30 Sil Back Lam</t>
  </si>
  <si>
    <t>LAM CHIK RELAUNCH JASMINE LONG&amp;HEA RS.1 OFFER PACK</t>
  </si>
  <si>
    <t>LAM KARTHIKA DAMAGE SHIELD 50P SCHL OFFER</t>
  </si>
  <si>
    <t>CHIK BLACK RELAUNCH 6ML OFFER OUTER CFC</t>
  </si>
  <si>
    <t>CHIK BLACK RELAUNCH 6ML OFFER INNER CFC</t>
  </si>
  <si>
    <t>Meera Polybag</t>
  </si>
  <si>
    <t>LAM CHIK RELAUNCH JASMINE LONG&amp;HEA 50P VALUE PACK</t>
  </si>
  <si>
    <t>LAM CHIK BLK 3.6GM 10% EXT.BURMESE ARTWORK MYANMAR</t>
  </si>
  <si>
    <t>REL JASMINE 50P 20%  INNER</t>
  </si>
  <si>
    <t>REL JASMINE 50P 20% EXTRA OUTER</t>
  </si>
  <si>
    <t>LAM CHIK RELAUNCH BLACK THICK&amp;GLOSSY 50P OFFER PK</t>
  </si>
  <si>
    <t>CHIK BLACK RELAUNCH 50P  OUTER 20% EXTRA</t>
  </si>
  <si>
    <t>CHIK BLACK RELAUNCH 50P  INNER 20% EXTRA</t>
  </si>
  <si>
    <t>LAM CHIK JASMINE 50P BURMESE  MYANMAR</t>
  </si>
  <si>
    <t>LAM CHIK RELAUNCH BLACK THICK&amp;GLOSSY 50P VALUE PK</t>
  </si>
  <si>
    <t>LAM CHIK RELAUNCH EGG RS.1 OFFER PACK</t>
  </si>
  <si>
    <t>LAM CHIK RELAUNCH BLACK RS.1 OFFER PACK</t>
  </si>
  <si>
    <t>Laminate Kathirka Re.1 -Dryness  Sheild  5.4m 10% Extra 10/10/30 ,43 X 70 MM</t>
  </si>
  <si>
    <t>LAM MEERA RS.2 AD</t>
  </si>
  <si>
    <t>WACKER BELSIL ADM 22</t>
  </si>
  <si>
    <t>ACRYPOL 980</t>
  </si>
  <si>
    <t>MAHA NEEM EXTRACT</t>
  </si>
  <si>
    <t>LAM CHIK BLACK 6ML SIL BK 8/8/30 BURMESE LAM MYANMAR</t>
  </si>
  <si>
    <t>LAM CHIK JASMINE 6ML SIL BK 8/8/30 BURMESE LAM MYANMAR</t>
  </si>
  <si>
    <t>CHIK BLACK 6ML BURMESE  INNER CFC</t>
  </si>
  <si>
    <t>CHIK BLACK 6ML BURMESE  OUTTER CFC</t>
  </si>
  <si>
    <t>CHIK JASMINE 6ML BURMESE  OUTTER CFC</t>
  </si>
  <si>
    <t>CHIK JASMINE 6ML BURMESE  INNER CFC</t>
  </si>
  <si>
    <t>CHIK EGG 6ML BURMESE  OUTTER CFC</t>
  </si>
  <si>
    <t>CHIK EGG 6ML BURMESE  INNER CFC</t>
  </si>
  <si>
    <t>CHIK AD 6ML OUTER  CFC</t>
  </si>
  <si>
    <t>CHIK AD 6ML INNER CFC</t>
  </si>
  <si>
    <t>LAM CHIK AD 6ML</t>
  </si>
  <si>
    <t>FENUBOOST</t>
  </si>
  <si>
    <t>LAM KARTHIKA DAMAGE SHIELD 5.4ML 10% EXT 43*70MM 10/10/30</t>
  </si>
  <si>
    <t>LAM KARTHIKA HAIRFALL SHIELD 5.4ML 10% EXT 43*70MM 10/10/30</t>
  </si>
  <si>
    <t>LAM KARTHIKA HAIRFALL SHIELD 5.4ML 10% EXT 43*70MM</t>
  </si>
  <si>
    <t>LAM KARTHIKA DRYNESS SHIELD 5.4ML 10% EXT 43*70MM</t>
  </si>
  <si>
    <t>LABEL FRONT CHIK JASMINE SOYA PROTEIN 80ML</t>
  </si>
  <si>
    <t>LABEL BACK CHIK JASMINE SOYA PROTEIN 80ML</t>
  </si>
  <si>
    <t>LABEL FRONT  CHIK JASMINE SOYA PROTEIN 175ML</t>
  </si>
  <si>
    <t>LABEL BACK CHIK JASMINE SOYA PROTEIN 175ML</t>
  </si>
  <si>
    <t>Blk 43*80 Silver Back Lam</t>
  </si>
  <si>
    <t>Laminate 10/10/30 44*70MM</t>
  </si>
  <si>
    <t>Blk 43*80 Outer</t>
  </si>
  <si>
    <t>BLACK YEMAN CFC</t>
  </si>
  <si>
    <t>Jas 43*70 Silver Back Lam 8/8/30</t>
  </si>
  <si>
    <t>Laminate 8/8/30 43*70MM</t>
  </si>
  <si>
    <t>Blk 43*70 Silver Back Lam 8/8/30</t>
  </si>
  <si>
    <t>Egg 43*70 Silver Back Lam 8/8/30</t>
  </si>
  <si>
    <t>KDRS B2G1 Lam</t>
  </si>
  <si>
    <t>Lamiate Meera 5ml 20% Extra Yeman</t>
  </si>
  <si>
    <t>EGG Chik RE.1 CFC Yeman</t>
  </si>
  <si>
    <t>Chik JASMINE RE.1 CFC Yeman</t>
  </si>
  <si>
    <t>BLACK CFC RE.1 YEMAN</t>
  </si>
  <si>
    <t>Meera Re.1 CFC Yeman</t>
  </si>
  <si>
    <t>CHIK EGG RE 1 SACHET PACK OF 240</t>
  </si>
  <si>
    <t>CHIK EGG RE 1 SACHET PACK OF 40</t>
  </si>
  <si>
    <t>E COM  MASTER CFC  240PCS</t>
  </si>
  <si>
    <t>E COM  MASTER CFC  40PCS</t>
  </si>
  <si>
    <t>KARTHIKA HFS 80ML HANGER CFC</t>
  </si>
  <si>
    <t>KARTHIKA HFS + KCL OFFER CFC</t>
  </si>
  <si>
    <t>KARTHIKA CURRY LEAVES B3G1 OFFER CFC</t>
  </si>
  <si>
    <t>LAM KARTHIKA CUR LEAF SCH OFF 5.4M10%</t>
  </si>
  <si>
    <t>Laminate Karthika Damage  Shield va;ue pack [ Reduced Size ] 10/40 , 36 X 62 MM</t>
  </si>
  <si>
    <t>LAM CHIK JASMINE 50PAISE 3GM VALUE PACK</t>
  </si>
  <si>
    <t>LAM CHIK BLACK 50PASIE 3GM VALUE PACK</t>
  </si>
  <si>
    <t>LAM CHIK BLACK 50PASIE 3GM 33% Extra</t>
  </si>
  <si>
    <t>LAMI CHIK BLACK 50P 33%-WHITE BACK</t>
  </si>
  <si>
    <t>CHIK BLACK 50PAISE 3GM VALUE PACK INNER  CFC</t>
  </si>
  <si>
    <t>CHIK BLACK 50PAISE 3GM VALUE PACK OUTER  CFC</t>
  </si>
  <si>
    <t>JASMINE 50PAISE 3GM VALUE PACK OUTTER  CFC</t>
  </si>
  <si>
    <t>JASMINE 50PAISE 3GM VALUE PACK INNER  CFC</t>
  </si>
  <si>
    <t>KARTHIKA 50P DS 3GM VALUE PACK EXTRA OUTER</t>
  </si>
  <si>
    <t>KARTHIKA 50P DS 3GM VALUE PACK EXTRA INNER</t>
  </si>
  <si>
    <t>D&amp;C RED 33</t>
  </si>
  <si>
    <t>LAM KARTHIKA DAMAGESHIELD 50P 33%</t>
  </si>
  <si>
    <t>LAMINATE MEERA AD  5.5ML</t>
  </si>
  <si>
    <t>CHIK EGG  + CHIKA AD OUTER CFC</t>
  </si>
  <si>
    <t>CHIK EGG  + CHIKA AD INNER CFC</t>
  </si>
  <si>
    <t>CARBOPOL ULTREZ 20</t>
  </si>
  <si>
    <t>CARBAPOL ULTREZ 21</t>
  </si>
  <si>
    <t>JASMINE 50P 33% INNER CFC</t>
  </si>
  <si>
    <t>JASMINE 50P 33% OUTER CFC</t>
  </si>
  <si>
    <t>CHIK AD 6ML+BLACK INNER OFFER  CFC</t>
  </si>
  <si>
    <t>CHIK AD 6ML+BLACK OUTER OFFER  CFC</t>
  </si>
  <si>
    <t>CHIK BLACK 6ML+CHIK AD OFFER CFC</t>
  </si>
  <si>
    <t>LAM CHIK JAS  33%</t>
  </si>
  <si>
    <t>CHIK BURMESE 4.2GM INNER CFC</t>
  </si>
  <si>
    <t>CHIK BURMESE 4.2GM OUTTER CFC</t>
  </si>
  <si>
    <t>LAM BLACK 50P BACK WHITE 4.2ML BURMESE</t>
  </si>
  <si>
    <t>CK 60016 (WACKER)</t>
  </si>
  <si>
    <t>CHIK EGG 6ML VALUE PACK CFC</t>
  </si>
  <si>
    <t>CHIK JASMINE 6ML VALUE PACK CFC</t>
  </si>
  <si>
    <t>CHIK BLACK 6ML VALUE PACK INNER CFC</t>
  </si>
  <si>
    <t>CHIK BLACK 6ML VALUE PACK OUTTER CFC</t>
  </si>
  <si>
    <t>LAM CHIK JAS PROSOL SOYA 5ML VALPK-NEW AW</t>
  </si>
  <si>
    <t>LAM CHIK BLK PROSOL T&amp;G 5ML VALPK-NEW AW</t>
  </si>
  <si>
    <t>CHIK BLACK  4ML 50% EXTRA OUTER CFC</t>
  </si>
  <si>
    <t>CHIK BLACK  4ML 50% EXTRA INNER CFC</t>
  </si>
  <si>
    <t>LAM CHIK EGG HFPSH  5MLVALPK -NEW AW</t>
  </si>
  <si>
    <t>LAM KARTHIKA DAMAGESHIELD 50P 33%-WHITE BACK PANEL</t>
  </si>
  <si>
    <t>KARTHIKA DS 175ML B1G1  BOTTLE CFC</t>
  </si>
  <si>
    <t>BLACK SHIELD (CURRY LEAF) 175ML B1G1  BOTTLE CFC</t>
  </si>
  <si>
    <t>KARTHIKA HFS 175ML B1G1 BOTTLE CFC</t>
  </si>
  <si>
    <t>LABEL FRONT CHIK JASMIN SOYA PROTEIN 175ML 21RL-NW</t>
  </si>
  <si>
    <t>LABEL BACK CHIK JASMIN SOYA PROTEIN 175ML 21RL-NW</t>
  </si>
  <si>
    <t>LAM CHIK JAS HFP PROSOL 3G33% EX-NEW AW</t>
  </si>
  <si>
    <t>KARTHIKA HAIRFALL SHIELD 175ML B1G1 FRONT LABEL</t>
  </si>
  <si>
    <t>KARTHIKA HAIRFALL SHIELD 175ML B1G1 BACK LABEL</t>
  </si>
  <si>
    <t>KARTHIKA 175ML DAMAGE SHIELD B1G1 FRONT LABEL</t>
  </si>
  <si>
    <t>KARTHIKA 175ML DAMAGE SHIELD B1G1 BACK LABEL</t>
  </si>
  <si>
    <t>LAMINATE  KARTHIK AD 6ML VALUE PACK</t>
  </si>
  <si>
    <t>KARTHIKAAD4MLVALUEPACK cFC</t>
  </si>
  <si>
    <t>HANGER FOR JASMINE 80ML SHAMPOO NEW ARTWORK</t>
  </si>
  <si>
    <t>LABEL BACK CHIK JASMINE SOYA PROTEIN 80ML 21RL-NW</t>
  </si>
  <si>
    <t>LABEL FRONT CHIK JASMINE SOYA PROTEIN 80ML 21RL-NW</t>
  </si>
  <si>
    <t>KARTHIKA AD 175ML REMAFIN WHITE CONTAINER</t>
  </si>
  <si>
    <t>KARTHIKA AD 175ML CFC</t>
  </si>
  <si>
    <t>KARTHIKA 175ML CURRY LEAF  B1G1 FRONT LBL</t>
  </si>
  <si>
    <t>KARTHIKA 175ML CURRY LEAF  B1G1 BACK LBL</t>
  </si>
  <si>
    <t>KARTHIKA AD 175ML FRONT LABEL</t>
  </si>
  <si>
    <t>KARTHIKA AD 175ML BACK LABEL</t>
  </si>
  <si>
    <t>CK 60015 (WACKER)</t>
  </si>
  <si>
    <t>LAM CHIK JAS  WHITE BACK PANEL 23%</t>
  </si>
  <si>
    <t>KARTHIKAHFS 650ML CAP</t>
  </si>
  <si>
    <t>KARTHIKA HFS 650ML  FRONT LBL</t>
  </si>
  <si>
    <t>KARTHIKA HFS 650ML  BACK LBL</t>
  </si>
  <si>
    <t>KARTHIKA HFS 650ML CFC</t>
  </si>
  <si>
    <t>KARTHIKA AD 350ML CONTAINER</t>
  </si>
  <si>
    <t xml:space="preserve"> KARTHIKA AD 340ML BACK LABEL</t>
  </si>
  <si>
    <t xml:space="preserve"> KARTHIKA AD 340ML FRONT LABEL</t>
  </si>
  <si>
    <t>CHIK  BLACK PRO SOL THK &amp; GLOSSY 35ML 144P</t>
  </si>
  <si>
    <t>CHIK BLK RE.1 BLACK 35ML 3 NOS BUNDLE SLEEVES</t>
  </si>
  <si>
    <t>CHIK SHAMPOO 1RE+ CHIK BLK 35ML 3NOS BUNDLING SLE-OUTER</t>
  </si>
  <si>
    <t>CHIK SHAMPOO 1RE+ CHIK BLK 35ML 3NOS BUNDLING SLE-INNER</t>
  </si>
  <si>
    <t>CHIK EGG RE.1 EGG 35ML 2NOS BUNDLE SLEEVES</t>
  </si>
  <si>
    <t>CHIK EGG 1 RS SACHET + CHIK EGG 35 ML BOTTLE 4 NOS</t>
  </si>
  <si>
    <t>KARTHIKA DAMAGE SHIELD 80ML HANGER</t>
  </si>
  <si>
    <t>KARTHIKA ANTI DANDRUFF 80ML HANGER</t>
  </si>
  <si>
    <t>LAM MEERA HFC ARABIC</t>
  </si>
  <si>
    <t>LAM MEERA SH ARABIC</t>
  </si>
  <si>
    <t>KARTHIKA AD 350ML CAP</t>
  </si>
  <si>
    <t>KARTHIKA HFS 340ML CONTAINER</t>
  </si>
  <si>
    <t>CHIK HFP EGG WHITE PROT SH 35ML 144P</t>
  </si>
  <si>
    <t xml:space="preserve"> KARTHIKA AD 650ML CFC</t>
  </si>
  <si>
    <t xml:space="preserve"> KARTHIKA AD 340ML CFC</t>
  </si>
  <si>
    <t>LAB FR KARTHIKA HAIRFALLSHIELD SH 340ML</t>
  </si>
  <si>
    <t>LAB BK KARTHIKA HAIRFALLSHIELD SH 340ML</t>
  </si>
  <si>
    <t>CAP KARTHIKA SHAMP HAIRFALLSHIELD 340ML</t>
  </si>
  <si>
    <t>BUNDLE SLVE KARTHIKA SH HFS 340ML</t>
  </si>
  <si>
    <t>NETBAG AND TAG(LOOP PIN)</t>
  </si>
  <si>
    <t>CHIK EGG 4M 50% E 1920P W C 1RE E 80P F CFC</t>
  </si>
  <si>
    <t>LAM KARTHIKA DAMAGESHIELD 50P 23%-WHITE BACK</t>
  </si>
  <si>
    <t>CHIK BLK 4M 50% E 1920P W C 1RE B 80P F OUTTER CFC</t>
  </si>
  <si>
    <t>CHIK BLK 4M 50% E 1920P W C 1RE B 80P F INNER CFC</t>
  </si>
  <si>
    <t>KARTHIKA BLACK  80ML HANGER CFC</t>
  </si>
  <si>
    <t>KARTHIKA  ANTI DANDRUFF 80ML CFC</t>
  </si>
  <si>
    <t>KARTHIKA DAMAGE SHIELD 80ML HANGER CFC</t>
  </si>
  <si>
    <t>KARTHIKA DAMAGE SHIELD 50P 23% OUTER CFC</t>
  </si>
  <si>
    <t>KARTHIKA DAMAGE SHIELD 50P 23% INNER CFC</t>
  </si>
  <si>
    <t>LAMINATE DAMAGE SHIELD B1G1 OFFER</t>
  </si>
  <si>
    <t>LAM KARTHIKA HAIRFALLSHIELD 4ML 35% EXTRA</t>
  </si>
  <si>
    <t>KARTHIKA HAIRFALLSHIELD 5.4ML(4ML+ 1.4ML 35% EXTRA) CFC</t>
  </si>
  <si>
    <t>KARTHIKA HAIRFALLSHIELD 4ML VALUE PACK CFC</t>
  </si>
  <si>
    <t>KARTHIKA DRYNESS SHIELD 4ML VALUE PACK CFC</t>
  </si>
  <si>
    <t>LAM KARTHIKA DRYNESS SHIELD 4ML VALUE PACK</t>
  </si>
  <si>
    <t>S.No</t>
  </si>
  <si>
    <t>Head</t>
  </si>
  <si>
    <t>Supplier Doc. No.</t>
  </si>
  <si>
    <t>Supplier Doc. Date.</t>
  </si>
  <si>
    <t>GRN Pfx.</t>
  </si>
  <si>
    <t>GRN No.</t>
  </si>
  <si>
    <t>GRN Date</t>
  </si>
  <si>
    <t>Supplier Name</t>
  </si>
  <si>
    <t>Customer</t>
  </si>
  <si>
    <t>Item Code</t>
  </si>
  <si>
    <t>Item Name</t>
  </si>
  <si>
    <t>UOM</t>
  </si>
  <si>
    <t>Unit Cost</t>
  </si>
  <si>
    <t>Basic Value</t>
  </si>
  <si>
    <t>Freight (Others)</t>
  </si>
  <si>
    <t>LANDED  Value</t>
  </si>
  <si>
    <t>LANDED COST</t>
  </si>
  <si>
    <t>PO Pfix</t>
  </si>
  <si>
    <t>PO No.</t>
  </si>
  <si>
    <t>ARRIVAL</t>
  </si>
  <si>
    <t>24700</t>
  </si>
  <si>
    <t>COS</t>
  </si>
  <si>
    <t>2223-2890</t>
  </si>
  <si>
    <t>AQUADEEPACK DISTILLED WATER &amp; CO</t>
  </si>
  <si>
    <t>CK-RM</t>
  </si>
  <si>
    <t>CK</t>
  </si>
  <si>
    <t>DM WATER</t>
  </si>
  <si>
    <t>LTR</t>
  </si>
  <si>
    <t>GF</t>
  </si>
  <si>
    <t>2223-0694</t>
  </si>
  <si>
    <t>2223-2893</t>
  </si>
  <si>
    <t>16079</t>
  </si>
  <si>
    <t>2223-2894</t>
  </si>
  <si>
    <t>DPR &amp; CO.,</t>
  </si>
  <si>
    <t>2223-0696</t>
  </si>
  <si>
    <t>16080</t>
  </si>
  <si>
    <t>2223-2895</t>
  </si>
  <si>
    <t>22232050</t>
  </si>
  <si>
    <t>2223-2896</t>
  </si>
  <si>
    <t>PRAKASH FLEXIBLES PVT LTD</t>
  </si>
  <si>
    <t>CK-PM</t>
  </si>
  <si>
    <t>LAM CHIK BLK PROSOL THK&amp;GLY4ML+2ML 50%EX-NEW AW</t>
  </si>
  <si>
    <t>KGS</t>
  </si>
  <si>
    <t>2223-0682</t>
  </si>
  <si>
    <t>22232051</t>
  </si>
  <si>
    <t>2223-2897</t>
  </si>
  <si>
    <t>LAM CHIK BLK HFP PROSOL 3G 23%EX-WHITE BACK(10/35)</t>
  </si>
  <si>
    <t>22-23/PON/002924</t>
  </si>
  <si>
    <t>2223-2898</t>
  </si>
  <si>
    <t>APARNA PAPER PROCESING INDUSTRY(P) LIMITED</t>
  </si>
  <si>
    <t>LAM CHIK BLACK RS.1-SUSTAINABILITY BOPP STRUCTURE</t>
  </si>
  <si>
    <t>2223-0564</t>
  </si>
  <si>
    <t>2227010757</t>
  </si>
  <si>
    <t>2223-2899</t>
  </si>
  <si>
    <t>GALAXY SURFACTANTS LIMITED - PANVEL</t>
  </si>
  <si>
    <t>SODIUM LAURYL ETHER SULPHATE PASTE ( SLES 70%)</t>
  </si>
  <si>
    <t>2223-0635</t>
  </si>
  <si>
    <t>F24220000785</t>
  </si>
  <si>
    <t>2223-2904</t>
  </si>
  <si>
    <t>WACKER METROARK CHEMICALS PVT LTD</t>
  </si>
  <si>
    <t>2223-0581</t>
  </si>
  <si>
    <t>2223-0665</t>
  </si>
  <si>
    <t>9392207884</t>
  </si>
  <si>
    <t>2223-2905</t>
  </si>
  <si>
    <t>SYMRISE PRIVATE LIMITED - CHENNAI</t>
  </si>
  <si>
    <t>2223-0678</t>
  </si>
  <si>
    <t>4937/22-23</t>
  </si>
  <si>
    <t>2223-2906</t>
  </si>
  <si>
    <t>HI TECH MINERALS &amp; CHEMICALS</t>
  </si>
  <si>
    <t>SODIUM CHLORIDE-NIRMA SALT</t>
  </si>
  <si>
    <t>2223-0646</t>
  </si>
  <si>
    <t>16081</t>
  </si>
  <si>
    <t>2223-2907</t>
  </si>
  <si>
    <t>16082</t>
  </si>
  <si>
    <t>2223-2908</t>
  </si>
  <si>
    <t>16083</t>
  </si>
  <si>
    <t>2223-2909</t>
  </si>
  <si>
    <t>2023/A06002650</t>
  </si>
  <si>
    <t>2223-2910</t>
  </si>
  <si>
    <t>AMCOR FLEXIBLES INDIA PRIVATE LIMITED</t>
  </si>
  <si>
    <t>2223-0683</t>
  </si>
  <si>
    <t>2227011005</t>
  </si>
  <si>
    <t>2223-2912</t>
  </si>
  <si>
    <t>222301-008189</t>
  </si>
  <si>
    <t>2223-2913</t>
  </si>
  <si>
    <t>NITHYA PACKAGING PRIVATE LIMITED</t>
  </si>
  <si>
    <t>NOS</t>
  </si>
  <si>
    <t>2223-0657</t>
  </si>
  <si>
    <t>23/001966</t>
  </si>
  <si>
    <t>2223-2917</t>
  </si>
  <si>
    <t>ROBERTET INDIA PRIVATE LIMITED</t>
  </si>
  <si>
    <t>2223-0673</t>
  </si>
  <si>
    <t>16084</t>
  </si>
  <si>
    <t>2223-2918</t>
  </si>
  <si>
    <t>LS2022500586</t>
  </si>
  <si>
    <t>2223-2919</t>
  </si>
  <si>
    <t>ARCH PROTECTION CHEMICALS PRIVATE LIMITED</t>
  </si>
  <si>
    <t>2223-0697</t>
  </si>
  <si>
    <t>16085</t>
  </si>
  <si>
    <t>2223-2920</t>
  </si>
  <si>
    <t>16086</t>
  </si>
  <si>
    <t>2223-2921</t>
  </si>
  <si>
    <t>16087</t>
  </si>
  <si>
    <t>2223-2922</t>
  </si>
  <si>
    <t>234/22-23</t>
  </si>
  <si>
    <t>2223-2924</t>
  </si>
  <si>
    <t>NATURAL &amp; ESSENTIAL OILS PRIVATE LIMITED</t>
  </si>
  <si>
    <t>2223-0510</t>
  </si>
  <si>
    <t>2223-2925</t>
  </si>
  <si>
    <t>2223-0589</t>
  </si>
  <si>
    <t>2223-0671</t>
  </si>
  <si>
    <t>22232108</t>
  </si>
  <si>
    <t>2223-2926</t>
  </si>
  <si>
    <t>22232109</t>
  </si>
  <si>
    <t>2223-2927</t>
  </si>
  <si>
    <t>22232118</t>
  </si>
  <si>
    <t>2223-2928</t>
  </si>
  <si>
    <t>22-23/PON/002943</t>
  </si>
  <si>
    <t>2223-2929</t>
  </si>
  <si>
    <t>2223-0383</t>
  </si>
  <si>
    <t>LAM CHIK BLK PROSOL THK&amp;GLY4ML+2ML 50%EX-NEW AW(8/8/30)</t>
  </si>
  <si>
    <t>2223-0684</t>
  </si>
  <si>
    <t>24141</t>
  </si>
  <si>
    <t>2223-2930</t>
  </si>
  <si>
    <t>6044</t>
  </si>
  <si>
    <t>2223-2931</t>
  </si>
  <si>
    <t>GIRNAR PACKAGING</t>
  </si>
  <si>
    <t>2223-0710</t>
  </si>
  <si>
    <t>320</t>
  </si>
  <si>
    <t>2223-2938</t>
  </si>
  <si>
    <t>SRI KRISHNA CHEMICALS</t>
  </si>
  <si>
    <t>FORMALDEHYDE-37%</t>
  </si>
  <si>
    <t>2223-0706</t>
  </si>
  <si>
    <t>24142</t>
  </si>
  <si>
    <t>2223-2939</t>
  </si>
  <si>
    <t>24144</t>
  </si>
  <si>
    <t>2223-2940</t>
  </si>
  <si>
    <t>24145</t>
  </si>
  <si>
    <t>2223-2941</t>
  </si>
  <si>
    <t>8101153938</t>
  </si>
  <si>
    <t>2223-2942</t>
  </si>
  <si>
    <t>S H KELKAR AND COMPANY LTD.</t>
  </si>
  <si>
    <t>2223-0664</t>
  </si>
  <si>
    <t>24146</t>
  </si>
  <si>
    <t>2223-2943</t>
  </si>
  <si>
    <t>2023/A06002692</t>
  </si>
  <si>
    <t>2223-2944</t>
  </si>
  <si>
    <t>LAM CHIK BLK HFP PROSOL 3G 23%EX-WHITE BACK(10/40)</t>
  </si>
  <si>
    <t>2023/A06002701</t>
  </si>
  <si>
    <t>2223-2945</t>
  </si>
  <si>
    <t>2023/A06002693</t>
  </si>
  <si>
    <t>2223-2946</t>
  </si>
  <si>
    <t>LAM CHIK EGG HFPSH SCH 4ML+2ML EX -NEW AW</t>
  </si>
  <si>
    <t>2223-2947</t>
  </si>
  <si>
    <t>2223-0714</t>
  </si>
  <si>
    <t>TVM/SI2223/14066</t>
  </si>
  <si>
    <t>2223-2948</t>
  </si>
  <si>
    <t>HORIZON PACKS PRIVATE LIMITED.</t>
  </si>
  <si>
    <t>KARTHIKA HAIRFALL SHIELD 5.4ML 10% EXTRA CFC</t>
  </si>
  <si>
    <t>2223-0659</t>
  </si>
  <si>
    <t>2223-2949</t>
  </si>
  <si>
    <t>2223-0662</t>
  </si>
  <si>
    <t>G00642/22-23</t>
  </si>
  <si>
    <t>2223-2950</t>
  </si>
  <si>
    <t>M/S. D.G. GORE</t>
  </si>
  <si>
    <t>FRAGRANCE BLOOM 2 1223134 PREPROCESSING</t>
  </si>
  <si>
    <t>2223-0586</t>
  </si>
  <si>
    <t>MUM002306</t>
  </si>
  <si>
    <t>2223-2951</t>
  </si>
  <si>
    <t>VIMAL LIFESCIENCES PVT.LTD</t>
  </si>
  <si>
    <t>POLYOX WSR N60K</t>
  </si>
  <si>
    <t>2223-0675</t>
  </si>
  <si>
    <t>80066016</t>
  </si>
  <si>
    <t>2223-2952</t>
  </si>
  <si>
    <t>ROHA DYECHEM PVT LTD</t>
  </si>
  <si>
    <t>BRILLIANT BLUE</t>
  </si>
  <si>
    <t>2223-0663</t>
  </si>
  <si>
    <t>2227011035</t>
  </si>
  <si>
    <t>2223-2953</t>
  </si>
  <si>
    <t>GALAXY SURFACTANTS LTD -NAVI  MUMBAI</t>
  </si>
  <si>
    <t>2223-0669</t>
  </si>
  <si>
    <t>24339</t>
  </si>
  <si>
    <t>2223-2954</t>
  </si>
  <si>
    <t>NBC/0409/22-23</t>
  </si>
  <si>
    <t>2223-2955</t>
  </si>
  <si>
    <t>NAVAKAR BIO CHEMICALS</t>
  </si>
  <si>
    <t>SUNFLOWER OIL</t>
  </si>
  <si>
    <t>2223-0685</t>
  </si>
  <si>
    <t>24148</t>
  </si>
  <si>
    <t>2223-2956</t>
  </si>
  <si>
    <t>22232110</t>
  </si>
  <si>
    <t>2223-2957</t>
  </si>
  <si>
    <t>2223-0553</t>
  </si>
  <si>
    <t>LAM CHIK JAS PROSOL SCH 4ML+2ML EX-NEW AW</t>
  </si>
  <si>
    <t>22232115</t>
  </si>
  <si>
    <t>2223-2958</t>
  </si>
  <si>
    <t>2223-0546</t>
  </si>
  <si>
    <t>22232116</t>
  </si>
  <si>
    <t>2223-2959</t>
  </si>
  <si>
    <t>22232117</t>
  </si>
  <si>
    <t>2223-2962</t>
  </si>
  <si>
    <t>2223-2963</t>
  </si>
  <si>
    <t>2223-0715</t>
  </si>
  <si>
    <t>GST571/22-23</t>
  </si>
  <si>
    <t>2223-2965</t>
  </si>
  <si>
    <t>SREE RAMU SPECIALITY SURFACTANTS PRIVATE LIMITED</t>
  </si>
  <si>
    <t>PKMEA / CMEA</t>
  </si>
  <si>
    <t>2223-0253</t>
  </si>
  <si>
    <t>RDSUL22232090</t>
  </si>
  <si>
    <t>2223-2966</t>
  </si>
  <si>
    <t>ULTRAMARINE &amp; PIGMENTS LIMITED</t>
  </si>
  <si>
    <t>2223-0638</t>
  </si>
  <si>
    <t>TVM/SI2223/14174</t>
  </si>
  <si>
    <t>2223-2967</t>
  </si>
  <si>
    <t>CHIK EGG 4ML + 2ML 50% EXTRA CFC</t>
  </si>
  <si>
    <t>2223-0716</t>
  </si>
  <si>
    <t>F24220000803</t>
  </si>
  <si>
    <t>2223-2969</t>
  </si>
  <si>
    <t>16089</t>
  </si>
  <si>
    <t>2223-2971</t>
  </si>
  <si>
    <t>16090</t>
  </si>
  <si>
    <t>2223-2972</t>
  </si>
  <si>
    <t>LCPL/1111/22-23</t>
  </si>
  <si>
    <t>2223-2973</t>
  </si>
  <si>
    <t>LALITH CORRUGATING PVT LTD</t>
  </si>
  <si>
    <t>2223-0621</t>
  </si>
  <si>
    <t>222301-008392</t>
  </si>
  <si>
    <t>2223-2974</t>
  </si>
  <si>
    <t>CHIK BLACK  4ML+2ML 50% EXTRA OUTER CFC</t>
  </si>
  <si>
    <t>2223-0645</t>
  </si>
  <si>
    <t>CHIK BLACK  4ML+2ML 50% EXTRA INNER CFC</t>
  </si>
  <si>
    <t>16091</t>
  </si>
  <si>
    <t>2223-2975</t>
  </si>
  <si>
    <t>16092</t>
  </si>
  <si>
    <t>2223-2976</t>
  </si>
  <si>
    <t>16093</t>
  </si>
  <si>
    <t>2223-2977</t>
  </si>
  <si>
    <t>16094</t>
  </si>
  <si>
    <t>2223-2978</t>
  </si>
  <si>
    <t>16095</t>
  </si>
  <si>
    <t>2223-2979</t>
  </si>
  <si>
    <t>16096</t>
  </si>
  <si>
    <t>2223-2980</t>
  </si>
  <si>
    <t>16097</t>
  </si>
  <si>
    <t>2223-2981</t>
  </si>
  <si>
    <t>16098</t>
  </si>
  <si>
    <t>2223-2982</t>
  </si>
  <si>
    <t>TVM/SI2223/14282</t>
  </si>
  <si>
    <t>2223-2983</t>
  </si>
  <si>
    <t>2223-0722</t>
  </si>
  <si>
    <t>6211</t>
  </si>
  <si>
    <t>2223-2984</t>
  </si>
  <si>
    <t>2223-0723</t>
  </si>
  <si>
    <t>322</t>
  </si>
  <si>
    <t>2223-2985</t>
  </si>
  <si>
    <t>2023/A06002817</t>
  </si>
  <si>
    <t>2223-2986</t>
  </si>
  <si>
    <t>2227011497</t>
  </si>
  <si>
    <t>2223-2988</t>
  </si>
  <si>
    <t>2223-0700</t>
  </si>
  <si>
    <t>LCPL/1115/22-23</t>
  </si>
  <si>
    <t>2223-2991</t>
  </si>
  <si>
    <t>1458/22-23</t>
  </si>
  <si>
    <t>2223-2992</t>
  </si>
  <si>
    <t>M PET CONTAINERS PVT. LTD</t>
  </si>
  <si>
    <t>CHIK 30ML PET JAR WITH CAP</t>
  </si>
  <si>
    <t>2223-0626</t>
  </si>
  <si>
    <t>1740</t>
  </si>
  <si>
    <t>2223-2993</t>
  </si>
  <si>
    <t>QUALITY INDUSTRIES</t>
  </si>
  <si>
    <t>2223-0396</t>
  </si>
  <si>
    <t>23519</t>
  </si>
  <si>
    <t>2223-2994</t>
  </si>
  <si>
    <t>23520</t>
  </si>
  <si>
    <t>2223-2995</t>
  </si>
  <si>
    <t>GST579/22-23</t>
  </si>
  <si>
    <t>2223-2996</t>
  </si>
  <si>
    <t>2223-0738</t>
  </si>
  <si>
    <t>24151</t>
  </si>
  <si>
    <t>2223-2998</t>
  </si>
  <si>
    <t>24152</t>
  </si>
  <si>
    <t>2223-2999</t>
  </si>
  <si>
    <t>TVM/SI2223/14394</t>
  </si>
  <si>
    <t>2223-3000</t>
  </si>
  <si>
    <t>2223-0744</t>
  </si>
  <si>
    <t>TVM/SI2223/14395</t>
  </si>
  <si>
    <t>2223-3001</t>
  </si>
  <si>
    <t>KARTHIKA DAMAGE SHIELD 5.4ML 10% EXTRA CFC</t>
  </si>
  <si>
    <t>2223-0745</t>
  </si>
  <si>
    <t>6246</t>
  </si>
  <si>
    <t>2223-3002</t>
  </si>
  <si>
    <t>2223-0743</t>
  </si>
  <si>
    <t>22232111</t>
  </si>
  <si>
    <t>2223-3003</t>
  </si>
  <si>
    <t>22232157</t>
  </si>
  <si>
    <t>2223-3004</t>
  </si>
  <si>
    <t>2223-3005</t>
  </si>
  <si>
    <t>LAM KARTHIKA HAIRFALLSHIELD 4ML VALUE PACK</t>
  </si>
  <si>
    <t>2223-0746</t>
  </si>
  <si>
    <t>2023/A06002870</t>
  </si>
  <si>
    <t>2223-3006</t>
  </si>
  <si>
    <t>2023/A06002871</t>
  </si>
  <si>
    <t>2223-3007</t>
  </si>
  <si>
    <t>222301-008526</t>
  </si>
  <si>
    <t>2223-3008</t>
  </si>
  <si>
    <t>2223-0748</t>
  </si>
  <si>
    <t>TVM/SI2223/14519</t>
  </si>
  <si>
    <t>2223-3009</t>
  </si>
  <si>
    <t>2223-0747</t>
  </si>
  <si>
    <t>G00658/22-23</t>
  </si>
  <si>
    <t>2223-3012</t>
  </si>
  <si>
    <t>2227011602</t>
  </si>
  <si>
    <t>2223-3014</t>
  </si>
  <si>
    <t>23521</t>
  </si>
  <si>
    <t>2223-3015</t>
  </si>
  <si>
    <t>23523</t>
  </si>
  <si>
    <t>2223-3016</t>
  </si>
  <si>
    <t>6294</t>
  </si>
  <si>
    <t>2223-3017</t>
  </si>
  <si>
    <t>2223-0643</t>
  </si>
  <si>
    <t>2223213</t>
  </si>
  <si>
    <t>2223-3018</t>
  </si>
  <si>
    <t>BELCHEM INDUSTRIES (INDIA) PVT. LTD.</t>
  </si>
  <si>
    <t>2223-0698</t>
  </si>
  <si>
    <t>16601</t>
  </si>
  <si>
    <t>2223-3020</t>
  </si>
  <si>
    <t>16602</t>
  </si>
  <si>
    <t>2223-3021</t>
  </si>
  <si>
    <t>22232178</t>
  </si>
  <si>
    <t>2223-3022</t>
  </si>
  <si>
    <t>2023/A06002939</t>
  </si>
  <si>
    <t>2223-3023</t>
  </si>
  <si>
    <t>2223-0703</t>
  </si>
  <si>
    <t>6362</t>
  </si>
  <si>
    <t>2223-3024</t>
  </si>
  <si>
    <t>2223-0755</t>
  </si>
  <si>
    <t>1482/22-23</t>
  </si>
  <si>
    <t>2223-3025</t>
  </si>
  <si>
    <t>KARTHIKA HFS 35ML PETJAR W CAP</t>
  </si>
  <si>
    <t>2223-0753</t>
  </si>
  <si>
    <t>6363</t>
  </si>
  <si>
    <t>2223-3026</t>
  </si>
  <si>
    <t>LINV-DHU-1900366</t>
  </si>
  <si>
    <t>2223-3027</t>
  </si>
  <si>
    <t>INDO AMINES LIMITED</t>
  </si>
  <si>
    <t>COCAMIDO PROPYL BETAINE(CAPB)-TANKER</t>
  </si>
  <si>
    <t>2223-0707</t>
  </si>
  <si>
    <t>TVM/SI2223/14647</t>
  </si>
  <si>
    <t>2223-3032</t>
  </si>
  <si>
    <t>2223-0754</t>
  </si>
  <si>
    <t>16603</t>
  </si>
  <si>
    <t>2223-3034</t>
  </si>
  <si>
    <t>16604</t>
  </si>
  <si>
    <t>2223-3035</t>
  </si>
  <si>
    <t>F24220000831</t>
  </si>
  <si>
    <t>2223-3040</t>
  </si>
  <si>
    <t>9392208394</t>
  </si>
  <si>
    <t>2223-3041</t>
  </si>
  <si>
    <t>2223-0735</t>
  </si>
  <si>
    <t>1932/22DQM/06121</t>
  </si>
  <si>
    <t>2223-3042</t>
  </si>
  <si>
    <t>INTERNATIONAL FLAVOURS &amp; FRAGRANCES IND PVT LTD-SR</t>
  </si>
  <si>
    <t>FRAGRANCE HAIRFALL DEFENSE</t>
  </si>
  <si>
    <t>2223-0721</t>
  </si>
  <si>
    <t>16605</t>
  </si>
  <si>
    <t>2223-3046</t>
  </si>
  <si>
    <t>16606</t>
  </si>
  <si>
    <t>2223-3047</t>
  </si>
  <si>
    <t>16607</t>
  </si>
  <si>
    <t>2223-3048</t>
  </si>
  <si>
    <t>16608</t>
  </si>
  <si>
    <t>2223-3049</t>
  </si>
  <si>
    <t>108411</t>
  </si>
  <si>
    <t>2223-3050</t>
  </si>
  <si>
    <t>PIOMA CHEMICALS</t>
  </si>
  <si>
    <t>BIOPAL-980/CARBOPAL 980</t>
  </si>
  <si>
    <t>2223-0724</t>
  </si>
  <si>
    <t>G00673/22-23</t>
  </si>
  <si>
    <t>2223-3051</t>
  </si>
  <si>
    <t>2223-0713</t>
  </si>
  <si>
    <t>1871/22-23</t>
  </si>
  <si>
    <t>2223-3053</t>
  </si>
  <si>
    <t>RUCHI PACKAGING PRIVATE LIMITED</t>
  </si>
  <si>
    <t>BOPP TAP WITH CKPL LOGO (48MMX65M)BOPP TAP WITH CKPL LOGO &amp; NIKITA (48MMX65M)</t>
  </si>
  <si>
    <t>ROLL</t>
  </si>
  <si>
    <t>2223-0739</t>
  </si>
  <si>
    <t>222301-008663</t>
  </si>
  <si>
    <t>2223-3055</t>
  </si>
  <si>
    <t>222301-008664</t>
  </si>
  <si>
    <t>2223-3056</t>
  </si>
  <si>
    <t>2223-0720</t>
  </si>
  <si>
    <t>6401</t>
  </si>
  <si>
    <t>2223-3057</t>
  </si>
  <si>
    <t>2223-0758</t>
  </si>
  <si>
    <t>323</t>
  </si>
  <si>
    <t>2223-3058</t>
  </si>
  <si>
    <t>2227011714</t>
  </si>
  <si>
    <t>2223-3059</t>
  </si>
  <si>
    <t>22232195</t>
  </si>
  <si>
    <t>2223-3060</t>
  </si>
  <si>
    <t>2023/A06002977</t>
  </si>
  <si>
    <t>2223-3061</t>
  </si>
  <si>
    <t>3764/Z/TI/22-23</t>
  </si>
  <si>
    <t>2223-3062</t>
  </si>
  <si>
    <t>ZIRCON TECHNOLOGIES INDIA PVT LTD RANGE -II,</t>
  </si>
  <si>
    <t>KARTHIKA HFS 175ML FRONT LABEL</t>
  </si>
  <si>
    <t>2223-0680</t>
  </si>
  <si>
    <t>KARTHIKA HFS 175ML BACK LABEL</t>
  </si>
  <si>
    <t>KARTHIKA HFS 80ML FRONT LABEL</t>
  </si>
  <si>
    <t>KARTHIKA HFS 80ML BACK LABEL</t>
  </si>
  <si>
    <t>KARTHIKA DAMAGE SHIELD 175ML FRONT LBL</t>
  </si>
  <si>
    <t>KARTHIKA DAMAGE SHIELD 175ML BACK LBL</t>
  </si>
  <si>
    <t>1743</t>
  </si>
  <si>
    <t>2223-3063</t>
  </si>
  <si>
    <t>22625</t>
  </si>
  <si>
    <t>2223-3064</t>
  </si>
  <si>
    <t>TVM/SI2223/14801</t>
  </si>
  <si>
    <t>2223-3066</t>
  </si>
  <si>
    <t>2223-0757</t>
  </si>
  <si>
    <t>TVM/SI2223/14804</t>
  </si>
  <si>
    <t>2223-3067</t>
  </si>
  <si>
    <t>515/2022-23</t>
  </si>
  <si>
    <t>2223-3068</t>
  </si>
  <si>
    <t>DIKSHA PACKAGING</t>
  </si>
  <si>
    <t>CONTAINER BUNDLE SLEEVE 80ML</t>
  </si>
  <si>
    <t>2223-0699</t>
  </si>
  <si>
    <t>516/2022-23</t>
  </si>
  <si>
    <t>2223-3069</t>
  </si>
  <si>
    <t>IN0822039946</t>
  </si>
  <si>
    <t>2223-3070</t>
  </si>
  <si>
    <t>DABUR INDIA LIMITED-RAJASTHAN</t>
  </si>
  <si>
    <t>2223-0719</t>
  </si>
  <si>
    <t>4606/22-23</t>
  </si>
  <si>
    <t>2223-3071</t>
  </si>
  <si>
    <t>222301-008709</t>
  </si>
  <si>
    <t>2223-3072</t>
  </si>
  <si>
    <t>2223-0556</t>
  </si>
  <si>
    <t>1932/22DOM/06206</t>
  </si>
  <si>
    <t>2223-3073</t>
  </si>
  <si>
    <t>22627</t>
  </si>
  <si>
    <t>2223-3075</t>
  </si>
  <si>
    <t>22628</t>
  </si>
  <si>
    <t>2223-3076</t>
  </si>
  <si>
    <t>22629</t>
  </si>
  <si>
    <t>2223-3077</t>
  </si>
  <si>
    <t>TVM/SI2223/14849</t>
  </si>
  <si>
    <t>2223-3078</t>
  </si>
  <si>
    <t>KARTHIKA HAIRFALLSHIELD 5.4ML(4ML+ 1.44ML 35% EXTRA) CFC</t>
  </si>
  <si>
    <t>TVM/SI2223/14879</t>
  </si>
  <si>
    <t>2223-3079</t>
  </si>
  <si>
    <t>GST593/22-23</t>
  </si>
  <si>
    <t>2223-3080</t>
  </si>
  <si>
    <t>2223-0727</t>
  </si>
  <si>
    <t>326/22-23</t>
  </si>
  <si>
    <t>2223-3082</t>
  </si>
  <si>
    <t>PREMIER INDUSTRIES</t>
  </si>
  <si>
    <t>KARTHIKA HFS 175ML CONTAINER-RED</t>
  </si>
  <si>
    <t>2223-0629</t>
  </si>
  <si>
    <t>RDSUL22232219</t>
  </si>
  <si>
    <t>2223-3083</t>
  </si>
  <si>
    <t>24161</t>
  </si>
  <si>
    <t>2223-3084</t>
  </si>
  <si>
    <t>24162</t>
  </si>
  <si>
    <t>2223-3085</t>
  </si>
  <si>
    <t>24163</t>
  </si>
  <si>
    <t>2223-3086</t>
  </si>
  <si>
    <t>22232214</t>
  </si>
  <si>
    <t>2223-3087</t>
  </si>
  <si>
    <t>2223-0611</t>
  </si>
  <si>
    <t>22232215</t>
  </si>
  <si>
    <t>2223-3088</t>
  </si>
  <si>
    <t>LAM 50P BLACK &amp; WHITE 4.2ML BURMESE</t>
  </si>
  <si>
    <t>2223-0750</t>
  </si>
  <si>
    <t>16610</t>
  </si>
  <si>
    <t>2223-3090</t>
  </si>
  <si>
    <t>22232112</t>
  </si>
  <si>
    <t>2223-3091</t>
  </si>
  <si>
    <t>16611</t>
  </si>
  <si>
    <t>2223-3092</t>
  </si>
  <si>
    <t>22232113</t>
  </si>
  <si>
    <t>2223-3093</t>
  </si>
  <si>
    <t>22232114</t>
  </si>
  <si>
    <t>2223-3094</t>
  </si>
  <si>
    <t>AE/1362/22-23</t>
  </si>
  <si>
    <t>2223-3095</t>
  </si>
  <si>
    <t>ARAVIND ENTERPRISES.</t>
  </si>
  <si>
    <t>2223-0726</t>
  </si>
  <si>
    <t>16612</t>
  </si>
  <si>
    <t>2223-3096</t>
  </si>
  <si>
    <t>MUM002497</t>
  </si>
  <si>
    <t>2223-3099</t>
  </si>
  <si>
    <t>2223-0733</t>
  </si>
  <si>
    <t>MUM002460</t>
  </si>
  <si>
    <t>2223-3100</t>
  </si>
  <si>
    <t>2223223</t>
  </si>
  <si>
    <t>2223-3101</t>
  </si>
  <si>
    <t>222301-008794</t>
  </si>
  <si>
    <t>2223-3102</t>
  </si>
  <si>
    <t>DGS/M/608/22-23</t>
  </si>
  <si>
    <t>2223-3103</t>
  </si>
  <si>
    <t>DELTA GREEN SCIENCE</t>
  </si>
  <si>
    <t>2223-0756</t>
  </si>
  <si>
    <t>9392208591</t>
  </si>
  <si>
    <t>2223-3106</t>
  </si>
  <si>
    <t>9392208590</t>
  </si>
  <si>
    <t>2223-3107</t>
  </si>
  <si>
    <t>2223-0711</t>
  </si>
  <si>
    <t>2227011845</t>
  </si>
  <si>
    <t>2223-3109</t>
  </si>
  <si>
    <t>LCPL/1162/22-23</t>
  </si>
  <si>
    <t>2223-3114</t>
  </si>
  <si>
    <t>2223-0766</t>
  </si>
  <si>
    <t>F24220000856</t>
  </si>
  <si>
    <t>2223-3116</t>
  </si>
  <si>
    <t>2223-0725</t>
  </si>
  <si>
    <t>DM-2223-1814</t>
  </si>
  <si>
    <t>2223-3119</t>
  </si>
  <si>
    <t>DM-2223-1815</t>
  </si>
  <si>
    <t>2223-3120</t>
  </si>
  <si>
    <t>DM-2223-1816</t>
  </si>
  <si>
    <t>2223-3121</t>
  </si>
  <si>
    <t>6514</t>
  </si>
  <si>
    <t>2223-3122</t>
  </si>
  <si>
    <t>2223-0767</t>
  </si>
  <si>
    <t>6515</t>
  </si>
  <si>
    <t>2223-3123</t>
  </si>
  <si>
    <t>2023/A06003080</t>
  </si>
  <si>
    <t>2223-3124</t>
  </si>
  <si>
    <t>2023/A06003081</t>
  </si>
  <si>
    <t>2223-3125</t>
  </si>
  <si>
    <t>LAM KARTHIKA HAIRFALLSHIELD 4M 35% EXTRA</t>
  </si>
  <si>
    <t>22232233</t>
  </si>
  <si>
    <t>2223-3126</t>
  </si>
  <si>
    <t>2223-0759</t>
  </si>
  <si>
    <t>22232232</t>
  </si>
  <si>
    <t>2223-3127</t>
  </si>
  <si>
    <t>222301-008819</t>
  </si>
  <si>
    <t>2223-3128</t>
  </si>
  <si>
    <t>2223-0718</t>
  </si>
  <si>
    <t>2227011941</t>
  </si>
  <si>
    <t>2223-3129</t>
  </si>
  <si>
    <t>16616</t>
  </si>
  <si>
    <t>2223-3130</t>
  </si>
  <si>
    <t>16617</t>
  </si>
  <si>
    <t>2223-3131</t>
  </si>
  <si>
    <t>16618</t>
  </si>
  <si>
    <t>2223-3132</t>
  </si>
  <si>
    <t>16619</t>
  </si>
  <si>
    <t>2223-3133</t>
  </si>
  <si>
    <t>6580</t>
  </si>
  <si>
    <t>2223-3137</t>
  </si>
  <si>
    <t>2223-0751</t>
  </si>
  <si>
    <t>RDSUL22232263</t>
  </si>
  <si>
    <t>2223-3138</t>
  </si>
  <si>
    <t>2223-0742</t>
  </si>
  <si>
    <t>1748</t>
  </si>
  <si>
    <t>2223-3139</t>
  </si>
  <si>
    <t>24278</t>
  </si>
  <si>
    <t>2223-3140</t>
  </si>
  <si>
    <t>24279</t>
  </si>
  <si>
    <t>2223-3141</t>
  </si>
  <si>
    <t>GST615/22-23</t>
  </si>
  <si>
    <t>2223-3142</t>
  </si>
  <si>
    <t>G00693/22-23</t>
  </si>
  <si>
    <t>2223-3143</t>
  </si>
  <si>
    <t>8135039372</t>
  </si>
  <si>
    <t>2223-3144</t>
  </si>
  <si>
    <t>NOURYON CHEMICALS INDIA PRIVATE LIMITED</t>
  </si>
  <si>
    <t>N-HANCE BF - 13 / JAUGUAR C-17</t>
  </si>
  <si>
    <t>2223-0741</t>
  </si>
  <si>
    <t>2227012165</t>
  </si>
  <si>
    <t>2223-3145</t>
  </si>
  <si>
    <t>2223-0729</t>
  </si>
  <si>
    <t>DS2227103232</t>
  </si>
  <si>
    <t>2223-3147</t>
  </si>
  <si>
    <t>SOUJANYA COLOR PRIVATE LIMITED</t>
  </si>
  <si>
    <t>2223-0737</t>
  </si>
  <si>
    <t>222301-008890</t>
  </si>
  <si>
    <t>2223-3149</t>
  </si>
  <si>
    <t>22232245</t>
  </si>
  <si>
    <t>2223-3152</t>
  </si>
  <si>
    <t>LAM CHIK BLK PROSOL THK&amp;GLY4ML+2ML 50%EX-NEW AW(8/8/25)</t>
  </si>
  <si>
    <t>324</t>
  </si>
  <si>
    <t>2223-3153</t>
  </si>
  <si>
    <t>FORMALDEHYDE 37%</t>
  </si>
  <si>
    <t>2223-0771</t>
  </si>
  <si>
    <t>24280</t>
  </si>
  <si>
    <t>2223-3154</t>
  </si>
  <si>
    <t>2223-0619</t>
  </si>
  <si>
    <t>24281</t>
  </si>
  <si>
    <t>2223-3155</t>
  </si>
  <si>
    <t>2223-0530</t>
  </si>
  <si>
    <t>222-03206</t>
  </si>
  <si>
    <t>2223-3156</t>
  </si>
  <si>
    <t>TAURUS PACKAGING PRIVATE LIMITED</t>
  </si>
  <si>
    <t>2223-0602</t>
  </si>
  <si>
    <t>222301-008913</t>
  </si>
  <si>
    <t>2223-3157</t>
  </si>
  <si>
    <t>2227012126</t>
  </si>
  <si>
    <t>2223-3158</t>
  </si>
  <si>
    <t>24076</t>
  </si>
  <si>
    <t>2223-3159</t>
  </si>
  <si>
    <t>2223-0216</t>
  </si>
  <si>
    <t>24282</t>
  </si>
  <si>
    <t>2223-3160</t>
  </si>
  <si>
    <t>2223-0061</t>
  </si>
  <si>
    <t>22232266</t>
  </si>
  <si>
    <t>2223-3161</t>
  </si>
  <si>
    <t>22232267</t>
  </si>
  <si>
    <t>2223-3162</t>
  </si>
  <si>
    <t>24284</t>
  </si>
  <si>
    <t>2223-3163</t>
  </si>
  <si>
    <t>2122-0939</t>
  </si>
  <si>
    <t>222301-008929</t>
  </si>
  <si>
    <t>2223-3164</t>
  </si>
  <si>
    <t>CHIK EGG 4M 20% E 1920P W C 1RE E 80P F CFC</t>
  </si>
  <si>
    <t>222301-008928</t>
  </si>
  <si>
    <t>2223-3165</t>
  </si>
  <si>
    <t>2223-3166</t>
  </si>
  <si>
    <t>2223-0772</t>
  </si>
  <si>
    <t>22232269</t>
  </si>
  <si>
    <t>2223-3169</t>
  </si>
  <si>
    <t>222301-008943</t>
  </si>
  <si>
    <t>2223-3170</t>
  </si>
  <si>
    <t>RDSUL22232291</t>
  </si>
  <si>
    <t>2223-3171</t>
  </si>
  <si>
    <t>TVM/SI2223/15248</t>
  </si>
  <si>
    <t>2223-3172</t>
  </si>
  <si>
    <t>16621</t>
  </si>
  <si>
    <t>2223-3174</t>
  </si>
  <si>
    <t>2223-0637</t>
  </si>
  <si>
    <t>SR23000798</t>
  </si>
  <si>
    <t>2223-3175</t>
  </si>
  <si>
    <t>PAHARPUR 3P PRIVATE LIMITED</t>
  </si>
  <si>
    <t>2223-0704</t>
  </si>
  <si>
    <t>16622</t>
  </si>
  <si>
    <t>2223-3176</t>
  </si>
  <si>
    <t>2223-0468</t>
  </si>
  <si>
    <t>6691</t>
  </si>
  <si>
    <t>2223-3177</t>
  </si>
  <si>
    <t>2223-0765</t>
  </si>
  <si>
    <t>16623</t>
  </si>
  <si>
    <t>2223-3178</t>
  </si>
  <si>
    <t>2223-0389</t>
  </si>
  <si>
    <t>TVM/SI2223/15288</t>
  </si>
  <si>
    <t>2223-3179</t>
  </si>
  <si>
    <t>2223-0774</t>
  </si>
  <si>
    <t>F24220000881</t>
  </si>
  <si>
    <t>2223-3182</t>
  </si>
  <si>
    <t>SCPL/2223/0467</t>
  </si>
  <si>
    <t>2223-3183</t>
  </si>
  <si>
    <t>SATYAJIT CHEMICALS PVT LTD</t>
  </si>
  <si>
    <t>DI SODIUM EDTA</t>
  </si>
  <si>
    <t>2223-0728</t>
  </si>
  <si>
    <t>LS2022500654</t>
  </si>
  <si>
    <t>2223-3184</t>
  </si>
  <si>
    <t>2223-0763</t>
  </si>
  <si>
    <t>108671</t>
  </si>
  <si>
    <t>2223-3185</t>
  </si>
  <si>
    <t>16624</t>
  </si>
  <si>
    <t>2223-3186</t>
  </si>
  <si>
    <t>2223-0095</t>
  </si>
  <si>
    <t>16625</t>
  </si>
  <si>
    <t>2223-3197</t>
  </si>
  <si>
    <t>2122-0949</t>
  </si>
  <si>
    <t>222301-008972</t>
  </si>
  <si>
    <t>2223-3198</t>
  </si>
  <si>
    <t>22232277</t>
  </si>
  <si>
    <t>2223-3199</t>
  </si>
  <si>
    <t>LAM CHIK EGG HFPSH SCH 4ML+2ML EX -NEW AW(8/8/25)</t>
  </si>
  <si>
    <t>TVM/SI2223/15385</t>
  </si>
  <si>
    <t>2223-3201</t>
  </si>
  <si>
    <t>TVM/SI2223/15375</t>
  </si>
  <si>
    <t>2223-3202</t>
  </si>
  <si>
    <t>326</t>
  </si>
  <si>
    <t>2223-3203</t>
  </si>
  <si>
    <t>16626</t>
  </si>
  <si>
    <t>2223-3205</t>
  </si>
  <si>
    <t>2122-0877</t>
  </si>
  <si>
    <t>16627</t>
  </si>
  <si>
    <t>2223-3206</t>
  </si>
  <si>
    <t>2122-0819</t>
  </si>
  <si>
    <t>22232278</t>
  </si>
  <si>
    <t>2223-3208</t>
  </si>
  <si>
    <t>2223-0709</t>
  </si>
  <si>
    <t>Code</t>
  </si>
  <si>
    <t>Name</t>
  </si>
  <si>
    <t>Note</t>
  </si>
  <si>
    <t>Hanger Code Chenge from B4 to 214331</t>
  </si>
  <si>
    <t>CAP CURRY LEAVES  80ML &amp; 175ML Code Chenge from B55 to 211679</t>
  </si>
  <si>
    <t xml:space="preserve">Removed ACRYPOL 980 </t>
  </si>
  <si>
    <t>175ml Front label change from 212583 to 214304</t>
  </si>
  <si>
    <t>175ml Back label change from 212582 to 214306</t>
  </si>
  <si>
    <t>80ml Front label change from 212580 to 214303</t>
  </si>
  <si>
    <t>80ml Back label change from 212581 to 214302</t>
  </si>
  <si>
    <t>Invoice No</t>
  </si>
  <si>
    <t>Invoice Date</t>
  </si>
  <si>
    <t>DIVISION</t>
  </si>
  <si>
    <t>SALES ORDER NO.</t>
  </si>
  <si>
    <t>CUSTOMER PO NO.</t>
  </si>
  <si>
    <t>SALE ORDER_DATE</t>
  </si>
  <si>
    <t>CUSTOMER  CODE</t>
  </si>
  <si>
    <t>CUSTOMER  NAME</t>
  </si>
  <si>
    <t>PRODUCT CODE</t>
  </si>
  <si>
    <t>HSN</t>
  </si>
  <si>
    <t>Quantity</t>
  </si>
  <si>
    <t>BASIC VALUE</t>
  </si>
  <si>
    <t>Freight Outward</t>
  </si>
  <si>
    <t>TAXABLE VALUE</t>
  </si>
  <si>
    <t>CGST</t>
  </si>
  <si>
    <t>SGST</t>
  </si>
  <si>
    <t>IGST</t>
  </si>
  <si>
    <t>TOTAL</t>
  </si>
  <si>
    <t>2223-3559</t>
  </si>
  <si>
    <t>01.12.2022</t>
  </si>
  <si>
    <t>2223-0550</t>
  </si>
  <si>
    <t>'4500091338</t>
  </si>
  <si>
    <t>01-12-22</t>
  </si>
  <si>
    <t>C1510</t>
  </si>
  <si>
    <t>CAVINKARE PRIVATE LIMITED VIJAYWADA(NEW)</t>
  </si>
  <si>
    <t>33051090</t>
  </si>
  <si>
    <t>CLD</t>
  </si>
  <si>
    <t>2223-3560</t>
  </si>
  <si>
    <t>2223-0551</t>
  </si>
  <si>
    <t>'4500091336</t>
  </si>
  <si>
    <t>C01011</t>
  </si>
  <si>
    <t>CAVINKARE PRIVATE LIMITED HYDERABAD</t>
  </si>
  <si>
    <t>KARTHIKA HAIRFALLSHIELD 5.4M10% 1920P MRP RS.1.00</t>
  </si>
  <si>
    <t>2223-3563</t>
  </si>
  <si>
    <t>2223-0552</t>
  </si>
  <si>
    <t>'4500091352</t>
  </si>
  <si>
    <t>2223-3566</t>
  </si>
  <si>
    <t>02.12.2022</t>
  </si>
  <si>
    <t>'4500091434</t>
  </si>
  <si>
    <t>02-12-22</t>
  </si>
  <si>
    <t>C01737</t>
  </si>
  <si>
    <t>CAVINKARE PVT LTD-AMBATTUR</t>
  </si>
  <si>
    <t>CHIK EGG HFP SH 4ML+2ML EX 1920PC 22RL MRP RS.1.00</t>
  </si>
  <si>
    <t>2223-3567</t>
  </si>
  <si>
    <t>2223-0555</t>
  </si>
  <si>
    <t>'4500091458</t>
  </si>
  <si>
    <t>C01375</t>
  </si>
  <si>
    <t>CAVINKARE PVT LTD (BANGALORE-NEW)</t>
  </si>
  <si>
    <t>2223-3568</t>
  </si>
  <si>
    <t>2223-0554</t>
  </si>
  <si>
    <t>'4500091470</t>
  </si>
  <si>
    <t>KARTHIKA CURRY LEAF SH 5.4M10% 1920 PCS MRP.RS. 1.00</t>
  </si>
  <si>
    <t>KARTHIKA DRYNESSSHIELD 5.4M 10% E1920P MRP. RS. 1.00</t>
  </si>
  <si>
    <t>2223-3571</t>
  </si>
  <si>
    <t>'4500091491</t>
  </si>
  <si>
    <t>2223-3572</t>
  </si>
  <si>
    <t>2223-0557</t>
  </si>
  <si>
    <t>'4500091497</t>
  </si>
  <si>
    <t>KARTHIKA HAIRFALLSHIELD 35ML 144P PETJAR MRP.RS. 10.00</t>
  </si>
  <si>
    <t>2223-3578</t>
  </si>
  <si>
    <t>03.12.2022</t>
  </si>
  <si>
    <t>2223-0558</t>
  </si>
  <si>
    <t>'4500091534</t>
  </si>
  <si>
    <t>03-12-22</t>
  </si>
  <si>
    <t>2223-3583</t>
  </si>
  <si>
    <t>2223-0559</t>
  </si>
  <si>
    <t>'4500091551</t>
  </si>
  <si>
    <t>2223-3589</t>
  </si>
  <si>
    <t>2223-0560</t>
  </si>
  <si>
    <t>'4500091577</t>
  </si>
  <si>
    <t>2223-3593</t>
  </si>
  <si>
    <t>2223-0561</t>
  </si>
  <si>
    <t>'4500091591</t>
  </si>
  <si>
    <t>2223-3602</t>
  </si>
  <si>
    <t>05.12.2022</t>
  </si>
  <si>
    <t>2223-0562</t>
  </si>
  <si>
    <t>'4500091621</t>
  </si>
  <si>
    <t>05-12-22</t>
  </si>
  <si>
    <t>2223-3605</t>
  </si>
  <si>
    <t>2223-0563</t>
  </si>
  <si>
    <t>'4500091637</t>
  </si>
  <si>
    <t>2223-3615</t>
  </si>
  <si>
    <t>'4500091647</t>
  </si>
  <si>
    <t>2223-3616</t>
  </si>
  <si>
    <t>2223-0565</t>
  </si>
  <si>
    <t>'4500091678</t>
  </si>
  <si>
    <t>2223-3617</t>
  </si>
  <si>
    <t>2223-0566</t>
  </si>
  <si>
    <t>'4500091681</t>
  </si>
  <si>
    <t>2223-3620</t>
  </si>
  <si>
    <t>2223-0567</t>
  </si>
  <si>
    <t>'4500091686</t>
  </si>
  <si>
    <t>2223-3624</t>
  </si>
  <si>
    <t>06.12.2022</t>
  </si>
  <si>
    <t>2223-0568</t>
  </si>
  <si>
    <t>'4500091719</t>
  </si>
  <si>
    <t>06-12-22</t>
  </si>
  <si>
    <t>2223-3625</t>
  </si>
  <si>
    <t>2223-0569</t>
  </si>
  <si>
    <t>'4500091721</t>
  </si>
  <si>
    <t>2223-3633</t>
  </si>
  <si>
    <t>2223-0572</t>
  </si>
  <si>
    <t>'4500091777</t>
  </si>
  <si>
    <t>2223-3634</t>
  </si>
  <si>
    <t>2223-0571</t>
  </si>
  <si>
    <t>'4500091761</t>
  </si>
  <si>
    <t>2223-3636</t>
  </si>
  <si>
    <t>07.12.2022</t>
  </si>
  <si>
    <t>2223-0573</t>
  </si>
  <si>
    <t>'4500091810</t>
  </si>
  <si>
    <t>07-12-22</t>
  </si>
  <si>
    <t>2223-3641</t>
  </si>
  <si>
    <t>2223-0574</t>
  </si>
  <si>
    <t>'4500091846</t>
  </si>
  <si>
    <t>2223-3643</t>
  </si>
  <si>
    <t>2223-0575</t>
  </si>
  <si>
    <t>'4500091869</t>
  </si>
  <si>
    <t>2223-3652</t>
  </si>
  <si>
    <t>08.12.2022</t>
  </si>
  <si>
    <t>2223-0576</t>
  </si>
  <si>
    <t>'4500091976</t>
  </si>
  <si>
    <t>08-12-22</t>
  </si>
  <si>
    <t>2223-3653</t>
  </si>
  <si>
    <t>2223-0577</t>
  </si>
  <si>
    <t>'4500092030</t>
  </si>
  <si>
    <t>2223-3654</t>
  </si>
  <si>
    <t>2223-0578</t>
  </si>
  <si>
    <t>'4500092031</t>
  </si>
  <si>
    <t>2223-3660</t>
  </si>
  <si>
    <t>2223-0579</t>
  </si>
  <si>
    <t>'4500092074</t>
  </si>
  <si>
    <t>2223-3661</t>
  </si>
  <si>
    <t>2223-0580</t>
  </si>
  <si>
    <t>'4500092075</t>
  </si>
  <si>
    <t>2223-3662</t>
  </si>
  <si>
    <t>'4500092063</t>
  </si>
  <si>
    <t>2223-3666</t>
  </si>
  <si>
    <t>09.12.2022</t>
  </si>
  <si>
    <t>2223-0582</t>
  </si>
  <si>
    <t>'4500092123</t>
  </si>
  <si>
    <t>09-12-22</t>
  </si>
  <si>
    <t>2223-3668</t>
  </si>
  <si>
    <t>2223-0584</t>
  </si>
  <si>
    <t>'4500092139</t>
  </si>
  <si>
    <t>2223-3669</t>
  </si>
  <si>
    <t>2223-0585</t>
  </si>
  <si>
    <t>'4500092141</t>
  </si>
  <si>
    <t>2223-3674</t>
  </si>
  <si>
    <t>'4500092174</t>
  </si>
  <si>
    <t>2223-3675</t>
  </si>
  <si>
    <t>2223-0587</t>
  </si>
  <si>
    <t>'4500092176</t>
  </si>
  <si>
    <t>2223-3676</t>
  </si>
  <si>
    <t>2223-0588</t>
  </si>
  <si>
    <t>'4500092195</t>
  </si>
  <si>
    <t>KARTHIKA DAMAGESHIELD SH 5.4M10% E1920P MRP. RS. 1.00</t>
  </si>
  <si>
    <t>2223-3677</t>
  </si>
  <si>
    <t>'4500092199</t>
  </si>
  <si>
    <t>2223-3689</t>
  </si>
  <si>
    <t>10.12.2022</t>
  </si>
  <si>
    <t>2223-0590</t>
  </si>
  <si>
    <t xml:space="preserve">'4500092242 </t>
  </si>
  <si>
    <t>10-12-22</t>
  </si>
  <si>
    <t>2223-3690</t>
  </si>
  <si>
    <t>2223-0591</t>
  </si>
  <si>
    <t>'4500092244</t>
  </si>
  <si>
    <t>CHIK JAS PRO SOL SOYA PRO SH 175ML 48PCS MRP. RS. 112.00</t>
  </si>
  <si>
    <t>2223-3691</t>
  </si>
  <si>
    <t>2223-0592</t>
  </si>
  <si>
    <t>'4500092245</t>
  </si>
  <si>
    <t>2223-3692</t>
  </si>
  <si>
    <t>2223-0593</t>
  </si>
  <si>
    <t>'4500092247</t>
  </si>
  <si>
    <t>2223-3693</t>
  </si>
  <si>
    <t>2223-0594</t>
  </si>
  <si>
    <t>'4500092248</t>
  </si>
  <si>
    <t>2223-3694</t>
  </si>
  <si>
    <t>2223-0595</t>
  </si>
  <si>
    <t>'4500092249</t>
  </si>
  <si>
    <t>2223-3702</t>
  </si>
  <si>
    <t>12.12.2022</t>
  </si>
  <si>
    <t>2223-0596</t>
  </si>
  <si>
    <t>'4500092357</t>
  </si>
  <si>
    <t>12-12-22</t>
  </si>
  <si>
    <t>2223-3704</t>
  </si>
  <si>
    <t>2223-0597</t>
  </si>
  <si>
    <t>'4500092360</t>
  </si>
  <si>
    <t>2223-3709</t>
  </si>
  <si>
    <t>2223-0598</t>
  </si>
  <si>
    <t>'4500092384</t>
  </si>
  <si>
    <t>2223-3711</t>
  </si>
  <si>
    <t>2223-0599</t>
  </si>
  <si>
    <t>'4500092387</t>
  </si>
  <si>
    <t>2223-3715</t>
  </si>
  <si>
    <t>2223-0600</t>
  </si>
  <si>
    <t>'4500092398</t>
  </si>
  <si>
    <t>2223-3717</t>
  </si>
  <si>
    <t>2223-0601</t>
  </si>
  <si>
    <t>'4500092399</t>
  </si>
  <si>
    <t>2223-3732</t>
  </si>
  <si>
    <t>13.12.2022</t>
  </si>
  <si>
    <t>'4500092495</t>
  </si>
  <si>
    <t>13-12-22</t>
  </si>
  <si>
    <t>2223-3733</t>
  </si>
  <si>
    <t>2223-0603</t>
  </si>
  <si>
    <t>'4500092497</t>
  </si>
  <si>
    <t>2223-3743</t>
  </si>
  <si>
    <t>2223-0604</t>
  </si>
  <si>
    <t>'4500092576</t>
  </si>
  <si>
    <t>2223-3744</t>
  </si>
  <si>
    <t>2223-0605</t>
  </si>
  <si>
    <t>'4500092622</t>
  </si>
  <si>
    <t>2223-3755</t>
  </si>
  <si>
    <t>14.12.2022</t>
  </si>
  <si>
    <t>2223-0607</t>
  </si>
  <si>
    <t>'4500092660</t>
  </si>
  <si>
    <t>14-12-22</t>
  </si>
  <si>
    <t>2223-3756</t>
  </si>
  <si>
    <t>2223-0606</t>
  </si>
  <si>
    <t>'4500092664</t>
  </si>
  <si>
    <t>2223-3759</t>
  </si>
  <si>
    <t>2223-0608</t>
  </si>
  <si>
    <t>'4500092700</t>
  </si>
  <si>
    <t>2223-3761</t>
  </si>
  <si>
    <t>2223-0609</t>
  </si>
  <si>
    <t>'4500092701</t>
  </si>
  <si>
    <t>2223-3768</t>
  </si>
  <si>
    <t>2223-0610</t>
  </si>
  <si>
    <t>'4500092717</t>
  </si>
  <si>
    <t>2223-3769</t>
  </si>
  <si>
    <t>'4500092718</t>
  </si>
  <si>
    <t>2223-3770</t>
  </si>
  <si>
    <t>2223-0612</t>
  </si>
  <si>
    <t>'4500092716</t>
  </si>
  <si>
    <t>2223-3776</t>
  </si>
  <si>
    <t>15.12.2022</t>
  </si>
  <si>
    <t>2223-0613</t>
  </si>
  <si>
    <t>'4500092765</t>
  </si>
  <si>
    <t>15-12-22</t>
  </si>
  <si>
    <t>2223-3785</t>
  </si>
  <si>
    <t>2223-0614</t>
  </si>
  <si>
    <t>'4500092802</t>
  </si>
  <si>
    <t>2223-3786</t>
  </si>
  <si>
    <t>2223-0615</t>
  </si>
  <si>
    <t>'4500092804</t>
  </si>
  <si>
    <t>2223-3789</t>
  </si>
  <si>
    <t>2223-0616</t>
  </si>
  <si>
    <t>'4500092815</t>
  </si>
  <si>
    <t>2223-3799</t>
  </si>
  <si>
    <t>16.12.2022</t>
  </si>
  <si>
    <t>2223-0617</t>
  </si>
  <si>
    <t>'4500092842</t>
  </si>
  <si>
    <t>16-12-22</t>
  </si>
  <si>
    <t>2223-3800</t>
  </si>
  <si>
    <t>2223-0618</t>
  </si>
  <si>
    <t>'4500092860</t>
  </si>
  <si>
    <t>2223-3803</t>
  </si>
  <si>
    <t>'4500092866</t>
  </si>
  <si>
    <t>2223-3806</t>
  </si>
  <si>
    <t>2223-0620</t>
  </si>
  <si>
    <t>'4500092867</t>
  </si>
  <si>
    <t>2223-3813</t>
  </si>
  <si>
    <t>'4500092910</t>
  </si>
  <si>
    <t>2223-3814</t>
  </si>
  <si>
    <t>2223-0622</t>
  </si>
  <si>
    <t>'4500092923</t>
  </si>
  <si>
    <t>CHIK JAS PRO SOL SOYA PRO SH 80ML 72 PCS MRP. RS. 52.00</t>
  </si>
  <si>
    <t>2223-3815</t>
  </si>
  <si>
    <t>2223-0623</t>
  </si>
  <si>
    <t>'4500092925</t>
  </si>
  <si>
    <t>2223-3816</t>
  </si>
  <si>
    <t>2223-0624</t>
  </si>
  <si>
    <t>'4500092924</t>
  </si>
  <si>
    <t>2223-3817</t>
  </si>
  <si>
    <t>17.12.2022</t>
  </si>
  <si>
    <t>2223-0625</t>
  </si>
  <si>
    <t>'4500092951</t>
  </si>
  <si>
    <t>17-12-22</t>
  </si>
  <si>
    <t>2223-3820</t>
  </si>
  <si>
    <t>'4500092958</t>
  </si>
  <si>
    <t>2223-3826</t>
  </si>
  <si>
    <t>'4500092989</t>
  </si>
  <si>
    <t>2223-3827</t>
  </si>
  <si>
    <t>2223-0627</t>
  </si>
  <si>
    <t>'4500092991</t>
  </si>
  <si>
    <t>2223-3828</t>
  </si>
  <si>
    <t>2223-0628</t>
  </si>
  <si>
    <t>'4500092992</t>
  </si>
  <si>
    <t>2223-3832</t>
  </si>
  <si>
    <t>2223-0630</t>
  </si>
  <si>
    <t>'4500093012</t>
  </si>
  <si>
    <t>2223-3847</t>
  </si>
  <si>
    <t>19.12.2022</t>
  </si>
  <si>
    <t>2223-0631</t>
  </si>
  <si>
    <t>'4500093056</t>
  </si>
  <si>
    <t>19-12-22</t>
  </si>
  <si>
    <t>2223-3848</t>
  </si>
  <si>
    <t>2223-0632</t>
  </si>
  <si>
    <t>'4500093059</t>
  </si>
  <si>
    <t>2223-3849</t>
  </si>
  <si>
    <t>2223-0633</t>
  </si>
  <si>
    <t>'4500093074</t>
  </si>
  <si>
    <t>2223-3861</t>
  </si>
  <si>
    <t>2223-0634</t>
  </si>
  <si>
    <t>'4500093101</t>
  </si>
  <si>
    <t>2223-3865</t>
  </si>
  <si>
    <t>20.12.2022</t>
  </si>
  <si>
    <t>'4500093120</t>
  </si>
  <si>
    <t>20-12-22</t>
  </si>
  <si>
    <t>2223-3867</t>
  </si>
  <si>
    <t>2223-0636</t>
  </si>
  <si>
    <t>'4500093122</t>
  </si>
  <si>
    <t>2223-3877</t>
  </si>
  <si>
    <t>'4500093141</t>
  </si>
  <si>
    <t>2223-3878</t>
  </si>
  <si>
    <t>'4500093159</t>
  </si>
  <si>
    <t>2223-3895</t>
  </si>
  <si>
    <t>21.12.2022</t>
  </si>
  <si>
    <t>2223-0639</t>
  </si>
  <si>
    <t>'4500093250</t>
  </si>
  <si>
    <t>21-12-22</t>
  </si>
  <si>
    <t>2223-3898</t>
  </si>
  <si>
    <t>2223-0640</t>
  </si>
  <si>
    <t>'4500093271</t>
  </si>
  <si>
    <t>2223-3900</t>
  </si>
  <si>
    <t>2223-0641</t>
  </si>
  <si>
    <t>'4500093272</t>
  </si>
  <si>
    <t>2223-3903</t>
  </si>
  <si>
    <t>2223-0642</t>
  </si>
  <si>
    <t>'4500093306</t>
  </si>
  <si>
    <t>2223-3906</t>
  </si>
  <si>
    <t>2223-0644</t>
  </si>
  <si>
    <t>'4500093335</t>
  </si>
  <si>
    <t>2223-3907</t>
  </si>
  <si>
    <t>'4500093334</t>
  </si>
  <si>
    <t>2223-3908</t>
  </si>
  <si>
    <t>'4500093336</t>
  </si>
  <si>
    <t>2223-3909</t>
  </si>
  <si>
    <t>2223-0647</t>
  </si>
  <si>
    <t>'4500093339</t>
  </si>
  <si>
    <t>2223-3915</t>
  </si>
  <si>
    <t>22.12.2022</t>
  </si>
  <si>
    <t>2223-0648</t>
  </si>
  <si>
    <t>'4500093397</t>
  </si>
  <si>
    <t>22-12-22</t>
  </si>
  <si>
    <t>2223-3916</t>
  </si>
  <si>
    <t>2223-0649</t>
  </si>
  <si>
    <t>'4500093398</t>
  </si>
  <si>
    <t>2223-3918</t>
  </si>
  <si>
    <t>2223-0650</t>
  </si>
  <si>
    <t>'4500093429</t>
  </si>
  <si>
    <t>2223-3939</t>
  </si>
  <si>
    <t>24.12.2022</t>
  </si>
  <si>
    <t>2223-0655</t>
  </si>
  <si>
    <t>'4500093620</t>
  </si>
  <si>
    <t>24-12-22</t>
  </si>
  <si>
    <t>2223-3940</t>
  </si>
  <si>
    <t>2223-0656</t>
  </si>
  <si>
    <t>'4500093629</t>
  </si>
  <si>
    <t>2223-3952</t>
  </si>
  <si>
    <t>'4500093656</t>
  </si>
  <si>
    <t>2223-3953</t>
  </si>
  <si>
    <t>2223-0658</t>
  </si>
  <si>
    <t>'4500093657</t>
  </si>
  <si>
    <t>2223-3926</t>
  </si>
  <si>
    <t>23.12.2022</t>
  </si>
  <si>
    <t>2223-0651</t>
  </si>
  <si>
    <t>'4500093465</t>
  </si>
  <si>
    <t>23-12-22</t>
  </si>
  <si>
    <t>2223-3928</t>
  </si>
  <si>
    <t>2223-0652</t>
  </si>
  <si>
    <t>'4500093502</t>
  </si>
  <si>
    <t>2223-3929</t>
  </si>
  <si>
    <t>2223-0653</t>
  </si>
  <si>
    <t>'4500093539</t>
  </si>
  <si>
    <t>2223-3932</t>
  </si>
  <si>
    <t>2223-0654</t>
  </si>
  <si>
    <t>'4500093571</t>
  </si>
  <si>
    <t>2223-3961</t>
  </si>
  <si>
    <t>26.12.2022</t>
  </si>
  <si>
    <t>'4500093708</t>
  </si>
  <si>
    <t>26-12-22</t>
  </si>
  <si>
    <t>2223-3962</t>
  </si>
  <si>
    <t>2223-0660</t>
  </si>
  <si>
    <t>'4500093715</t>
  </si>
  <si>
    <t>2223-3969</t>
  </si>
  <si>
    <t>2223-0661</t>
  </si>
  <si>
    <t>'4500093752</t>
  </si>
  <si>
    <t>2223-3978</t>
  </si>
  <si>
    <t>'4500093792</t>
  </si>
  <si>
    <t>KARTHIKA DAMAGE SHIELD SHAMPOO 175M 48P MRP. RS. 112.00</t>
  </si>
  <si>
    <t>2223-3979</t>
  </si>
  <si>
    <t>'4500093813</t>
  </si>
  <si>
    <t>KARTHIKA HAIRFALLSHIELD SH AI 175M 48P MRP. RS. 112.00</t>
  </si>
  <si>
    <t>2223-3980</t>
  </si>
  <si>
    <t>'4500093814</t>
  </si>
  <si>
    <t>2223-3981</t>
  </si>
  <si>
    <t>2223-0666</t>
  </si>
  <si>
    <t>'4500093815</t>
  </si>
  <si>
    <t>2223-3987</t>
  </si>
  <si>
    <t>27.12.2022</t>
  </si>
  <si>
    <t>2223-0667</t>
  </si>
  <si>
    <t>'4500093852</t>
  </si>
  <si>
    <t>27-12-22</t>
  </si>
  <si>
    <t>2223-3992</t>
  </si>
  <si>
    <t>2223-0668</t>
  </si>
  <si>
    <t>'4500093859</t>
  </si>
  <si>
    <t>2223-3994</t>
  </si>
  <si>
    <t>'4500093878</t>
  </si>
  <si>
    <t>2223-3998</t>
  </si>
  <si>
    <t>2223-0670</t>
  </si>
  <si>
    <t>'4500093924</t>
  </si>
  <si>
    <t>2223-3999</t>
  </si>
  <si>
    <t>'4500093930</t>
  </si>
  <si>
    <t>2223-4009</t>
  </si>
  <si>
    <t>28.12.2022</t>
  </si>
  <si>
    <t>2223-0672</t>
  </si>
  <si>
    <t>'4500094030</t>
  </si>
  <si>
    <t>28-12-22</t>
  </si>
  <si>
    <t>2223-4010</t>
  </si>
  <si>
    <t>'4500094070</t>
  </si>
  <si>
    <t>2223-4011</t>
  </si>
  <si>
    <t>2223-0674</t>
  </si>
  <si>
    <t>'4500094137</t>
  </si>
  <si>
    <t>2223-4016</t>
  </si>
  <si>
    <t>'4500094144</t>
  </si>
  <si>
    <t>2223-4020</t>
  </si>
  <si>
    <t>2223-0676</t>
  </si>
  <si>
    <t>'4500094176</t>
  </si>
  <si>
    <t>2223-4046</t>
  </si>
  <si>
    <t>29.12.2022</t>
  </si>
  <si>
    <t>'4500094224</t>
  </si>
  <si>
    <t>29-12-22</t>
  </si>
  <si>
    <t>CHIK HFP EGGWHITE SH 5ML20% EX 720PC IB MRP RS. 1.00</t>
  </si>
  <si>
    <t>2223-4049</t>
  </si>
  <si>
    <t>30.12.2022</t>
  </si>
  <si>
    <t>2223-0679</t>
  </si>
  <si>
    <t>'4500094277</t>
  </si>
  <si>
    <t>30-12-22</t>
  </si>
  <si>
    <t>2223-4050</t>
  </si>
  <si>
    <t>'4500094290</t>
  </si>
  <si>
    <t>2223-4052</t>
  </si>
  <si>
    <t>2223-0681</t>
  </si>
  <si>
    <t>'4500094299</t>
  </si>
  <si>
    <t>2223-4063</t>
  </si>
  <si>
    <t>'4500094321</t>
  </si>
  <si>
    <t>2223-4064</t>
  </si>
  <si>
    <t>'4500094314</t>
  </si>
  <si>
    <t>2223-4065</t>
  </si>
  <si>
    <t>'4500094324</t>
  </si>
  <si>
    <t>2223-4066</t>
  </si>
  <si>
    <t>2223-0686</t>
  </si>
  <si>
    <t>'4500094325</t>
  </si>
  <si>
    <t>2223-4067</t>
  </si>
  <si>
    <t>2223-0687</t>
  </si>
  <si>
    <t>'4500094326</t>
  </si>
  <si>
    <t>2223-4085</t>
  </si>
  <si>
    <t>31.12.2022</t>
  </si>
  <si>
    <t>2223-0688</t>
  </si>
  <si>
    <t>31-12-22</t>
  </si>
  <si>
    <t>2223-4086</t>
  </si>
  <si>
    <t>2223-0689</t>
  </si>
  <si>
    <t>2223-4089</t>
  </si>
  <si>
    <t>2223-0690</t>
  </si>
  <si>
    <t>2223-4090</t>
  </si>
  <si>
    <t>2223-0691</t>
  </si>
  <si>
    <t>2223-4100</t>
  </si>
  <si>
    <t>2223-0692</t>
  </si>
  <si>
    <t>2223-4101</t>
  </si>
  <si>
    <t>2223-0695</t>
  </si>
  <si>
    <t>2223-4102</t>
  </si>
  <si>
    <t>2223-4103</t>
  </si>
  <si>
    <t>2223-4104</t>
  </si>
  <si>
    <t>2223-4105</t>
  </si>
  <si>
    <t>Closing Qty</t>
  </si>
  <si>
    <t>ALMOND PASTE</t>
  </si>
  <si>
    <t>CURRY LEAF OIL</t>
  </si>
  <si>
    <t>ZPTO</t>
  </si>
  <si>
    <t>AQUASF1</t>
  </si>
  <si>
    <t>JASMINE ROYALE NP2191</t>
  </si>
  <si>
    <t xml:space="preserve">HYDROVANCE </t>
  </si>
  <si>
    <t>KATHON CG</t>
  </si>
  <si>
    <t>Fragrance poetic Bloom</t>
  </si>
  <si>
    <t>SMALL ONION EXTRACT</t>
  </si>
  <si>
    <t>DISPLAY HANGER FOR CHIK 80ML NEW DESIGN</t>
  </si>
  <si>
    <t>STICKERCAP CHIK LONG N HEAL JASMINE 35Ml</t>
  </si>
  <si>
    <t>CONTAINER CHIK 40ML NEW SIZE</t>
  </si>
  <si>
    <t>SHR SLEEVE CHIK LONG N HEAL JASMINE 35M</t>
  </si>
  <si>
    <t>SLEEVE FOR CHIK SATIN 100 ML (260 X 380)</t>
  </si>
  <si>
    <t>CONT CHIK LONG N HEALT JASMINE 180ML</t>
  </si>
  <si>
    <t>LABEL FR CHIK LONG N HEALT JASMINE 180ML</t>
  </si>
  <si>
    <t>LABEL BK CHIK LONG N HEALT JASMINE 180ML</t>
  </si>
  <si>
    <t>CAP KARTHIKA NEW SIZE 40ML-red</t>
  </si>
  <si>
    <t>STICKERCAP KARTHIKA 35M</t>
  </si>
  <si>
    <t>SHR SLEEVE  KARTHIKA 35ML</t>
  </si>
  <si>
    <t>CFC KARTHIKA  80ML 72P</t>
  </si>
  <si>
    <t>CAP KATHIKA  80ML</t>
  </si>
  <si>
    <t>80ML SLEEVES</t>
  </si>
  <si>
    <t>CONTAINER KARTHIKA 80ML</t>
  </si>
  <si>
    <t>LABEL FR KARTHIKA 80ML</t>
  </si>
  <si>
    <t>LABEL BK  KARTHIKA 80ML</t>
  </si>
  <si>
    <t>CFC KARTHIKA175ML 48P</t>
  </si>
  <si>
    <t>CONT KARTHIKA175ML</t>
  </si>
  <si>
    <t>LABEL FR KARTHIKA 175ML</t>
  </si>
  <si>
    <t>LABEL BK  KARTHIKA 175ML</t>
  </si>
  <si>
    <t>CFC KATHIKA  80ML</t>
  </si>
  <si>
    <t>CAP KATHIKA  35ML</t>
  </si>
  <si>
    <t>CFC KARTHIKA 80ML 72P</t>
  </si>
  <si>
    <t>karthika 80ml hanger</t>
  </si>
  <si>
    <t>Meera Poly bag</t>
  </si>
  <si>
    <t>Laminate Chik Jasmine - Long &amp; Healthy - 3.6 gm - 20 % Extra  [ Reduced Size ]  10/40  , 36 X 62 MM</t>
  </si>
  <si>
    <t>Lamiante Chik Black - Thick &amp; Glossy - 3.6 gm - 20 % extra   [ Reduced Size ] 10/40 ,  36 X 62 MM OFFER</t>
  </si>
  <si>
    <t>CFC - SET Chik Jasmine - Long &amp; Healthy - 3.6 gm - OUTER  - 20 % Extra [ Reduced Size ]</t>
  </si>
  <si>
    <t>CFC - SET Chik Jasmine - Long &amp; Healthy - 3.6 gm - INNER  - 20 % Extra [ Reduced Size ]</t>
  </si>
  <si>
    <t>Laminate Chik EGG - White Protein - 5 ml +1  SILVER BACK[ Reduced Size ] 8/8/30 , 43 X 80 MM</t>
  </si>
  <si>
    <t>Laminate Chik EGG - White Protein - 5 ml +1  Silver back panel [ Reduced Size ] 10/10/30 , 43 X 80 MM</t>
  </si>
  <si>
    <t>Lamiante Chik Black - Thick &amp; Glossy - Relanch  5ml+1 -   [ Reduced Size ]  8/8/30  x 70mm</t>
  </si>
  <si>
    <t>Lamiante Chik Black - Thick &amp; Glossy - 5ml+1 -   [ Reduced Size ]  offer 8/8/30 silver</t>
  </si>
  <si>
    <t>Laminate Chik Jasmine - Long &amp; Healthy - 5ML  offer pack]  8/8/30 , 43 X 80 MM</t>
  </si>
  <si>
    <t>LAMINATE  MEERA GOT HFC SH 5ML</t>
  </si>
  <si>
    <t>LAMINATE MEEAR AD CFC</t>
  </si>
  <si>
    <t>CHIK AD LAMINATE</t>
  </si>
  <si>
    <t>CHIK AD 6ML  OUTER</t>
  </si>
  <si>
    <t>CHIK AD 6ML INNER</t>
  </si>
  <si>
    <t>Lamiante Chik Black - Thick &amp; Glossy - 5ml 20% Extra Burmise</t>
  </si>
  <si>
    <t>Laminate Chik jasmine 5ML 20% Extra Burmise</t>
  </si>
  <si>
    <t>Lamiate chik Egg 5ml 20% Extra Burmise</t>
  </si>
  <si>
    <t>CHIK BLACK  6ML BURMISE OUTER</t>
  </si>
  <si>
    <t>CHIK BLACK 6ML BURMISE  INNER</t>
  </si>
  <si>
    <t>CHIK EGG 6ML BURMISE OUTER</t>
  </si>
  <si>
    <t>CHIK EGG 6ML BURMISE INNER</t>
  </si>
  <si>
    <t>CHIK JASMINE 6ML BUEMISE OUTER</t>
  </si>
  <si>
    <t>Laminate Kathirka Re.1 - Hair Fall Sheild Sheild   SCH OFFER</t>
  </si>
  <si>
    <t>Laminate Kathirka Re.1 - Damage Sheild   SCH OFFER</t>
  </si>
  <si>
    <t>CFC - SET  Chik Black - Thick &amp; Glossy -  20% Extra Outer 4gm</t>
  </si>
  <si>
    <t>CFC - SET  Chik Black - Thick &amp; Glossy -  20% Extra Inner 4gm</t>
  </si>
  <si>
    <t>Lamiate Merra 5ml 20% Extra Yeman</t>
  </si>
  <si>
    <t xml:space="preserve">Laminate Karthika Damage  Sheild 50 Paise  33% EXTRA </t>
  </si>
  <si>
    <t>CARBOPOL ULTREZ 21</t>
  </si>
  <si>
    <t>CHIK EGG + CHIKA AD OUTER CFC</t>
  </si>
  <si>
    <t>CHIK EGG + CHIKA AD INNER CFC</t>
  </si>
  <si>
    <t>CHIK AD 6ML+BLACK OUTER CFC</t>
  </si>
  <si>
    <t>CHIK AD 6ML+BLACK INNER OFFER CFC</t>
  </si>
  <si>
    <t>LAMI CHIK BLACK 50P 33% WHITE BLACK</t>
  </si>
  <si>
    <t>LAM CHIK EGG PROSOL T&amp;G 5ML VALPK-NEW AW</t>
  </si>
  <si>
    <t>KARTHIKA AD 650ML  FRONT LBL</t>
  </si>
  <si>
    <t>KARTHIKA AD 650ML  BACK LBL</t>
  </si>
  <si>
    <t>JASMINE 50PAISE 3GM 23% EXTRA PACK OUTTER  CFC</t>
  </si>
  <si>
    <t>JASMINE 50PAISE 3GM 23% EXTRA  PACK INNER  CFC</t>
  </si>
  <si>
    <t>KARTHIKA AD 650ML CFC</t>
  </si>
  <si>
    <t>KARTHIKA HFS 340ML CAN</t>
  </si>
  <si>
    <t>KARTHIKA  HFS 340ML CAP</t>
  </si>
  <si>
    <t>KARTHIKA HFS 340 ML  FRONT LBL</t>
  </si>
  <si>
    <t>KARTHIKA HFS 340ML  BACK LBL</t>
  </si>
  <si>
    <t>KARTHIKA ANTI DANDRUFF 80ML HANGER CFC</t>
  </si>
  <si>
    <t xml:space="preserve"> CODE</t>
  </si>
  <si>
    <t>ERP CODE</t>
  </si>
  <si>
    <t>DESCRIPTION</t>
  </si>
  <si>
    <t xml:space="preserve">STOCK </t>
  </si>
  <si>
    <t>STOCK  IN RE</t>
  </si>
  <si>
    <t>DIFF</t>
  </si>
  <si>
    <t>FORMALDEHYDE</t>
  </si>
  <si>
    <t>Fragrance Magic Legend super</t>
  </si>
  <si>
    <t>HIBISCUS AE. PG. EXTRACT</t>
  </si>
  <si>
    <t>HYDROLYSED EGG WHITE PROTEIN</t>
  </si>
  <si>
    <t>INCROMINE SD-FL-(TH)</t>
  </si>
  <si>
    <t>SUMICA MICA 43149</t>
  </si>
  <si>
    <t>TARTARIZINE (CI 19140)</t>
  </si>
  <si>
    <t>VIBRA COLOR BLACK</t>
  </si>
  <si>
    <t>BELSIL CK 60012</t>
  </si>
  <si>
    <t>PERFUME HERBAL TWIST-72287</t>
  </si>
  <si>
    <t>GMS(SE)</t>
  </si>
  <si>
    <t>SHIKAKAI SOFT EXTRACT</t>
  </si>
  <si>
    <t>CURRY LEAF EXTRACT</t>
  </si>
  <si>
    <t>PERFUME REFRESHING CLEAN</t>
  </si>
  <si>
    <t>MANLY MAN</t>
  </si>
  <si>
    <t>Laminate Kathika Re.1 - Hair Fall Shield  5.4m 10% Extra 8/8/30 ,43 X 70 MM</t>
  </si>
  <si>
    <t>Laminate Kathika Re.1 - Damage Shield   5.4ml 10 % Extra 43x70mm</t>
  </si>
  <si>
    <t>Laminate Kathirka Re.1 -Dryness  Sheild  5.4m 10% Extra 8/8/30 ,43 X 70 MM</t>
  </si>
  <si>
    <t>LAMINATE KARTHIKA DRYNESS SHIELD 4ML VALUE PACK</t>
  </si>
  <si>
    <t>LAMINATE MEEAR AD RE.2 5.5ML</t>
  </si>
  <si>
    <t xml:space="preserve"> MEEAR AD CFC</t>
  </si>
  <si>
    <t>CHIK JASMINE 6ML BUEMISE INNER</t>
  </si>
  <si>
    <t>CHIK SHAMPOO 1RE+ CHIK BLK 35ML 3NOS BUNDLING SLE</t>
  </si>
  <si>
    <t>CHIK EGG 1 RS SACHET + CHIK EGG 80 P free NOS</t>
  </si>
  <si>
    <t>KARTHIKA AD 650ML CAN</t>
  </si>
  <si>
    <t>KARTHIKA HFS 650ML CAN</t>
  </si>
  <si>
    <t>KARTHIKA AD 80ML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</si>
</sst>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7" formatCode="[$-409]d/mmm/yy;@"/>
    <numFmt numFmtId="168" formatCode="0.000"/>
    <numFmt numFmtId="169" formatCode="0.0%"/>
    <numFmt numFmtId="170" formatCode="&quot;Rs.&quot;\ #,##0;[Red]&quot;Rs.&quot;\ \-#,##0"/>
    <numFmt numFmtId="171" formatCode="#,##0.00\ ;&quot; (&quot;#,##0.00\);&quot; -&quot;#\ ;@\ "/>
    <numFmt numFmtId="172" formatCode="0.00\ ;[Red]\(0.00\)"/>
    <numFmt numFmtId="173" formatCode="#,##0.0_);\(#,##0.0\)"/>
    <numFmt numFmtId="174" formatCode="&quot;&quot;0.00&quot;/nos&quot;"/>
    <numFmt numFmtId="175" formatCode="_(* #,##0.0000_);_(* \(#,##0.0000\);_(* &quot;-&quot;??_);_(@_)"/>
    <numFmt numFmtId="176" formatCode="_ * #,##0.0000_ ;_ * \-#,##0.0000_ ;_ * &quot;-&quot;??_ ;_ @_ 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u/>
      <sz val="11"/>
      <color indexed="12"/>
      <name val="Calibri"/>
      <family val="2"/>
    </font>
    <font>
      <sz val="10"/>
      <color theme="1"/>
      <name val="Microsoft Sans Serif"/>
      <family val="2"/>
    </font>
    <font>
      <u/>
      <sz val="10"/>
      <color theme="10"/>
      <name val="Arial"/>
      <family val="2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4E0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41"/>
      </patternFill>
    </fill>
    <fill>
      <patternFill patternType="solid">
        <fgColor indexed="55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-0.249977111117893"/>
      </bottom>
      <diagonal/>
    </border>
    <border>
      <left/>
      <right/>
      <top style="thin">
        <color indexed="64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3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0" fontId="15" fillId="0" borderId="0"/>
    <xf numFmtId="0" fontId="1" fillId="0" borderId="0">
      <alignment vertical="center"/>
    </xf>
    <xf numFmtId="0" fontId="16" fillId="0" borderId="0"/>
    <xf numFmtId="43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8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53" borderId="0" applyNumberFormat="0" applyBorder="0" applyAlignment="0" applyProtection="0"/>
    <xf numFmtId="0" fontId="31" fillId="37" borderId="0" applyNumberFormat="0" applyBorder="0" applyAlignment="0" applyProtection="0"/>
    <xf numFmtId="0" fontId="32" fillId="54" borderId="14" applyNumberFormat="0" applyAlignment="0" applyProtection="0"/>
    <xf numFmtId="0" fontId="33" fillId="55" borderId="15" applyNumberFormat="0" applyAlignment="0" applyProtection="0"/>
    <xf numFmtId="171" fontId="15" fillId="0" borderId="0" applyFill="0" applyBorder="0" applyAlignment="0" applyProtection="0"/>
    <xf numFmtId="0" fontId="34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6" fillId="0" borderId="16" applyNumberFormat="0" applyFill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9" fillId="41" borderId="14" applyNumberFormat="0" applyAlignment="0" applyProtection="0"/>
    <xf numFmtId="0" fontId="40" fillId="0" borderId="19" applyNumberFormat="0" applyFill="0" applyAlignment="0" applyProtection="0"/>
    <xf numFmtId="0" fontId="41" fillId="56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/>
    <xf numFmtId="0" fontId="15" fillId="0" borderId="0"/>
    <xf numFmtId="0" fontId="15" fillId="57" borderId="20" applyNumberFormat="0" applyAlignment="0" applyProtection="0"/>
    <xf numFmtId="0" fontId="42" fillId="54" borderId="21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22" applyNumberFormat="0" applyFill="0" applyAlignment="0" applyProtection="0"/>
    <xf numFmtId="0" fontId="4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0" fontId="1" fillId="0" borderId="0"/>
    <xf numFmtId="170" fontId="1" fillId="0" borderId="0"/>
    <xf numFmtId="43" fontId="1" fillId="0" borderId="0" applyFont="0" applyFill="0" applyBorder="0" applyAlignment="0" applyProtection="0"/>
    <xf numFmtId="0" fontId="15" fillId="0" borderId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0" fontId="32" fillId="54" borderId="14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Fill="0" applyBorder="0" applyAlignment="0" applyProtection="0"/>
    <xf numFmtId="164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6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4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74" fontId="50" fillId="0" borderId="0" applyFont="0" applyFill="0" applyBorder="0" applyAlignment="0" applyProtection="0"/>
    <xf numFmtId="14" fontId="50" fillId="0" borderId="0" applyFont="0" applyFill="0" applyBorder="0" applyAlignment="0" applyProtection="0"/>
    <xf numFmtId="14" fontId="50" fillId="0" borderId="0" applyFont="0" applyFill="0" applyBorder="0" applyAlignment="0" applyProtection="0"/>
    <xf numFmtId="14" fontId="50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38" fillId="0" borderId="18" applyNumberFormat="0" applyFill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39" fillId="41" borderId="14" applyNumberFormat="0" applyAlignment="0" applyProtection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48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15" fillId="57" borderId="20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0" fontId="42" fillId="54" borderId="21" applyNumberFormat="0" applyAlignment="0" applyProtection="0"/>
    <xf numFmtId="9" fontId="15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171" fontId="15" fillId="0" borderId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9" fontId="1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Fill="0" applyBorder="0" applyAlignment="0" applyProtection="0"/>
    <xf numFmtId="170" fontId="1" fillId="0" borderId="0"/>
    <xf numFmtId="17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</cellStyleXfs>
  <cellXfs count="217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12" fillId="0" borderId="2" xfId="0" applyFont="1" applyBorder="1"/>
    <xf numFmtId="0" fontId="0" fillId="0" borderId="2" xfId="0" applyBorder="1"/>
    <xf numFmtId="0" fontId="0" fillId="3" borderId="2" xfId="0" applyFill="1" applyBorder="1"/>
    <xf numFmtId="165" fontId="0" fillId="3" borderId="2" xfId="0" applyNumberFormat="1" applyFill="1" applyBorder="1"/>
    <xf numFmtId="165" fontId="0" fillId="3" borderId="2" xfId="1" applyNumberFormat="1" applyFont="1" applyFill="1" applyBorder="1"/>
    <xf numFmtId="0" fontId="14" fillId="3" borderId="2" xfId="0" applyFont="1" applyFill="1" applyBorder="1" applyAlignment="1">
      <alignment horizontal="center"/>
    </xf>
    <xf numFmtId="0" fontId="14" fillId="3" borderId="2" xfId="0" applyFont="1" applyFill="1" applyBorder="1"/>
    <xf numFmtId="1" fontId="0" fillId="3" borderId="2" xfId="0" applyNumberFormat="1" applyFill="1" applyBorder="1"/>
    <xf numFmtId="164" fontId="0" fillId="0" borderId="0" xfId="1" applyFont="1"/>
    <xf numFmtId="0" fontId="53" fillId="58" borderId="2" xfId="0" applyFont="1" applyFill="1" applyBorder="1" applyAlignment="1">
      <alignment horizontal="center" vertical="center" wrapText="1"/>
    </xf>
    <xf numFmtId="2" fontId="53" fillId="58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1" fontId="53" fillId="58" borderId="2" xfId="0" applyNumberFormat="1" applyFont="1" applyFill="1" applyBorder="1" applyAlignment="1">
      <alignment vertical="center" wrapText="1"/>
    </xf>
    <xf numFmtId="0" fontId="7" fillId="3" borderId="2" xfId="0" applyFont="1" applyFill="1" applyBorder="1"/>
    <xf numFmtId="0" fontId="9" fillId="3" borderId="2" xfId="0" applyFont="1" applyFill="1" applyBorder="1"/>
    <xf numFmtId="0" fontId="9" fillId="3" borderId="2" xfId="0" applyFont="1" applyFill="1" applyBorder="1" applyAlignment="1">
      <alignment vertical="center"/>
    </xf>
    <xf numFmtId="0" fontId="56" fillId="0" borderId="2" xfId="0" applyFont="1" applyBorder="1" applyAlignment="1">
      <alignment vertical="center"/>
    </xf>
    <xf numFmtId="0" fontId="56" fillId="0" borderId="2" xfId="0" applyFont="1" applyBorder="1"/>
    <xf numFmtId="2" fontId="56" fillId="0" borderId="2" xfId="0" applyNumberFormat="1" applyFont="1" applyBorder="1" applyAlignment="1">
      <alignment vertical="center"/>
    </xf>
    <xf numFmtId="0" fontId="56" fillId="3" borderId="2" xfId="0" applyFont="1" applyFill="1" applyBorder="1"/>
    <xf numFmtId="164" fontId="53" fillId="58" borderId="2" xfId="1" applyFont="1" applyFill="1" applyBorder="1" applyAlignment="1">
      <alignment horizontal="center" vertical="center" wrapText="1"/>
    </xf>
    <xf numFmtId="0" fontId="11" fillId="3" borderId="2" xfId="0" applyFont="1" applyFill="1" applyBorder="1"/>
    <xf numFmtId="0" fontId="15" fillId="3" borderId="2" xfId="0" applyFont="1" applyFill="1" applyBorder="1"/>
    <xf numFmtId="1" fontId="53" fillId="58" borderId="2" xfId="0" applyNumberFormat="1" applyFont="1" applyFill="1" applyBorder="1" applyAlignment="1">
      <alignment horizontal="center" vertical="center" wrapText="1"/>
    </xf>
    <xf numFmtId="0" fontId="59" fillId="3" borderId="2" xfId="0" applyFont="1" applyFill="1" applyBorder="1"/>
    <xf numFmtId="0" fontId="3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5" fontId="5" fillId="0" borderId="23" xfId="1" applyNumberFormat="1" applyFont="1" applyFill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64" fontId="5" fillId="0" borderId="23" xfId="1" applyFont="1" applyFill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vertical="center"/>
    </xf>
    <xf numFmtId="164" fontId="0" fillId="0" borderId="23" xfId="0" applyNumberFormat="1" applyBorder="1"/>
    <xf numFmtId="165" fontId="0" fillId="0" borderId="23" xfId="1" applyNumberFormat="1" applyFont="1" applyBorder="1"/>
    <xf numFmtId="165" fontId="0" fillId="0" borderId="23" xfId="0" applyNumberFormat="1" applyBorder="1"/>
    <xf numFmtId="1" fontId="0" fillId="0" borderId="23" xfId="0" applyNumberFormat="1" applyBorder="1"/>
    <xf numFmtId="164" fontId="0" fillId="0" borderId="23" xfId="1" applyFont="1" applyBorder="1"/>
    <xf numFmtId="0" fontId="8" fillId="3" borderId="23" xfId="0" applyFont="1" applyFill="1" applyBorder="1"/>
    <xf numFmtId="2" fontId="0" fillId="3" borderId="2" xfId="0" applyNumberFormat="1" applyFill="1" applyBorder="1"/>
    <xf numFmtId="0" fontId="3" fillId="0" borderId="23" xfId="0" applyFont="1" applyBorder="1" applyAlignment="1">
      <alignment horizontal="center" vertical="center" wrapText="1"/>
    </xf>
    <xf numFmtId="0" fontId="8" fillId="0" borderId="2" xfId="0" applyFont="1" applyBorder="1"/>
    <xf numFmtId="165" fontId="5" fillId="0" borderId="24" xfId="1" applyNumberFormat="1" applyFont="1" applyFill="1" applyBorder="1" applyAlignment="1">
      <alignment horizontal="center" vertical="center"/>
    </xf>
    <xf numFmtId="0" fontId="4" fillId="58" borderId="13" xfId="0" applyFont="1" applyFill="1" applyBorder="1" applyAlignment="1">
      <alignment vertical="center"/>
    </xf>
    <xf numFmtId="0" fontId="4" fillId="58" borderId="25" xfId="0" applyFont="1" applyFill="1" applyBorder="1" applyAlignment="1">
      <alignment vertical="center"/>
    </xf>
    <xf numFmtId="0" fontId="4" fillId="58" borderId="26" xfId="0" applyFont="1" applyFill="1" applyBorder="1" applyAlignment="1">
      <alignment vertical="center"/>
    </xf>
    <xf numFmtId="0" fontId="8" fillId="3" borderId="2" xfId="0" applyFont="1" applyFill="1" applyBorder="1"/>
    <xf numFmtId="0" fontId="0" fillId="0" borderId="3" xfId="0" applyBorder="1"/>
    <xf numFmtId="0" fontId="0" fillId="3" borderId="2" xfId="0" applyFill="1" applyBorder="1" applyAlignment="1">
      <alignment horizontal="center"/>
    </xf>
    <xf numFmtId="0" fontId="10" fillId="0" borderId="2" xfId="0" applyFont="1" applyBorder="1"/>
    <xf numFmtId="0" fontId="0" fillId="0" borderId="0" xfId="0" applyAlignment="1">
      <alignment horizontal="center"/>
    </xf>
    <xf numFmtId="17" fontId="14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/>
    </xf>
    <xf numFmtId="0" fontId="12" fillId="3" borderId="2" xfId="0" applyFont="1" applyFill="1" applyBorder="1"/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/>
    <xf numFmtId="165" fontId="7" fillId="3" borderId="23" xfId="0" applyNumberFormat="1" applyFont="1" applyFill="1" applyBorder="1"/>
    <xf numFmtId="0" fontId="60" fillId="0" borderId="2" xfId="0" applyFont="1" applyBorder="1"/>
    <xf numFmtId="0" fontId="61" fillId="0" borderId="2" xfId="6" applyFont="1" applyBorder="1"/>
    <xf numFmtId="14" fontId="61" fillId="0" borderId="2" xfId="0" applyNumberFormat="1" applyFont="1" applyBorder="1"/>
    <xf numFmtId="0" fontId="61" fillId="0" borderId="2" xfId="0" applyFont="1" applyBorder="1" applyAlignment="1">
      <alignment wrapText="1"/>
    </xf>
    <xf numFmtId="2" fontId="61" fillId="0" borderId="2" xfId="0" applyNumberFormat="1" applyFont="1" applyBorder="1"/>
    <xf numFmtId="1" fontId="61" fillId="0" borderId="2" xfId="0" applyNumberFormat="1" applyFont="1" applyBorder="1"/>
    <xf numFmtId="165" fontId="0" fillId="0" borderId="3" xfId="0" applyNumberFormat="1" applyBorder="1"/>
    <xf numFmtId="164" fontId="0" fillId="0" borderId="3" xfId="0" applyNumberFormat="1" applyBorder="1"/>
    <xf numFmtId="164" fontId="0" fillId="0" borderId="0" xfId="0" applyNumberFormat="1"/>
    <xf numFmtId="0" fontId="1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5" fillId="60" borderId="2" xfId="0" applyFont="1" applyFill="1" applyBorder="1" applyAlignment="1">
      <alignment horizontal="center" vertical="center"/>
    </xf>
    <xf numFmtId="0" fontId="54" fillId="60" borderId="2" xfId="0" applyFont="1" applyFill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1" fontId="57" fillId="3" borderId="2" xfId="0" applyNumberFormat="1" applyFont="1" applyFill="1" applyBorder="1" applyAlignment="1">
      <alignment horizontal="center"/>
    </xf>
    <xf numFmtId="1" fontId="56" fillId="0" borderId="2" xfId="0" applyNumberFormat="1" applyFont="1" applyBorder="1" applyAlignment="1">
      <alignment horizontal="center" vertical="center"/>
    </xf>
    <xf numFmtId="0" fontId="56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6" fillId="3" borderId="2" xfId="0" applyFont="1" applyFill="1" applyBorder="1" applyAlignment="1">
      <alignment horizontal="center"/>
    </xf>
    <xf numFmtId="1" fontId="11" fillId="3" borderId="2" xfId="0" applyNumberFormat="1" applyFon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0" fontId="59" fillId="3" borderId="2" xfId="0" applyFont="1" applyFill="1" applyBorder="1" applyAlignment="1">
      <alignment horizontal="center"/>
    </xf>
    <xf numFmtId="1" fontId="59" fillId="3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top" wrapText="1"/>
    </xf>
    <xf numFmtId="0" fontId="8" fillId="3" borderId="23" xfId="0" applyFont="1" applyFill="1" applyBorder="1" applyAlignment="1">
      <alignment horizontal="center" vertical="center"/>
    </xf>
    <xf numFmtId="165" fontId="12" fillId="3" borderId="23" xfId="9" applyNumberFormat="1" applyFont="1" applyFill="1" applyBorder="1"/>
    <xf numFmtId="164" fontId="12" fillId="3" borderId="23" xfId="9" applyNumberFormat="1" applyFont="1" applyFill="1" applyBorder="1"/>
    <xf numFmtId="165" fontId="12" fillId="3" borderId="23" xfId="0" applyNumberFormat="1" applyFont="1" applyFill="1" applyBorder="1"/>
    <xf numFmtId="0" fontId="12" fillId="3" borderId="23" xfId="0" applyFont="1" applyFill="1" applyBorder="1" applyAlignment="1">
      <alignment horizontal="center" vertical="center"/>
    </xf>
    <xf numFmtId="0" fontId="12" fillId="3" borderId="23" xfId="0" applyFont="1" applyFill="1" applyBorder="1"/>
    <xf numFmtId="0" fontId="60" fillId="3" borderId="23" xfId="0" applyFont="1" applyFill="1" applyBorder="1"/>
    <xf numFmtId="0" fontId="8" fillId="3" borderId="23" xfId="6" applyFont="1" applyFill="1" applyBorder="1" applyAlignment="1">
      <alignment horizontal="center" vertical="center" wrapText="1"/>
    </xf>
    <xf numFmtId="43" fontId="8" fillId="3" borderId="23" xfId="9" applyFont="1" applyFill="1" applyBorder="1" applyAlignment="1" applyProtection="1">
      <alignment vertical="center"/>
      <protection locked="0"/>
    </xf>
    <xf numFmtId="164" fontId="12" fillId="3" borderId="23" xfId="1" applyFont="1" applyFill="1" applyBorder="1"/>
    <xf numFmtId="169" fontId="12" fillId="3" borderId="23" xfId="0" applyNumberFormat="1" applyFont="1" applyFill="1" applyBorder="1"/>
    <xf numFmtId="1" fontId="12" fillId="3" borderId="23" xfId="0" applyNumberFormat="1" applyFont="1" applyFill="1" applyBorder="1"/>
    <xf numFmtId="0" fontId="12" fillId="3" borderId="0" xfId="0" applyFont="1" applyFill="1"/>
    <xf numFmtId="0" fontId="8" fillId="3" borderId="23" xfId="6" applyFont="1" applyFill="1" applyBorder="1" applyAlignment="1">
      <alignment horizontal="center" vertical="center"/>
    </xf>
    <xf numFmtId="164" fontId="8" fillId="3" borderId="23" xfId="1" applyFont="1" applyFill="1" applyBorder="1" applyAlignment="1">
      <alignment horizontal="left"/>
    </xf>
    <xf numFmtId="164" fontId="12" fillId="3" borderId="23" xfId="0" applyNumberFormat="1" applyFont="1" applyFill="1" applyBorder="1"/>
    <xf numFmtId="0" fontId="8" fillId="3" borderId="23" xfId="0" applyFont="1" applyFill="1" applyBorder="1" applyAlignment="1" applyProtection="1">
      <alignment horizontal="center" vertical="center"/>
      <protection locked="0"/>
    </xf>
    <xf numFmtId="10" fontId="12" fillId="3" borderId="23" xfId="0" applyNumberFormat="1" applyFont="1" applyFill="1" applyBorder="1"/>
    <xf numFmtId="2" fontId="12" fillId="3" borderId="23" xfId="0" applyNumberFormat="1" applyFont="1" applyFill="1" applyBorder="1"/>
    <xf numFmtId="176" fontId="8" fillId="3" borderId="23" xfId="9" applyNumberFormat="1" applyFont="1" applyFill="1" applyBorder="1" applyAlignment="1" applyProtection="1">
      <alignment vertical="center"/>
      <protection locked="0"/>
    </xf>
    <xf numFmtId="165" fontId="12" fillId="3" borderId="23" xfId="1" applyNumberFormat="1" applyFont="1" applyFill="1" applyBorder="1"/>
    <xf numFmtId="168" fontId="12" fillId="3" borderId="23" xfId="0" applyNumberFormat="1" applyFont="1" applyFill="1" applyBorder="1"/>
    <xf numFmtId="17" fontId="12" fillId="3" borderId="23" xfId="0" applyNumberFormat="1" applyFont="1" applyFill="1" applyBorder="1"/>
    <xf numFmtId="0" fontId="8" fillId="3" borderId="23" xfId="0" applyFont="1" applyFill="1" applyBorder="1" applyAlignment="1">
      <alignment vertical="center"/>
    </xf>
    <xf numFmtId="9" fontId="12" fillId="3" borderId="23" xfId="2" applyFont="1" applyFill="1" applyBorder="1" applyAlignment="1"/>
    <xf numFmtId="9" fontId="8" fillId="3" borderId="23" xfId="2" applyFont="1" applyFill="1" applyBorder="1" applyAlignment="1">
      <alignment vertical="center"/>
    </xf>
    <xf numFmtId="10" fontId="12" fillId="3" borderId="23" xfId="1" applyNumberFormat="1" applyFont="1" applyFill="1" applyBorder="1" applyAlignment="1"/>
    <xf numFmtId="0" fontId="60" fillId="3" borderId="23" xfId="0" applyFont="1" applyFill="1" applyBorder="1" applyAlignment="1">
      <alignment horizontal="left"/>
    </xf>
    <xf numFmtId="0" fontId="12" fillId="3" borderId="23" xfId="0" applyFont="1" applyFill="1" applyBorder="1" applyAlignment="1">
      <alignment horizontal="right"/>
    </xf>
    <xf numFmtId="0" fontId="12" fillId="3" borderId="23" xfId="0" applyFont="1" applyFill="1" applyBorder="1" applyAlignment="1">
      <alignment vertical="center"/>
    </xf>
    <xf numFmtId="9" fontId="12" fillId="3" borderId="23" xfId="0" applyNumberFormat="1" applyFont="1" applyFill="1" applyBorder="1"/>
    <xf numFmtId="164" fontId="12" fillId="3" borderId="23" xfId="5" applyFont="1" applyFill="1" applyBorder="1"/>
    <xf numFmtId="10" fontId="8" fillId="3" borderId="23" xfId="1" applyNumberFormat="1" applyFont="1" applyFill="1" applyBorder="1" applyAlignment="1"/>
    <xf numFmtId="165" fontId="8" fillId="3" borderId="23" xfId="1" applyNumberFormat="1" applyFont="1" applyFill="1" applyBorder="1"/>
    <xf numFmtId="164" fontId="8" fillId="3" borderId="23" xfId="1" applyFont="1" applyFill="1" applyBorder="1"/>
    <xf numFmtId="175" fontId="12" fillId="3" borderId="23" xfId="1" applyNumberFormat="1" applyFont="1" applyFill="1" applyBorder="1"/>
    <xf numFmtId="0" fontId="27" fillId="59" borderId="23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left"/>
    </xf>
    <xf numFmtId="0" fontId="60" fillId="3" borderId="23" xfId="0" applyFont="1" applyFill="1" applyBorder="1" applyAlignment="1">
      <alignment vertical="center" wrapText="1"/>
    </xf>
    <xf numFmtId="0" fontId="60" fillId="3" borderId="23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48" fillId="3" borderId="2" xfId="0" applyFont="1" applyFill="1" applyBorder="1"/>
    <xf numFmtId="164" fontId="56" fillId="0" borderId="2" xfId="1" applyFont="1" applyBorder="1"/>
    <xf numFmtId="0" fontId="62" fillId="61" borderId="2" xfId="0" applyFont="1" applyFill="1" applyBorder="1" applyAlignment="1">
      <alignment horizontal="center" vertical="center"/>
    </xf>
    <xf numFmtId="0" fontId="62" fillId="61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/>
    </xf>
    <xf numFmtId="2" fontId="12" fillId="0" borderId="2" xfId="0" applyNumberFormat="1" applyFont="1" applyBorder="1"/>
    <xf numFmtId="0" fontId="12" fillId="0" borderId="2" xfId="0" applyFont="1" applyBorder="1" applyAlignment="1">
      <alignment horizontal="left"/>
    </xf>
    <xf numFmtId="164" fontId="12" fillId="0" borderId="2" xfId="1" applyFont="1" applyBorder="1"/>
    <xf numFmtId="43" fontId="0" fillId="0" borderId="0" xfId="0" applyNumberFormat="1"/>
    <xf numFmtId="0" fontId="60" fillId="3" borderId="2" xfId="0" applyFont="1" applyFill="1" applyBorder="1"/>
    <xf numFmtId="0" fontId="54" fillId="0" borderId="2" xfId="0" applyFont="1" applyBorder="1"/>
    <xf numFmtId="0" fontId="14" fillId="3" borderId="2" xfId="0" applyFont="1" applyFill="1" applyBorder="1" applyAlignment="1">
      <alignment horizontal="left"/>
    </xf>
    <xf numFmtId="0" fontId="63" fillId="3" borderId="2" xfId="0" applyFont="1" applyFill="1" applyBorder="1"/>
    <xf numFmtId="17" fontId="14" fillId="3" borderId="2" xfId="0" applyNumberFormat="1" applyFont="1" applyFill="1" applyBorder="1"/>
    <xf numFmtId="0" fontId="60" fillId="3" borderId="2" xfId="0" applyFont="1" applyFill="1" applyBorder="1" applyAlignment="1">
      <alignment vertical="center" wrapText="1"/>
    </xf>
    <xf numFmtId="1" fontId="53" fillId="58" borderId="2" xfId="0" applyNumberFormat="1" applyFont="1" applyFill="1" applyBorder="1" applyAlignment="1">
      <alignment horizontal="right" vertical="center" wrapText="1"/>
    </xf>
    <xf numFmtId="0" fontId="61" fillId="0" borderId="2" xfId="0" applyFont="1" applyBorder="1"/>
    <xf numFmtId="0" fontId="61" fillId="0" borderId="2" xfId="0" applyFont="1" applyBorder="1" applyAlignment="1">
      <alignment horizontal="left"/>
    </xf>
    <xf numFmtId="0" fontId="3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164" fontId="12" fillId="0" borderId="23" xfId="0" applyNumberFormat="1" applyFont="1" applyBorder="1"/>
    <xf numFmtId="0" fontId="12" fillId="0" borderId="23" xfId="0" applyFont="1" applyBorder="1"/>
    <xf numFmtId="165" fontId="12" fillId="0" borderId="23" xfId="1" applyNumberFormat="1" applyFont="1" applyBorder="1"/>
    <xf numFmtId="165" fontId="12" fillId="0" borderId="23" xfId="0" applyNumberFormat="1" applyFont="1" applyBorder="1"/>
    <xf numFmtId="1" fontId="12" fillId="0" borderId="23" xfId="0" applyNumberFormat="1" applyFont="1" applyBorder="1"/>
    <xf numFmtId="164" fontId="12" fillId="0" borderId="23" xfId="1" applyFont="1" applyBorder="1"/>
    <xf numFmtId="0" fontId="54" fillId="58" borderId="2" xfId="3" applyFont="1" applyFill="1" applyBorder="1" applyAlignment="1">
      <alignment horizontal="center" vertical="center" wrapText="1"/>
    </xf>
    <xf numFmtId="0" fontId="54" fillId="58" borderId="2" xfId="3" applyFont="1" applyFill="1" applyBorder="1" applyAlignment="1">
      <alignment horizontal="left" vertical="center" wrapText="1"/>
    </xf>
    <xf numFmtId="167" fontId="54" fillId="58" borderId="2" xfId="3" applyNumberFormat="1" applyFont="1" applyFill="1" applyBorder="1" applyAlignment="1">
      <alignment horizontal="center" vertical="center" wrapText="1"/>
    </xf>
    <xf numFmtId="165" fontId="54" fillId="58" borderId="2" xfId="5" applyNumberFormat="1" applyFont="1" applyFill="1" applyBorder="1" applyAlignment="1">
      <alignment horizontal="center" vertical="center" wrapText="1"/>
    </xf>
    <xf numFmtId="1" fontId="54" fillId="58" borderId="2" xfId="5" applyNumberFormat="1" applyFont="1" applyFill="1" applyBorder="1" applyAlignment="1">
      <alignment horizontal="center" vertical="center" wrapText="1"/>
    </xf>
    <xf numFmtId="165" fontId="54" fillId="58" borderId="2" xfId="5" applyNumberFormat="1" applyFont="1" applyFill="1" applyBorder="1" applyAlignment="1">
      <alignment horizontal="left" vertical="center" wrapText="1"/>
    </xf>
    <xf numFmtId="0" fontId="56" fillId="0" borderId="2" xfId="0" applyFont="1" applyBorder="1" applyAlignment="1">
      <alignment horizontal="left"/>
    </xf>
    <xf numFmtId="0" fontId="12" fillId="0" borderId="2" xfId="1" applyNumberFormat="1" applyFont="1" applyBorder="1"/>
    <xf numFmtId="168" fontId="0" fillId="0" borderId="0" xfId="0" applyNumberFormat="1"/>
    <xf numFmtId="168" fontId="27" fillId="59" borderId="23" xfId="0" applyNumberFormat="1" applyFont="1" applyFill="1" applyBorder="1" applyAlignment="1">
      <alignment horizontal="center" vertical="center" wrapText="1"/>
    </xf>
    <xf numFmtId="43" fontId="12" fillId="3" borderId="0" xfId="0" applyNumberFormat="1" applyFont="1" applyFill="1"/>
    <xf numFmtId="0" fontId="56" fillId="4" borderId="2" xfId="0" applyFont="1" applyFill="1" applyBorder="1" applyAlignment="1">
      <alignment horizontal="left"/>
    </xf>
    <xf numFmtId="0" fontId="56" fillId="4" borderId="2" xfId="0" applyFont="1" applyFill="1" applyBorder="1"/>
    <xf numFmtId="0" fontId="62" fillId="61" borderId="2" xfId="0" applyFont="1" applyFill="1" applyBorder="1" applyAlignment="1">
      <alignment horizontal="left" vertical="center"/>
    </xf>
    <xf numFmtId="14" fontId="0" fillId="0" borderId="2" xfId="0" applyNumberFormat="1" applyBorder="1"/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indent="1"/>
    </xf>
    <xf numFmtId="1" fontId="12" fillId="3" borderId="23" xfId="1" applyNumberFormat="1" applyFont="1" applyFill="1" applyBorder="1"/>
    <xf numFmtId="165" fontId="12" fillId="0" borderId="2" xfId="1" applyNumberFormat="1" applyFont="1" applyBorder="1"/>
    <xf numFmtId="0" fontId="0" fillId="4" borderId="23" xfId="0" applyFill="1" applyBorder="1" applyAlignment="1">
      <alignment vertical="center"/>
    </xf>
    <xf numFmtId="165" fontId="12" fillId="3" borderId="23" xfId="1" applyNumberFormat="1" applyFont="1" applyFill="1" applyBorder="1" applyAlignment="1"/>
    <xf numFmtId="0" fontId="12" fillId="0" borderId="2" xfId="0" applyFont="1" applyBorder="1" applyAlignment="1">
      <alignment wrapText="1"/>
    </xf>
    <xf numFmtId="2" fontId="12" fillId="0" borderId="2" xfId="0" applyNumberFormat="1" applyFont="1" applyBorder="1" applyAlignment="1">
      <alignment horizontal="left"/>
    </xf>
    <xf numFmtId="0" fontId="60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top" wrapText="1"/>
    </xf>
    <xf numFmtId="0" fontId="12" fillId="3" borderId="2" xfId="1" applyNumberFormat="1" applyFont="1" applyFill="1" applyBorder="1"/>
    <xf numFmtId="1" fontId="8" fillId="3" borderId="2" xfId="0" applyNumberFormat="1" applyFont="1" applyFill="1" applyBorder="1" applyAlignment="1">
      <alignment horizontal="left"/>
    </xf>
    <xf numFmtId="0" fontId="12" fillId="0" borderId="2" xfId="0" applyFont="1" applyBorder="1" applyAlignment="1">
      <alignment horizontal="left" indent="1"/>
    </xf>
    <xf numFmtId="1" fontId="0" fillId="0" borderId="2" xfId="0" applyNumberFormat="1" applyBorder="1"/>
    <xf numFmtId="0" fontId="8" fillId="0" borderId="2" xfId="0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top" wrapText="1"/>
    </xf>
    <xf numFmtId="0" fontId="66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wrapText="1"/>
    </xf>
    <xf numFmtId="0" fontId="66" fillId="3" borderId="2" xfId="0" applyFont="1" applyFill="1" applyBorder="1"/>
    <xf numFmtId="0" fontId="66" fillId="3" borderId="2" xfId="0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3" xfId="0" applyFont="1" applyBorder="1"/>
    <xf numFmtId="164" fontId="12" fillId="0" borderId="3" xfId="1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64" fontId="12" fillId="0" borderId="30" xfId="1" applyFont="1" applyBorder="1"/>
    <xf numFmtId="0" fontId="8" fillId="0" borderId="30" xfId="0" applyFont="1" applyBorder="1" applyAlignment="1">
      <alignment horizontal="left" vertical="top" wrapText="1"/>
    </xf>
    <xf numFmtId="165" fontId="0" fillId="0" borderId="2" xfId="1" applyNumberFormat="1" applyFont="1" applyBorder="1"/>
    <xf numFmtId="2" fontId="0" fillId="0" borderId="2" xfId="0" applyNumberFormat="1" applyBorder="1"/>
    <xf numFmtId="165" fontId="12" fillId="4" borderId="23" xfId="1" applyNumberFormat="1" applyFont="1" applyFill="1" applyBorder="1"/>
    <xf numFmtId="0" fontId="52" fillId="58" borderId="2" xfId="0" applyFont="1" applyFill="1" applyBorder="1" applyAlignment="1">
      <alignment horizontal="center" vertical="center" wrapText="1"/>
    </xf>
    <xf numFmtId="164" fontId="52" fillId="58" borderId="2" xfId="1" applyFont="1" applyFill="1" applyBorder="1" applyAlignment="1">
      <alignment horizontal="center" vertical="center" wrapText="1"/>
    </xf>
    <xf numFmtId="1" fontId="52" fillId="58" borderId="2" xfId="0" applyNumberFormat="1" applyFont="1" applyFill="1" applyBorder="1" applyAlignment="1">
      <alignment horizontal="center" vertical="center" wrapText="1"/>
    </xf>
    <xf numFmtId="0" fontId="4" fillId="58" borderId="27" xfId="0" applyFont="1" applyFill="1" applyBorder="1" applyAlignment="1">
      <alignment horizontal="center" vertical="center"/>
    </xf>
    <xf numFmtId="0" fontId="4" fillId="58" borderId="28" xfId="0" applyFont="1" applyFill="1" applyBorder="1" applyAlignment="1">
      <alignment horizontal="center" vertical="center"/>
    </xf>
    <xf numFmtId="0" fontId="4" fillId="58" borderId="29" xfId="0" applyFont="1" applyFill="1" applyBorder="1" applyAlignment="1">
      <alignment horizontal="center" vertical="center"/>
    </xf>
  </cellXfs>
  <cellStyles count="1130">
    <cellStyle name="20% - Accent1" xfId="27" builtinId="30" customBuiltin="1"/>
    <cellStyle name="20% - Accent1 2" xfId="50" xr:uid="{00000000-0005-0000-0000-000001000000}"/>
    <cellStyle name="20% - Accent1 2 2" xfId="51" xr:uid="{00000000-0005-0000-0000-000002000000}"/>
    <cellStyle name="20% - Accent2" xfId="31" builtinId="34" customBuiltin="1"/>
    <cellStyle name="20% - Accent2 2" xfId="52" xr:uid="{00000000-0005-0000-0000-000004000000}"/>
    <cellStyle name="20% - Accent2 2 2" xfId="53" xr:uid="{00000000-0005-0000-0000-000005000000}"/>
    <cellStyle name="20% - Accent3" xfId="35" builtinId="38" customBuiltin="1"/>
    <cellStyle name="20% - Accent3 2" xfId="54" xr:uid="{00000000-0005-0000-0000-000007000000}"/>
    <cellStyle name="20% - Accent3 2 2" xfId="55" xr:uid="{00000000-0005-0000-0000-000008000000}"/>
    <cellStyle name="20% - Accent4" xfId="39" builtinId="42" customBuiltin="1"/>
    <cellStyle name="20% - Accent4 2" xfId="56" xr:uid="{00000000-0005-0000-0000-00000A000000}"/>
    <cellStyle name="20% - Accent4 2 2" xfId="57" xr:uid="{00000000-0005-0000-0000-00000B000000}"/>
    <cellStyle name="20% - Accent5" xfId="43" builtinId="46" customBuiltin="1"/>
    <cellStyle name="20% - Accent5 2" xfId="58" xr:uid="{00000000-0005-0000-0000-00000D000000}"/>
    <cellStyle name="20% - Accent5 2 2" xfId="59" xr:uid="{00000000-0005-0000-0000-00000E000000}"/>
    <cellStyle name="20% - Accent6" xfId="47" builtinId="50" customBuiltin="1"/>
    <cellStyle name="20% - Accent6 2" xfId="60" xr:uid="{00000000-0005-0000-0000-000010000000}"/>
    <cellStyle name="20% - Accent6 2 2" xfId="61" xr:uid="{00000000-0005-0000-0000-000011000000}"/>
    <cellStyle name="40% - Accent1" xfId="28" builtinId="31" customBuiltin="1"/>
    <cellStyle name="40% - Accent1 2" xfId="62" xr:uid="{00000000-0005-0000-0000-000013000000}"/>
    <cellStyle name="40% - Accent1 2 2" xfId="63" xr:uid="{00000000-0005-0000-0000-000014000000}"/>
    <cellStyle name="40% - Accent2" xfId="32" builtinId="35" customBuiltin="1"/>
    <cellStyle name="40% - Accent2 2" xfId="64" xr:uid="{00000000-0005-0000-0000-000016000000}"/>
    <cellStyle name="40% - Accent2 2 2" xfId="65" xr:uid="{00000000-0005-0000-0000-000017000000}"/>
    <cellStyle name="40% - Accent3" xfId="36" builtinId="39" customBuiltin="1"/>
    <cellStyle name="40% - Accent3 2" xfId="66" xr:uid="{00000000-0005-0000-0000-000019000000}"/>
    <cellStyle name="40% - Accent3 2 2" xfId="67" xr:uid="{00000000-0005-0000-0000-00001A000000}"/>
    <cellStyle name="40% - Accent4" xfId="40" builtinId="43" customBuiltin="1"/>
    <cellStyle name="40% - Accent4 2" xfId="68" xr:uid="{00000000-0005-0000-0000-00001C000000}"/>
    <cellStyle name="40% - Accent4 2 2" xfId="69" xr:uid="{00000000-0005-0000-0000-00001D000000}"/>
    <cellStyle name="40% - Accent5" xfId="44" builtinId="47" customBuiltin="1"/>
    <cellStyle name="40% - Accent5 2" xfId="70" xr:uid="{00000000-0005-0000-0000-00001F000000}"/>
    <cellStyle name="40% - Accent5 2 2" xfId="71" xr:uid="{00000000-0005-0000-0000-000020000000}"/>
    <cellStyle name="40% - Accent6" xfId="48" builtinId="51" customBuiltin="1"/>
    <cellStyle name="40% - Accent6 2" xfId="72" xr:uid="{00000000-0005-0000-0000-000022000000}"/>
    <cellStyle name="40% - Accent6 2 2" xfId="73" xr:uid="{00000000-0005-0000-0000-000023000000}"/>
    <cellStyle name="60% - Accent1" xfId="29" builtinId="32" customBuiltin="1"/>
    <cellStyle name="60% - Accent1 2" xfId="74" xr:uid="{00000000-0005-0000-0000-000025000000}"/>
    <cellStyle name="60% - Accent2" xfId="33" builtinId="36" customBuiltin="1"/>
    <cellStyle name="60% - Accent2 2" xfId="75" xr:uid="{00000000-0005-0000-0000-000027000000}"/>
    <cellStyle name="60% - Accent3" xfId="37" builtinId="40" customBuiltin="1"/>
    <cellStyle name="60% - Accent3 2" xfId="76" xr:uid="{00000000-0005-0000-0000-000029000000}"/>
    <cellStyle name="60% - Accent4" xfId="41" builtinId="44" customBuiltin="1"/>
    <cellStyle name="60% - Accent4 2" xfId="77" xr:uid="{00000000-0005-0000-0000-00002B000000}"/>
    <cellStyle name="60% - Accent5" xfId="45" builtinId="48" customBuiltin="1"/>
    <cellStyle name="60% - Accent5 2" xfId="78" xr:uid="{00000000-0005-0000-0000-00002D000000}"/>
    <cellStyle name="60% - Accent6" xfId="49" builtinId="52" customBuiltin="1"/>
    <cellStyle name="60% - Accent6 2" xfId="79" xr:uid="{00000000-0005-0000-0000-00002F000000}"/>
    <cellStyle name="Accent1" xfId="26" builtinId="29" customBuiltin="1"/>
    <cellStyle name="Accent1 2" xfId="80" xr:uid="{00000000-0005-0000-0000-000031000000}"/>
    <cellStyle name="Accent2" xfId="30" builtinId="33" customBuiltin="1"/>
    <cellStyle name="Accent2 2" xfId="81" xr:uid="{00000000-0005-0000-0000-000033000000}"/>
    <cellStyle name="Accent3" xfId="34" builtinId="37" customBuiltin="1"/>
    <cellStyle name="Accent3 2" xfId="82" xr:uid="{00000000-0005-0000-0000-000035000000}"/>
    <cellStyle name="Accent4" xfId="38" builtinId="41" customBuiltin="1"/>
    <cellStyle name="Accent4 2" xfId="83" xr:uid="{00000000-0005-0000-0000-000037000000}"/>
    <cellStyle name="Accent5" xfId="42" builtinId="45" customBuiltin="1"/>
    <cellStyle name="Accent5 2" xfId="84" xr:uid="{00000000-0005-0000-0000-000039000000}"/>
    <cellStyle name="Accent6" xfId="46" builtinId="49" customBuiltin="1"/>
    <cellStyle name="Accent6 2" xfId="85" xr:uid="{00000000-0005-0000-0000-00003B000000}"/>
    <cellStyle name="Bad" xfId="15" builtinId="27" customBuiltin="1"/>
    <cellStyle name="Bad 2" xfId="86" xr:uid="{00000000-0005-0000-0000-00003D000000}"/>
    <cellStyle name="Calculation" xfId="19" builtinId="22" customBuiltin="1"/>
    <cellStyle name="Calculation 2" xfId="87" xr:uid="{00000000-0005-0000-0000-00003F000000}"/>
    <cellStyle name="Calculation 2 2" xfId="117" xr:uid="{00000000-0005-0000-0000-000040000000}"/>
    <cellStyle name="Calculation 2 2 2" xfId="118" xr:uid="{00000000-0005-0000-0000-000041000000}"/>
    <cellStyle name="Calculation 2 2 3" xfId="119" xr:uid="{00000000-0005-0000-0000-000042000000}"/>
    <cellStyle name="Calculation 2 2 4" xfId="120" xr:uid="{00000000-0005-0000-0000-000043000000}"/>
    <cellStyle name="Calculation 2 2 5" xfId="121" xr:uid="{00000000-0005-0000-0000-000044000000}"/>
    <cellStyle name="Calculation 2 3" xfId="122" xr:uid="{00000000-0005-0000-0000-000045000000}"/>
    <cellStyle name="Calculation 2 3 2" xfId="123" xr:uid="{00000000-0005-0000-0000-000046000000}"/>
    <cellStyle name="Calculation 2 3 3" xfId="124" xr:uid="{00000000-0005-0000-0000-000047000000}"/>
    <cellStyle name="Calculation 2 3 4" xfId="125" xr:uid="{00000000-0005-0000-0000-000048000000}"/>
    <cellStyle name="Calculation 2 3 5" xfId="126" xr:uid="{00000000-0005-0000-0000-000049000000}"/>
    <cellStyle name="Calculation 2 4" xfId="127" xr:uid="{00000000-0005-0000-0000-00004A000000}"/>
    <cellStyle name="Calculation 2 4 2" xfId="128" xr:uid="{00000000-0005-0000-0000-00004B000000}"/>
    <cellStyle name="Calculation 2 4 3" xfId="129" xr:uid="{00000000-0005-0000-0000-00004C000000}"/>
    <cellStyle name="Calculation 2 4 4" xfId="130" xr:uid="{00000000-0005-0000-0000-00004D000000}"/>
    <cellStyle name="Calculation 2 4 5" xfId="131" xr:uid="{00000000-0005-0000-0000-00004E000000}"/>
    <cellStyle name="Calculation 2 5" xfId="132" xr:uid="{00000000-0005-0000-0000-00004F000000}"/>
    <cellStyle name="Calculation 2 5 2" xfId="133" xr:uid="{00000000-0005-0000-0000-000050000000}"/>
    <cellStyle name="Calculation 2 5 3" xfId="134" xr:uid="{00000000-0005-0000-0000-000051000000}"/>
    <cellStyle name="Calculation 2 5 4" xfId="135" xr:uid="{00000000-0005-0000-0000-000052000000}"/>
    <cellStyle name="Calculation 2 6" xfId="136" xr:uid="{00000000-0005-0000-0000-000053000000}"/>
    <cellStyle name="Calculation 2 7" xfId="137" xr:uid="{00000000-0005-0000-0000-000054000000}"/>
    <cellStyle name="Check Cell" xfId="21" builtinId="23" customBuiltin="1"/>
    <cellStyle name="Check Cell 2" xfId="88" xr:uid="{00000000-0005-0000-0000-000056000000}"/>
    <cellStyle name="Comma" xfId="1" builtinId="3"/>
    <cellStyle name="Comma 10" xfId="9" xr:uid="{00000000-0005-0000-0000-000058000000}"/>
    <cellStyle name="Comma 10 2" xfId="858" xr:uid="{00000000-0005-0000-0000-000059000000}"/>
    <cellStyle name="Comma 10 2 2" xfId="1040" xr:uid="{00000000-0005-0000-0000-00005A000000}"/>
    <cellStyle name="Comma 10 3" xfId="949" xr:uid="{00000000-0005-0000-0000-00005B000000}"/>
    <cellStyle name="Comma 2" xfId="5" xr:uid="{00000000-0005-0000-0000-00005C000000}"/>
    <cellStyle name="Comma 2 10" xfId="140" xr:uid="{00000000-0005-0000-0000-00005D000000}"/>
    <cellStyle name="Comma 2 10 2" xfId="862" xr:uid="{00000000-0005-0000-0000-00005E000000}"/>
    <cellStyle name="Comma 2 10 2 2" xfId="1044" xr:uid="{00000000-0005-0000-0000-00005F000000}"/>
    <cellStyle name="Comma 2 10 3" xfId="953" xr:uid="{00000000-0005-0000-0000-000060000000}"/>
    <cellStyle name="Comma 2 11" xfId="141" xr:uid="{00000000-0005-0000-0000-000061000000}"/>
    <cellStyle name="Comma 2 11 2" xfId="863" xr:uid="{00000000-0005-0000-0000-000062000000}"/>
    <cellStyle name="Comma 2 11 2 2" xfId="1045" xr:uid="{00000000-0005-0000-0000-000063000000}"/>
    <cellStyle name="Comma 2 11 3" xfId="954" xr:uid="{00000000-0005-0000-0000-000064000000}"/>
    <cellStyle name="Comma 2 12" xfId="142" xr:uid="{00000000-0005-0000-0000-000065000000}"/>
    <cellStyle name="Comma 2 12 2" xfId="864" xr:uid="{00000000-0005-0000-0000-000066000000}"/>
    <cellStyle name="Comma 2 12 2 2" xfId="1046" xr:uid="{00000000-0005-0000-0000-000067000000}"/>
    <cellStyle name="Comma 2 12 3" xfId="955" xr:uid="{00000000-0005-0000-0000-000068000000}"/>
    <cellStyle name="Comma 2 13" xfId="143" xr:uid="{00000000-0005-0000-0000-000069000000}"/>
    <cellStyle name="Comma 2 13 2" xfId="865" xr:uid="{00000000-0005-0000-0000-00006A000000}"/>
    <cellStyle name="Comma 2 13 2 2" xfId="1047" xr:uid="{00000000-0005-0000-0000-00006B000000}"/>
    <cellStyle name="Comma 2 13 3" xfId="956" xr:uid="{00000000-0005-0000-0000-00006C000000}"/>
    <cellStyle name="Comma 2 14" xfId="144" xr:uid="{00000000-0005-0000-0000-00006D000000}"/>
    <cellStyle name="Comma 2 14 2" xfId="866" xr:uid="{00000000-0005-0000-0000-00006E000000}"/>
    <cellStyle name="Comma 2 14 2 2" xfId="1048" xr:uid="{00000000-0005-0000-0000-00006F000000}"/>
    <cellStyle name="Comma 2 14 3" xfId="957" xr:uid="{00000000-0005-0000-0000-000070000000}"/>
    <cellStyle name="Comma 2 15" xfId="145" xr:uid="{00000000-0005-0000-0000-000071000000}"/>
    <cellStyle name="Comma 2 15 2" xfId="867" xr:uid="{00000000-0005-0000-0000-000072000000}"/>
    <cellStyle name="Comma 2 15 2 2" xfId="1049" xr:uid="{00000000-0005-0000-0000-000073000000}"/>
    <cellStyle name="Comma 2 15 3" xfId="958" xr:uid="{00000000-0005-0000-0000-000074000000}"/>
    <cellStyle name="Comma 2 16" xfId="146" xr:uid="{00000000-0005-0000-0000-000075000000}"/>
    <cellStyle name="Comma 2 16 2" xfId="868" xr:uid="{00000000-0005-0000-0000-000076000000}"/>
    <cellStyle name="Comma 2 16 2 2" xfId="1050" xr:uid="{00000000-0005-0000-0000-000077000000}"/>
    <cellStyle name="Comma 2 16 3" xfId="959" xr:uid="{00000000-0005-0000-0000-000078000000}"/>
    <cellStyle name="Comma 2 17" xfId="147" xr:uid="{00000000-0005-0000-0000-000079000000}"/>
    <cellStyle name="Comma 2 17 2" xfId="869" xr:uid="{00000000-0005-0000-0000-00007A000000}"/>
    <cellStyle name="Comma 2 17 2 2" xfId="1051" xr:uid="{00000000-0005-0000-0000-00007B000000}"/>
    <cellStyle name="Comma 2 17 3" xfId="960" xr:uid="{00000000-0005-0000-0000-00007C000000}"/>
    <cellStyle name="Comma 2 18" xfId="148" xr:uid="{00000000-0005-0000-0000-00007D000000}"/>
    <cellStyle name="Comma 2 19" xfId="848" xr:uid="{00000000-0005-0000-0000-00007E000000}"/>
    <cellStyle name="Comma 2 2" xfId="149" xr:uid="{00000000-0005-0000-0000-00007F000000}"/>
    <cellStyle name="Comma 2 2 2" xfId="150" xr:uid="{00000000-0005-0000-0000-000080000000}"/>
    <cellStyle name="Comma 2 2 2 2" xfId="151" xr:uid="{00000000-0005-0000-0000-000081000000}"/>
    <cellStyle name="Comma 2 2 2 2 2" xfId="152" xr:uid="{00000000-0005-0000-0000-000082000000}"/>
    <cellStyle name="Comma 2 2 2 2 2 2" xfId="153" xr:uid="{00000000-0005-0000-0000-000083000000}"/>
    <cellStyle name="Comma 2 2 2 2 3" xfId="154" xr:uid="{00000000-0005-0000-0000-000084000000}"/>
    <cellStyle name="Comma 2 2 2 2 3 2" xfId="155" xr:uid="{00000000-0005-0000-0000-000085000000}"/>
    <cellStyle name="Comma 2 2 2 2 4" xfId="156" xr:uid="{00000000-0005-0000-0000-000086000000}"/>
    <cellStyle name="Comma 2 2 2 2 4 2" xfId="157" xr:uid="{00000000-0005-0000-0000-000087000000}"/>
    <cellStyle name="Comma 2 2 2 2 5" xfId="158" xr:uid="{00000000-0005-0000-0000-000088000000}"/>
    <cellStyle name="Comma 2 2 2 2 5 2" xfId="159" xr:uid="{00000000-0005-0000-0000-000089000000}"/>
    <cellStyle name="Comma 2 2 2 2 6" xfId="160" xr:uid="{00000000-0005-0000-0000-00008A000000}"/>
    <cellStyle name="Comma 2 2 2 2 6 2" xfId="161" xr:uid="{00000000-0005-0000-0000-00008B000000}"/>
    <cellStyle name="Comma 2 2 2 2 7" xfId="162" xr:uid="{00000000-0005-0000-0000-00008C000000}"/>
    <cellStyle name="Comma 2 2 2 2 7 2" xfId="163" xr:uid="{00000000-0005-0000-0000-00008D000000}"/>
    <cellStyle name="Comma 2 2 2 2 8" xfId="164" xr:uid="{00000000-0005-0000-0000-00008E000000}"/>
    <cellStyle name="Comma 2 2 2 3" xfId="165" xr:uid="{00000000-0005-0000-0000-00008F000000}"/>
    <cellStyle name="Comma 2 2 2 3 2" xfId="166" xr:uid="{00000000-0005-0000-0000-000090000000}"/>
    <cellStyle name="Comma 2 2 2 4" xfId="167" xr:uid="{00000000-0005-0000-0000-000091000000}"/>
    <cellStyle name="Comma 2 2 2 4 2" xfId="168" xr:uid="{00000000-0005-0000-0000-000092000000}"/>
    <cellStyle name="Comma 2 2 2 5" xfId="169" xr:uid="{00000000-0005-0000-0000-000093000000}"/>
    <cellStyle name="Comma 2 2 2 5 2" xfId="170" xr:uid="{00000000-0005-0000-0000-000094000000}"/>
    <cellStyle name="Comma 2 2 2 6" xfId="171" xr:uid="{00000000-0005-0000-0000-000095000000}"/>
    <cellStyle name="Comma 2 2 2 6 2" xfId="172" xr:uid="{00000000-0005-0000-0000-000096000000}"/>
    <cellStyle name="Comma 2 2 2 7" xfId="173" xr:uid="{00000000-0005-0000-0000-000097000000}"/>
    <cellStyle name="Comma 2 2 2 7 2" xfId="174" xr:uid="{00000000-0005-0000-0000-000098000000}"/>
    <cellStyle name="Comma 2 2 2 8" xfId="175" xr:uid="{00000000-0005-0000-0000-000099000000}"/>
    <cellStyle name="Comma 2 2 2 8 2" xfId="176" xr:uid="{00000000-0005-0000-0000-00009A000000}"/>
    <cellStyle name="Comma 2 2 2 9" xfId="177" xr:uid="{00000000-0005-0000-0000-00009B000000}"/>
    <cellStyle name="Comma 2 2 3" xfId="178" xr:uid="{00000000-0005-0000-0000-00009C000000}"/>
    <cellStyle name="Comma 2 2 3 2" xfId="179" xr:uid="{00000000-0005-0000-0000-00009D000000}"/>
    <cellStyle name="Comma 2 2 3 2 2" xfId="180" xr:uid="{00000000-0005-0000-0000-00009E000000}"/>
    <cellStyle name="Comma 2 2 3 3" xfId="181" xr:uid="{00000000-0005-0000-0000-00009F000000}"/>
    <cellStyle name="Comma 2 2 3 3 2" xfId="182" xr:uid="{00000000-0005-0000-0000-0000A0000000}"/>
    <cellStyle name="Comma 2 2 3 4" xfId="183" xr:uid="{00000000-0005-0000-0000-0000A1000000}"/>
    <cellStyle name="Comma 2 2 3 4 2" xfId="184" xr:uid="{00000000-0005-0000-0000-0000A2000000}"/>
    <cellStyle name="Comma 2 2 3 5" xfId="185" xr:uid="{00000000-0005-0000-0000-0000A3000000}"/>
    <cellStyle name="Comma 2 2 3 5 2" xfId="186" xr:uid="{00000000-0005-0000-0000-0000A4000000}"/>
    <cellStyle name="Comma 2 2 3 6" xfId="187" xr:uid="{00000000-0005-0000-0000-0000A5000000}"/>
    <cellStyle name="Comma 2 2 3 6 2" xfId="188" xr:uid="{00000000-0005-0000-0000-0000A6000000}"/>
    <cellStyle name="Comma 2 2 3 7" xfId="189" xr:uid="{00000000-0005-0000-0000-0000A7000000}"/>
    <cellStyle name="Comma 2 2 3 7 2" xfId="190" xr:uid="{00000000-0005-0000-0000-0000A8000000}"/>
    <cellStyle name="Comma 2 2 3 8" xfId="191" xr:uid="{00000000-0005-0000-0000-0000A9000000}"/>
    <cellStyle name="Comma 2 2 4" xfId="192" xr:uid="{00000000-0005-0000-0000-0000AA000000}"/>
    <cellStyle name="Comma 2 2 4 10" xfId="871" xr:uid="{00000000-0005-0000-0000-0000AB000000}"/>
    <cellStyle name="Comma 2 2 4 10 2" xfId="1053" xr:uid="{00000000-0005-0000-0000-0000AC000000}"/>
    <cellStyle name="Comma 2 2 4 11" xfId="962" xr:uid="{00000000-0005-0000-0000-0000AD000000}"/>
    <cellStyle name="Comma 2 2 4 2" xfId="193" xr:uid="{00000000-0005-0000-0000-0000AE000000}"/>
    <cellStyle name="Comma 2 2 4 2 10" xfId="963" xr:uid="{00000000-0005-0000-0000-0000AF000000}"/>
    <cellStyle name="Comma 2 2 4 2 2" xfId="194" xr:uid="{00000000-0005-0000-0000-0000B0000000}"/>
    <cellStyle name="Comma 2 2 4 2 2 2" xfId="195" xr:uid="{00000000-0005-0000-0000-0000B1000000}"/>
    <cellStyle name="Comma 2 2 4 2 2 2 2" xfId="874" xr:uid="{00000000-0005-0000-0000-0000B2000000}"/>
    <cellStyle name="Comma 2 2 4 2 2 2 2 2" xfId="1056" xr:uid="{00000000-0005-0000-0000-0000B3000000}"/>
    <cellStyle name="Comma 2 2 4 2 2 2 3" xfId="965" xr:uid="{00000000-0005-0000-0000-0000B4000000}"/>
    <cellStyle name="Comma 2 2 4 2 2 3" xfId="873" xr:uid="{00000000-0005-0000-0000-0000B5000000}"/>
    <cellStyle name="Comma 2 2 4 2 2 3 2" xfId="1055" xr:uid="{00000000-0005-0000-0000-0000B6000000}"/>
    <cellStyle name="Comma 2 2 4 2 2 4" xfId="964" xr:uid="{00000000-0005-0000-0000-0000B7000000}"/>
    <cellStyle name="Comma 2 2 4 2 3" xfId="196" xr:uid="{00000000-0005-0000-0000-0000B8000000}"/>
    <cellStyle name="Comma 2 2 4 2 3 2" xfId="197" xr:uid="{00000000-0005-0000-0000-0000B9000000}"/>
    <cellStyle name="Comma 2 2 4 2 3 2 2" xfId="876" xr:uid="{00000000-0005-0000-0000-0000BA000000}"/>
    <cellStyle name="Comma 2 2 4 2 3 2 2 2" xfId="1058" xr:uid="{00000000-0005-0000-0000-0000BB000000}"/>
    <cellStyle name="Comma 2 2 4 2 3 2 3" xfId="967" xr:uid="{00000000-0005-0000-0000-0000BC000000}"/>
    <cellStyle name="Comma 2 2 4 2 3 3" xfId="875" xr:uid="{00000000-0005-0000-0000-0000BD000000}"/>
    <cellStyle name="Comma 2 2 4 2 3 3 2" xfId="1057" xr:uid="{00000000-0005-0000-0000-0000BE000000}"/>
    <cellStyle name="Comma 2 2 4 2 3 4" xfId="966" xr:uid="{00000000-0005-0000-0000-0000BF000000}"/>
    <cellStyle name="Comma 2 2 4 2 4" xfId="198" xr:uid="{00000000-0005-0000-0000-0000C0000000}"/>
    <cellStyle name="Comma 2 2 4 2 4 2" xfId="199" xr:uid="{00000000-0005-0000-0000-0000C1000000}"/>
    <cellStyle name="Comma 2 2 4 2 4 2 2" xfId="878" xr:uid="{00000000-0005-0000-0000-0000C2000000}"/>
    <cellStyle name="Comma 2 2 4 2 4 2 2 2" xfId="1060" xr:uid="{00000000-0005-0000-0000-0000C3000000}"/>
    <cellStyle name="Comma 2 2 4 2 4 2 3" xfId="969" xr:uid="{00000000-0005-0000-0000-0000C4000000}"/>
    <cellStyle name="Comma 2 2 4 2 4 3" xfId="877" xr:uid="{00000000-0005-0000-0000-0000C5000000}"/>
    <cellStyle name="Comma 2 2 4 2 4 3 2" xfId="1059" xr:uid="{00000000-0005-0000-0000-0000C6000000}"/>
    <cellStyle name="Comma 2 2 4 2 4 4" xfId="968" xr:uid="{00000000-0005-0000-0000-0000C7000000}"/>
    <cellStyle name="Comma 2 2 4 2 5" xfId="200" xr:uid="{00000000-0005-0000-0000-0000C8000000}"/>
    <cellStyle name="Comma 2 2 4 2 5 2" xfId="201" xr:uid="{00000000-0005-0000-0000-0000C9000000}"/>
    <cellStyle name="Comma 2 2 4 2 5 2 2" xfId="880" xr:uid="{00000000-0005-0000-0000-0000CA000000}"/>
    <cellStyle name="Comma 2 2 4 2 5 2 2 2" xfId="1062" xr:uid="{00000000-0005-0000-0000-0000CB000000}"/>
    <cellStyle name="Comma 2 2 4 2 5 2 3" xfId="971" xr:uid="{00000000-0005-0000-0000-0000CC000000}"/>
    <cellStyle name="Comma 2 2 4 2 5 3" xfId="879" xr:uid="{00000000-0005-0000-0000-0000CD000000}"/>
    <cellStyle name="Comma 2 2 4 2 5 3 2" xfId="1061" xr:uid="{00000000-0005-0000-0000-0000CE000000}"/>
    <cellStyle name="Comma 2 2 4 2 5 4" xfId="970" xr:uid="{00000000-0005-0000-0000-0000CF000000}"/>
    <cellStyle name="Comma 2 2 4 2 6" xfId="202" xr:uid="{00000000-0005-0000-0000-0000D0000000}"/>
    <cellStyle name="Comma 2 2 4 2 6 2" xfId="203" xr:uid="{00000000-0005-0000-0000-0000D1000000}"/>
    <cellStyle name="Comma 2 2 4 2 6 2 2" xfId="882" xr:uid="{00000000-0005-0000-0000-0000D2000000}"/>
    <cellStyle name="Comma 2 2 4 2 6 2 2 2" xfId="1064" xr:uid="{00000000-0005-0000-0000-0000D3000000}"/>
    <cellStyle name="Comma 2 2 4 2 6 2 3" xfId="973" xr:uid="{00000000-0005-0000-0000-0000D4000000}"/>
    <cellStyle name="Comma 2 2 4 2 6 3" xfId="881" xr:uid="{00000000-0005-0000-0000-0000D5000000}"/>
    <cellStyle name="Comma 2 2 4 2 6 3 2" xfId="1063" xr:uid="{00000000-0005-0000-0000-0000D6000000}"/>
    <cellStyle name="Comma 2 2 4 2 6 4" xfId="972" xr:uid="{00000000-0005-0000-0000-0000D7000000}"/>
    <cellStyle name="Comma 2 2 4 2 7" xfId="204" xr:uid="{00000000-0005-0000-0000-0000D8000000}"/>
    <cellStyle name="Comma 2 2 4 2 7 2" xfId="205" xr:uid="{00000000-0005-0000-0000-0000D9000000}"/>
    <cellStyle name="Comma 2 2 4 2 7 2 2" xfId="884" xr:uid="{00000000-0005-0000-0000-0000DA000000}"/>
    <cellStyle name="Comma 2 2 4 2 7 2 2 2" xfId="1066" xr:uid="{00000000-0005-0000-0000-0000DB000000}"/>
    <cellStyle name="Comma 2 2 4 2 7 2 3" xfId="975" xr:uid="{00000000-0005-0000-0000-0000DC000000}"/>
    <cellStyle name="Comma 2 2 4 2 7 3" xfId="883" xr:uid="{00000000-0005-0000-0000-0000DD000000}"/>
    <cellStyle name="Comma 2 2 4 2 7 3 2" xfId="1065" xr:uid="{00000000-0005-0000-0000-0000DE000000}"/>
    <cellStyle name="Comma 2 2 4 2 7 4" xfId="974" xr:uid="{00000000-0005-0000-0000-0000DF000000}"/>
    <cellStyle name="Comma 2 2 4 2 8" xfId="206" xr:uid="{00000000-0005-0000-0000-0000E0000000}"/>
    <cellStyle name="Comma 2 2 4 2 8 2" xfId="885" xr:uid="{00000000-0005-0000-0000-0000E1000000}"/>
    <cellStyle name="Comma 2 2 4 2 8 2 2" xfId="1067" xr:uid="{00000000-0005-0000-0000-0000E2000000}"/>
    <cellStyle name="Comma 2 2 4 2 8 3" xfId="976" xr:uid="{00000000-0005-0000-0000-0000E3000000}"/>
    <cellStyle name="Comma 2 2 4 2 9" xfId="872" xr:uid="{00000000-0005-0000-0000-0000E4000000}"/>
    <cellStyle name="Comma 2 2 4 2 9 2" xfId="1054" xr:uid="{00000000-0005-0000-0000-0000E5000000}"/>
    <cellStyle name="Comma 2 2 4 3" xfId="207" xr:uid="{00000000-0005-0000-0000-0000E6000000}"/>
    <cellStyle name="Comma 2 2 4 3 2" xfId="208" xr:uid="{00000000-0005-0000-0000-0000E7000000}"/>
    <cellStyle name="Comma 2 2 4 3 2 2" xfId="887" xr:uid="{00000000-0005-0000-0000-0000E8000000}"/>
    <cellStyle name="Comma 2 2 4 3 2 2 2" xfId="1069" xr:uid="{00000000-0005-0000-0000-0000E9000000}"/>
    <cellStyle name="Comma 2 2 4 3 2 3" xfId="978" xr:uid="{00000000-0005-0000-0000-0000EA000000}"/>
    <cellStyle name="Comma 2 2 4 3 3" xfId="886" xr:uid="{00000000-0005-0000-0000-0000EB000000}"/>
    <cellStyle name="Comma 2 2 4 3 3 2" xfId="1068" xr:uid="{00000000-0005-0000-0000-0000EC000000}"/>
    <cellStyle name="Comma 2 2 4 3 4" xfId="977" xr:uid="{00000000-0005-0000-0000-0000ED000000}"/>
    <cellStyle name="Comma 2 2 4 4" xfId="209" xr:uid="{00000000-0005-0000-0000-0000EE000000}"/>
    <cellStyle name="Comma 2 2 4 4 2" xfId="210" xr:uid="{00000000-0005-0000-0000-0000EF000000}"/>
    <cellStyle name="Comma 2 2 4 4 2 2" xfId="889" xr:uid="{00000000-0005-0000-0000-0000F0000000}"/>
    <cellStyle name="Comma 2 2 4 4 2 2 2" xfId="1071" xr:uid="{00000000-0005-0000-0000-0000F1000000}"/>
    <cellStyle name="Comma 2 2 4 4 2 3" xfId="980" xr:uid="{00000000-0005-0000-0000-0000F2000000}"/>
    <cellStyle name="Comma 2 2 4 4 3" xfId="888" xr:uid="{00000000-0005-0000-0000-0000F3000000}"/>
    <cellStyle name="Comma 2 2 4 4 3 2" xfId="1070" xr:uid="{00000000-0005-0000-0000-0000F4000000}"/>
    <cellStyle name="Comma 2 2 4 4 4" xfId="979" xr:uid="{00000000-0005-0000-0000-0000F5000000}"/>
    <cellStyle name="Comma 2 2 4 5" xfId="211" xr:uid="{00000000-0005-0000-0000-0000F6000000}"/>
    <cellStyle name="Comma 2 2 4 5 2" xfId="212" xr:uid="{00000000-0005-0000-0000-0000F7000000}"/>
    <cellStyle name="Comma 2 2 4 5 2 2" xfId="891" xr:uid="{00000000-0005-0000-0000-0000F8000000}"/>
    <cellStyle name="Comma 2 2 4 5 2 2 2" xfId="1073" xr:uid="{00000000-0005-0000-0000-0000F9000000}"/>
    <cellStyle name="Comma 2 2 4 5 2 3" xfId="982" xr:uid="{00000000-0005-0000-0000-0000FA000000}"/>
    <cellStyle name="Comma 2 2 4 5 3" xfId="890" xr:uid="{00000000-0005-0000-0000-0000FB000000}"/>
    <cellStyle name="Comma 2 2 4 5 3 2" xfId="1072" xr:uid="{00000000-0005-0000-0000-0000FC000000}"/>
    <cellStyle name="Comma 2 2 4 5 4" xfId="981" xr:uid="{00000000-0005-0000-0000-0000FD000000}"/>
    <cellStyle name="Comma 2 2 4 6" xfId="213" xr:uid="{00000000-0005-0000-0000-0000FE000000}"/>
    <cellStyle name="Comma 2 2 4 6 2" xfId="214" xr:uid="{00000000-0005-0000-0000-0000FF000000}"/>
    <cellStyle name="Comma 2 2 4 6 2 2" xfId="893" xr:uid="{00000000-0005-0000-0000-000000010000}"/>
    <cellStyle name="Comma 2 2 4 6 2 2 2" xfId="1075" xr:uid="{00000000-0005-0000-0000-000001010000}"/>
    <cellStyle name="Comma 2 2 4 6 2 3" xfId="984" xr:uid="{00000000-0005-0000-0000-000002010000}"/>
    <cellStyle name="Comma 2 2 4 6 3" xfId="892" xr:uid="{00000000-0005-0000-0000-000003010000}"/>
    <cellStyle name="Comma 2 2 4 6 3 2" xfId="1074" xr:uid="{00000000-0005-0000-0000-000004010000}"/>
    <cellStyle name="Comma 2 2 4 6 4" xfId="983" xr:uid="{00000000-0005-0000-0000-000005010000}"/>
    <cellStyle name="Comma 2 2 4 7" xfId="215" xr:uid="{00000000-0005-0000-0000-000006010000}"/>
    <cellStyle name="Comma 2 2 4 7 2" xfId="216" xr:uid="{00000000-0005-0000-0000-000007010000}"/>
    <cellStyle name="Comma 2 2 4 7 2 2" xfId="895" xr:uid="{00000000-0005-0000-0000-000008010000}"/>
    <cellStyle name="Comma 2 2 4 7 2 2 2" xfId="1077" xr:uid="{00000000-0005-0000-0000-000009010000}"/>
    <cellStyle name="Comma 2 2 4 7 2 3" xfId="986" xr:uid="{00000000-0005-0000-0000-00000A010000}"/>
    <cellStyle name="Comma 2 2 4 7 3" xfId="894" xr:uid="{00000000-0005-0000-0000-00000B010000}"/>
    <cellStyle name="Comma 2 2 4 7 3 2" xfId="1076" xr:uid="{00000000-0005-0000-0000-00000C010000}"/>
    <cellStyle name="Comma 2 2 4 7 4" xfId="985" xr:uid="{00000000-0005-0000-0000-00000D010000}"/>
    <cellStyle name="Comma 2 2 4 8" xfId="217" xr:uid="{00000000-0005-0000-0000-00000E010000}"/>
    <cellStyle name="Comma 2 2 4 8 2" xfId="218" xr:uid="{00000000-0005-0000-0000-00000F010000}"/>
    <cellStyle name="Comma 2 2 4 8 2 2" xfId="897" xr:uid="{00000000-0005-0000-0000-000010010000}"/>
    <cellStyle name="Comma 2 2 4 8 2 2 2" xfId="1079" xr:uid="{00000000-0005-0000-0000-000011010000}"/>
    <cellStyle name="Comma 2 2 4 8 2 3" xfId="988" xr:uid="{00000000-0005-0000-0000-000012010000}"/>
    <cellStyle name="Comma 2 2 4 8 3" xfId="896" xr:uid="{00000000-0005-0000-0000-000013010000}"/>
    <cellStyle name="Comma 2 2 4 8 3 2" xfId="1078" xr:uid="{00000000-0005-0000-0000-000014010000}"/>
    <cellStyle name="Comma 2 2 4 8 4" xfId="987" xr:uid="{00000000-0005-0000-0000-000015010000}"/>
    <cellStyle name="Comma 2 2 4 9" xfId="219" xr:uid="{00000000-0005-0000-0000-000016010000}"/>
    <cellStyle name="Comma 2 2 4 9 2" xfId="898" xr:uid="{00000000-0005-0000-0000-000017010000}"/>
    <cellStyle name="Comma 2 2 4 9 2 2" xfId="1080" xr:uid="{00000000-0005-0000-0000-000018010000}"/>
    <cellStyle name="Comma 2 2 4 9 3" xfId="989" xr:uid="{00000000-0005-0000-0000-000019010000}"/>
    <cellStyle name="Comma 2 2 5" xfId="853" xr:uid="{00000000-0005-0000-0000-00001A010000}"/>
    <cellStyle name="Comma 2 2 6" xfId="870" xr:uid="{00000000-0005-0000-0000-00001B010000}"/>
    <cellStyle name="Comma 2 2 6 2" xfId="1052" xr:uid="{00000000-0005-0000-0000-00001C010000}"/>
    <cellStyle name="Comma 2 2 7" xfId="961" xr:uid="{00000000-0005-0000-0000-00001D010000}"/>
    <cellStyle name="Comma 2 20" xfId="139" xr:uid="{00000000-0005-0000-0000-00001E010000}"/>
    <cellStyle name="Comma 2 20 2" xfId="861" xr:uid="{00000000-0005-0000-0000-00001F010000}"/>
    <cellStyle name="Comma 2 20 2 2" xfId="1043" xr:uid="{00000000-0005-0000-0000-000020010000}"/>
    <cellStyle name="Comma 2 20 3" xfId="952" xr:uid="{00000000-0005-0000-0000-000021010000}"/>
    <cellStyle name="Comma 2 21" xfId="89" xr:uid="{00000000-0005-0000-0000-000022010000}"/>
    <cellStyle name="Comma 2 22" xfId="857" xr:uid="{00000000-0005-0000-0000-000023010000}"/>
    <cellStyle name="Comma 2 22 2" xfId="1039" xr:uid="{00000000-0005-0000-0000-000024010000}"/>
    <cellStyle name="Comma 2 23" xfId="948" xr:uid="{00000000-0005-0000-0000-000025010000}"/>
    <cellStyle name="Comma 2 3" xfId="220" xr:uid="{00000000-0005-0000-0000-000026010000}"/>
    <cellStyle name="Comma 2 3 2" xfId="899" xr:uid="{00000000-0005-0000-0000-000027010000}"/>
    <cellStyle name="Comma 2 3 2 2" xfId="1081" xr:uid="{00000000-0005-0000-0000-000028010000}"/>
    <cellStyle name="Comma 2 3 3" xfId="990" xr:uid="{00000000-0005-0000-0000-000029010000}"/>
    <cellStyle name="Comma 2 4" xfId="221" xr:uid="{00000000-0005-0000-0000-00002A010000}"/>
    <cellStyle name="Comma 2 4 2" xfId="900" xr:uid="{00000000-0005-0000-0000-00002B010000}"/>
    <cellStyle name="Comma 2 4 2 2" xfId="1082" xr:uid="{00000000-0005-0000-0000-00002C010000}"/>
    <cellStyle name="Comma 2 4 3" xfId="991" xr:uid="{00000000-0005-0000-0000-00002D010000}"/>
    <cellStyle name="Comma 2 5" xfId="222" xr:uid="{00000000-0005-0000-0000-00002E010000}"/>
    <cellStyle name="Comma 2 5 2" xfId="901" xr:uid="{00000000-0005-0000-0000-00002F010000}"/>
    <cellStyle name="Comma 2 5 2 2" xfId="1083" xr:uid="{00000000-0005-0000-0000-000030010000}"/>
    <cellStyle name="Comma 2 5 3" xfId="992" xr:uid="{00000000-0005-0000-0000-000031010000}"/>
    <cellStyle name="Comma 2 6" xfId="223" xr:uid="{00000000-0005-0000-0000-000032010000}"/>
    <cellStyle name="Comma 2 6 2" xfId="224" xr:uid="{00000000-0005-0000-0000-000033010000}"/>
    <cellStyle name="Comma 2 6 2 2" xfId="902" xr:uid="{00000000-0005-0000-0000-000034010000}"/>
    <cellStyle name="Comma 2 6 2 2 2" xfId="1084" xr:uid="{00000000-0005-0000-0000-000035010000}"/>
    <cellStyle name="Comma 2 6 2 3" xfId="993" xr:uid="{00000000-0005-0000-0000-000036010000}"/>
    <cellStyle name="Comma 2 6 3" xfId="225" xr:uid="{00000000-0005-0000-0000-000037010000}"/>
    <cellStyle name="Comma 2 6 3 2" xfId="226" xr:uid="{00000000-0005-0000-0000-000038010000}"/>
    <cellStyle name="Comma 2 6 4" xfId="227" xr:uid="{00000000-0005-0000-0000-000039010000}"/>
    <cellStyle name="Comma 2 6 4 2" xfId="228" xr:uid="{00000000-0005-0000-0000-00003A010000}"/>
    <cellStyle name="Comma 2 6 5" xfId="229" xr:uid="{00000000-0005-0000-0000-00003B010000}"/>
    <cellStyle name="Comma 2 6 5 2" xfId="230" xr:uid="{00000000-0005-0000-0000-00003C010000}"/>
    <cellStyle name="Comma 2 6 6" xfId="231" xr:uid="{00000000-0005-0000-0000-00003D010000}"/>
    <cellStyle name="Comma 2 6 6 2" xfId="232" xr:uid="{00000000-0005-0000-0000-00003E010000}"/>
    <cellStyle name="Comma 2 6 7" xfId="233" xr:uid="{00000000-0005-0000-0000-00003F010000}"/>
    <cellStyle name="Comma 2 6 7 2" xfId="234" xr:uid="{00000000-0005-0000-0000-000040010000}"/>
    <cellStyle name="Comma 2 6 8" xfId="235" xr:uid="{00000000-0005-0000-0000-000041010000}"/>
    <cellStyle name="Comma 2 6 8 2" xfId="236" xr:uid="{00000000-0005-0000-0000-000042010000}"/>
    <cellStyle name="Comma 2 6 9" xfId="237" xr:uid="{00000000-0005-0000-0000-000043010000}"/>
    <cellStyle name="Comma 2 7" xfId="238" xr:uid="{00000000-0005-0000-0000-000044010000}"/>
    <cellStyle name="Comma 2 7 2" xfId="239" xr:uid="{00000000-0005-0000-0000-000045010000}"/>
    <cellStyle name="Comma 2 7 2 2" xfId="904" xr:uid="{00000000-0005-0000-0000-000046010000}"/>
    <cellStyle name="Comma 2 7 2 2 2" xfId="1086" xr:uid="{00000000-0005-0000-0000-000047010000}"/>
    <cellStyle name="Comma 2 7 2 3" xfId="995" xr:uid="{00000000-0005-0000-0000-000048010000}"/>
    <cellStyle name="Comma 2 7 3" xfId="240" xr:uid="{00000000-0005-0000-0000-000049010000}"/>
    <cellStyle name="Comma 2 7 3 2" xfId="905" xr:uid="{00000000-0005-0000-0000-00004A010000}"/>
    <cellStyle name="Comma 2 7 3 2 2" xfId="1087" xr:uid="{00000000-0005-0000-0000-00004B010000}"/>
    <cellStyle name="Comma 2 7 3 3" xfId="996" xr:uid="{00000000-0005-0000-0000-00004C010000}"/>
    <cellStyle name="Comma 2 7 4" xfId="903" xr:uid="{00000000-0005-0000-0000-00004D010000}"/>
    <cellStyle name="Comma 2 7 4 2" xfId="1085" xr:uid="{00000000-0005-0000-0000-00004E010000}"/>
    <cellStyle name="Comma 2 7 5" xfId="994" xr:uid="{00000000-0005-0000-0000-00004F010000}"/>
    <cellStyle name="Comma 2 8" xfId="241" xr:uid="{00000000-0005-0000-0000-000050010000}"/>
    <cellStyle name="Comma 2 8 2" xfId="906" xr:uid="{00000000-0005-0000-0000-000051010000}"/>
    <cellStyle name="Comma 2 8 2 2" xfId="1088" xr:uid="{00000000-0005-0000-0000-000052010000}"/>
    <cellStyle name="Comma 2 8 3" xfId="997" xr:uid="{00000000-0005-0000-0000-000053010000}"/>
    <cellStyle name="Comma 2 9" xfId="242" xr:uid="{00000000-0005-0000-0000-000054010000}"/>
    <cellStyle name="Comma 2 9 2" xfId="907" xr:uid="{00000000-0005-0000-0000-000055010000}"/>
    <cellStyle name="Comma 2 9 2 2" xfId="1089" xr:uid="{00000000-0005-0000-0000-000056010000}"/>
    <cellStyle name="Comma 2 9 3" xfId="998" xr:uid="{00000000-0005-0000-0000-000057010000}"/>
    <cellStyle name="Comma 3" xfId="115" xr:uid="{00000000-0005-0000-0000-000058010000}"/>
    <cellStyle name="Comma 3 2" xfId="244" xr:uid="{00000000-0005-0000-0000-000059010000}"/>
    <cellStyle name="Comma 3 2 2" xfId="908" xr:uid="{00000000-0005-0000-0000-00005A010000}"/>
    <cellStyle name="Comma 3 2 2 2" xfId="1090" xr:uid="{00000000-0005-0000-0000-00005B010000}"/>
    <cellStyle name="Comma 3 2 3" xfId="999" xr:uid="{00000000-0005-0000-0000-00005C010000}"/>
    <cellStyle name="Comma 3 3" xfId="245" xr:uid="{00000000-0005-0000-0000-00005D010000}"/>
    <cellStyle name="Comma 3 3 2" xfId="246" xr:uid="{00000000-0005-0000-0000-00005E010000}"/>
    <cellStyle name="Comma 3 4" xfId="247" xr:uid="{00000000-0005-0000-0000-00005F010000}"/>
    <cellStyle name="Comma 3 4 10" xfId="909" xr:uid="{00000000-0005-0000-0000-000060010000}"/>
    <cellStyle name="Comma 3 4 10 2" xfId="1091" xr:uid="{00000000-0005-0000-0000-000061010000}"/>
    <cellStyle name="Comma 3 4 11" xfId="1000" xr:uid="{00000000-0005-0000-0000-000062010000}"/>
    <cellStyle name="Comma 3 4 2" xfId="248" xr:uid="{00000000-0005-0000-0000-000063010000}"/>
    <cellStyle name="Comma 3 4 2 10" xfId="1001" xr:uid="{00000000-0005-0000-0000-000064010000}"/>
    <cellStyle name="Comma 3 4 2 2" xfId="249" xr:uid="{00000000-0005-0000-0000-000065010000}"/>
    <cellStyle name="Comma 3 4 2 2 2" xfId="250" xr:uid="{00000000-0005-0000-0000-000066010000}"/>
    <cellStyle name="Comma 3 4 2 2 2 2" xfId="912" xr:uid="{00000000-0005-0000-0000-000067010000}"/>
    <cellStyle name="Comma 3 4 2 2 2 2 2" xfId="1094" xr:uid="{00000000-0005-0000-0000-000068010000}"/>
    <cellStyle name="Comma 3 4 2 2 2 3" xfId="1003" xr:uid="{00000000-0005-0000-0000-000069010000}"/>
    <cellStyle name="Comma 3 4 2 2 3" xfId="911" xr:uid="{00000000-0005-0000-0000-00006A010000}"/>
    <cellStyle name="Comma 3 4 2 2 3 2" xfId="1093" xr:uid="{00000000-0005-0000-0000-00006B010000}"/>
    <cellStyle name="Comma 3 4 2 2 4" xfId="1002" xr:uid="{00000000-0005-0000-0000-00006C010000}"/>
    <cellStyle name="Comma 3 4 2 3" xfId="251" xr:uid="{00000000-0005-0000-0000-00006D010000}"/>
    <cellStyle name="Comma 3 4 2 3 2" xfId="252" xr:uid="{00000000-0005-0000-0000-00006E010000}"/>
    <cellStyle name="Comma 3 4 2 3 2 2" xfId="914" xr:uid="{00000000-0005-0000-0000-00006F010000}"/>
    <cellStyle name="Comma 3 4 2 3 2 2 2" xfId="1096" xr:uid="{00000000-0005-0000-0000-000070010000}"/>
    <cellStyle name="Comma 3 4 2 3 2 3" xfId="1005" xr:uid="{00000000-0005-0000-0000-000071010000}"/>
    <cellStyle name="Comma 3 4 2 3 3" xfId="913" xr:uid="{00000000-0005-0000-0000-000072010000}"/>
    <cellStyle name="Comma 3 4 2 3 3 2" xfId="1095" xr:uid="{00000000-0005-0000-0000-000073010000}"/>
    <cellStyle name="Comma 3 4 2 3 4" xfId="1004" xr:uid="{00000000-0005-0000-0000-000074010000}"/>
    <cellStyle name="Comma 3 4 2 4" xfId="253" xr:uid="{00000000-0005-0000-0000-000075010000}"/>
    <cellStyle name="Comma 3 4 2 4 2" xfId="254" xr:uid="{00000000-0005-0000-0000-000076010000}"/>
    <cellStyle name="Comma 3 4 2 4 2 2" xfId="916" xr:uid="{00000000-0005-0000-0000-000077010000}"/>
    <cellStyle name="Comma 3 4 2 4 2 2 2" xfId="1098" xr:uid="{00000000-0005-0000-0000-000078010000}"/>
    <cellStyle name="Comma 3 4 2 4 2 3" xfId="1007" xr:uid="{00000000-0005-0000-0000-000079010000}"/>
    <cellStyle name="Comma 3 4 2 4 3" xfId="915" xr:uid="{00000000-0005-0000-0000-00007A010000}"/>
    <cellStyle name="Comma 3 4 2 4 3 2" xfId="1097" xr:uid="{00000000-0005-0000-0000-00007B010000}"/>
    <cellStyle name="Comma 3 4 2 4 4" xfId="1006" xr:uid="{00000000-0005-0000-0000-00007C010000}"/>
    <cellStyle name="Comma 3 4 2 5" xfId="255" xr:uid="{00000000-0005-0000-0000-00007D010000}"/>
    <cellStyle name="Comma 3 4 2 5 2" xfId="256" xr:uid="{00000000-0005-0000-0000-00007E010000}"/>
    <cellStyle name="Comma 3 4 2 5 2 2" xfId="918" xr:uid="{00000000-0005-0000-0000-00007F010000}"/>
    <cellStyle name="Comma 3 4 2 5 2 2 2" xfId="1100" xr:uid="{00000000-0005-0000-0000-000080010000}"/>
    <cellStyle name="Comma 3 4 2 5 2 3" xfId="1009" xr:uid="{00000000-0005-0000-0000-000081010000}"/>
    <cellStyle name="Comma 3 4 2 5 3" xfId="917" xr:uid="{00000000-0005-0000-0000-000082010000}"/>
    <cellStyle name="Comma 3 4 2 5 3 2" xfId="1099" xr:uid="{00000000-0005-0000-0000-000083010000}"/>
    <cellStyle name="Comma 3 4 2 5 4" xfId="1008" xr:uid="{00000000-0005-0000-0000-000084010000}"/>
    <cellStyle name="Comma 3 4 2 6" xfId="257" xr:uid="{00000000-0005-0000-0000-000085010000}"/>
    <cellStyle name="Comma 3 4 2 6 2" xfId="258" xr:uid="{00000000-0005-0000-0000-000086010000}"/>
    <cellStyle name="Comma 3 4 2 6 2 2" xfId="920" xr:uid="{00000000-0005-0000-0000-000087010000}"/>
    <cellStyle name="Comma 3 4 2 6 2 2 2" xfId="1102" xr:uid="{00000000-0005-0000-0000-000088010000}"/>
    <cellStyle name="Comma 3 4 2 6 2 3" xfId="1011" xr:uid="{00000000-0005-0000-0000-000089010000}"/>
    <cellStyle name="Comma 3 4 2 6 3" xfId="919" xr:uid="{00000000-0005-0000-0000-00008A010000}"/>
    <cellStyle name="Comma 3 4 2 6 3 2" xfId="1101" xr:uid="{00000000-0005-0000-0000-00008B010000}"/>
    <cellStyle name="Comma 3 4 2 6 4" xfId="1010" xr:uid="{00000000-0005-0000-0000-00008C010000}"/>
    <cellStyle name="Comma 3 4 2 7" xfId="259" xr:uid="{00000000-0005-0000-0000-00008D010000}"/>
    <cellStyle name="Comma 3 4 2 7 2" xfId="260" xr:uid="{00000000-0005-0000-0000-00008E010000}"/>
    <cellStyle name="Comma 3 4 2 7 2 2" xfId="922" xr:uid="{00000000-0005-0000-0000-00008F010000}"/>
    <cellStyle name="Comma 3 4 2 7 2 2 2" xfId="1104" xr:uid="{00000000-0005-0000-0000-000090010000}"/>
    <cellStyle name="Comma 3 4 2 7 2 3" xfId="1013" xr:uid="{00000000-0005-0000-0000-000091010000}"/>
    <cellStyle name="Comma 3 4 2 7 3" xfId="921" xr:uid="{00000000-0005-0000-0000-000092010000}"/>
    <cellStyle name="Comma 3 4 2 7 3 2" xfId="1103" xr:uid="{00000000-0005-0000-0000-000093010000}"/>
    <cellStyle name="Comma 3 4 2 7 4" xfId="1012" xr:uid="{00000000-0005-0000-0000-000094010000}"/>
    <cellStyle name="Comma 3 4 2 8" xfId="261" xr:uid="{00000000-0005-0000-0000-000095010000}"/>
    <cellStyle name="Comma 3 4 2 8 2" xfId="923" xr:uid="{00000000-0005-0000-0000-000096010000}"/>
    <cellStyle name="Comma 3 4 2 8 2 2" xfId="1105" xr:uid="{00000000-0005-0000-0000-000097010000}"/>
    <cellStyle name="Comma 3 4 2 8 3" xfId="1014" xr:uid="{00000000-0005-0000-0000-000098010000}"/>
    <cellStyle name="Comma 3 4 2 9" xfId="910" xr:uid="{00000000-0005-0000-0000-000099010000}"/>
    <cellStyle name="Comma 3 4 2 9 2" xfId="1092" xr:uid="{00000000-0005-0000-0000-00009A010000}"/>
    <cellStyle name="Comma 3 4 3" xfId="262" xr:uid="{00000000-0005-0000-0000-00009B010000}"/>
    <cellStyle name="Comma 3 4 3 2" xfId="263" xr:uid="{00000000-0005-0000-0000-00009C010000}"/>
    <cellStyle name="Comma 3 4 3 2 2" xfId="925" xr:uid="{00000000-0005-0000-0000-00009D010000}"/>
    <cellStyle name="Comma 3 4 3 2 2 2" xfId="1107" xr:uid="{00000000-0005-0000-0000-00009E010000}"/>
    <cellStyle name="Comma 3 4 3 2 3" xfId="1016" xr:uid="{00000000-0005-0000-0000-00009F010000}"/>
    <cellStyle name="Comma 3 4 3 3" xfId="924" xr:uid="{00000000-0005-0000-0000-0000A0010000}"/>
    <cellStyle name="Comma 3 4 3 3 2" xfId="1106" xr:uid="{00000000-0005-0000-0000-0000A1010000}"/>
    <cellStyle name="Comma 3 4 3 4" xfId="1015" xr:uid="{00000000-0005-0000-0000-0000A2010000}"/>
    <cellStyle name="Comma 3 4 4" xfId="264" xr:uid="{00000000-0005-0000-0000-0000A3010000}"/>
    <cellStyle name="Comma 3 4 4 2" xfId="265" xr:uid="{00000000-0005-0000-0000-0000A4010000}"/>
    <cellStyle name="Comma 3 4 4 2 2" xfId="927" xr:uid="{00000000-0005-0000-0000-0000A5010000}"/>
    <cellStyle name="Comma 3 4 4 2 2 2" xfId="1109" xr:uid="{00000000-0005-0000-0000-0000A6010000}"/>
    <cellStyle name="Comma 3 4 4 2 3" xfId="1018" xr:uid="{00000000-0005-0000-0000-0000A7010000}"/>
    <cellStyle name="Comma 3 4 4 3" xfId="926" xr:uid="{00000000-0005-0000-0000-0000A8010000}"/>
    <cellStyle name="Comma 3 4 4 3 2" xfId="1108" xr:uid="{00000000-0005-0000-0000-0000A9010000}"/>
    <cellStyle name="Comma 3 4 4 4" xfId="1017" xr:uid="{00000000-0005-0000-0000-0000AA010000}"/>
    <cellStyle name="Comma 3 4 5" xfId="266" xr:uid="{00000000-0005-0000-0000-0000AB010000}"/>
    <cellStyle name="Comma 3 4 5 2" xfId="267" xr:uid="{00000000-0005-0000-0000-0000AC010000}"/>
    <cellStyle name="Comma 3 4 5 2 2" xfId="929" xr:uid="{00000000-0005-0000-0000-0000AD010000}"/>
    <cellStyle name="Comma 3 4 5 2 2 2" xfId="1111" xr:uid="{00000000-0005-0000-0000-0000AE010000}"/>
    <cellStyle name="Comma 3 4 5 2 3" xfId="1020" xr:uid="{00000000-0005-0000-0000-0000AF010000}"/>
    <cellStyle name="Comma 3 4 5 3" xfId="928" xr:uid="{00000000-0005-0000-0000-0000B0010000}"/>
    <cellStyle name="Comma 3 4 5 3 2" xfId="1110" xr:uid="{00000000-0005-0000-0000-0000B1010000}"/>
    <cellStyle name="Comma 3 4 5 4" xfId="1019" xr:uid="{00000000-0005-0000-0000-0000B2010000}"/>
    <cellStyle name="Comma 3 4 6" xfId="268" xr:uid="{00000000-0005-0000-0000-0000B3010000}"/>
    <cellStyle name="Comma 3 4 6 2" xfId="269" xr:uid="{00000000-0005-0000-0000-0000B4010000}"/>
    <cellStyle name="Comma 3 4 6 2 2" xfId="931" xr:uid="{00000000-0005-0000-0000-0000B5010000}"/>
    <cellStyle name="Comma 3 4 6 2 2 2" xfId="1113" xr:uid="{00000000-0005-0000-0000-0000B6010000}"/>
    <cellStyle name="Comma 3 4 6 2 3" xfId="1022" xr:uid="{00000000-0005-0000-0000-0000B7010000}"/>
    <cellStyle name="Comma 3 4 6 3" xfId="930" xr:uid="{00000000-0005-0000-0000-0000B8010000}"/>
    <cellStyle name="Comma 3 4 6 3 2" xfId="1112" xr:uid="{00000000-0005-0000-0000-0000B9010000}"/>
    <cellStyle name="Comma 3 4 6 4" xfId="1021" xr:uid="{00000000-0005-0000-0000-0000BA010000}"/>
    <cellStyle name="Comma 3 4 7" xfId="270" xr:uid="{00000000-0005-0000-0000-0000BB010000}"/>
    <cellStyle name="Comma 3 4 7 2" xfId="271" xr:uid="{00000000-0005-0000-0000-0000BC010000}"/>
    <cellStyle name="Comma 3 4 7 2 2" xfId="933" xr:uid="{00000000-0005-0000-0000-0000BD010000}"/>
    <cellStyle name="Comma 3 4 7 2 2 2" xfId="1115" xr:uid="{00000000-0005-0000-0000-0000BE010000}"/>
    <cellStyle name="Comma 3 4 7 2 3" xfId="1024" xr:uid="{00000000-0005-0000-0000-0000BF010000}"/>
    <cellStyle name="Comma 3 4 7 3" xfId="932" xr:uid="{00000000-0005-0000-0000-0000C0010000}"/>
    <cellStyle name="Comma 3 4 7 3 2" xfId="1114" xr:uid="{00000000-0005-0000-0000-0000C1010000}"/>
    <cellStyle name="Comma 3 4 7 4" xfId="1023" xr:uid="{00000000-0005-0000-0000-0000C2010000}"/>
    <cellStyle name="Comma 3 4 8" xfId="272" xr:uid="{00000000-0005-0000-0000-0000C3010000}"/>
    <cellStyle name="Comma 3 4 8 2" xfId="273" xr:uid="{00000000-0005-0000-0000-0000C4010000}"/>
    <cellStyle name="Comma 3 4 8 2 2" xfId="935" xr:uid="{00000000-0005-0000-0000-0000C5010000}"/>
    <cellStyle name="Comma 3 4 8 2 2 2" xfId="1117" xr:uid="{00000000-0005-0000-0000-0000C6010000}"/>
    <cellStyle name="Comma 3 4 8 2 3" xfId="1026" xr:uid="{00000000-0005-0000-0000-0000C7010000}"/>
    <cellStyle name="Comma 3 4 8 3" xfId="934" xr:uid="{00000000-0005-0000-0000-0000C8010000}"/>
    <cellStyle name="Comma 3 4 8 3 2" xfId="1116" xr:uid="{00000000-0005-0000-0000-0000C9010000}"/>
    <cellStyle name="Comma 3 4 8 4" xfId="1025" xr:uid="{00000000-0005-0000-0000-0000CA010000}"/>
    <cellStyle name="Comma 3 4 9" xfId="274" xr:uid="{00000000-0005-0000-0000-0000CB010000}"/>
    <cellStyle name="Comma 3 4 9 2" xfId="936" xr:uid="{00000000-0005-0000-0000-0000CC010000}"/>
    <cellStyle name="Comma 3 4 9 2 2" xfId="1118" xr:uid="{00000000-0005-0000-0000-0000CD010000}"/>
    <cellStyle name="Comma 3 4 9 3" xfId="1027" xr:uid="{00000000-0005-0000-0000-0000CE010000}"/>
    <cellStyle name="Comma 3 5" xfId="275" xr:uid="{00000000-0005-0000-0000-0000CF010000}"/>
    <cellStyle name="Comma 3 6" xfId="243" xr:uid="{00000000-0005-0000-0000-0000D0010000}"/>
    <cellStyle name="Comma 3 7" xfId="859" xr:uid="{00000000-0005-0000-0000-0000D1010000}"/>
    <cellStyle name="Comma 3 7 2" xfId="1041" xr:uid="{00000000-0005-0000-0000-0000D2010000}"/>
    <cellStyle name="Comma 3 8" xfId="950" xr:uid="{00000000-0005-0000-0000-0000D3010000}"/>
    <cellStyle name="Comma 4" xfId="276" xr:uid="{00000000-0005-0000-0000-0000D4010000}"/>
    <cellStyle name="Comma 4 2" xfId="277" xr:uid="{00000000-0005-0000-0000-0000D5010000}"/>
    <cellStyle name="Comma 4 2 2" xfId="938" xr:uid="{00000000-0005-0000-0000-0000D6010000}"/>
    <cellStyle name="Comma 4 2 2 2" xfId="1120" xr:uid="{00000000-0005-0000-0000-0000D7010000}"/>
    <cellStyle name="Comma 4 2 3" xfId="1029" xr:uid="{00000000-0005-0000-0000-0000D8010000}"/>
    <cellStyle name="Comma 4 3" xfId="278" xr:uid="{00000000-0005-0000-0000-0000D9010000}"/>
    <cellStyle name="Comma 4 3 2" xfId="939" xr:uid="{00000000-0005-0000-0000-0000DA010000}"/>
    <cellStyle name="Comma 4 3 2 2" xfId="1121" xr:uid="{00000000-0005-0000-0000-0000DB010000}"/>
    <cellStyle name="Comma 4 3 3" xfId="1030" xr:uid="{00000000-0005-0000-0000-0000DC010000}"/>
    <cellStyle name="Comma 4 4" xfId="937" xr:uid="{00000000-0005-0000-0000-0000DD010000}"/>
    <cellStyle name="Comma 4 4 2" xfId="1119" xr:uid="{00000000-0005-0000-0000-0000DE010000}"/>
    <cellStyle name="Comma 4 5" xfId="1028" xr:uid="{00000000-0005-0000-0000-0000DF010000}"/>
    <cellStyle name="Comma 5" xfId="279" xr:uid="{00000000-0005-0000-0000-0000E0010000}"/>
    <cellStyle name="Comma 5 10" xfId="1031" xr:uid="{00000000-0005-0000-0000-0000E1010000}"/>
    <cellStyle name="Comma 5 2" xfId="280" xr:uid="{00000000-0005-0000-0000-0000E2010000}"/>
    <cellStyle name="Comma 5 2 2" xfId="281" xr:uid="{00000000-0005-0000-0000-0000E3010000}"/>
    <cellStyle name="Comma 5 2 2 2" xfId="282" xr:uid="{00000000-0005-0000-0000-0000E4010000}"/>
    <cellStyle name="Comma 5 2 2 2 2" xfId="942" xr:uid="{00000000-0005-0000-0000-0000E5010000}"/>
    <cellStyle name="Comma 5 2 2 2 2 2" xfId="1124" xr:uid="{00000000-0005-0000-0000-0000E6010000}"/>
    <cellStyle name="Comma 5 2 2 2 3" xfId="1033" xr:uid="{00000000-0005-0000-0000-0000E7010000}"/>
    <cellStyle name="Comma 5 2 2 3" xfId="941" xr:uid="{00000000-0005-0000-0000-0000E8010000}"/>
    <cellStyle name="Comma 5 2 2 3 2" xfId="1123" xr:uid="{00000000-0005-0000-0000-0000E9010000}"/>
    <cellStyle name="Comma 5 2 2 4" xfId="1032" xr:uid="{00000000-0005-0000-0000-0000EA010000}"/>
    <cellStyle name="Comma 5 2 3" xfId="283" xr:uid="{00000000-0005-0000-0000-0000EB010000}"/>
    <cellStyle name="Comma 5 2 3 2" xfId="943" xr:uid="{00000000-0005-0000-0000-0000EC010000}"/>
    <cellStyle name="Comma 5 2 3 2 2" xfId="1125" xr:uid="{00000000-0005-0000-0000-0000ED010000}"/>
    <cellStyle name="Comma 5 2 3 3" xfId="1034" xr:uid="{00000000-0005-0000-0000-0000EE010000}"/>
    <cellStyle name="Comma 5 2 4" xfId="284" xr:uid="{00000000-0005-0000-0000-0000EF010000}"/>
    <cellStyle name="Comma 5 2 4 2" xfId="944" xr:uid="{00000000-0005-0000-0000-0000F0010000}"/>
    <cellStyle name="Comma 5 2 4 2 2" xfId="1126" xr:uid="{00000000-0005-0000-0000-0000F1010000}"/>
    <cellStyle name="Comma 5 2 4 3" xfId="1035" xr:uid="{00000000-0005-0000-0000-0000F2010000}"/>
    <cellStyle name="Comma 5 2 5" xfId="285" xr:uid="{00000000-0005-0000-0000-0000F3010000}"/>
    <cellStyle name="Comma 5 2 5 2" xfId="945" xr:uid="{00000000-0005-0000-0000-0000F4010000}"/>
    <cellStyle name="Comma 5 2 5 2 2" xfId="1127" xr:uid="{00000000-0005-0000-0000-0000F5010000}"/>
    <cellStyle name="Comma 5 2 5 3" xfId="1036" xr:uid="{00000000-0005-0000-0000-0000F6010000}"/>
    <cellStyle name="Comma 5 2 6" xfId="286" xr:uid="{00000000-0005-0000-0000-0000F7010000}"/>
    <cellStyle name="Comma 5 2 6 2" xfId="946" xr:uid="{00000000-0005-0000-0000-0000F8010000}"/>
    <cellStyle name="Comma 5 2 6 2 2" xfId="1128" xr:uid="{00000000-0005-0000-0000-0000F9010000}"/>
    <cellStyle name="Comma 5 2 6 3" xfId="1037" xr:uid="{00000000-0005-0000-0000-0000FA010000}"/>
    <cellStyle name="Comma 5 3" xfId="287" xr:uid="{00000000-0005-0000-0000-0000FB010000}"/>
    <cellStyle name="Comma 5 3 2" xfId="288" xr:uid="{00000000-0005-0000-0000-0000FC010000}"/>
    <cellStyle name="Comma 5 3 3" xfId="947" xr:uid="{00000000-0005-0000-0000-0000FD010000}"/>
    <cellStyle name="Comma 5 3 3 2" xfId="1129" xr:uid="{00000000-0005-0000-0000-0000FE010000}"/>
    <cellStyle name="Comma 5 3 4" xfId="1038" xr:uid="{00000000-0005-0000-0000-0000FF010000}"/>
    <cellStyle name="Comma 5 4" xfId="289" xr:uid="{00000000-0005-0000-0000-000000020000}"/>
    <cellStyle name="Comma 5 5" xfId="290" xr:uid="{00000000-0005-0000-0000-000001020000}"/>
    <cellStyle name="Comma 5 6" xfId="291" xr:uid="{00000000-0005-0000-0000-000002020000}"/>
    <cellStyle name="Comma 5 7" xfId="292" xr:uid="{00000000-0005-0000-0000-000003020000}"/>
    <cellStyle name="Comma 5 7 2" xfId="293" xr:uid="{00000000-0005-0000-0000-000004020000}"/>
    <cellStyle name="Comma 5 7 2 2" xfId="294" xr:uid="{00000000-0005-0000-0000-000005020000}"/>
    <cellStyle name="Comma 5 7 3" xfId="295" xr:uid="{00000000-0005-0000-0000-000006020000}"/>
    <cellStyle name="Comma 5 7 3 2" xfId="296" xr:uid="{00000000-0005-0000-0000-000007020000}"/>
    <cellStyle name="Comma 5 7 4" xfId="297" xr:uid="{00000000-0005-0000-0000-000008020000}"/>
    <cellStyle name="Comma 5 7 4 2" xfId="298" xr:uid="{00000000-0005-0000-0000-000009020000}"/>
    <cellStyle name="Comma 5 7 5" xfId="299" xr:uid="{00000000-0005-0000-0000-00000A020000}"/>
    <cellStyle name="Comma 5 7 5 2" xfId="300" xr:uid="{00000000-0005-0000-0000-00000B020000}"/>
    <cellStyle name="Comma 5 7 6" xfId="301" xr:uid="{00000000-0005-0000-0000-00000C020000}"/>
    <cellStyle name="Comma 5 7 6 2" xfId="302" xr:uid="{00000000-0005-0000-0000-00000D020000}"/>
    <cellStyle name="Comma 5 7 7" xfId="303" xr:uid="{00000000-0005-0000-0000-00000E020000}"/>
    <cellStyle name="Comma 5 7 7 2" xfId="304" xr:uid="{00000000-0005-0000-0000-00000F020000}"/>
    <cellStyle name="Comma 5 7 8" xfId="305" xr:uid="{00000000-0005-0000-0000-000010020000}"/>
    <cellStyle name="Comma 5 8" xfId="306" xr:uid="{00000000-0005-0000-0000-000011020000}"/>
    <cellStyle name="Comma 5 8 2" xfId="307" xr:uid="{00000000-0005-0000-0000-000012020000}"/>
    <cellStyle name="Comma 5 8 2 2" xfId="308" xr:uid="{00000000-0005-0000-0000-000013020000}"/>
    <cellStyle name="Comma 5 8 3" xfId="309" xr:uid="{00000000-0005-0000-0000-000014020000}"/>
    <cellStyle name="Comma 5 8 3 2" xfId="310" xr:uid="{00000000-0005-0000-0000-000015020000}"/>
    <cellStyle name="Comma 5 8 4" xfId="311" xr:uid="{00000000-0005-0000-0000-000016020000}"/>
    <cellStyle name="Comma 5 8 4 2" xfId="312" xr:uid="{00000000-0005-0000-0000-000017020000}"/>
    <cellStyle name="Comma 5 8 5" xfId="313" xr:uid="{00000000-0005-0000-0000-000018020000}"/>
    <cellStyle name="Comma 5 8 5 2" xfId="314" xr:uid="{00000000-0005-0000-0000-000019020000}"/>
    <cellStyle name="Comma 5 8 6" xfId="315" xr:uid="{00000000-0005-0000-0000-00001A020000}"/>
    <cellStyle name="Comma 5 8 6 2" xfId="316" xr:uid="{00000000-0005-0000-0000-00001B020000}"/>
    <cellStyle name="Comma 5 8 7" xfId="317" xr:uid="{00000000-0005-0000-0000-00001C020000}"/>
    <cellStyle name="Comma 5 8 7 2" xfId="318" xr:uid="{00000000-0005-0000-0000-00001D020000}"/>
    <cellStyle name="Comma 5 8 8" xfId="319" xr:uid="{00000000-0005-0000-0000-00001E020000}"/>
    <cellStyle name="Comma 5 9" xfId="940" xr:uid="{00000000-0005-0000-0000-00001F020000}"/>
    <cellStyle name="Comma 5 9 2" xfId="1122" xr:uid="{00000000-0005-0000-0000-000020020000}"/>
    <cellStyle name="Comma 6" xfId="138" xr:uid="{00000000-0005-0000-0000-000021020000}"/>
    <cellStyle name="Comma 6 2" xfId="860" xr:uid="{00000000-0005-0000-0000-000022020000}"/>
    <cellStyle name="Comma 6 2 2" xfId="1042" xr:uid="{00000000-0005-0000-0000-000023020000}"/>
    <cellStyle name="Comma 6 3" xfId="951" xr:uid="{00000000-0005-0000-0000-000024020000}"/>
    <cellStyle name="Explanatory Text" xfId="24" builtinId="53" customBuiltin="1"/>
    <cellStyle name="Explanatory Text 2" xfId="90" xr:uid="{00000000-0005-0000-0000-000026020000}"/>
    <cellStyle name="Good" xfId="14" builtinId="26" customBuiltin="1"/>
    <cellStyle name="Good 2" xfId="91" xr:uid="{00000000-0005-0000-0000-000028020000}"/>
    <cellStyle name="Heading 1" xfId="10" builtinId="16" customBuiltin="1"/>
    <cellStyle name="Heading 1 2" xfId="92" xr:uid="{00000000-0005-0000-0000-00002A020000}"/>
    <cellStyle name="Heading 2" xfId="11" builtinId="17" customBuiltin="1"/>
    <cellStyle name="Heading 2 2" xfId="93" xr:uid="{00000000-0005-0000-0000-00002C020000}"/>
    <cellStyle name="Heading 3" xfId="12" builtinId="18" customBuiltin="1"/>
    <cellStyle name="Heading 3 2" xfId="94" xr:uid="{00000000-0005-0000-0000-00002E020000}"/>
    <cellStyle name="Heading 3 2 2" xfId="320" xr:uid="{00000000-0005-0000-0000-00002F020000}"/>
    <cellStyle name="Heading 4" xfId="13" builtinId="19" customBuiltin="1"/>
    <cellStyle name="Heading 4 2" xfId="95" xr:uid="{00000000-0005-0000-0000-000031020000}"/>
    <cellStyle name="Hyperlink 2" xfId="321" xr:uid="{00000000-0005-0000-0000-000032020000}"/>
    <cellStyle name="Hyperlink 3" xfId="322" xr:uid="{00000000-0005-0000-0000-000033020000}"/>
    <cellStyle name="Hyperlink 4" xfId="323" xr:uid="{00000000-0005-0000-0000-000034020000}"/>
    <cellStyle name="Input" xfId="17" builtinId="20" customBuiltin="1"/>
    <cellStyle name="Input 2" xfId="96" xr:uid="{00000000-0005-0000-0000-000036020000}"/>
    <cellStyle name="Input 2 2" xfId="324" xr:uid="{00000000-0005-0000-0000-000037020000}"/>
    <cellStyle name="Input 2 2 2" xfId="325" xr:uid="{00000000-0005-0000-0000-000038020000}"/>
    <cellStyle name="Input 2 2 3" xfId="326" xr:uid="{00000000-0005-0000-0000-000039020000}"/>
    <cellStyle name="Input 2 2 4" xfId="327" xr:uid="{00000000-0005-0000-0000-00003A020000}"/>
    <cellStyle name="Input 2 2 5" xfId="328" xr:uid="{00000000-0005-0000-0000-00003B020000}"/>
    <cellStyle name="Input 2 3" xfId="329" xr:uid="{00000000-0005-0000-0000-00003C020000}"/>
    <cellStyle name="Input 2 3 2" xfId="330" xr:uid="{00000000-0005-0000-0000-00003D020000}"/>
    <cellStyle name="Input 2 3 3" xfId="331" xr:uid="{00000000-0005-0000-0000-00003E020000}"/>
    <cellStyle name="Input 2 3 4" xfId="332" xr:uid="{00000000-0005-0000-0000-00003F020000}"/>
    <cellStyle name="Input 2 3 5" xfId="333" xr:uid="{00000000-0005-0000-0000-000040020000}"/>
    <cellStyle name="Input 2 4" xfId="334" xr:uid="{00000000-0005-0000-0000-000041020000}"/>
    <cellStyle name="Input 2 4 2" xfId="335" xr:uid="{00000000-0005-0000-0000-000042020000}"/>
    <cellStyle name="Input 2 4 3" xfId="336" xr:uid="{00000000-0005-0000-0000-000043020000}"/>
    <cellStyle name="Input 2 4 4" xfId="337" xr:uid="{00000000-0005-0000-0000-000044020000}"/>
    <cellStyle name="Input 2 4 5" xfId="338" xr:uid="{00000000-0005-0000-0000-000045020000}"/>
    <cellStyle name="Input 2 5" xfId="339" xr:uid="{00000000-0005-0000-0000-000046020000}"/>
    <cellStyle name="Input 2 5 2" xfId="340" xr:uid="{00000000-0005-0000-0000-000047020000}"/>
    <cellStyle name="Input 2 5 3" xfId="341" xr:uid="{00000000-0005-0000-0000-000048020000}"/>
    <cellStyle name="Input 2 5 4" xfId="342" xr:uid="{00000000-0005-0000-0000-000049020000}"/>
    <cellStyle name="Input 2 6" xfId="343" xr:uid="{00000000-0005-0000-0000-00004A020000}"/>
    <cellStyle name="Input 2 7" xfId="344" xr:uid="{00000000-0005-0000-0000-00004B020000}"/>
    <cellStyle name="Linked Cell" xfId="20" builtinId="24" customBuiltin="1"/>
    <cellStyle name="Linked Cell 2" xfId="97" xr:uid="{00000000-0005-0000-0000-00004D020000}"/>
    <cellStyle name="Neutral" xfId="16" builtinId="28" customBuiltin="1"/>
    <cellStyle name="Neutral 2" xfId="98" xr:uid="{00000000-0005-0000-0000-00004F020000}"/>
    <cellStyle name="Normal" xfId="0" builtinId="0"/>
    <cellStyle name="Normal 10" xfId="114" xr:uid="{00000000-0005-0000-0000-000051020000}"/>
    <cellStyle name="Normal 10 10" xfId="855" xr:uid="{00000000-0005-0000-0000-000052020000}"/>
    <cellStyle name="Normal 10 11" xfId="345" xr:uid="{00000000-0005-0000-0000-000053020000}"/>
    <cellStyle name="Normal 10 2" xfId="346" xr:uid="{00000000-0005-0000-0000-000054020000}"/>
    <cellStyle name="Normal 10 3" xfId="347" xr:uid="{00000000-0005-0000-0000-000055020000}"/>
    <cellStyle name="Normal 10 3 2" xfId="348" xr:uid="{00000000-0005-0000-0000-000056020000}"/>
    <cellStyle name="Normal 10 4" xfId="349" xr:uid="{00000000-0005-0000-0000-000057020000}"/>
    <cellStyle name="Normal 10 4 2" xfId="350" xr:uid="{00000000-0005-0000-0000-000058020000}"/>
    <cellStyle name="Normal 10 5" xfId="351" xr:uid="{00000000-0005-0000-0000-000059020000}"/>
    <cellStyle name="Normal 10 5 2" xfId="352" xr:uid="{00000000-0005-0000-0000-00005A020000}"/>
    <cellStyle name="Normal 10 6" xfId="353" xr:uid="{00000000-0005-0000-0000-00005B020000}"/>
    <cellStyle name="Normal 10 6 2" xfId="354" xr:uid="{00000000-0005-0000-0000-00005C020000}"/>
    <cellStyle name="Normal 10 7" xfId="355" xr:uid="{00000000-0005-0000-0000-00005D020000}"/>
    <cellStyle name="Normal 10 7 2" xfId="356" xr:uid="{00000000-0005-0000-0000-00005E020000}"/>
    <cellStyle name="Normal 10 8" xfId="357" xr:uid="{00000000-0005-0000-0000-00005F020000}"/>
    <cellStyle name="Normal 10 8 2" xfId="358" xr:uid="{00000000-0005-0000-0000-000060020000}"/>
    <cellStyle name="Normal 10 9" xfId="359" xr:uid="{00000000-0005-0000-0000-000061020000}"/>
    <cellStyle name="Normal 11" xfId="360" xr:uid="{00000000-0005-0000-0000-000062020000}"/>
    <cellStyle name="Normal 11 2" xfId="361" xr:uid="{00000000-0005-0000-0000-000063020000}"/>
    <cellStyle name="Normal 11 3" xfId="362" xr:uid="{00000000-0005-0000-0000-000064020000}"/>
    <cellStyle name="Normal 11 3 2" xfId="363" xr:uid="{00000000-0005-0000-0000-000065020000}"/>
    <cellStyle name="Normal 11 4" xfId="364" xr:uid="{00000000-0005-0000-0000-000066020000}"/>
    <cellStyle name="Normal 11 4 2" xfId="365" xr:uid="{00000000-0005-0000-0000-000067020000}"/>
    <cellStyle name="Normal 11 5" xfId="366" xr:uid="{00000000-0005-0000-0000-000068020000}"/>
    <cellStyle name="Normal 11 5 2" xfId="367" xr:uid="{00000000-0005-0000-0000-000069020000}"/>
    <cellStyle name="Normal 11 6" xfId="368" xr:uid="{00000000-0005-0000-0000-00006A020000}"/>
    <cellStyle name="Normal 11 6 2" xfId="369" xr:uid="{00000000-0005-0000-0000-00006B020000}"/>
    <cellStyle name="Normal 11 7" xfId="370" xr:uid="{00000000-0005-0000-0000-00006C020000}"/>
    <cellStyle name="Normal 11 7 2" xfId="371" xr:uid="{00000000-0005-0000-0000-00006D020000}"/>
    <cellStyle name="Normal 11 8" xfId="372" xr:uid="{00000000-0005-0000-0000-00006E020000}"/>
    <cellStyle name="Normal 11 8 2" xfId="373" xr:uid="{00000000-0005-0000-0000-00006F020000}"/>
    <cellStyle name="Normal 11 9" xfId="374" xr:uid="{00000000-0005-0000-0000-000070020000}"/>
    <cellStyle name="Normal 12" xfId="375" xr:uid="{00000000-0005-0000-0000-000071020000}"/>
    <cellStyle name="Normal 12 2" xfId="376" xr:uid="{00000000-0005-0000-0000-000072020000}"/>
    <cellStyle name="Normal 12 2 2" xfId="377" xr:uid="{00000000-0005-0000-0000-000073020000}"/>
    <cellStyle name="Normal 12 3" xfId="378" xr:uid="{00000000-0005-0000-0000-000074020000}"/>
    <cellStyle name="Normal 12 3 2" xfId="379" xr:uid="{00000000-0005-0000-0000-000075020000}"/>
    <cellStyle name="Normal 12 4" xfId="380" xr:uid="{00000000-0005-0000-0000-000076020000}"/>
    <cellStyle name="Normal 12 4 2" xfId="381" xr:uid="{00000000-0005-0000-0000-000077020000}"/>
    <cellStyle name="Normal 12 5" xfId="382" xr:uid="{00000000-0005-0000-0000-000078020000}"/>
    <cellStyle name="Normal 12 5 2" xfId="383" xr:uid="{00000000-0005-0000-0000-000079020000}"/>
    <cellStyle name="Normal 12 6" xfId="384" xr:uid="{00000000-0005-0000-0000-00007A020000}"/>
    <cellStyle name="Normal 12 6 2" xfId="385" xr:uid="{00000000-0005-0000-0000-00007B020000}"/>
    <cellStyle name="Normal 12 7" xfId="386" xr:uid="{00000000-0005-0000-0000-00007C020000}"/>
    <cellStyle name="Normal 12 7 2" xfId="387" xr:uid="{00000000-0005-0000-0000-00007D020000}"/>
    <cellStyle name="Normal 12 8" xfId="388" xr:uid="{00000000-0005-0000-0000-00007E020000}"/>
    <cellStyle name="Normal 13" xfId="389" xr:uid="{00000000-0005-0000-0000-00007F020000}"/>
    <cellStyle name="Normal 13 10" xfId="390" xr:uid="{00000000-0005-0000-0000-000080020000}"/>
    <cellStyle name="Normal 13 2" xfId="391" xr:uid="{00000000-0005-0000-0000-000081020000}"/>
    <cellStyle name="Normal 13 2 2" xfId="392" xr:uid="{00000000-0005-0000-0000-000082020000}"/>
    <cellStyle name="Normal 13 2 2 2" xfId="393" xr:uid="{00000000-0005-0000-0000-000083020000}"/>
    <cellStyle name="Normal 13 2 3" xfId="394" xr:uid="{00000000-0005-0000-0000-000084020000}"/>
    <cellStyle name="Normal 13 2 3 2" xfId="395" xr:uid="{00000000-0005-0000-0000-000085020000}"/>
    <cellStyle name="Normal 13 2 4" xfId="396" xr:uid="{00000000-0005-0000-0000-000086020000}"/>
    <cellStyle name="Normal 13 2 4 2" xfId="397" xr:uid="{00000000-0005-0000-0000-000087020000}"/>
    <cellStyle name="Normal 13 2 5" xfId="398" xr:uid="{00000000-0005-0000-0000-000088020000}"/>
    <cellStyle name="Normal 13 2 5 2" xfId="399" xr:uid="{00000000-0005-0000-0000-000089020000}"/>
    <cellStyle name="Normal 13 2 6" xfId="400" xr:uid="{00000000-0005-0000-0000-00008A020000}"/>
    <cellStyle name="Normal 13 2 6 2" xfId="401" xr:uid="{00000000-0005-0000-0000-00008B020000}"/>
    <cellStyle name="Normal 13 2 7" xfId="402" xr:uid="{00000000-0005-0000-0000-00008C020000}"/>
    <cellStyle name="Normal 13 2 7 2" xfId="403" xr:uid="{00000000-0005-0000-0000-00008D020000}"/>
    <cellStyle name="Normal 13 2 8" xfId="404" xr:uid="{00000000-0005-0000-0000-00008E020000}"/>
    <cellStyle name="Normal 13 3" xfId="405" xr:uid="{00000000-0005-0000-0000-00008F020000}"/>
    <cellStyle name="Normal 13 3 2" xfId="406" xr:uid="{00000000-0005-0000-0000-000090020000}"/>
    <cellStyle name="Normal 13 3 2 2" xfId="407" xr:uid="{00000000-0005-0000-0000-000091020000}"/>
    <cellStyle name="Normal 13 3 2 2 2" xfId="408" xr:uid="{00000000-0005-0000-0000-000092020000}"/>
    <cellStyle name="Normal 13 3 2 3" xfId="409" xr:uid="{00000000-0005-0000-0000-000093020000}"/>
    <cellStyle name="Normal 13 3 2 3 2" xfId="410" xr:uid="{00000000-0005-0000-0000-000094020000}"/>
    <cellStyle name="Normal 13 3 2 4" xfId="411" xr:uid="{00000000-0005-0000-0000-000095020000}"/>
    <cellStyle name="Normal 13 3 2 4 2" xfId="412" xr:uid="{00000000-0005-0000-0000-000096020000}"/>
    <cellStyle name="Normal 13 3 2 5" xfId="413" xr:uid="{00000000-0005-0000-0000-000097020000}"/>
    <cellStyle name="Normal 13 3 2 5 2" xfId="414" xr:uid="{00000000-0005-0000-0000-000098020000}"/>
    <cellStyle name="Normal 13 3 2 6" xfId="415" xr:uid="{00000000-0005-0000-0000-000099020000}"/>
    <cellStyle name="Normal 13 3 2 6 2" xfId="416" xr:uid="{00000000-0005-0000-0000-00009A020000}"/>
    <cellStyle name="Normal 13 3 2 7" xfId="417" xr:uid="{00000000-0005-0000-0000-00009B020000}"/>
    <cellStyle name="Normal 13 3 2 7 2" xfId="418" xr:uid="{00000000-0005-0000-0000-00009C020000}"/>
    <cellStyle name="Normal 13 3 2 8" xfId="419" xr:uid="{00000000-0005-0000-0000-00009D020000}"/>
    <cellStyle name="Normal 13 3 3" xfId="420" xr:uid="{00000000-0005-0000-0000-00009E020000}"/>
    <cellStyle name="Normal 13 3 3 2" xfId="421" xr:uid="{00000000-0005-0000-0000-00009F020000}"/>
    <cellStyle name="Normal 13 3 4" xfId="422" xr:uid="{00000000-0005-0000-0000-0000A0020000}"/>
    <cellStyle name="Normal 13 3 4 2" xfId="423" xr:uid="{00000000-0005-0000-0000-0000A1020000}"/>
    <cellStyle name="Normal 13 3 5" xfId="424" xr:uid="{00000000-0005-0000-0000-0000A2020000}"/>
    <cellStyle name="Normal 13 3 5 2" xfId="425" xr:uid="{00000000-0005-0000-0000-0000A3020000}"/>
    <cellStyle name="Normal 13 3 6" xfId="426" xr:uid="{00000000-0005-0000-0000-0000A4020000}"/>
    <cellStyle name="Normal 13 3 6 2" xfId="427" xr:uid="{00000000-0005-0000-0000-0000A5020000}"/>
    <cellStyle name="Normal 13 3 7" xfId="428" xr:uid="{00000000-0005-0000-0000-0000A6020000}"/>
    <cellStyle name="Normal 13 3 7 2" xfId="429" xr:uid="{00000000-0005-0000-0000-0000A7020000}"/>
    <cellStyle name="Normal 13 3 8" xfId="430" xr:uid="{00000000-0005-0000-0000-0000A8020000}"/>
    <cellStyle name="Normal 13 3 8 2" xfId="431" xr:uid="{00000000-0005-0000-0000-0000A9020000}"/>
    <cellStyle name="Normal 13 3 9" xfId="432" xr:uid="{00000000-0005-0000-0000-0000AA020000}"/>
    <cellStyle name="Normal 13 4" xfId="433" xr:uid="{00000000-0005-0000-0000-0000AB020000}"/>
    <cellStyle name="Normal 13 4 2" xfId="434" xr:uid="{00000000-0005-0000-0000-0000AC020000}"/>
    <cellStyle name="Normal 13 5" xfId="435" xr:uid="{00000000-0005-0000-0000-0000AD020000}"/>
    <cellStyle name="Normal 13 5 2" xfId="436" xr:uid="{00000000-0005-0000-0000-0000AE020000}"/>
    <cellStyle name="Normal 13 6" xfId="437" xr:uid="{00000000-0005-0000-0000-0000AF020000}"/>
    <cellStyle name="Normal 13 6 2" xfId="438" xr:uid="{00000000-0005-0000-0000-0000B0020000}"/>
    <cellStyle name="Normal 13 7" xfId="439" xr:uid="{00000000-0005-0000-0000-0000B1020000}"/>
    <cellStyle name="Normal 13 7 2" xfId="440" xr:uid="{00000000-0005-0000-0000-0000B2020000}"/>
    <cellStyle name="Normal 13 8" xfId="441" xr:uid="{00000000-0005-0000-0000-0000B3020000}"/>
    <cellStyle name="Normal 13 8 2" xfId="442" xr:uid="{00000000-0005-0000-0000-0000B4020000}"/>
    <cellStyle name="Normal 13 9" xfId="443" xr:uid="{00000000-0005-0000-0000-0000B5020000}"/>
    <cellStyle name="Normal 13 9 2" xfId="444" xr:uid="{00000000-0005-0000-0000-0000B6020000}"/>
    <cellStyle name="Normal 14" xfId="445" xr:uid="{00000000-0005-0000-0000-0000B7020000}"/>
    <cellStyle name="Normal 14 2" xfId="446" xr:uid="{00000000-0005-0000-0000-0000B8020000}"/>
    <cellStyle name="Normal 14 2 2" xfId="447" xr:uid="{00000000-0005-0000-0000-0000B9020000}"/>
    <cellStyle name="Normal 14 3" xfId="448" xr:uid="{00000000-0005-0000-0000-0000BA020000}"/>
    <cellStyle name="Normal 14 3 2" xfId="449" xr:uid="{00000000-0005-0000-0000-0000BB020000}"/>
    <cellStyle name="Normal 14 4" xfId="450" xr:uid="{00000000-0005-0000-0000-0000BC020000}"/>
    <cellStyle name="Normal 14 4 2" xfId="451" xr:uid="{00000000-0005-0000-0000-0000BD020000}"/>
    <cellStyle name="Normal 14 5" xfId="452" xr:uid="{00000000-0005-0000-0000-0000BE020000}"/>
    <cellStyle name="Normal 14 5 2" xfId="453" xr:uid="{00000000-0005-0000-0000-0000BF020000}"/>
    <cellStyle name="Normal 14 6" xfId="454" xr:uid="{00000000-0005-0000-0000-0000C0020000}"/>
    <cellStyle name="Normal 14 6 2" xfId="455" xr:uid="{00000000-0005-0000-0000-0000C1020000}"/>
    <cellStyle name="Normal 14 7" xfId="456" xr:uid="{00000000-0005-0000-0000-0000C2020000}"/>
    <cellStyle name="Normal 14 7 2" xfId="457" xr:uid="{00000000-0005-0000-0000-0000C3020000}"/>
    <cellStyle name="Normal 14 8" xfId="458" xr:uid="{00000000-0005-0000-0000-0000C4020000}"/>
    <cellStyle name="Normal 15" xfId="459" xr:uid="{00000000-0005-0000-0000-0000C5020000}"/>
    <cellStyle name="Normal 15 2" xfId="460" xr:uid="{00000000-0005-0000-0000-0000C6020000}"/>
    <cellStyle name="Normal 15 2 2" xfId="461" xr:uid="{00000000-0005-0000-0000-0000C7020000}"/>
    <cellStyle name="Normal 15 3" xfId="462" xr:uid="{00000000-0005-0000-0000-0000C8020000}"/>
    <cellStyle name="Normal 15 3 2" xfId="463" xr:uid="{00000000-0005-0000-0000-0000C9020000}"/>
    <cellStyle name="Normal 15 4" xfId="464" xr:uid="{00000000-0005-0000-0000-0000CA020000}"/>
    <cellStyle name="Normal 15 4 2" xfId="465" xr:uid="{00000000-0005-0000-0000-0000CB020000}"/>
    <cellStyle name="Normal 15 5" xfId="466" xr:uid="{00000000-0005-0000-0000-0000CC020000}"/>
    <cellStyle name="Normal 15 5 2" xfId="467" xr:uid="{00000000-0005-0000-0000-0000CD020000}"/>
    <cellStyle name="Normal 15 6" xfId="468" xr:uid="{00000000-0005-0000-0000-0000CE020000}"/>
    <cellStyle name="Normal 15 6 2" xfId="469" xr:uid="{00000000-0005-0000-0000-0000CF020000}"/>
    <cellStyle name="Normal 15 7" xfId="470" xr:uid="{00000000-0005-0000-0000-0000D0020000}"/>
    <cellStyle name="Normal 15 7 2" xfId="471" xr:uid="{00000000-0005-0000-0000-0000D1020000}"/>
    <cellStyle name="Normal 15 8" xfId="472" xr:uid="{00000000-0005-0000-0000-0000D2020000}"/>
    <cellStyle name="Normal 16" xfId="473" xr:uid="{00000000-0005-0000-0000-0000D3020000}"/>
    <cellStyle name="Normal 16 2" xfId="474" xr:uid="{00000000-0005-0000-0000-0000D4020000}"/>
    <cellStyle name="Normal 16 2 2" xfId="475" xr:uid="{00000000-0005-0000-0000-0000D5020000}"/>
    <cellStyle name="Normal 16 3" xfId="476" xr:uid="{00000000-0005-0000-0000-0000D6020000}"/>
    <cellStyle name="Normal 16 3 2" xfId="477" xr:uid="{00000000-0005-0000-0000-0000D7020000}"/>
    <cellStyle name="Normal 16 4" xfId="478" xr:uid="{00000000-0005-0000-0000-0000D8020000}"/>
    <cellStyle name="Normal 16 4 2" xfId="479" xr:uid="{00000000-0005-0000-0000-0000D9020000}"/>
    <cellStyle name="Normal 16 5" xfId="480" xr:uid="{00000000-0005-0000-0000-0000DA020000}"/>
    <cellStyle name="Normal 16 5 2" xfId="481" xr:uid="{00000000-0005-0000-0000-0000DB020000}"/>
    <cellStyle name="Normal 16 6" xfId="482" xr:uid="{00000000-0005-0000-0000-0000DC020000}"/>
    <cellStyle name="Normal 16 6 2" xfId="483" xr:uid="{00000000-0005-0000-0000-0000DD020000}"/>
    <cellStyle name="Normal 16 7" xfId="484" xr:uid="{00000000-0005-0000-0000-0000DE020000}"/>
    <cellStyle name="Normal 16 7 2" xfId="485" xr:uid="{00000000-0005-0000-0000-0000DF020000}"/>
    <cellStyle name="Normal 16 8" xfId="486" xr:uid="{00000000-0005-0000-0000-0000E0020000}"/>
    <cellStyle name="Normal 17" xfId="487" xr:uid="{00000000-0005-0000-0000-0000E1020000}"/>
    <cellStyle name="Normal 17 2" xfId="488" xr:uid="{00000000-0005-0000-0000-0000E2020000}"/>
    <cellStyle name="Normal 17 2 2" xfId="489" xr:uid="{00000000-0005-0000-0000-0000E3020000}"/>
    <cellStyle name="Normal 17 2 2 2" xfId="490" xr:uid="{00000000-0005-0000-0000-0000E4020000}"/>
    <cellStyle name="Normal 17 2 3" xfId="491" xr:uid="{00000000-0005-0000-0000-0000E5020000}"/>
    <cellStyle name="Normal 17 2 3 2" xfId="492" xr:uid="{00000000-0005-0000-0000-0000E6020000}"/>
    <cellStyle name="Normal 17 2 4" xfId="493" xr:uid="{00000000-0005-0000-0000-0000E7020000}"/>
    <cellStyle name="Normal 17 2 4 2" xfId="494" xr:uid="{00000000-0005-0000-0000-0000E8020000}"/>
    <cellStyle name="Normal 17 2 5" xfId="495" xr:uid="{00000000-0005-0000-0000-0000E9020000}"/>
    <cellStyle name="Normal 17 2 5 2" xfId="496" xr:uid="{00000000-0005-0000-0000-0000EA020000}"/>
    <cellStyle name="Normal 17 2 6" xfId="497" xr:uid="{00000000-0005-0000-0000-0000EB020000}"/>
    <cellStyle name="Normal 17 2 6 2" xfId="498" xr:uid="{00000000-0005-0000-0000-0000EC020000}"/>
    <cellStyle name="Normal 17 2 7" xfId="499" xr:uid="{00000000-0005-0000-0000-0000ED020000}"/>
    <cellStyle name="Normal 17 2 7 2" xfId="500" xr:uid="{00000000-0005-0000-0000-0000EE020000}"/>
    <cellStyle name="Normal 17 2 8" xfId="501" xr:uid="{00000000-0005-0000-0000-0000EF020000}"/>
    <cellStyle name="Normal 17 3" xfId="502" xr:uid="{00000000-0005-0000-0000-0000F0020000}"/>
    <cellStyle name="Normal 17 3 2" xfId="503" xr:uid="{00000000-0005-0000-0000-0000F1020000}"/>
    <cellStyle name="Normal 17 4" xfId="504" xr:uid="{00000000-0005-0000-0000-0000F2020000}"/>
    <cellStyle name="Normal 17 4 2" xfId="505" xr:uid="{00000000-0005-0000-0000-0000F3020000}"/>
    <cellStyle name="Normal 17 5" xfId="506" xr:uid="{00000000-0005-0000-0000-0000F4020000}"/>
    <cellStyle name="Normal 17 5 2" xfId="507" xr:uid="{00000000-0005-0000-0000-0000F5020000}"/>
    <cellStyle name="Normal 17 6" xfId="508" xr:uid="{00000000-0005-0000-0000-0000F6020000}"/>
    <cellStyle name="Normal 17 6 2" xfId="509" xr:uid="{00000000-0005-0000-0000-0000F7020000}"/>
    <cellStyle name="Normal 17 7" xfId="510" xr:uid="{00000000-0005-0000-0000-0000F8020000}"/>
    <cellStyle name="Normal 17 7 2" xfId="511" xr:uid="{00000000-0005-0000-0000-0000F9020000}"/>
    <cellStyle name="Normal 17 8" xfId="512" xr:uid="{00000000-0005-0000-0000-0000FA020000}"/>
    <cellStyle name="Normal 17 8 2" xfId="513" xr:uid="{00000000-0005-0000-0000-0000FB020000}"/>
    <cellStyle name="Normal 17 9" xfId="514" xr:uid="{00000000-0005-0000-0000-0000FC020000}"/>
    <cellStyle name="Normal 18" xfId="515" xr:uid="{00000000-0005-0000-0000-0000FD020000}"/>
    <cellStyle name="Normal 18 2" xfId="516" xr:uid="{00000000-0005-0000-0000-0000FE020000}"/>
    <cellStyle name="Normal 18 2 2" xfId="517" xr:uid="{00000000-0005-0000-0000-0000FF020000}"/>
    <cellStyle name="Normal 18 3" xfId="518" xr:uid="{00000000-0005-0000-0000-000000030000}"/>
    <cellStyle name="Normal 18 3 2" xfId="519" xr:uid="{00000000-0005-0000-0000-000001030000}"/>
    <cellStyle name="Normal 18 4" xfId="520" xr:uid="{00000000-0005-0000-0000-000002030000}"/>
    <cellStyle name="Normal 18 4 2" xfId="521" xr:uid="{00000000-0005-0000-0000-000003030000}"/>
    <cellStyle name="Normal 18 5" xfId="522" xr:uid="{00000000-0005-0000-0000-000004030000}"/>
    <cellStyle name="Normal 18 5 2" xfId="523" xr:uid="{00000000-0005-0000-0000-000005030000}"/>
    <cellStyle name="Normal 18 6" xfId="524" xr:uid="{00000000-0005-0000-0000-000006030000}"/>
    <cellStyle name="Normal 18 6 2" xfId="525" xr:uid="{00000000-0005-0000-0000-000007030000}"/>
    <cellStyle name="Normal 18 7" xfId="526" xr:uid="{00000000-0005-0000-0000-000008030000}"/>
    <cellStyle name="Normal 18 7 2" xfId="527" xr:uid="{00000000-0005-0000-0000-000009030000}"/>
    <cellStyle name="Normal 18 8" xfId="528" xr:uid="{00000000-0005-0000-0000-00000A030000}"/>
    <cellStyle name="Normal 19" xfId="529" xr:uid="{00000000-0005-0000-0000-00000B030000}"/>
    <cellStyle name="Normal 19 2" xfId="530" xr:uid="{00000000-0005-0000-0000-00000C030000}"/>
    <cellStyle name="Normal 19 2 2" xfId="531" xr:uid="{00000000-0005-0000-0000-00000D030000}"/>
    <cellStyle name="Normal 19 3" xfId="532" xr:uid="{00000000-0005-0000-0000-00000E030000}"/>
    <cellStyle name="Normal 19 3 2" xfId="533" xr:uid="{00000000-0005-0000-0000-00000F030000}"/>
    <cellStyle name="Normal 19 4" xfId="534" xr:uid="{00000000-0005-0000-0000-000010030000}"/>
    <cellStyle name="Normal 19 4 2" xfId="535" xr:uid="{00000000-0005-0000-0000-000011030000}"/>
    <cellStyle name="Normal 19 5" xfId="536" xr:uid="{00000000-0005-0000-0000-000012030000}"/>
    <cellStyle name="Normal 19 5 2" xfId="537" xr:uid="{00000000-0005-0000-0000-000013030000}"/>
    <cellStyle name="Normal 19 6" xfId="538" xr:uid="{00000000-0005-0000-0000-000014030000}"/>
    <cellStyle name="Normal 19 6 2" xfId="539" xr:uid="{00000000-0005-0000-0000-000015030000}"/>
    <cellStyle name="Normal 19 7" xfId="540" xr:uid="{00000000-0005-0000-0000-000016030000}"/>
    <cellStyle name="Normal 19 7 2" xfId="541" xr:uid="{00000000-0005-0000-0000-000017030000}"/>
    <cellStyle name="Normal 19 8" xfId="542" xr:uid="{00000000-0005-0000-0000-000018030000}"/>
    <cellStyle name="Normal 2" xfId="6" xr:uid="{00000000-0005-0000-0000-000019030000}"/>
    <cellStyle name="Normal 2 10" xfId="543" xr:uid="{00000000-0005-0000-0000-00001A030000}"/>
    <cellStyle name="Normal 2 11" xfId="544" xr:uid="{00000000-0005-0000-0000-00001B030000}"/>
    <cellStyle name="Normal 2 12" xfId="849" xr:uid="{00000000-0005-0000-0000-00001C030000}"/>
    <cellStyle name="Normal 2 13" xfId="99" xr:uid="{00000000-0005-0000-0000-00001D030000}"/>
    <cellStyle name="Normal 2 2" xfId="3" xr:uid="{00000000-0005-0000-0000-00001E030000}"/>
    <cellStyle name="Normal 2 2 10" xfId="545" xr:uid="{00000000-0005-0000-0000-00001F030000}"/>
    <cellStyle name="Normal 2 2 11" xfId="111" xr:uid="{00000000-0005-0000-0000-000020030000}"/>
    <cellStyle name="Normal 2 2 2" xfId="546" xr:uid="{00000000-0005-0000-0000-000021030000}"/>
    <cellStyle name="Normal 2 2 2 10" xfId="547" xr:uid="{00000000-0005-0000-0000-000022030000}"/>
    <cellStyle name="Normal 2 2 2 10 2" xfId="548" xr:uid="{00000000-0005-0000-0000-000023030000}"/>
    <cellStyle name="Normal 2 2 2 11" xfId="549" xr:uid="{00000000-0005-0000-0000-000024030000}"/>
    <cellStyle name="Normal 2 2 2 11 2" xfId="550" xr:uid="{00000000-0005-0000-0000-000025030000}"/>
    <cellStyle name="Normal 2 2 2 12" xfId="551" xr:uid="{00000000-0005-0000-0000-000026030000}"/>
    <cellStyle name="Normal 2 2 2 12 2" xfId="552" xr:uid="{00000000-0005-0000-0000-000027030000}"/>
    <cellStyle name="Normal 2 2 2 13" xfId="553" xr:uid="{00000000-0005-0000-0000-000028030000}"/>
    <cellStyle name="Normal 2 2 2 13 2" xfId="554" xr:uid="{00000000-0005-0000-0000-000029030000}"/>
    <cellStyle name="Normal 2 2 2 14" xfId="555" xr:uid="{00000000-0005-0000-0000-00002A030000}"/>
    <cellStyle name="Normal 2 2 2 2" xfId="556" xr:uid="{00000000-0005-0000-0000-00002B030000}"/>
    <cellStyle name="Normal 2 2 2 2 2" xfId="557" xr:uid="{00000000-0005-0000-0000-00002C030000}"/>
    <cellStyle name="Normal 2 2 2 2 2 2" xfId="558" xr:uid="{00000000-0005-0000-0000-00002D030000}"/>
    <cellStyle name="Normal 2 2 2 2 2 2 2" xfId="559" xr:uid="{00000000-0005-0000-0000-00002E030000}"/>
    <cellStyle name="Normal 2 2 2 2 2 3" xfId="560" xr:uid="{00000000-0005-0000-0000-00002F030000}"/>
    <cellStyle name="Normal 2 2 2 2 2 3 2" xfId="561" xr:uid="{00000000-0005-0000-0000-000030030000}"/>
    <cellStyle name="Normal 2 2 2 2 2 4" xfId="562" xr:uid="{00000000-0005-0000-0000-000031030000}"/>
    <cellStyle name="Normal 2 2 2 2 2 4 2" xfId="563" xr:uid="{00000000-0005-0000-0000-000032030000}"/>
    <cellStyle name="Normal 2 2 2 2 2 5" xfId="564" xr:uid="{00000000-0005-0000-0000-000033030000}"/>
    <cellStyle name="Normal 2 2 2 2 2 5 2" xfId="565" xr:uid="{00000000-0005-0000-0000-000034030000}"/>
    <cellStyle name="Normal 2 2 2 2 2 6" xfId="566" xr:uid="{00000000-0005-0000-0000-000035030000}"/>
    <cellStyle name="Normal 2 2 2 2 2 6 2" xfId="567" xr:uid="{00000000-0005-0000-0000-000036030000}"/>
    <cellStyle name="Normal 2 2 2 2 2 7" xfId="568" xr:uid="{00000000-0005-0000-0000-000037030000}"/>
    <cellStyle name="Normal 2 2 2 2 2 7 2" xfId="569" xr:uid="{00000000-0005-0000-0000-000038030000}"/>
    <cellStyle name="Normal 2 2 2 2 2 8" xfId="570" xr:uid="{00000000-0005-0000-0000-000039030000}"/>
    <cellStyle name="Normal 2 2 2 2 3" xfId="571" xr:uid="{00000000-0005-0000-0000-00003A030000}"/>
    <cellStyle name="Normal 2 2 2 2 3 2" xfId="572" xr:uid="{00000000-0005-0000-0000-00003B030000}"/>
    <cellStyle name="Normal 2 2 2 2 4" xfId="573" xr:uid="{00000000-0005-0000-0000-00003C030000}"/>
    <cellStyle name="Normal 2 2 2 2 4 2" xfId="574" xr:uid="{00000000-0005-0000-0000-00003D030000}"/>
    <cellStyle name="Normal 2 2 2 2 5" xfId="575" xr:uid="{00000000-0005-0000-0000-00003E030000}"/>
    <cellStyle name="Normal 2 2 2 2 5 2" xfId="576" xr:uid="{00000000-0005-0000-0000-00003F030000}"/>
    <cellStyle name="Normal 2 2 2 2 6" xfId="577" xr:uid="{00000000-0005-0000-0000-000040030000}"/>
    <cellStyle name="Normal 2 2 2 2 6 2" xfId="578" xr:uid="{00000000-0005-0000-0000-000041030000}"/>
    <cellStyle name="Normal 2 2 2 2 7" xfId="579" xr:uid="{00000000-0005-0000-0000-000042030000}"/>
    <cellStyle name="Normal 2 2 2 2 7 2" xfId="580" xr:uid="{00000000-0005-0000-0000-000043030000}"/>
    <cellStyle name="Normal 2 2 2 2 8" xfId="581" xr:uid="{00000000-0005-0000-0000-000044030000}"/>
    <cellStyle name="Normal 2 2 2 2 8 2" xfId="582" xr:uid="{00000000-0005-0000-0000-000045030000}"/>
    <cellStyle name="Normal 2 2 2 2 9" xfId="583" xr:uid="{00000000-0005-0000-0000-000046030000}"/>
    <cellStyle name="Normal 2 2 2 3" xfId="584" xr:uid="{00000000-0005-0000-0000-000047030000}"/>
    <cellStyle name="Normal 2 2 2 3 2" xfId="585" xr:uid="{00000000-0005-0000-0000-000048030000}"/>
    <cellStyle name="Normal 2 2 2 3 2 2" xfId="586" xr:uid="{00000000-0005-0000-0000-000049030000}"/>
    <cellStyle name="Normal 2 2 2 3 3" xfId="587" xr:uid="{00000000-0005-0000-0000-00004A030000}"/>
    <cellStyle name="Normal 2 2 2 3 3 2" xfId="588" xr:uid="{00000000-0005-0000-0000-00004B030000}"/>
    <cellStyle name="Normal 2 2 2 3 4" xfId="589" xr:uid="{00000000-0005-0000-0000-00004C030000}"/>
    <cellStyle name="Normal 2 2 2 3 4 2" xfId="590" xr:uid="{00000000-0005-0000-0000-00004D030000}"/>
    <cellStyle name="Normal 2 2 2 3 5" xfId="591" xr:uid="{00000000-0005-0000-0000-00004E030000}"/>
    <cellStyle name="Normal 2 2 2 3 5 2" xfId="592" xr:uid="{00000000-0005-0000-0000-00004F030000}"/>
    <cellStyle name="Normal 2 2 2 3 6" xfId="593" xr:uid="{00000000-0005-0000-0000-000050030000}"/>
    <cellStyle name="Normal 2 2 2 3 6 2" xfId="594" xr:uid="{00000000-0005-0000-0000-000051030000}"/>
    <cellStyle name="Normal 2 2 2 3 7" xfId="595" xr:uid="{00000000-0005-0000-0000-000052030000}"/>
    <cellStyle name="Normal 2 2 2 3 7 2" xfId="596" xr:uid="{00000000-0005-0000-0000-000053030000}"/>
    <cellStyle name="Normal 2 2 2 3 8" xfId="597" xr:uid="{00000000-0005-0000-0000-000054030000}"/>
    <cellStyle name="Normal 2 2 2 4" xfId="598" xr:uid="{00000000-0005-0000-0000-000055030000}"/>
    <cellStyle name="Normal 2 2 2 4 2" xfId="599" xr:uid="{00000000-0005-0000-0000-000056030000}"/>
    <cellStyle name="Normal 2 2 2 4 2 2" xfId="600" xr:uid="{00000000-0005-0000-0000-000057030000}"/>
    <cellStyle name="Normal 2 2 2 4 3" xfId="601" xr:uid="{00000000-0005-0000-0000-000058030000}"/>
    <cellStyle name="Normal 2 2 2 4 3 2" xfId="602" xr:uid="{00000000-0005-0000-0000-000059030000}"/>
    <cellStyle name="Normal 2 2 2 4 4" xfId="603" xr:uid="{00000000-0005-0000-0000-00005A030000}"/>
    <cellStyle name="Normal 2 2 2 4 4 2" xfId="604" xr:uid="{00000000-0005-0000-0000-00005B030000}"/>
    <cellStyle name="Normal 2 2 2 4 5" xfId="605" xr:uid="{00000000-0005-0000-0000-00005C030000}"/>
    <cellStyle name="Normal 2 2 2 4 5 2" xfId="606" xr:uid="{00000000-0005-0000-0000-00005D030000}"/>
    <cellStyle name="Normal 2 2 2 4 6" xfId="607" xr:uid="{00000000-0005-0000-0000-00005E030000}"/>
    <cellStyle name="Normal 2 2 2 4 6 2" xfId="608" xr:uid="{00000000-0005-0000-0000-00005F030000}"/>
    <cellStyle name="Normal 2 2 2 4 7" xfId="609" xr:uid="{00000000-0005-0000-0000-000060030000}"/>
    <cellStyle name="Normal 2 2 2 4 7 2" xfId="610" xr:uid="{00000000-0005-0000-0000-000061030000}"/>
    <cellStyle name="Normal 2 2 2 4 8" xfId="611" xr:uid="{00000000-0005-0000-0000-000062030000}"/>
    <cellStyle name="Normal 2 2 2 5" xfId="612" xr:uid="{00000000-0005-0000-0000-000063030000}"/>
    <cellStyle name="Normal 2 2 2 5 2" xfId="613" xr:uid="{00000000-0005-0000-0000-000064030000}"/>
    <cellStyle name="Normal 2 2 2 5 2 2" xfId="614" xr:uid="{00000000-0005-0000-0000-000065030000}"/>
    <cellStyle name="Normal 2 2 2 5 3" xfId="615" xr:uid="{00000000-0005-0000-0000-000066030000}"/>
    <cellStyle name="Normal 2 2 2 5 3 2" xfId="616" xr:uid="{00000000-0005-0000-0000-000067030000}"/>
    <cellStyle name="Normal 2 2 2 5 4" xfId="617" xr:uid="{00000000-0005-0000-0000-000068030000}"/>
    <cellStyle name="Normal 2 2 2 5 4 2" xfId="618" xr:uid="{00000000-0005-0000-0000-000069030000}"/>
    <cellStyle name="Normal 2 2 2 5 5" xfId="619" xr:uid="{00000000-0005-0000-0000-00006A030000}"/>
    <cellStyle name="Normal 2 2 2 5 5 2" xfId="620" xr:uid="{00000000-0005-0000-0000-00006B030000}"/>
    <cellStyle name="Normal 2 2 2 5 6" xfId="621" xr:uid="{00000000-0005-0000-0000-00006C030000}"/>
    <cellStyle name="Normal 2 2 2 5 6 2" xfId="622" xr:uid="{00000000-0005-0000-0000-00006D030000}"/>
    <cellStyle name="Normal 2 2 2 5 7" xfId="623" xr:uid="{00000000-0005-0000-0000-00006E030000}"/>
    <cellStyle name="Normal 2 2 2 5 7 2" xfId="624" xr:uid="{00000000-0005-0000-0000-00006F030000}"/>
    <cellStyle name="Normal 2 2 2 5 8" xfId="625" xr:uid="{00000000-0005-0000-0000-000070030000}"/>
    <cellStyle name="Normal 2 2 2 6" xfId="626" xr:uid="{00000000-0005-0000-0000-000071030000}"/>
    <cellStyle name="Normal 2 2 2 6 2" xfId="627" xr:uid="{00000000-0005-0000-0000-000072030000}"/>
    <cellStyle name="Normal 2 2 2 6 2 2" xfId="628" xr:uid="{00000000-0005-0000-0000-000073030000}"/>
    <cellStyle name="Normal 2 2 2 6 3" xfId="629" xr:uid="{00000000-0005-0000-0000-000074030000}"/>
    <cellStyle name="Normal 2 2 2 6 3 2" xfId="630" xr:uid="{00000000-0005-0000-0000-000075030000}"/>
    <cellStyle name="Normal 2 2 2 6 4" xfId="631" xr:uid="{00000000-0005-0000-0000-000076030000}"/>
    <cellStyle name="Normal 2 2 2 6 4 2" xfId="632" xr:uid="{00000000-0005-0000-0000-000077030000}"/>
    <cellStyle name="Normal 2 2 2 6 5" xfId="633" xr:uid="{00000000-0005-0000-0000-000078030000}"/>
    <cellStyle name="Normal 2 2 2 6 5 2" xfId="634" xr:uid="{00000000-0005-0000-0000-000079030000}"/>
    <cellStyle name="Normal 2 2 2 6 6" xfId="635" xr:uid="{00000000-0005-0000-0000-00007A030000}"/>
    <cellStyle name="Normal 2 2 2 6 6 2" xfId="636" xr:uid="{00000000-0005-0000-0000-00007B030000}"/>
    <cellStyle name="Normal 2 2 2 6 7" xfId="637" xr:uid="{00000000-0005-0000-0000-00007C030000}"/>
    <cellStyle name="Normal 2 2 2 6 7 2" xfId="638" xr:uid="{00000000-0005-0000-0000-00007D030000}"/>
    <cellStyle name="Normal 2 2 2 6 8" xfId="639" xr:uid="{00000000-0005-0000-0000-00007E030000}"/>
    <cellStyle name="Normal 2 2 2 7" xfId="640" xr:uid="{00000000-0005-0000-0000-00007F030000}"/>
    <cellStyle name="Normal 2 2 2 7 2" xfId="641" xr:uid="{00000000-0005-0000-0000-000080030000}"/>
    <cellStyle name="Normal 2 2 2 7 2 2" xfId="642" xr:uid="{00000000-0005-0000-0000-000081030000}"/>
    <cellStyle name="Normal 2 2 2 7 3" xfId="643" xr:uid="{00000000-0005-0000-0000-000082030000}"/>
    <cellStyle name="Normal 2 2 2 7 3 2" xfId="644" xr:uid="{00000000-0005-0000-0000-000083030000}"/>
    <cellStyle name="Normal 2 2 2 7 4" xfId="645" xr:uid="{00000000-0005-0000-0000-000084030000}"/>
    <cellStyle name="Normal 2 2 2 7 4 2" xfId="646" xr:uid="{00000000-0005-0000-0000-000085030000}"/>
    <cellStyle name="Normal 2 2 2 7 5" xfId="647" xr:uid="{00000000-0005-0000-0000-000086030000}"/>
    <cellStyle name="Normal 2 2 2 7 5 2" xfId="648" xr:uid="{00000000-0005-0000-0000-000087030000}"/>
    <cellStyle name="Normal 2 2 2 7 6" xfId="649" xr:uid="{00000000-0005-0000-0000-000088030000}"/>
    <cellStyle name="Normal 2 2 2 7 6 2" xfId="650" xr:uid="{00000000-0005-0000-0000-000089030000}"/>
    <cellStyle name="Normal 2 2 2 7 7" xfId="651" xr:uid="{00000000-0005-0000-0000-00008A030000}"/>
    <cellStyle name="Normal 2 2 2 7 7 2" xfId="652" xr:uid="{00000000-0005-0000-0000-00008B030000}"/>
    <cellStyle name="Normal 2 2 2 7 8" xfId="653" xr:uid="{00000000-0005-0000-0000-00008C030000}"/>
    <cellStyle name="Normal 2 2 2 8" xfId="654" xr:uid="{00000000-0005-0000-0000-00008D030000}"/>
    <cellStyle name="Normal 2 2 2 8 2" xfId="655" xr:uid="{00000000-0005-0000-0000-00008E030000}"/>
    <cellStyle name="Normal 2 2 2 9" xfId="656" xr:uid="{00000000-0005-0000-0000-00008F030000}"/>
    <cellStyle name="Normal 2 2 2 9 2" xfId="657" xr:uid="{00000000-0005-0000-0000-000090030000}"/>
    <cellStyle name="Normal 2 2 3" xfId="658" xr:uid="{00000000-0005-0000-0000-000091030000}"/>
    <cellStyle name="Normal 2 2 3 2" xfId="659" xr:uid="{00000000-0005-0000-0000-000092030000}"/>
    <cellStyle name="Normal 2 2 4" xfId="660" xr:uid="{00000000-0005-0000-0000-000093030000}"/>
    <cellStyle name="Normal 2 2 4 2" xfId="661" xr:uid="{00000000-0005-0000-0000-000094030000}"/>
    <cellStyle name="Normal 2 2 5" xfId="662" xr:uid="{00000000-0005-0000-0000-000095030000}"/>
    <cellStyle name="Normal 2 2 5 2" xfId="663" xr:uid="{00000000-0005-0000-0000-000096030000}"/>
    <cellStyle name="Normal 2 2 6" xfId="664" xr:uid="{00000000-0005-0000-0000-000097030000}"/>
    <cellStyle name="Normal 2 2 6 2" xfId="665" xr:uid="{00000000-0005-0000-0000-000098030000}"/>
    <cellStyle name="Normal 2 2 7" xfId="666" xr:uid="{00000000-0005-0000-0000-000099030000}"/>
    <cellStyle name="Normal 2 2 8" xfId="667" xr:uid="{00000000-0005-0000-0000-00009A030000}"/>
    <cellStyle name="Normal 2 2 9" xfId="852" xr:uid="{00000000-0005-0000-0000-00009B030000}"/>
    <cellStyle name="Normal 2 3" xfId="110" xr:uid="{00000000-0005-0000-0000-00009C030000}"/>
    <cellStyle name="Normal 2 4" xfId="668" xr:uid="{00000000-0005-0000-0000-00009D030000}"/>
    <cellStyle name="Normal 2 5" xfId="669" xr:uid="{00000000-0005-0000-0000-00009E030000}"/>
    <cellStyle name="Normal 2 6" xfId="670" xr:uid="{00000000-0005-0000-0000-00009F030000}"/>
    <cellStyle name="Normal 2 7" xfId="671" xr:uid="{00000000-0005-0000-0000-0000A0030000}"/>
    <cellStyle name="Normal 2 8" xfId="672" xr:uid="{00000000-0005-0000-0000-0000A1030000}"/>
    <cellStyle name="Normal 2 9" xfId="673" xr:uid="{00000000-0005-0000-0000-0000A2030000}"/>
    <cellStyle name="Normal 20" xfId="674" xr:uid="{00000000-0005-0000-0000-0000A3030000}"/>
    <cellStyle name="Normal 20 10" xfId="675" xr:uid="{00000000-0005-0000-0000-0000A4030000}"/>
    <cellStyle name="Normal 20 2" xfId="676" xr:uid="{00000000-0005-0000-0000-0000A5030000}"/>
    <cellStyle name="Normal 20 2 2" xfId="677" xr:uid="{00000000-0005-0000-0000-0000A6030000}"/>
    <cellStyle name="Normal 20 2 2 2" xfId="678" xr:uid="{00000000-0005-0000-0000-0000A7030000}"/>
    <cellStyle name="Normal 20 2 3" xfId="679" xr:uid="{00000000-0005-0000-0000-0000A8030000}"/>
    <cellStyle name="Normal 20 2 3 2" xfId="680" xr:uid="{00000000-0005-0000-0000-0000A9030000}"/>
    <cellStyle name="Normal 20 2 4" xfId="681" xr:uid="{00000000-0005-0000-0000-0000AA030000}"/>
    <cellStyle name="Normal 20 2 4 2" xfId="682" xr:uid="{00000000-0005-0000-0000-0000AB030000}"/>
    <cellStyle name="Normal 20 2 5" xfId="683" xr:uid="{00000000-0005-0000-0000-0000AC030000}"/>
    <cellStyle name="Normal 20 2 5 2" xfId="684" xr:uid="{00000000-0005-0000-0000-0000AD030000}"/>
    <cellStyle name="Normal 20 2 6" xfId="685" xr:uid="{00000000-0005-0000-0000-0000AE030000}"/>
    <cellStyle name="Normal 20 2 6 2" xfId="686" xr:uid="{00000000-0005-0000-0000-0000AF030000}"/>
    <cellStyle name="Normal 20 2 7" xfId="687" xr:uid="{00000000-0005-0000-0000-0000B0030000}"/>
    <cellStyle name="Normal 20 2 7 2" xfId="688" xr:uid="{00000000-0005-0000-0000-0000B1030000}"/>
    <cellStyle name="Normal 20 2 8" xfId="689" xr:uid="{00000000-0005-0000-0000-0000B2030000}"/>
    <cellStyle name="Normal 20 3" xfId="690" xr:uid="{00000000-0005-0000-0000-0000B3030000}"/>
    <cellStyle name="Normal 20 3 2" xfId="691" xr:uid="{00000000-0005-0000-0000-0000B4030000}"/>
    <cellStyle name="Normal 20 3 2 2" xfId="692" xr:uid="{00000000-0005-0000-0000-0000B5030000}"/>
    <cellStyle name="Normal 20 3 3" xfId="693" xr:uid="{00000000-0005-0000-0000-0000B6030000}"/>
    <cellStyle name="Normal 20 3 3 2" xfId="694" xr:uid="{00000000-0005-0000-0000-0000B7030000}"/>
    <cellStyle name="Normal 20 3 4" xfId="695" xr:uid="{00000000-0005-0000-0000-0000B8030000}"/>
    <cellStyle name="Normal 20 3 4 2" xfId="696" xr:uid="{00000000-0005-0000-0000-0000B9030000}"/>
    <cellStyle name="Normal 20 3 5" xfId="697" xr:uid="{00000000-0005-0000-0000-0000BA030000}"/>
    <cellStyle name="Normal 20 3 5 2" xfId="698" xr:uid="{00000000-0005-0000-0000-0000BB030000}"/>
    <cellStyle name="Normal 20 3 6" xfId="699" xr:uid="{00000000-0005-0000-0000-0000BC030000}"/>
    <cellStyle name="Normal 20 3 6 2" xfId="700" xr:uid="{00000000-0005-0000-0000-0000BD030000}"/>
    <cellStyle name="Normal 20 3 7" xfId="701" xr:uid="{00000000-0005-0000-0000-0000BE030000}"/>
    <cellStyle name="Normal 20 3 7 2" xfId="702" xr:uid="{00000000-0005-0000-0000-0000BF030000}"/>
    <cellStyle name="Normal 20 3 8" xfId="703" xr:uid="{00000000-0005-0000-0000-0000C0030000}"/>
    <cellStyle name="Normal 20 4" xfId="704" xr:uid="{00000000-0005-0000-0000-0000C1030000}"/>
    <cellStyle name="Normal 20 4 2" xfId="705" xr:uid="{00000000-0005-0000-0000-0000C2030000}"/>
    <cellStyle name="Normal 20 5" xfId="706" xr:uid="{00000000-0005-0000-0000-0000C3030000}"/>
    <cellStyle name="Normal 20 5 2" xfId="707" xr:uid="{00000000-0005-0000-0000-0000C4030000}"/>
    <cellStyle name="Normal 20 6" xfId="708" xr:uid="{00000000-0005-0000-0000-0000C5030000}"/>
    <cellStyle name="Normal 20 6 2" xfId="709" xr:uid="{00000000-0005-0000-0000-0000C6030000}"/>
    <cellStyle name="Normal 20 7" xfId="710" xr:uid="{00000000-0005-0000-0000-0000C7030000}"/>
    <cellStyle name="Normal 20 7 2" xfId="711" xr:uid="{00000000-0005-0000-0000-0000C8030000}"/>
    <cellStyle name="Normal 20 8" xfId="712" xr:uid="{00000000-0005-0000-0000-0000C9030000}"/>
    <cellStyle name="Normal 20 8 2" xfId="713" xr:uid="{00000000-0005-0000-0000-0000CA030000}"/>
    <cellStyle name="Normal 20 9" xfId="714" xr:uid="{00000000-0005-0000-0000-0000CB030000}"/>
    <cellStyle name="Normal 20 9 2" xfId="715" xr:uid="{00000000-0005-0000-0000-0000CC030000}"/>
    <cellStyle name="Normal 21" xfId="716" xr:uid="{00000000-0005-0000-0000-0000CD030000}"/>
    <cellStyle name="Normal 21 2" xfId="717" xr:uid="{00000000-0005-0000-0000-0000CE030000}"/>
    <cellStyle name="Normal 21 2 2" xfId="718" xr:uid="{00000000-0005-0000-0000-0000CF030000}"/>
    <cellStyle name="Normal 21 3" xfId="719" xr:uid="{00000000-0005-0000-0000-0000D0030000}"/>
    <cellStyle name="Normal 21 3 2" xfId="720" xr:uid="{00000000-0005-0000-0000-0000D1030000}"/>
    <cellStyle name="Normal 21 4" xfId="721" xr:uid="{00000000-0005-0000-0000-0000D2030000}"/>
    <cellStyle name="Normal 21 4 2" xfId="722" xr:uid="{00000000-0005-0000-0000-0000D3030000}"/>
    <cellStyle name="Normal 21 5" xfId="723" xr:uid="{00000000-0005-0000-0000-0000D4030000}"/>
    <cellStyle name="Normal 21 5 2" xfId="724" xr:uid="{00000000-0005-0000-0000-0000D5030000}"/>
    <cellStyle name="Normal 21 6" xfId="725" xr:uid="{00000000-0005-0000-0000-0000D6030000}"/>
    <cellStyle name="Normal 21 6 2" xfId="726" xr:uid="{00000000-0005-0000-0000-0000D7030000}"/>
    <cellStyle name="Normal 21 7" xfId="727" xr:uid="{00000000-0005-0000-0000-0000D8030000}"/>
    <cellStyle name="Normal 21 7 2" xfId="728" xr:uid="{00000000-0005-0000-0000-0000D9030000}"/>
    <cellStyle name="Normal 21 8" xfId="729" xr:uid="{00000000-0005-0000-0000-0000DA030000}"/>
    <cellStyle name="Normal 22" xfId="730" xr:uid="{00000000-0005-0000-0000-0000DB030000}"/>
    <cellStyle name="Normal 23" xfId="731" xr:uid="{00000000-0005-0000-0000-0000DC030000}"/>
    <cellStyle name="Normal 24" xfId="732" xr:uid="{00000000-0005-0000-0000-0000DD030000}"/>
    <cellStyle name="Normal 25" xfId="733" xr:uid="{00000000-0005-0000-0000-0000DE030000}"/>
    <cellStyle name="Normal 26" xfId="116" xr:uid="{00000000-0005-0000-0000-0000DF030000}"/>
    <cellStyle name="Normal 3" xfId="4" xr:uid="{00000000-0005-0000-0000-0000E0030000}"/>
    <cellStyle name="Normal 3 2" xfId="735" xr:uid="{00000000-0005-0000-0000-0000E1030000}"/>
    <cellStyle name="Normal 3 2 2" xfId="736" xr:uid="{00000000-0005-0000-0000-0000E2030000}"/>
    <cellStyle name="Normal 3 2 3" xfId="737" xr:uid="{00000000-0005-0000-0000-0000E3030000}"/>
    <cellStyle name="Normal 3 3" xfId="850" xr:uid="{00000000-0005-0000-0000-0000E4030000}"/>
    <cellStyle name="Normal 3 4" xfId="734" xr:uid="{00000000-0005-0000-0000-0000E5030000}"/>
    <cellStyle name="Normal 3 5" xfId="100" xr:uid="{00000000-0005-0000-0000-0000E6030000}"/>
    <cellStyle name="Normal 32" xfId="7" xr:uid="{00000000-0005-0000-0000-0000E7030000}"/>
    <cellStyle name="Normal 4" xfId="101" xr:uid="{00000000-0005-0000-0000-0000E8030000}"/>
    <cellStyle name="Normal 4 2" xfId="738" xr:uid="{00000000-0005-0000-0000-0000E9030000}"/>
    <cellStyle name="Normal 4 3" xfId="739" xr:uid="{00000000-0005-0000-0000-0000EA030000}"/>
    <cellStyle name="Normal 4 3 2" xfId="740" xr:uid="{00000000-0005-0000-0000-0000EB030000}"/>
    <cellStyle name="Normal 4 3 2 2" xfId="741" xr:uid="{00000000-0005-0000-0000-0000EC030000}"/>
    <cellStyle name="Normal 4 3 2 2 2" xfId="742" xr:uid="{00000000-0005-0000-0000-0000ED030000}"/>
    <cellStyle name="Normal 4 3 2 3" xfId="743" xr:uid="{00000000-0005-0000-0000-0000EE030000}"/>
    <cellStyle name="Normal 4 3 2 3 2" xfId="744" xr:uid="{00000000-0005-0000-0000-0000EF030000}"/>
    <cellStyle name="Normal 4 3 2 4" xfId="745" xr:uid="{00000000-0005-0000-0000-0000F0030000}"/>
    <cellStyle name="Normal 4 3 2 4 2" xfId="746" xr:uid="{00000000-0005-0000-0000-0000F1030000}"/>
    <cellStyle name="Normal 4 3 2 5" xfId="747" xr:uid="{00000000-0005-0000-0000-0000F2030000}"/>
    <cellStyle name="Normal 4 3 2 5 2" xfId="748" xr:uid="{00000000-0005-0000-0000-0000F3030000}"/>
    <cellStyle name="Normal 4 3 2 6" xfId="749" xr:uid="{00000000-0005-0000-0000-0000F4030000}"/>
    <cellStyle name="Normal 4 3 2 6 2" xfId="750" xr:uid="{00000000-0005-0000-0000-0000F5030000}"/>
    <cellStyle name="Normal 4 3 2 7" xfId="751" xr:uid="{00000000-0005-0000-0000-0000F6030000}"/>
    <cellStyle name="Normal 4 3 2 7 2" xfId="752" xr:uid="{00000000-0005-0000-0000-0000F7030000}"/>
    <cellStyle name="Normal 4 3 2 8" xfId="753" xr:uid="{00000000-0005-0000-0000-0000F8030000}"/>
    <cellStyle name="Normal 4 3 3" xfId="754" xr:uid="{00000000-0005-0000-0000-0000F9030000}"/>
    <cellStyle name="Normal 4 3 3 2" xfId="755" xr:uid="{00000000-0005-0000-0000-0000FA030000}"/>
    <cellStyle name="Normal 4 3 4" xfId="756" xr:uid="{00000000-0005-0000-0000-0000FB030000}"/>
    <cellStyle name="Normal 4 3 4 2" xfId="757" xr:uid="{00000000-0005-0000-0000-0000FC030000}"/>
    <cellStyle name="Normal 4 3 5" xfId="758" xr:uid="{00000000-0005-0000-0000-0000FD030000}"/>
    <cellStyle name="Normal 4 3 5 2" xfId="759" xr:uid="{00000000-0005-0000-0000-0000FE030000}"/>
    <cellStyle name="Normal 4 3 6" xfId="760" xr:uid="{00000000-0005-0000-0000-0000FF030000}"/>
    <cellStyle name="Normal 4 3 6 2" xfId="761" xr:uid="{00000000-0005-0000-0000-000000040000}"/>
    <cellStyle name="Normal 4 3 7" xfId="762" xr:uid="{00000000-0005-0000-0000-000001040000}"/>
    <cellStyle name="Normal 4 3 7 2" xfId="763" xr:uid="{00000000-0005-0000-0000-000002040000}"/>
    <cellStyle name="Normal 4 3 8" xfId="764" xr:uid="{00000000-0005-0000-0000-000003040000}"/>
    <cellStyle name="Normal 4 3 8 2" xfId="765" xr:uid="{00000000-0005-0000-0000-000004040000}"/>
    <cellStyle name="Normal 4 3 9" xfId="766" xr:uid="{00000000-0005-0000-0000-000005040000}"/>
    <cellStyle name="Normal 5" xfId="102" xr:uid="{00000000-0005-0000-0000-000006040000}"/>
    <cellStyle name="Normal 5 2" xfId="767" xr:uid="{00000000-0005-0000-0000-000007040000}"/>
    <cellStyle name="Normal 6" xfId="8" xr:uid="{00000000-0005-0000-0000-000008040000}"/>
    <cellStyle name="Normal 6 2" xfId="768" xr:uid="{00000000-0005-0000-0000-000009040000}"/>
    <cellStyle name="Normal 6 2 2" xfId="769" xr:uid="{00000000-0005-0000-0000-00000A040000}"/>
    <cellStyle name="Normal 6 3" xfId="770" xr:uid="{00000000-0005-0000-0000-00000B040000}"/>
    <cellStyle name="Normal 7" xfId="771" xr:uid="{00000000-0005-0000-0000-00000C040000}"/>
    <cellStyle name="Normal 7 2" xfId="772" xr:uid="{00000000-0005-0000-0000-00000D040000}"/>
    <cellStyle name="Normal 8" xfId="773" xr:uid="{00000000-0005-0000-0000-00000E040000}"/>
    <cellStyle name="Normal 9" xfId="113" xr:uid="{00000000-0005-0000-0000-00000F040000}"/>
    <cellStyle name="Normal 9 2" xfId="775" xr:uid="{00000000-0005-0000-0000-000010040000}"/>
    <cellStyle name="Normal 9 3" xfId="854" xr:uid="{00000000-0005-0000-0000-000011040000}"/>
    <cellStyle name="Normal 9 4" xfId="774" xr:uid="{00000000-0005-0000-0000-000012040000}"/>
    <cellStyle name="Normale 2" xfId="776" xr:uid="{00000000-0005-0000-0000-000013040000}"/>
    <cellStyle name="Note" xfId="23" builtinId="10" customBuiltin="1"/>
    <cellStyle name="Note 2" xfId="103" xr:uid="{00000000-0005-0000-0000-000015040000}"/>
    <cellStyle name="Note 2 2" xfId="777" xr:uid="{00000000-0005-0000-0000-000016040000}"/>
    <cellStyle name="Note 2 2 2" xfId="778" xr:uid="{00000000-0005-0000-0000-000017040000}"/>
    <cellStyle name="Note 2 2 3" xfId="779" xr:uid="{00000000-0005-0000-0000-000018040000}"/>
    <cellStyle name="Note 2 2 4" xfId="780" xr:uid="{00000000-0005-0000-0000-000019040000}"/>
    <cellStyle name="Note 2 2 5" xfId="781" xr:uid="{00000000-0005-0000-0000-00001A040000}"/>
    <cellStyle name="Note 2 3" xfId="782" xr:uid="{00000000-0005-0000-0000-00001B040000}"/>
    <cellStyle name="Note 2 3 2" xfId="783" xr:uid="{00000000-0005-0000-0000-00001C040000}"/>
    <cellStyle name="Note 2 3 3" xfId="784" xr:uid="{00000000-0005-0000-0000-00001D040000}"/>
    <cellStyle name="Note 2 3 4" xfId="785" xr:uid="{00000000-0005-0000-0000-00001E040000}"/>
    <cellStyle name="Note 2 3 5" xfId="786" xr:uid="{00000000-0005-0000-0000-00001F040000}"/>
    <cellStyle name="Note 2 4" xfId="787" xr:uid="{00000000-0005-0000-0000-000020040000}"/>
    <cellStyle name="Note 2 4 2" xfId="788" xr:uid="{00000000-0005-0000-0000-000021040000}"/>
    <cellStyle name="Note 2 4 3" xfId="789" xr:uid="{00000000-0005-0000-0000-000022040000}"/>
    <cellStyle name="Note 2 4 4" xfId="790" xr:uid="{00000000-0005-0000-0000-000023040000}"/>
    <cellStyle name="Note 2 4 5" xfId="791" xr:uid="{00000000-0005-0000-0000-000024040000}"/>
    <cellStyle name="Note 2 5" xfId="792" xr:uid="{00000000-0005-0000-0000-000025040000}"/>
    <cellStyle name="Note 2 5 2" xfId="793" xr:uid="{00000000-0005-0000-0000-000026040000}"/>
    <cellStyle name="Note 2 5 3" xfId="794" xr:uid="{00000000-0005-0000-0000-000027040000}"/>
    <cellStyle name="Note 2 5 4" xfId="795" xr:uid="{00000000-0005-0000-0000-000028040000}"/>
    <cellStyle name="Note 2 6" xfId="796" xr:uid="{00000000-0005-0000-0000-000029040000}"/>
    <cellStyle name="Note 2 7" xfId="797" xr:uid="{00000000-0005-0000-0000-00002A040000}"/>
    <cellStyle name="Output" xfId="18" builtinId="21" customBuiltin="1"/>
    <cellStyle name="Output 2" xfId="104" xr:uid="{00000000-0005-0000-0000-00002C040000}"/>
    <cellStyle name="Output 2 2" xfId="798" xr:uid="{00000000-0005-0000-0000-00002D040000}"/>
    <cellStyle name="Output 2 2 2" xfId="799" xr:uid="{00000000-0005-0000-0000-00002E040000}"/>
    <cellStyle name="Output 2 2 3" xfId="800" xr:uid="{00000000-0005-0000-0000-00002F040000}"/>
    <cellStyle name="Output 2 2 4" xfId="801" xr:uid="{00000000-0005-0000-0000-000030040000}"/>
    <cellStyle name="Output 2 2 5" xfId="802" xr:uid="{00000000-0005-0000-0000-000031040000}"/>
    <cellStyle name="Output 2 3" xfId="803" xr:uid="{00000000-0005-0000-0000-000032040000}"/>
    <cellStyle name="Output 2 3 2" xfId="804" xr:uid="{00000000-0005-0000-0000-000033040000}"/>
    <cellStyle name="Output 2 3 3" xfId="805" xr:uid="{00000000-0005-0000-0000-000034040000}"/>
    <cellStyle name="Output 2 3 4" xfId="806" xr:uid="{00000000-0005-0000-0000-000035040000}"/>
    <cellStyle name="Output 2 3 5" xfId="807" xr:uid="{00000000-0005-0000-0000-000036040000}"/>
    <cellStyle name="Output 2 4" xfId="808" xr:uid="{00000000-0005-0000-0000-000037040000}"/>
    <cellStyle name="Output 2 4 2" xfId="809" xr:uid="{00000000-0005-0000-0000-000038040000}"/>
    <cellStyle name="Output 2 4 3" xfId="810" xr:uid="{00000000-0005-0000-0000-000039040000}"/>
    <cellStyle name="Output 2 4 4" xfId="811" xr:uid="{00000000-0005-0000-0000-00003A040000}"/>
    <cellStyle name="Output 2 4 5" xfId="812" xr:uid="{00000000-0005-0000-0000-00003B040000}"/>
    <cellStyle name="Output 2 5" xfId="813" xr:uid="{00000000-0005-0000-0000-00003C040000}"/>
    <cellStyle name="Output 2 5 2" xfId="814" xr:uid="{00000000-0005-0000-0000-00003D040000}"/>
    <cellStyle name="Output 2 5 3" xfId="815" xr:uid="{00000000-0005-0000-0000-00003E040000}"/>
    <cellStyle name="Output 2 5 4" xfId="816" xr:uid="{00000000-0005-0000-0000-00003F040000}"/>
    <cellStyle name="Output 2 6" xfId="817" xr:uid="{00000000-0005-0000-0000-000040040000}"/>
    <cellStyle name="Output 2 7" xfId="818" xr:uid="{00000000-0005-0000-0000-000041040000}"/>
    <cellStyle name="Percent" xfId="2" builtinId="5"/>
    <cellStyle name="Percent 2" xfId="105" xr:uid="{00000000-0005-0000-0000-000043040000}"/>
    <cellStyle name="Percent 2 2" xfId="106" xr:uid="{00000000-0005-0000-0000-000044040000}"/>
    <cellStyle name="Percent 2 3" xfId="851" xr:uid="{00000000-0005-0000-0000-000045040000}"/>
    <cellStyle name="Percent 2 4" xfId="819" xr:uid="{00000000-0005-0000-0000-000046040000}"/>
    <cellStyle name="Percent 2 5" xfId="856" xr:uid="{00000000-0005-0000-0000-000047040000}"/>
    <cellStyle name="Percent 3" xfId="820" xr:uid="{00000000-0005-0000-0000-000048040000}"/>
    <cellStyle name="Style 1" xfId="821" xr:uid="{00000000-0005-0000-0000-000049040000}"/>
    <cellStyle name="Style 1 2" xfId="822" xr:uid="{00000000-0005-0000-0000-00004A040000}"/>
    <cellStyle name="Style 1 2 2" xfId="823" xr:uid="{00000000-0005-0000-0000-00004B040000}"/>
    <cellStyle name="Style 1 2 3" xfId="824" xr:uid="{00000000-0005-0000-0000-00004C040000}"/>
    <cellStyle name="Style 1 3" xfId="825" xr:uid="{00000000-0005-0000-0000-00004D040000}"/>
    <cellStyle name="Style 1_Sheet2" xfId="826" xr:uid="{00000000-0005-0000-0000-00004E040000}"/>
    <cellStyle name="Title 2" xfId="107" xr:uid="{00000000-0005-0000-0000-00004F040000}"/>
    <cellStyle name="Title 3" xfId="112" xr:uid="{00000000-0005-0000-0000-000050040000}"/>
    <cellStyle name="Total" xfId="25" builtinId="25" customBuiltin="1"/>
    <cellStyle name="Total 2" xfId="108" xr:uid="{00000000-0005-0000-0000-000052040000}"/>
    <cellStyle name="Total 2 2" xfId="827" xr:uid="{00000000-0005-0000-0000-000053040000}"/>
    <cellStyle name="Total 2 2 2" xfId="828" xr:uid="{00000000-0005-0000-0000-000054040000}"/>
    <cellStyle name="Total 2 2 3" xfId="829" xr:uid="{00000000-0005-0000-0000-000055040000}"/>
    <cellStyle name="Total 2 2 4" xfId="830" xr:uid="{00000000-0005-0000-0000-000056040000}"/>
    <cellStyle name="Total 2 2 5" xfId="831" xr:uid="{00000000-0005-0000-0000-000057040000}"/>
    <cellStyle name="Total 2 3" xfId="832" xr:uid="{00000000-0005-0000-0000-000058040000}"/>
    <cellStyle name="Total 2 3 2" xfId="833" xr:uid="{00000000-0005-0000-0000-000059040000}"/>
    <cellStyle name="Total 2 3 3" xfId="834" xr:uid="{00000000-0005-0000-0000-00005A040000}"/>
    <cellStyle name="Total 2 3 4" xfId="835" xr:uid="{00000000-0005-0000-0000-00005B040000}"/>
    <cellStyle name="Total 2 3 5" xfId="836" xr:uid="{00000000-0005-0000-0000-00005C040000}"/>
    <cellStyle name="Total 2 4" xfId="837" xr:uid="{00000000-0005-0000-0000-00005D040000}"/>
    <cellStyle name="Total 2 4 2" xfId="838" xr:uid="{00000000-0005-0000-0000-00005E040000}"/>
    <cellStyle name="Total 2 4 3" xfId="839" xr:uid="{00000000-0005-0000-0000-00005F040000}"/>
    <cellStyle name="Total 2 4 4" xfId="840" xr:uid="{00000000-0005-0000-0000-000060040000}"/>
    <cellStyle name="Total 2 4 5" xfId="841" xr:uid="{00000000-0005-0000-0000-000061040000}"/>
    <cellStyle name="Total 2 5" xfId="842" xr:uid="{00000000-0005-0000-0000-000062040000}"/>
    <cellStyle name="Total 2 5 2" xfId="843" xr:uid="{00000000-0005-0000-0000-000063040000}"/>
    <cellStyle name="Total 2 5 3" xfId="844" xr:uid="{00000000-0005-0000-0000-000064040000}"/>
    <cellStyle name="Total 2 5 4" xfId="845" xr:uid="{00000000-0005-0000-0000-000065040000}"/>
    <cellStyle name="Total 2 6" xfId="846" xr:uid="{00000000-0005-0000-0000-000066040000}"/>
    <cellStyle name="Total 2 7" xfId="847" xr:uid="{00000000-0005-0000-0000-000067040000}"/>
    <cellStyle name="Warning Text" xfId="22" builtinId="11" customBuiltin="1"/>
    <cellStyle name="Warning Text 2" xfId="109" xr:uid="{00000000-0005-0000-0000-000069040000}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R68"/>
  <sheetViews>
    <sheetView topLeftCell="C1" zoomScaleNormal="100" workbookViewId="0">
      <pane ySplit="4" topLeftCell="E57" activePane="bottomLeft" state="frozen"/>
      <selection pane="bottomLeft" activeCell="K68" sqref="K68"/>
    </sheetView>
  </sheetViews>
  <sheetFormatPr defaultRowHeight="14.45"/>
  <cols>
    <col min="3" max="3" width="10.7109375" bestFit="1" customWidth="1"/>
    <col min="4" max="4" width="11.5703125" style="54" bestFit="1" customWidth="1"/>
    <col min="5" max="5" width="15.5703125" customWidth="1"/>
    <col min="6" max="6" width="58" customWidth="1"/>
    <col min="7" max="7" width="10.7109375" customWidth="1"/>
    <col min="8" max="8" width="14.5703125" style="12" customWidth="1"/>
    <col min="9" max="9" width="10.42578125" customWidth="1"/>
    <col min="10" max="10" width="13.140625" customWidth="1"/>
    <col min="11" max="11" width="13.85546875" customWidth="1"/>
    <col min="12" max="12" width="15.7109375" style="3" bestFit="1" customWidth="1"/>
    <col min="14" max="14" width="11.28515625" style="3" bestFit="1" customWidth="1"/>
    <col min="15" max="15" width="10.140625" bestFit="1" customWidth="1"/>
  </cols>
  <sheetData>
    <row r="3" spans="3:18" ht="15.75" customHeight="1">
      <c r="C3" s="211" t="s">
        <v>0</v>
      </c>
      <c r="D3" s="211"/>
      <c r="E3" s="211"/>
      <c r="F3" s="211"/>
      <c r="G3" s="211"/>
      <c r="H3" s="212"/>
      <c r="I3" s="211"/>
      <c r="J3" s="211"/>
      <c r="K3" s="211"/>
      <c r="L3" s="213"/>
      <c r="M3" s="211"/>
    </row>
    <row r="4" spans="3:18" ht="28.5" customHeight="1"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25" t="s">
        <v>6</v>
      </c>
      <c r="I4" s="13" t="s">
        <v>7</v>
      </c>
      <c r="J4" s="13" t="s">
        <v>8</v>
      </c>
      <c r="K4" s="13" t="s">
        <v>9</v>
      </c>
      <c r="L4" s="28" t="s">
        <v>10</v>
      </c>
      <c r="M4" s="13" t="s">
        <v>11</v>
      </c>
    </row>
    <row r="5" spans="3:18">
      <c r="C5" s="9">
        <v>1</v>
      </c>
      <c r="D5" s="55">
        <v>44896</v>
      </c>
      <c r="E5" s="154" t="s">
        <v>12</v>
      </c>
      <c r="F5" s="153" t="s">
        <v>13</v>
      </c>
      <c r="G5" s="6">
        <f>SUMIF('Inventory Reg'!I:I,Abstract!E5,'Inventory Reg'!M:M)</f>
        <v>151</v>
      </c>
      <c r="H5" s="43">
        <f t="shared" ref="H5:H19" si="0">IFERROR(L5/G5,0)</f>
        <v>1161.6000000000001</v>
      </c>
      <c r="I5" s="43">
        <f>SUMIF(BOM!C:C,Abstract!E5,BOM!M:M)</f>
        <v>1108.7734905630161</v>
      </c>
      <c r="J5" s="8">
        <f t="shared" ref="J5:J23" si="1">H5-I5</f>
        <v>52.826509436983997</v>
      </c>
      <c r="K5" s="7">
        <f t="shared" ref="K5" si="2">G5*J5</f>
        <v>7976.802924984584</v>
      </c>
      <c r="L5" s="11">
        <f>SUMIF('Inventory Reg'!I:I,Abstract!E5,'Inventory Reg'!O:O)</f>
        <v>175401.60000000001</v>
      </c>
      <c r="M5" s="6" t="s">
        <v>14</v>
      </c>
      <c r="N5" s="3">
        <f t="shared" ref="N5:N23" si="3">G5*I5</f>
        <v>167424.79707501543</v>
      </c>
      <c r="O5" s="12"/>
    </row>
    <row r="6" spans="3:18" hidden="1">
      <c r="C6" s="9">
        <v>2</v>
      </c>
      <c r="D6" s="55">
        <v>44896</v>
      </c>
      <c r="E6" s="154" t="s">
        <v>15</v>
      </c>
      <c r="F6" s="153" t="s">
        <v>16</v>
      </c>
      <c r="G6" s="6">
        <f>SUMIF('Inventory Reg'!I:I,Abstract!E6,'Inventory Reg'!M:M)</f>
        <v>0</v>
      </c>
      <c r="H6" s="43">
        <f t="shared" si="0"/>
        <v>0</v>
      </c>
      <c r="I6" s="43">
        <f>SUMIF(BOM!C:C,Abstract!E6,BOM!M:M)</f>
        <v>835.06083413844249</v>
      </c>
      <c r="J6" s="8">
        <f t="shared" si="1"/>
        <v>-835.06083413844249</v>
      </c>
      <c r="K6" s="7">
        <f t="shared" ref="K6:K23" si="4">G6*J6</f>
        <v>0</v>
      </c>
      <c r="L6" s="11">
        <f>SUMIF('Inventory Reg'!I:I,Abstract!E6,'Inventory Reg'!O:O)</f>
        <v>0</v>
      </c>
      <c r="M6" s="6" t="s">
        <v>17</v>
      </c>
      <c r="N6" s="3">
        <f t="shared" si="3"/>
        <v>0</v>
      </c>
      <c r="O6" s="12"/>
    </row>
    <row r="7" spans="3:18">
      <c r="C7" s="9">
        <v>3</v>
      </c>
      <c r="D7" s="55">
        <v>44896</v>
      </c>
      <c r="E7" s="154" t="s">
        <v>18</v>
      </c>
      <c r="F7" s="153" t="s">
        <v>19</v>
      </c>
      <c r="G7" s="6">
        <f>SUMIF('Inventory Reg'!I:I,Abstract!E7,'Inventory Reg'!M:M)</f>
        <v>2318</v>
      </c>
      <c r="H7" s="43">
        <f t="shared" si="0"/>
        <v>728.52</v>
      </c>
      <c r="I7" s="43">
        <f>SUMIF(BOM!C:C,Abstract!E7,BOM!M:M)</f>
        <v>699.98437453874612</v>
      </c>
      <c r="J7" s="8">
        <f t="shared" si="1"/>
        <v>28.535625461253858</v>
      </c>
      <c r="K7" s="7">
        <f t="shared" si="4"/>
        <v>66145.579819186445</v>
      </c>
      <c r="L7" s="11">
        <f>SUMIF('Inventory Reg'!I:I,Abstract!E7,'Inventory Reg'!O:O)</f>
        <v>1688709.3599999999</v>
      </c>
      <c r="M7" s="6" t="s">
        <v>14</v>
      </c>
      <c r="N7" s="3">
        <f t="shared" si="3"/>
        <v>1622563.7801808135</v>
      </c>
      <c r="O7" s="12"/>
      <c r="Q7" s="145"/>
      <c r="R7" s="135"/>
    </row>
    <row r="8" spans="3:18">
      <c r="C8" s="9">
        <v>4</v>
      </c>
      <c r="D8" s="55">
        <v>44896</v>
      </c>
      <c r="E8" s="154" t="s">
        <v>20</v>
      </c>
      <c r="F8" s="153" t="s">
        <v>21</v>
      </c>
      <c r="G8" s="6">
        <f>SUMIF('Inventory Reg'!I:I,Abstract!E8,'Inventory Reg'!M:M)</f>
        <v>6578</v>
      </c>
      <c r="H8" s="43">
        <f t="shared" si="0"/>
        <v>728.3</v>
      </c>
      <c r="I8" s="43">
        <f>SUMIF(BOM!C:C,Abstract!E8,BOM!M:M)</f>
        <v>688.84428732095012</v>
      </c>
      <c r="J8" s="8">
        <f t="shared" si="1"/>
        <v>39.455712679049839</v>
      </c>
      <c r="K8" s="7">
        <f t="shared" si="4"/>
        <v>259539.67800278985</v>
      </c>
      <c r="L8" s="11">
        <f>SUMIF('Inventory Reg'!I:I,Abstract!E8,'Inventory Reg'!O:O)</f>
        <v>4790757.3999999994</v>
      </c>
      <c r="M8" s="6" t="s">
        <v>14</v>
      </c>
      <c r="N8" s="3">
        <f t="shared" si="3"/>
        <v>4531217.7219972098</v>
      </c>
      <c r="O8" s="12"/>
      <c r="Q8" s="145"/>
      <c r="R8" s="135"/>
    </row>
    <row r="9" spans="3:18">
      <c r="C9" s="9">
        <v>5</v>
      </c>
      <c r="D9" s="55">
        <v>44896</v>
      </c>
      <c r="E9" s="154" t="s">
        <v>22</v>
      </c>
      <c r="F9" s="153" t="s">
        <v>23</v>
      </c>
      <c r="G9" s="6">
        <f>SUMIF('Inventory Reg'!I:I,Abstract!E9,'Inventory Reg'!M:M)</f>
        <v>86</v>
      </c>
      <c r="H9" s="43">
        <f t="shared" si="0"/>
        <v>871.81000000000006</v>
      </c>
      <c r="I9" s="43">
        <f>SUMIF(BOM!C:C,Abstract!E9,BOM!M:M)</f>
        <v>863.54748562570956</v>
      </c>
      <c r="J9" s="8">
        <f t="shared" si="1"/>
        <v>8.2625143742905038</v>
      </c>
      <c r="K9" s="7">
        <f t="shared" si="4"/>
        <v>710.57623618898333</v>
      </c>
      <c r="L9" s="11">
        <f>SUMIF('Inventory Reg'!I:I,Abstract!E9,'Inventory Reg'!O:O)</f>
        <v>74975.66</v>
      </c>
      <c r="M9" s="6" t="s">
        <v>14</v>
      </c>
      <c r="N9" s="3">
        <f t="shared" si="3"/>
        <v>74265.083763811024</v>
      </c>
      <c r="O9" s="12"/>
      <c r="Q9" s="145"/>
      <c r="R9" s="135"/>
    </row>
    <row r="10" spans="3:18" hidden="1">
      <c r="C10" s="9">
        <v>6</v>
      </c>
      <c r="D10" s="55">
        <v>44896</v>
      </c>
      <c r="E10" s="154" t="s">
        <v>24</v>
      </c>
      <c r="F10" s="153" t="s">
        <v>25</v>
      </c>
      <c r="G10" s="6">
        <f>SUMIF('Inventory Reg'!I:I,Abstract!E10,'Inventory Reg'!M:M)</f>
        <v>0</v>
      </c>
      <c r="H10" s="43">
        <f t="shared" si="0"/>
        <v>0</v>
      </c>
      <c r="I10" s="43">
        <f>SUMIF(BOM!C:C,Abstract!E10,BOM!M:M)</f>
        <v>960.5292649804544</v>
      </c>
      <c r="J10" s="8">
        <f t="shared" si="1"/>
        <v>-960.5292649804544</v>
      </c>
      <c r="K10" s="7">
        <f t="shared" si="4"/>
        <v>0</v>
      </c>
      <c r="L10" s="11">
        <f>SUMIF('Inventory Reg'!I:I,Abstract!E10,'Inventory Reg'!O:O)</f>
        <v>0</v>
      </c>
      <c r="M10" s="6" t="s">
        <v>17</v>
      </c>
      <c r="N10" s="3">
        <f t="shared" si="3"/>
        <v>0</v>
      </c>
      <c r="O10" s="12"/>
      <c r="Q10" s="145"/>
      <c r="R10" s="135"/>
    </row>
    <row r="11" spans="3:18" hidden="1">
      <c r="C11" s="9">
        <v>7</v>
      </c>
      <c r="D11" s="55">
        <v>44896</v>
      </c>
      <c r="E11" s="154" t="s">
        <v>26</v>
      </c>
      <c r="F11" s="153" t="s">
        <v>27</v>
      </c>
      <c r="G11" s="6">
        <f>SUMIF('Inventory Reg'!I:I,Abstract!E11,'Inventory Reg'!M:M)</f>
        <v>0</v>
      </c>
      <c r="H11" s="43">
        <f t="shared" si="0"/>
        <v>0</v>
      </c>
      <c r="I11" s="43">
        <f>SUMIF(BOM!C:C,Abstract!E11,BOM!M:M)</f>
        <v>982.31838261235487</v>
      </c>
      <c r="J11" s="8">
        <f t="shared" si="1"/>
        <v>-982.31838261235487</v>
      </c>
      <c r="K11" s="7">
        <f t="shared" si="4"/>
        <v>0</v>
      </c>
      <c r="L11" s="11">
        <f>SUMIF('Inventory Reg'!I:I,Abstract!E11,'Inventory Reg'!O:O)</f>
        <v>0</v>
      </c>
      <c r="M11" s="6" t="s">
        <v>17</v>
      </c>
      <c r="N11" s="3">
        <f t="shared" si="3"/>
        <v>0</v>
      </c>
      <c r="O11" s="12"/>
      <c r="Q11" s="145"/>
      <c r="R11" s="135"/>
    </row>
    <row r="12" spans="3:18">
      <c r="C12" s="9">
        <v>8</v>
      </c>
      <c r="D12" s="55">
        <v>44896</v>
      </c>
      <c r="E12" s="154" t="s">
        <v>28</v>
      </c>
      <c r="F12" s="153" t="s">
        <v>29</v>
      </c>
      <c r="G12" s="6">
        <f>SUMIF('Inventory Reg'!I:I,Abstract!E12,'Inventory Reg'!M:M)</f>
        <v>31</v>
      </c>
      <c r="H12" s="43">
        <f t="shared" si="0"/>
        <v>1029.29</v>
      </c>
      <c r="I12" s="43">
        <f>SUMIF(BOM!C:C,Abstract!E12,BOM!M:M)</f>
        <v>1022.9091795615788</v>
      </c>
      <c r="J12" s="8">
        <f t="shared" si="1"/>
        <v>6.3808204384212104</v>
      </c>
      <c r="K12" s="7">
        <f t="shared" si="4"/>
        <v>197.80543359105752</v>
      </c>
      <c r="L12" s="11">
        <f>SUMIF('Inventory Reg'!I:I,Abstract!E12,'Inventory Reg'!O:O)</f>
        <v>31907.99</v>
      </c>
      <c r="M12" s="6" t="s">
        <v>14</v>
      </c>
      <c r="N12" s="3">
        <f t="shared" si="3"/>
        <v>31710.184566408941</v>
      </c>
      <c r="O12" s="12"/>
      <c r="Q12" s="145"/>
      <c r="R12" s="135"/>
    </row>
    <row r="13" spans="3:18">
      <c r="C13" s="9">
        <v>9</v>
      </c>
      <c r="D13" s="55">
        <v>44896</v>
      </c>
      <c r="E13" s="154" t="s">
        <v>30</v>
      </c>
      <c r="F13" s="153" t="s">
        <v>31</v>
      </c>
      <c r="G13" s="6">
        <f>SUMIF('Inventory Reg'!I:I,Abstract!E13,'Inventory Reg'!M:M)</f>
        <v>394</v>
      </c>
      <c r="H13" s="43">
        <f t="shared" si="0"/>
        <v>1013.3900000000001</v>
      </c>
      <c r="I13" s="43">
        <f>SUMIF(BOM!C:C,Abstract!E13,BOM!M:M)</f>
        <v>1008.2083992551978</v>
      </c>
      <c r="J13" s="8">
        <f t="shared" si="1"/>
        <v>5.1816007448022674</v>
      </c>
      <c r="K13" s="7">
        <f t="shared" si="4"/>
        <v>2041.5506934520934</v>
      </c>
      <c r="L13" s="11">
        <f>SUMIF('Inventory Reg'!I:I,Abstract!E13,'Inventory Reg'!O:O)</f>
        <v>399275.66000000003</v>
      </c>
      <c r="M13" s="6" t="s">
        <v>14</v>
      </c>
      <c r="N13" s="3">
        <f t="shared" si="3"/>
        <v>397234.10930654797</v>
      </c>
      <c r="O13" s="12"/>
      <c r="Q13" s="145"/>
      <c r="R13" s="135"/>
    </row>
    <row r="14" spans="3:18" hidden="1">
      <c r="C14" s="9">
        <v>10</v>
      </c>
      <c r="D14" s="55">
        <v>44896</v>
      </c>
      <c r="E14" s="154" t="s">
        <v>32</v>
      </c>
      <c r="F14" s="153" t="s">
        <v>33</v>
      </c>
      <c r="G14" s="6">
        <f>SUMIF('Inventory Reg'!I:I,Abstract!E14,'Inventory Reg'!M:M)</f>
        <v>0</v>
      </c>
      <c r="H14" s="43">
        <f t="shared" si="0"/>
        <v>0</v>
      </c>
      <c r="I14" s="43">
        <f>SUMIF(BOM!C:C,Abstract!E14,BOM!M:M)</f>
        <v>967.86474352530195</v>
      </c>
      <c r="J14" s="8">
        <f t="shared" si="1"/>
        <v>-967.86474352530195</v>
      </c>
      <c r="K14" s="7">
        <f t="shared" si="4"/>
        <v>0</v>
      </c>
      <c r="L14" s="11">
        <f>SUMIF('Inventory Reg'!I:I,Abstract!E14,'Inventory Reg'!O:O)</f>
        <v>0</v>
      </c>
      <c r="M14" s="6" t="s">
        <v>17</v>
      </c>
      <c r="N14" s="3">
        <f t="shared" si="3"/>
        <v>0</v>
      </c>
      <c r="O14" s="12"/>
      <c r="Q14" s="145"/>
      <c r="R14" s="135"/>
    </row>
    <row r="15" spans="3:18" hidden="1">
      <c r="C15" s="9">
        <v>11</v>
      </c>
      <c r="D15" s="55">
        <v>44896</v>
      </c>
      <c r="E15" s="154" t="s">
        <v>34</v>
      </c>
      <c r="F15" s="153" t="s">
        <v>35</v>
      </c>
      <c r="G15" s="6">
        <f>SUMIF('Inventory Reg'!I:I,Abstract!E15,'Inventory Reg'!M:M)</f>
        <v>0</v>
      </c>
      <c r="H15" s="43">
        <f t="shared" si="0"/>
        <v>0</v>
      </c>
      <c r="I15" s="43">
        <f>SUMIF(BOM!C:C,Abstract!E15,BOM!M:M)</f>
        <v>954.54187174166145</v>
      </c>
      <c r="J15" s="8">
        <f t="shared" si="1"/>
        <v>-954.54187174166145</v>
      </c>
      <c r="K15" s="7">
        <f t="shared" si="4"/>
        <v>0</v>
      </c>
      <c r="L15" s="11">
        <f>SUMIF('Inventory Reg'!I:I,Abstract!E15,'Inventory Reg'!O:O)</f>
        <v>0</v>
      </c>
      <c r="M15" s="6" t="s">
        <v>17</v>
      </c>
      <c r="N15" s="3">
        <f t="shared" si="3"/>
        <v>0</v>
      </c>
      <c r="O15" s="12"/>
      <c r="Q15" s="145"/>
      <c r="R15" s="135"/>
    </row>
    <row r="16" spans="3:18">
      <c r="C16" s="9">
        <v>12</v>
      </c>
      <c r="D16" s="55">
        <v>44896</v>
      </c>
      <c r="E16" s="154" t="s">
        <v>36</v>
      </c>
      <c r="F16" s="153" t="s">
        <v>37</v>
      </c>
      <c r="G16" s="6">
        <f>SUMIF('Inventory Reg'!I:I,Abstract!E16,'Inventory Reg'!M:M)</f>
        <v>843</v>
      </c>
      <c r="H16" s="43">
        <f t="shared" si="0"/>
        <v>801.07</v>
      </c>
      <c r="I16" s="43">
        <f>SUMIF(BOM!C:C,Abstract!E16,BOM!M:M)</f>
        <v>752.06578660449782</v>
      </c>
      <c r="J16" s="8">
        <f t="shared" si="1"/>
        <v>49.004213395502234</v>
      </c>
      <c r="K16" s="7">
        <f t="shared" si="4"/>
        <v>41310.551892408381</v>
      </c>
      <c r="L16" s="11">
        <f>SUMIF('Inventory Reg'!I:I,Abstract!E16,'Inventory Reg'!O:O)</f>
        <v>675302.01</v>
      </c>
      <c r="M16" s="6" t="s">
        <v>14</v>
      </c>
      <c r="N16" s="3">
        <f t="shared" si="3"/>
        <v>633991.45810759161</v>
      </c>
      <c r="O16" s="12"/>
      <c r="Q16" s="145"/>
      <c r="R16" s="135"/>
    </row>
    <row r="17" spans="3:18" hidden="1">
      <c r="C17" s="9">
        <v>13</v>
      </c>
      <c r="D17" s="55">
        <v>44896</v>
      </c>
      <c r="E17" s="154" t="s">
        <v>38</v>
      </c>
      <c r="F17" s="153" t="s">
        <v>39</v>
      </c>
      <c r="G17" s="6">
        <f>SUMIF('Inventory Reg'!I:I,Abstract!E17,'Inventory Reg'!M:M)</f>
        <v>0</v>
      </c>
      <c r="H17" s="43">
        <f t="shared" si="0"/>
        <v>0</v>
      </c>
      <c r="I17" s="43">
        <f>SUMIF(BOM!C:C,Abstract!E17,BOM!M:M)</f>
        <v>976.38197298287514</v>
      </c>
      <c r="J17" s="8">
        <f t="shared" si="1"/>
        <v>-976.38197298287514</v>
      </c>
      <c r="K17" s="7">
        <f t="shared" si="4"/>
        <v>0</v>
      </c>
      <c r="L17" s="11">
        <f>SUMIF('Inventory Reg'!I:I,Abstract!E17,'Inventory Reg'!O:O)</f>
        <v>0</v>
      </c>
      <c r="M17" s="6" t="s">
        <v>17</v>
      </c>
      <c r="N17" s="3">
        <f t="shared" si="3"/>
        <v>0</v>
      </c>
      <c r="O17" s="12"/>
    </row>
    <row r="18" spans="3:18" hidden="1">
      <c r="C18" s="9">
        <v>14</v>
      </c>
      <c r="D18" s="55">
        <v>44896</v>
      </c>
      <c r="E18" s="154" t="s">
        <v>40</v>
      </c>
      <c r="F18" s="153" t="s">
        <v>41</v>
      </c>
      <c r="G18" s="6">
        <f>SUMIF('Inventory Reg'!I:I,Abstract!E18,'Inventory Reg'!M:M)</f>
        <v>0</v>
      </c>
      <c r="H18" s="43">
        <f t="shared" si="0"/>
        <v>0</v>
      </c>
      <c r="I18" s="43">
        <f>SUMIF(BOM!C:C,Abstract!E18,BOM!M:M)</f>
        <v>984.53187218521714</v>
      </c>
      <c r="J18" s="8">
        <f t="shared" si="1"/>
        <v>-984.53187218521714</v>
      </c>
      <c r="K18" s="7">
        <f t="shared" si="4"/>
        <v>0</v>
      </c>
      <c r="L18" s="11">
        <f>SUMIF('Inventory Reg'!I:I,Abstract!E18,'Inventory Reg'!O:O)</f>
        <v>0</v>
      </c>
      <c r="M18" s="6" t="s">
        <v>17</v>
      </c>
      <c r="N18" s="3">
        <f t="shared" si="3"/>
        <v>0</v>
      </c>
      <c r="O18" s="12"/>
    </row>
    <row r="19" spans="3:18">
      <c r="C19" s="9">
        <v>15</v>
      </c>
      <c r="D19" s="55">
        <v>44896</v>
      </c>
      <c r="E19" s="154" t="s">
        <v>42</v>
      </c>
      <c r="F19" s="153" t="s">
        <v>43</v>
      </c>
      <c r="G19" s="6">
        <f>SUMIF('Inventory Reg'!I:I,Abstract!E19,'Inventory Reg'!M:M)</f>
        <v>496</v>
      </c>
      <c r="H19" s="43">
        <f t="shared" si="0"/>
        <v>739.15000000000009</v>
      </c>
      <c r="I19" s="43">
        <f>SUMIF(BOM!C:C,Abstract!E19,BOM!M:M)</f>
        <v>696.21693441807383</v>
      </c>
      <c r="J19" s="8">
        <f t="shared" si="1"/>
        <v>42.933065581926257</v>
      </c>
      <c r="K19" s="7">
        <f t="shared" si="4"/>
        <v>21294.800528635424</v>
      </c>
      <c r="L19" s="11">
        <f>SUMIF('Inventory Reg'!I:I,Abstract!E19,'Inventory Reg'!O:O)</f>
        <v>366618.4</v>
      </c>
      <c r="M19" s="6" t="s">
        <v>14</v>
      </c>
      <c r="N19" s="3">
        <f t="shared" si="3"/>
        <v>345323.59947136464</v>
      </c>
      <c r="O19" s="12"/>
      <c r="Q19" s="145"/>
      <c r="R19" s="135"/>
    </row>
    <row r="20" spans="3:18" hidden="1">
      <c r="C20" s="9">
        <v>16</v>
      </c>
      <c r="D20" s="55">
        <v>44896</v>
      </c>
      <c r="E20" s="154" t="s">
        <v>44</v>
      </c>
      <c r="F20" s="153" t="s">
        <v>45</v>
      </c>
      <c r="G20" s="6">
        <f>SUMIF('Inventory Reg'!I:I,Abstract!E20,'Inventory Reg'!M:M)</f>
        <v>0</v>
      </c>
      <c r="H20" s="43">
        <f t="shared" ref="H20:H23" si="5">IFERROR(L20/G20,0)</f>
        <v>0</v>
      </c>
      <c r="I20" s="43">
        <f>SUMIF(BOM!C:C,Abstract!E20,BOM!M:M)</f>
        <v>681.63955151166556</v>
      </c>
      <c r="J20" s="8">
        <f t="shared" si="1"/>
        <v>-681.63955151166556</v>
      </c>
      <c r="K20" s="7">
        <f t="shared" si="4"/>
        <v>0</v>
      </c>
      <c r="L20" s="11">
        <f>SUMIF('Inventory Reg'!I:I,Abstract!E20,'Inventory Reg'!O:O)</f>
        <v>0</v>
      </c>
      <c r="M20" s="6" t="s">
        <v>17</v>
      </c>
      <c r="N20" s="3">
        <f t="shared" si="3"/>
        <v>0</v>
      </c>
      <c r="O20" s="12"/>
    </row>
    <row r="21" spans="3:18">
      <c r="C21" s="9">
        <v>17</v>
      </c>
      <c r="D21" s="55">
        <v>44896</v>
      </c>
      <c r="E21" s="154" t="s">
        <v>46</v>
      </c>
      <c r="F21" s="153" t="s">
        <v>47</v>
      </c>
      <c r="G21" s="6">
        <f>SUMIF('Inventory Reg'!I:I,Abstract!E21,'Inventory Reg'!M:M)</f>
        <v>10</v>
      </c>
      <c r="H21" s="43">
        <f t="shared" si="5"/>
        <v>306.51</v>
      </c>
      <c r="I21" s="43">
        <f>SUMIF(BOM!C:C,Abstract!E21,BOM!M:M)</f>
        <v>266.05468429884849</v>
      </c>
      <c r="J21" s="8">
        <f t="shared" si="1"/>
        <v>40.455315701151505</v>
      </c>
      <c r="K21" s="7">
        <f t="shared" si="4"/>
        <v>404.55315701151505</v>
      </c>
      <c r="L21" s="11">
        <f>SUMIF('Inventory Reg'!I:I,Abstract!E21,'Inventory Reg'!O:O)</f>
        <v>3065.1</v>
      </c>
      <c r="M21" s="6" t="s">
        <v>14</v>
      </c>
      <c r="N21" s="3">
        <f t="shared" si="3"/>
        <v>2660.546842988485</v>
      </c>
      <c r="O21" s="12"/>
    </row>
    <row r="22" spans="3:18" hidden="1">
      <c r="C22" s="9">
        <v>18</v>
      </c>
      <c r="D22" s="55">
        <v>44896</v>
      </c>
      <c r="E22" s="154" t="s">
        <v>48</v>
      </c>
      <c r="F22" s="153" t="s">
        <v>49</v>
      </c>
      <c r="G22" s="6">
        <f>SUMIF('Inventory Reg'!I:I,Abstract!E22,'Inventory Reg'!M:M)</f>
        <v>0</v>
      </c>
      <c r="H22" s="43">
        <f t="shared" si="5"/>
        <v>0</v>
      </c>
      <c r="I22" s="43">
        <f>SUMIF(BOM!C:C,Abstract!E22,BOM!M:M)</f>
        <v>270.78984847161286</v>
      </c>
      <c r="J22" s="8">
        <f t="shared" si="1"/>
        <v>-270.78984847161286</v>
      </c>
      <c r="K22" s="7">
        <f t="shared" si="4"/>
        <v>0</v>
      </c>
      <c r="L22" s="11">
        <f>SUMIF('Inventory Reg'!I:I,Abstract!E22,'Inventory Reg'!O:O)</f>
        <v>0</v>
      </c>
      <c r="M22" s="6" t="s">
        <v>17</v>
      </c>
      <c r="N22" s="3">
        <f t="shared" si="3"/>
        <v>0</v>
      </c>
      <c r="O22" s="12"/>
    </row>
    <row r="23" spans="3:18" hidden="1">
      <c r="C23" s="9">
        <v>19</v>
      </c>
      <c r="D23" s="55">
        <v>44896</v>
      </c>
      <c r="E23" s="154" t="s">
        <v>50</v>
      </c>
      <c r="F23" s="153" t="s">
        <v>51</v>
      </c>
      <c r="G23" s="6">
        <f>SUMIF('Inventory Reg'!I:I,Abstract!E23,'Inventory Reg'!M:M)</f>
        <v>0</v>
      </c>
      <c r="H23" s="43">
        <f t="shared" si="5"/>
        <v>0</v>
      </c>
      <c r="I23" s="43">
        <f>SUMIF(BOM!C:C,Abstract!E23,BOM!M:M)</f>
        <v>321.62561180636521</v>
      </c>
      <c r="J23" s="8">
        <f t="shared" si="1"/>
        <v>-321.62561180636521</v>
      </c>
      <c r="K23" s="7">
        <f t="shared" si="4"/>
        <v>0</v>
      </c>
      <c r="L23" s="11">
        <f>SUMIF('Inventory Reg'!I:I,Abstract!E23,'Inventory Reg'!O:O)</f>
        <v>0</v>
      </c>
      <c r="M23" s="6" t="s">
        <v>17</v>
      </c>
      <c r="N23" s="3">
        <f t="shared" si="3"/>
        <v>0</v>
      </c>
      <c r="O23" s="12"/>
    </row>
    <row r="24" spans="3:18" hidden="1">
      <c r="C24" s="9">
        <v>20</v>
      </c>
      <c r="D24" s="55">
        <v>44896</v>
      </c>
      <c r="E24" s="154" t="s">
        <v>52</v>
      </c>
      <c r="F24" s="153" t="s">
        <v>53</v>
      </c>
      <c r="G24" s="6">
        <f>SUMIF('Inventory Reg'!I:I,Abstract!E24,'Inventory Reg'!M:M)</f>
        <v>0</v>
      </c>
      <c r="H24" s="43">
        <f t="shared" ref="H24" si="6">IFERROR(L24/G24,0)</f>
        <v>0</v>
      </c>
      <c r="I24" s="43">
        <f>SUMIF(BOM!C:C,Abstract!E24,BOM!M:M)</f>
        <v>970.93753302413961</v>
      </c>
      <c r="J24" s="8">
        <f t="shared" ref="J24" si="7">H24-I24</f>
        <v>-970.93753302413961</v>
      </c>
      <c r="K24" s="7">
        <f t="shared" ref="K24" si="8">G24*J24</f>
        <v>0</v>
      </c>
      <c r="L24" s="11">
        <f>SUMIF('Inventory Reg'!I:I,Abstract!E24,'Inventory Reg'!O:O)</f>
        <v>0</v>
      </c>
      <c r="M24" s="6" t="s">
        <v>17</v>
      </c>
      <c r="N24" s="3">
        <f t="shared" ref="N24:N32" si="9">G24*I24</f>
        <v>0</v>
      </c>
      <c r="O24" s="12"/>
    </row>
    <row r="25" spans="3:18" hidden="1">
      <c r="C25" s="9">
        <v>21</v>
      </c>
      <c r="D25" s="55">
        <v>44896</v>
      </c>
      <c r="E25" s="154" t="s">
        <v>54</v>
      </c>
      <c r="F25" s="153" t="s">
        <v>55</v>
      </c>
      <c r="G25" s="6">
        <f>SUMIF('Inventory Reg'!I:I,Abstract!E25,'Inventory Reg'!M:M)</f>
        <v>0</v>
      </c>
      <c r="H25" s="43">
        <f t="shared" ref="H25:H28" si="10">IFERROR(L25/G25,0)</f>
        <v>0</v>
      </c>
      <c r="I25" s="43">
        <f>SUMIF(BOM!C:C,Abstract!E25,BOM!M:M)</f>
        <v>738.37231808804108</v>
      </c>
      <c r="J25" s="8">
        <f t="shared" ref="J25:J28" si="11">H25-I25</f>
        <v>-738.37231808804108</v>
      </c>
      <c r="K25" s="7">
        <f t="shared" ref="K25:K29" si="12">G25*J25</f>
        <v>0</v>
      </c>
      <c r="L25" s="11">
        <f>SUMIF('Inventory Reg'!I:I,Abstract!E25,'Inventory Reg'!O:O)</f>
        <v>0</v>
      </c>
      <c r="M25" s="6" t="s">
        <v>17</v>
      </c>
      <c r="N25" s="3">
        <f t="shared" si="9"/>
        <v>0</v>
      </c>
      <c r="O25" s="12"/>
    </row>
    <row r="26" spans="3:18" hidden="1">
      <c r="C26" s="9">
        <v>22</v>
      </c>
      <c r="D26" s="55">
        <v>44896</v>
      </c>
      <c r="E26" s="154" t="s">
        <v>56</v>
      </c>
      <c r="F26" s="153" t="s">
        <v>57</v>
      </c>
      <c r="G26" s="6">
        <f>SUMIF('Inventory Reg'!I:I,Abstract!E26,'Inventory Reg'!M:M)</f>
        <v>0</v>
      </c>
      <c r="H26" s="43">
        <f t="shared" si="10"/>
        <v>0</v>
      </c>
      <c r="I26" s="43">
        <f>SUMIF(BOM!C:C,Abstract!E26,BOM!M:M)</f>
        <v>708.95809586386065</v>
      </c>
      <c r="J26" s="8">
        <f t="shared" si="11"/>
        <v>-708.95809586386065</v>
      </c>
      <c r="K26" s="7">
        <f t="shared" si="12"/>
        <v>0</v>
      </c>
      <c r="L26" s="11">
        <f>SUMIF('Inventory Reg'!I:I,Abstract!E26,'Inventory Reg'!O:O)</f>
        <v>0</v>
      </c>
      <c r="M26" s="6" t="s">
        <v>17</v>
      </c>
      <c r="N26" s="3">
        <f t="shared" si="9"/>
        <v>0</v>
      </c>
      <c r="O26" s="12"/>
    </row>
    <row r="27" spans="3:18" hidden="1">
      <c r="C27" s="9">
        <v>23</v>
      </c>
      <c r="D27" s="55">
        <v>44896</v>
      </c>
      <c r="E27" s="154" t="s">
        <v>58</v>
      </c>
      <c r="F27" s="153" t="s">
        <v>59</v>
      </c>
      <c r="G27" s="6">
        <f>SUMIF('Inventory Reg'!I:I,Abstract!E27,'Inventory Reg'!M:M)</f>
        <v>0</v>
      </c>
      <c r="H27" s="43">
        <f t="shared" si="10"/>
        <v>0</v>
      </c>
      <c r="I27" s="43">
        <f>SUMIF(BOM!C:C,Abstract!E27,BOM!M:M)</f>
        <v>820.6469730285728</v>
      </c>
      <c r="J27" s="8">
        <f t="shared" si="11"/>
        <v>-820.6469730285728</v>
      </c>
      <c r="K27" s="7">
        <f t="shared" si="12"/>
        <v>0</v>
      </c>
      <c r="L27" s="11">
        <f>SUMIF('Inventory Reg'!I:I,Abstract!E27,'Inventory Reg'!O:O)</f>
        <v>0</v>
      </c>
      <c r="M27" s="6" t="s">
        <v>17</v>
      </c>
      <c r="N27" s="3">
        <f t="shared" si="9"/>
        <v>0</v>
      </c>
      <c r="O27" s="12"/>
    </row>
    <row r="28" spans="3:18" hidden="1">
      <c r="C28" s="9">
        <v>24</v>
      </c>
      <c r="D28" s="55">
        <v>44896</v>
      </c>
      <c r="E28" s="154" t="s">
        <v>60</v>
      </c>
      <c r="F28" s="153" t="s">
        <v>61</v>
      </c>
      <c r="G28" s="6">
        <f>SUMIF('Inventory Reg'!I:I,Abstract!E28,'Inventory Reg'!M:M)</f>
        <v>0</v>
      </c>
      <c r="H28" s="43">
        <f t="shared" si="10"/>
        <v>0</v>
      </c>
      <c r="I28" s="43">
        <f>SUMIF(BOM!C:C,Abstract!E28,BOM!M:M)</f>
        <v>716.49998904844642</v>
      </c>
      <c r="J28" s="8">
        <f t="shared" si="11"/>
        <v>-716.49998904844642</v>
      </c>
      <c r="K28" s="7">
        <f t="shared" si="12"/>
        <v>0</v>
      </c>
      <c r="L28" s="11">
        <f>SUMIF('Inventory Reg'!I:I,Abstract!E28,'Inventory Reg'!O:O)</f>
        <v>0</v>
      </c>
      <c r="M28" s="6" t="s">
        <v>17</v>
      </c>
      <c r="N28" s="3">
        <f t="shared" si="9"/>
        <v>0</v>
      </c>
      <c r="O28" s="12"/>
      <c r="Q28" s="145"/>
      <c r="R28" s="135"/>
    </row>
    <row r="29" spans="3:18" hidden="1">
      <c r="C29" s="9">
        <v>25</v>
      </c>
      <c r="D29" s="55">
        <v>44896</v>
      </c>
      <c r="E29" s="154" t="s">
        <v>62</v>
      </c>
      <c r="F29" s="153" t="s">
        <v>63</v>
      </c>
      <c r="G29" s="6">
        <f>SUMIF('Inventory Reg'!I:I,Abstract!E29,'Inventory Reg'!M:M)</f>
        <v>0</v>
      </c>
      <c r="H29" s="43">
        <f t="shared" ref="H29" si="13">IFERROR(L29/G29,0)</f>
        <v>0</v>
      </c>
      <c r="I29" s="43">
        <f>SUMIF(BOM!C:C,Abstract!E29,BOM!M:M)</f>
        <v>719.51321102442853</v>
      </c>
      <c r="J29" s="8">
        <f t="shared" ref="J29" si="14">H29-I29</f>
        <v>-719.51321102442853</v>
      </c>
      <c r="K29" s="7">
        <f t="shared" si="12"/>
        <v>0</v>
      </c>
      <c r="L29" s="11">
        <f>SUMIF('Inventory Reg'!I:I,Abstract!E29,'Inventory Reg'!O:O)</f>
        <v>0</v>
      </c>
      <c r="M29" s="6" t="s">
        <v>17</v>
      </c>
      <c r="N29" s="3">
        <f t="shared" si="9"/>
        <v>0</v>
      </c>
      <c r="O29" s="12"/>
      <c r="Q29" s="145"/>
      <c r="R29" s="135"/>
    </row>
    <row r="30" spans="3:18" hidden="1">
      <c r="C30" s="9">
        <v>26</v>
      </c>
      <c r="D30" s="55">
        <v>44896</v>
      </c>
      <c r="E30" s="154" t="s">
        <v>64</v>
      </c>
      <c r="F30" s="153" t="s">
        <v>65</v>
      </c>
      <c r="G30" s="6">
        <f>SUMIF('Inventory Reg'!I:I,Abstract!E30,'Inventory Reg'!M:M)</f>
        <v>0</v>
      </c>
      <c r="H30" s="43">
        <f t="shared" ref="H30" si="15">IFERROR(L30/G30,0)</f>
        <v>0</v>
      </c>
      <c r="I30" s="43">
        <f>SUMIF(BOM!C:C,Abstract!E30,BOM!M:M)</f>
        <v>703.24335814375354</v>
      </c>
      <c r="J30" s="8">
        <f t="shared" ref="J30" si="16">H30-I30</f>
        <v>-703.24335814375354</v>
      </c>
      <c r="K30" s="7">
        <f t="shared" ref="K30:K31" si="17">G30*J30</f>
        <v>0</v>
      </c>
      <c r="L30" s="11">
        <f>SUMIF('Inventory Reg'!I:I,Abstract!E30,'Inventory Reg'!O:O)</f>
        <v>0</v>
      </c>
      <c r="M30" s="6" t="s">
        <v>17</v>
      </c>
      <c r="N30" s="3">
        <f t="shared" si="9"/>
        <v>0</v>
      </c>
      <c r="O30" s="12"/>
    </row>
    <row r="31" spans="3:18" hidden="1">
      <c r="C31" s="9">
        <v>27</v>
      </c>
      <c r="D31" s="55">
        <v>44896</v>
      </c>
      <c r="E31" s="154" t="s">
        <v>66</v>
      </c>
      <c r="F31" s="153" t="s">
        <v>67</v>
      </c>
      <c r="G31" s="6">
        <f>SUMIF('Inventory Reg'!I:I,Abstract!E31,'Inventory Reg'!M:M)</f>
        <v>0</v>
      </c>
      <c r="H31" s="43">
        <f t="shared" ref="H31" si="18">IFERROR(L31/G31,0)</f>
        <v>0</v>
      </c>
      <c r="I31" s="43">
        <f>SUMIF(BOM!C:C,Abstract!E31,BOM!M:M)</f>
        <v>842.5961961438436</v>
      </c>
      <c r="J31" s="8">
        <f t="shared" ref="J31" si="19">H31-I31</f>
        <v>-842.5961961438436</v>
      </c>
      <c r="K31" s="7">
        <f t="shared" si="17"/>
        <v>0</v>
      </c>
      <c r="L31" s="11">
        <f>SUMIF('Inventory Reg'!I:I,Abstract!E31,'Inventory Reg'!O:O)</f>
        <v>0</v>
      </c>
      <c r="M31" s="6" t="s">
        <v>17</v>
      </c>
      <c r="N31" s="3">
        <f t="shared" si="9"/>
        <v>0</v>
      </c>
      <c r="O31" s="12"/>
      <c r="Q31" s="145"/>
      <c r="R31" s="135"/>
    </row>
    <row r="32" spans="3:18" hidden="1">
      <c r="C32" s="9">
        <v>28</v>
      </c>
      <c r="D32" s="55">
        <v>44896</v>
      </c>
      <c r="E32" s="154" t="s">
        <v>68</v>
      </c>
      <c r="F32" s="153" t="s">
        <v>69</v>
      </c>
      <c r="G32" s="6">
        <f>SUMIF('Inventory Reg'!I:I,Abstract!E32,'Inventory Reg'!M:M)</f>
        <v>0</v>
      </c>
      <c r="H32" s="43">
        <f t="shared" ref="H32" si="20">IFERROR(L32/G32,0)</f>
        <v>0</v>
      </c>
      <c r="I32" s="43">
        <f>SUMIF(BOM!C:C,Abstract!E32,BOM!M:M)</f>
        <v>1268.1393493135945</v>
      </c>
      <c r="J32" s="8">
        <f t="shared" ref="J32" si="21">H32-I32</f>
        <v>-1268.1393493135945</v>
      </c>
      <c r="K32" s="7">
        <f t="shared" ref="K32" si="22">G32*J32</f>
        <v>0</v>
      </c>
      <c r="L32" s="11">
        <f>SUMIF('Inventory Reg'!I:I,Abstract!E32,'Inventory Reg'!O:O)</f>
        <v>0</v>
      </c>
      <c r="M32" s="6" t="s">
        <v>17</v>
      </c>
      <c r="N32" s="3">
        <f t="shared" si="9"/>
        <v>0</v>
      </c>
      <c r="O32" s="12"/>
    </row>
    <row r="33" spans="3:18" hidden="1">
      <c r="C33" s="9">
        <v>29</v>
      </c>
      <c r="D33" s="55">
        <v>44896</v>
      </c>
      <c r="E33" s="154" t="s">
        <v>70</v>
      </c>
      <c r="F33" s="153" t="s">
        <v>71</v>
      </c>
      <c r="G33" s="6">
        <f>SUMIF('Inventory Reg'!I:I,Abstract!E33,'Inventory Reg'!M:M)</f>
        <v>0</v>
      </c>
      <c r="H33" s="43">
        <f t="shared" ref="H33" si="23">IFERROR(L33/G33,0)</f>
        <v>0</v>
      </c>
      <c r="I33" s="43">
        <f>SUMIF(BOM!C:C,Abstract!E33,BOM!M:M)</f>
        <v>684.2503457976452</v>
      </c>
      <c r="J33" s="8">
        <f t="shared" ref="J33" si="24">H33-I33</f>
        <v>-684.2503457976452</v>
      </c>
      <c r="K33" s="7">
        <f t="shared" ref="K33" si="25">G33*J33</f>
        <v>0</v>
      </c>
      <c r="L33" s="11">
        <f>SUMIF('Inventory Reg'!I:I,Abstract!E33,'Inventory Reg'!O:O)</f>
        <v>0</v>
      </c>
      <c r="M33" s="6" t="s">
        <v>17</v>
      </c>
      <c r="N33" s="3">
        <f t="shared" ref="N33" si="26">G33*I33</f>
        <v>0</v>
      </c>
      <c r="O33" s="12"/>
    </row>
    <row r="34" spans="3:18" hidden="1">
      <c r="C34" s="9">
        <v>30</v>
      </c>
      <c r="D34" s="55">
        <v>44896</v>
      </c>
      <c r="E34" s="154" t="s">
        <v>72</v>
      </c>
      <c r="F34" s="153" t="s">
        <v>73</v>
      </c>
      <c r="G34" s="6">
        <f>SUMIF('Inventory Reg'!I:I,Abstract!E34,'Inventory Reg'!M:M)</f>
        <v>0</v>
      </c>
      <c r="H34" s="43">
        <f t="shared" ref="H34" si="27">IFERROR(L34/G34,0)</f>
        <v>0</v>
      </c>
      <c r="I34" s="43">
        <f>SUMIF(BOM!C:C,Abstract!E34,BOM!M:M)</f>
        <v>680.16132181083481</v>
      </c>
      <c r="J34" s="8">
        <f t="shared" ref="J34" si="28">H34-I34</f>
        <v>-680.16132181083481</v>
      </c>
      <c r="K34" s="7">
        <f t="shared" ref="K34" si="29">G34*J34</f>
        <v>0</v>
      </c>
      <c r="L34" s="11">
        <f>SUMIF('Inventory Reg'!I:I,Abstract!E34,'Inventory Reg'!O:O)</f>
        <v>0</v>
      </c>
      <c r="M34" s="6" t="s">
        <v>17</v>
      </c>
      <c r="N34" s="3">
        <f t="shared" ref="N34" si="30">G34*I34</f>
        <v>0</v>
      </c>
      <c r="O34" s="12"/>
    </row>
    <row r="35" spans="3:18" hidden="1">
      <c r="C35" s="9">
        <v>31</v>
      </c>
      <c r="D35" s="55">
        <v>44896</v>
      </c>
      <c r="E35" s="154" t="s">
        <v>74</v>
      </c>
      <c r="F35" s="153" t="s">
        <v>75</v>
      </c>
      <c r="G35" s="6">
        <f>SUMIF('Inventory Reg'!I:I,Abstract!E35,'Inventory Reg'!M:M)</f>
        <v>0</v>
      </c>
      <c r="H35" s="43">
        <f t="shared" ref="H35" si="31">IFERROR(L35/G35,0)</f>
        <v>0</v>
      </c>
      <c r="I35" s="43">
        <f>SUMIF(BOM!C:C,Abstract!E35,BOM!M:M)</f>
        <v>666.7719617071416</v>
      </c>
      <c r="J35" s="8">
        <f t="shared" ref="J35" si="32">H35-I35</f>
        <v>-666.7719617071416</v>
      </c>
      <c r="K35" s="7">
        <f t="shared" ref="K35:K36" si="33">G35*J35</f>
        <v>0</v>
      </c>
      <c r="L35" s="11">
        <f>SUMIF('Inventory Reg'!I:I,Abstract!E35,'Inventory Reg'!O:O)</f>
        <v>0</v>
      </c>
      <c r="M35" s="6" t="s">
        <v>17</v>
      </c>
      <c r="N35" s="3">
        <f t="shared" ref="N35:N43" si="34">G35*I35</f>
        <v>0</v>
      </c>
      <c r="O35" s="12"/>
    </row>
    <row r="36" spans="3:18">
      <c r="C36" s="9">
        <v>31</v>
      </c>
      <c r="D36" s="55">
        <v>44896</v>
      </c>
      <c r="E36" s="154" t="s">
        <v>76</v>
      </c>
      <c r="F36" s="153" t="s">
        <v>77</v>
      </c>
      <c r="G36" s="6">
        <f>SUMIF('Inventory Reg'!I:I,Abstract!E36,'Inventory Reg'!M:M)</f>
        <v>24821</v>
      </c>
      <c r="H36" s="43">
        <f t="shared" ref="H36" si="35">IFERROR(L36/G36,0)</f>
        <v>728.69</v>
      </c>
      <c r="I36" s="43">
        <f>SUMIF(BOM!C:C,Abstract!E36,BOM!M:M)</f>
        <v>698.62141374026078</v>
      </c>
      <c r="J36" s="8">
        <f t="shared" ref="J36" si="36">H36-I36</f>
        <v>30.068586259739277</v>
      </c>
      <c r="K36" s="7">
        <f t="shared" si="33"/>
        <v>746332.37955298857</v>
      </c>
      <c r="L36" s="11">
        <f>SUMIF('Inventory Reg'!I:I,Abstract!E36,'Inventory Reg'!O:O)</f>
        <v>18086814.490000002</v>
      </c>
      <c r="M36" s="6" t="s">
        <v>14</v>
      </c>
      <c r="N36" s="3">
        <f t="shared" si="34"/>
        <v>17340482.110447012</v>
      </c>
      <c r="O36" s="12"/>
      <c r="Q36" s="145"/>
      <c r="R36" s="135"/>
    </row>
    <row r="37" spans="3:18">
      <c r="C37" s="9">
        <v>32</v>
      </c>
      <c r="D37" s="55">
        <v>44896</v>
      </c>
      <c r="E37" s="154" t="s">
        <v>78</v>
      </c>
      <c r="F37" s="153" t="s">
        <v>79</v>
      </c>
      <c r="G37" s="6">
        <f>SUMIF('Inventory Reg'!I:I,Abstract!E37,'Inventory Reg'!M:M)</f>
        <v>258</v>
      </c>
      <c r="H37" s="43">
        <f t="shared" ref="H37" si="37">IFERROR(L37/G37,0)</f>
        <v>981.45581395348836</v>
      </c>
      <c r="I37" s="43">
        <f>SUMIF(BOM!C:C,Abstract!E37,BOM!M:M)</f>
        <v>916.12153851521589</v>
      </c>
      <c r="J37" s="8">
        <f t="shared" ref="J37" si="38">H37-I37</f>
        <v>65.334275438272471</v>
      </c>
      <c r="K37" s="7">
        <f t="shared" ref="K37" si="39">G37*J37</f>
        <v>16856.243063074297</v>
      </c>
      <c r="L37" s="11">
        <f>SUMIF('Inventory Reg'!I:I,Abstract!E37,'Inventory Reg'!O:O)</f>
        <v>253215.6</v>
      </c>
      <c r="M37" s="6" t="s">
        <v>14</v>
      </c>
      <c r="N37" s="3">
        <f t="shared" si="34"/>
        <v>236359.3569369257</v>
      </c>
      <c r="O37" s="12"/>
    </row>
    <row r="38" spans="3:18" hidden="1">
      <c r="C38" s="9">
        <v>33</v>
      </c>
      <c r="D38" s="55">
        <v>44896</v>
      </c>
      <c r="E38" s="154" t="s">
        <v>80</v>
      </c>
      <c r="F38" s="153" t="s">
        <v>81</v>
      </c>
      <c r="G38" s="6">
        <f>SUMIF('Inventory Reg'!I:I,Abstract!E38,'Inventory Reg'!M:M)</f>
        <v>0</v>
      </c>
      <c r="H38" s="43">
        <f t="shared" ref="H38" si="40">IFERROR(L38/G38,0)</f>
        <v>0</v>
      </c>
      <c r="I38" s="43">
        <f>SUMIF(BOM!C:C,Abstract!E38,BOM!M:M)</f>
        <v>566.02011564399504</v>
      </c>
      <c r="J38" s="8">
        <f t="shared" ref="J38" si="41">H38-I38</f>
        <v>-566.02011564399504</v>
      </c>
      <c r="K38" s="7">
        <f t="shared" ref="K38:K39" si="42">G38*J38</f>
        <v>0</v>
      </c>
      <c r="L38" s="11">
        <f>SUMIF('Inventory Reg'!I:I,Abstract!E38,'Inventory Reg'!O:O)</f>
        <v>0</v>
      </c>
      <c r="M38" s="6" t="s">
        <v>17</v>
      </c>
      <c r="N38" s="3">
        <f t="shared" si="34"/>
        <v>0</v>
      </c>
      <c r="O38" s="12"/>
    </row>
    <row r="39" spans="3:18">
      <c r="C39" s="9">
        <v>34</v>
      </c>
      <c r="D39" s="55">
        <v>44896</v>
      </c>
      <c r="E39" s="154" t="s">
        <v>82</v>
      </c>
      <c r="F39" s="153" t="s">
        <v>83</v>
      </c>
      <c r="G39" s="6">
        <f>SUMIF('Inventory Reg'!I:I,Abstract!E39,'Inventory Reg'!M:M)</f>
        <v>8590</v>
      </c>
      <c r="H39" s="43">
        <f t="shared" ref="H39:H43" si="43">IFERROR(L39/G39,0)</f>
        <v>714.24</v>
      </c>
      <c r="I39" s="43">
        <f>SUMIF(BOM!C:C,Abstract!E39,BOM!M:M)</f>
        <v>678.61342907370727</v>
      </c>
      <c r="J39" s="8">
        <f t="shared" ref="J39:J43" si="44">H39-I39</f>
        <v>35.626570926292743</v>
      </c>
      <c r="K39" s="7">
        <f t="shared" si="42"/>
        <v>306032.24425685464</v>
      </c>
      <c r="L39" s="11">
        <f>SUMIF('Inventory Reg'!I:I,Abstract!E39,'Inventory Reg'!O:O)</f>
        <v>6135321.6000000006</v>
      </c>
      <c r="M39" s="6" t="s">
        <v>14</v>
      </c>
      <c r="N39" s="3">
        <f t="shared" si="34"/>
        <v>5829289.3557431456</v>
      </c>
      <c r="O39" s="12"/>
      <c r="Q39" s="145"/>
      <c r="R39" s="135"/>
    </row>
    <row r="40" spans="3:18" hidden="1">
      <c r="C40" s="9">
        <v>35</v>
      </c>
      <c r="D40" s="55">
        <v>44896</v>
      </c>
      <c r="E40" s="154" t="s">
        <v>84</v>
      </c>
      <c r="F40" s="153" t="s">
        <v>85</v>
      </c>
      <c r="G40" s="6">
        <f>SUMIF('Inventory Reg'!I:I,Abstract!E40,'Inventory Reg'!M:M)</f>
        <v>0</v>
      </c>
      <c r="H40" s="43">
        <f t="shared" si="43"/>
        <v>0</v>
      </c>
      <c r="I40" s="43">
        <f>SUMIF(BOM!C:C,Abstract!E40,BOM!M:M)</f>
        <v>936.34712034520578</v>
      </c>
      <c r="J40" s="8">
        <f t="shared" si="44"/>
        <v>-936.34712034520578</v>
      </c>
      <c r="K40" s="7">
        <f t="shared" ref="K40:K46" si="45">G40*J40</f>
        <v>0</v>
      </c>
      <c r="L40" s="11">
        <f>SUMIF('Inventory Reg'!I:I,Abstract!E40,'Inventory Reg'!O:O)</f>
        <v>0</v>
      </c>
      <c r="M40" s="6" t="s">
        <v>17</v>
      </c>
      <c r="N40" s="3">
        <f t="shared" si="34"/>
        <v>0</v>
      </c>
      <c r="O40" s="12"/>
    </row>
    <row r="41" spans="3:18">
      <c r="C41" s="9">
        <v>36</v>
      </c>
      <c r="D41" s="55">
        <v>44896</v>
      </c>
      <c r="E41" s="154" t="s">
        <v>86</v>
      </c>
      <c r="F41" s="153" t="s">
        <v>87</v>
      </c>
      <c r="G41" s="6">
        <f>SUMIF('Inventory Reg'!I:I,Abstract!E41,'Inventory Reg'!M:M)</f>
        <v>119</v>
      </c>
      <c r="H41" s="43">
        <f t="shared" si="43"/>
        <v>829.62000000000012</v>
      </c>
      <c r="I41" s="43">
        <f>SUMIF(BOM!C:C,Abstract!E41,BOM!M:M)</f>
        <v>657.91154964162024</v>
      </c>
      <c r="J41" s="8">
        <f t="shared" si="44"/>
        <v>171.70845035837988</v>
      </c>
      <c r="K41" s="7">
        <f t="shared" si="45"/>
        <v>20433.305592647204</v>
      </c>
      <c r="L41" s="11">
        <f>SUMIF('Inventory Reg'!I:I,Abstract!E41,'Inventory Reg'!O:O)</f>
        <v>98724.780000000013</v>
      </c>
      <c r="M41" s="6" t="s">
        <v>14</v>
      </c>
      <c r="N41" s="3">
        <f t="shared" si="34"/>
        <v>78291.474407352813</v>
      </c>
      <c r="O41" s="12"/>
      <c r="Q41" s="145"/>
      <c r="R41" s="135"/>
    </row>
    <row r="42" spans="3:18">
      <c r="C42" s="9">
        <v>37</v>
      </c>
      <c r="D42" s="55">
        <v>44896</v>
      </c>
      <c r="E42" s="154" t="s">
        <v>88</v>
      </c>
      <c r="F42" s="153" t="s">
        <v>89</v>
      </c>
      <c r="G42" s="6">
        <f>SUMIF('Inventory Reg'!I:I,Abstract!E42,'Inventory Reg'!M:M)</f>
        <v>2023</v>
      </c>
      <c r="H42" s="43">
        <f t="shared" si="43"/>
        <v>936.79000000000008</v>
      </c>
      <c r="I42" s="43">
        <f>SUMIF(BOM!C:C,Abstract!E42,BOM!M:M)</f>
        <v>907.6545679097319</v>
      </c>
      <c r="J42" s="8">
        <f t="shared" si="44"/>
        <v>29.135432090268182</v>
      </c>
      <c r="K42" s="7">
        <f t="shared" si="45"/>
        <v>58940.979118612529</v>
      </c>
      <c r="L42" s="11">
        <f>SUMIF('Inventory Reg'!I:I,Abstract!E42,'Inventory Reg'!O:O)</f>
        <v>1895126.1700000002</v>
      </c>
      <c r="M42" s="6" t="s">
        <v>14</v>
      </c>
      <c r="N42" s="3">
        <f t="shared" si="34"/>
        <v>1836185.1908813876</v>
      </c>
      <c r="O42" s="12">
        <f>G42*3.2</f>
        <v>6473.6</v>
      </c>
      <c r="Q42" s="145"/>
      <c r="R42" s="135"/>
    </row>
    <row r="43" spans="3:18">
      <c r="C43" s="9">
        <v>38</v>
      </c>
      <c r="D43" s="55">
        <v>44896</v>
      </c>
      <c r="E43" s="154" t="s">
        <v>90</v>
      </c>
      <c r="F43" s="153" t="s">
        <v>91</v>
      </c>
      <c r="G43" s="6">
        <f>SUMIF('Inventory Reg'!I:I,Abstract!E43,'Inventory Reg'!M:M)</f>
        <v>23774</v>
      </c>
      <c r="H43" s="43">
        <f t="shared" si="43"/>
        <v>937.09</v>
      </c>
      <c r="I43" s="43">
        <f>SUMIF(BOM!C:C,Abstract!E43,BOM!M:M)</f>
        <v>899.65184106644381</v>
      </c>
      <c r="J43" s="8">
        <f t="shared" si="44"/>
        <v>37.438158933556224</v>
      </c>
      <c r="K43" s="7">
        <f t="shared" si="45"/>
        <v>890054.79048636567</v>
      </c>
      <c r="L43" s="11">
        <f>SUMIF('Inventory Reg'!I:I,Abstract!E43,'Inventory Reg'!O:O)</f>
        <v>22278377.66</v>
      </c>
      <c r="M43" s="6" t="s">
        <v>14</v>
      </c>
      <c r="N43" s="3">
        <f t="shared" si="34"/>
        <v>21388322.869513635</v>
      </c>
      <c r="O43" s="12">
        <f>G43*3.2</f>
        <v>76076.800000000003</v>
      </c>
      <c r="Q43" s="145"/>
      <c r="R43" s="135"/>
    </row>
    <row r="44" spans="3:18" hidden="1">
      <c r="C44" s="9">
        <v>39</v>
      </c>
      <c r="D44" s="55">
        <v>44896</v>
      </c>
      <c r="E44" s="154" t="s">
        <v>92</v>
      </c>
      <c r="F44" s="153" t="s">
        <v>93</v>
      </c>
      <c r="G44" s="6">
        <f>SUMIF('Inventory Reg'!I:I,Abstract!E44,'Inventory Reg'!M:M)</f>
        <v>0</v>
      </c>
      <c r="H44" s="43">
        <f t="shared" ref="H44:H48" si="46">IFERROR(L44/G44,0)</f>
        <v>0</v>
      </c>
      <c r="I44" s="43">
        <f>SUMIF(BOM!C:C,Abstract!E44,BOM!M:M)</f>
        <v>641.85356481336282</v>
      </c>
      <c r="J44" s="8">
        <f t="shared" ref="J44:J48" si="47">H44-I44</f>
        <v>-641.85356481336282</v>
      </c>
      <c r="K44" s="7">
        <f t="shared" si="45"/>
        <v>0</v>
      </c>
      <c r="L44" s="11">
        <f>SUMIF('Inventory Reg'!I:I,Abstract!E44,'Inventory Reg'!O:O)</f>
        <v>0</v>
      </c>
      <c r="M44" s="6" t="s">
        <v>17</v>
      </c>
      <c r="N44" s="3">
        <f t="shared" ref="N44:N53" si="48">G44*I44</f>
        <v>0</v>
      </c>
      <c r="O44" s="12"/>
      <c r="Q44" s="145"/>
      <c r="R44" s="135"/>
    </row>
    <row r="45" spans="3:18">
      <c r="C45" s="9">
        <v>40</v>
      </c>
      <c r="D45" s="55">
        <v>44896</v>
      </c>
      <c r="E45" s="154" t="s">
        <v>94</v>
      </c>
      <c r="F45" s="153" t="s">
        <v>95</v>
      </c>
      <c r="G45" s="6">
        <f>SUMIF('Inventory Reg'!I:I,Abstract!E45,'Inventory Reg'!M:M)</f>
        <v>6721</v>
      </c>
      <c r="H45" s="43">
        <f t="shared" si="46"/>
        <v>730.67000000000007</v>
      </c>
      <c r="I45" s="43">
        <f>SUMIF(BOM!C:C,Abstract!E45,BOM!M:M)</f>
        <v>694.60777255927769</v>
      </c>
      <c r="J45" s="8">
        <f t="shared" si="47"/>
        <v>36.062227440722381</v>
      </c>
      <c r="K45" s="7">
        <f t="shared" si="45"/>
        <v>242374.23062909514</v>
      </c>
      <c r="L45" s="11">
        <f>SUMIF('Inventory Reg'!I:I,Abstract!E45,'Inventory Reg'!O:O)</f>
        <v>4910833.07</v>
      </c>
      <c r="M45" s="6" t="s">
        <v>14</v>
      </c>
      <c r="N45" s="3">
        <f t="shared" si="48"/>
        <v>4668458.8393709054</v>
      </c>
      <c r="O45" s="12"/>
      <c r="Q45" s="145"/>
      <c r="R45" s="135"/>
    </row>
    <row r="46" spans="3:18">
      <c r="C46" s="9">
        <v>41</v>
      </c>
      <c r="D46" s="55">
        <v>44896</v>
      </c>
      <c r="E46" s="154" t="s">
        <v>96</v>
      </c>
      <c r="F46" s="153" t="s">
        <v>97</v>
      </c>
      <c r="G46" s="6">
        <f>SUMIF('Inventory Reg'!I:I,Abstract!E46,'Inventory Reg'!M:M)</f>
        <v>1048</v>
      </c>
      <c r="H46" s="43">
        <f t="shared" si="46"/>
        <v>735.43999999999994</v>
      </c>
      <c r="I46" s="43">
        <f>SUMIF(BOM!C:C,Abstract!E46,BOM!M:M)</f>
        <v>481.35000444428545</v>
      </c>
      <c r="J46" s="8">
        <f t="shared" si="47"/>
        <v>254.08999555571449</v>
      </c>
      <c r="K46" s="7">
        <f t="shared" si="45"/>
        <v>266286.31534238881</v>
      </c>
      <c r="L46" s="11">
        <f>SUMIF('Inventory Reg'!I:I,Abstract!E46,'Inventory Reg'!O:O)</f>
        <v>770741.12</v>
      </c>
      <c r="M46" s="6" t="s">
        <v>14</v>
      </c>
      <c r="N46" s="3">
        <f t="shared" si="48"/>
        <v>504454.80465761112</v>
      </c>
      <c r="O46" s="12"/>
      <c r="Q46" s="145"/>
      <c r="R46" s="135"/>
    </row>
    <row r="47" spans="3:18" hidden="1">
      <c r="C47" s="9">
        <v>42</v>
      </c>
      <c r="D47" s="55">
        <v>44896</v>
      </c>
      <c r="E47" s="154" t="s">
        <v>98</v>
      </c>
      <c r="F47" s="153" t="s">
        <v>99</v>
      </c>
      <c r="G47" s="6">
        <f>SUMIF('Inventory Reg'!I:I,Abstract!E47,'Inventory Reg'!M:M)</f>
        <v>0</v>
      </c>
      <c r="H47" s="43">
        <f t="shared" si="46"/>
        <v>0</v>
      </c>
      <c r="I47" s="43">
        <f>SUMIF(BOM!C:C,Abstract!E47,BOM!M:M)</f>
        <v>653.48338174471974</v>
      </c>
      <c r="J47" s="8">
        <f t="shared" si="47"/>
        <v>-653.48338174471974</v>
      </c>
      <c r="K47" s="7">
        <f t="shared" ref="K47:K48" si="49">G47*J47</f>
        <v>0</v>
      </c>
      <c r="L47" s="11">
        <f>SUMIF('Inventory Reg'!I:I,Abstract!E47,'Inventory Reg'!O:O)</f>
        <v>0</v>
      </c>
      <c r="M47" s="6" t="s">
        <v>17</v>
      </c>
      <c r="N47" s="3">
        <f t="shared" si="48"/>
        <v>0</v>
      </c>
      <c r="O47" s="12"/>
    </row>
    <row r="48" spans="3:18" hidden="1">
      <c r="C48" s="9">
        <v>43</v>
      </c>
      <c r="D48" s="55">
        <v>44896</v>
      </c>
      <c r="E48" s="154" t="s">
        <v>100</v>
      </c>
      <c r="F48" s="153" t="s">
        <v>101</v>
      </c>
      <c r="G48" s="6">
        <f>SUMIF('Inventory Reg'!I:I,Abstract!E48,'Inventory Reg'!M:M)</f>
        <v>0</v>
      </c>
      <c r="H48" s="43">
        <f t="shared" si="46"/>
        <v>0</v>
      </c>
      <c r="I48" s="43">
        <f>SUMIF(BOM!C:C,Abstract!E48,BOM!M:M)</f>
        <v>1194.5816253877861</v>
      </c>
      <c r="J48" s="8">
        <f t="shared" si="47"/>
        <v>-1194.5816253877861</v>
      </c>
      <c r="K48" s="7">
        <f t="shared" si="49"/>
        <v>0</v>
      </c>
      <c r="L48" s="11">
        <f>SUMIF('Inventory Reg'!I:I,Abstract!E48,'Inventory Reg'!O:O)</f>
        <v>0</v>
      </c>
      <c r="M48" s="6" t="s">
        <v>17</v>
      </c>
      <c r="N48" s="3">
        <f t="shared" si="48"/>
        <v>0</v>
      </c>
      <c r="O48" s="12"/>
    </row>
    <row r="49" spans="3:15" hidden="1">
      <c r="C49" s="9">
        <v>44</v>
      </c>
      <c r="D49" s="55">
        <v>44896</v>
      </c>
      <c r="E49" s="154" t="s">
        <v>102</v>
      </c>
      <c r="F49" s="153" t="s">
        <v>103</v>
      </c>
      <c r="G49" s="6">
        <f>SUMIF('Inventory Reg'!I:I,Abstract!E49,'Inventory Reg'!M:M)</f>
        <v>0</v>
      </c>
      <c r="H49" s="43">
        <f t="shared" ref="H49" si="50">IFERROR(L49/G49,0)</f>
        <v>0</v>
      </c>
      <c r="I49" s="43">
        <f>SUMIF(BOM!C:C,Abstract!E49,BOM!M:M)</f>
        <v>955.90527497436153</v>
      </c>
      <c r="J49" s="8">
        <f t="shared" ref="J49" si="51">H49-I49</f>
        <v>-955.90527497436153</v>
      </c>
      <c r="K49" s="7">
        <f t="shared" ref="K49" si="52">G49*J49</f>
        <v>0</v>
      </c>
      <c r="L49" s="11">
        <f>SUMIF('Inventory Reg'!I:I,Abstract!E49,'Inventory Reg'!O:O)</f>
        <v>0</v>
      </c>
      <c r="M49" s="6" t="s">
        <v>17</v>
      </c>
      <c r="N49" s="3">
        <f t="shared" si="48"/>
        <v>0</v>
      </c>
      <c r="O49" s="12"/>
    </row>
    <row r="50" spans="3:15">
      <c r="C50" s="9">
        <v>45</v>
      </c>
      <c r="D50" s="55">
        <v>44896</v>
      </c>
      <c r="E50" s="154" t="s">
        <v>104</v>
      </c>
      <c r="F50" s="153" t="s">
        <v>105</v>
      </c>
      <c r="G50" s="6">
        <f>SUMIF('Inventory Reg'!I:I,Abstract!E50,'Inventory Reg'!M:M)</f>
        <v>28269</v>
      </c>
      <c r="H50" s="43">
        <f t="shared" ref="H50" si="53">IFERROR(L50/G50,0)</f>
        <v>768.23999999999978</v>
      </c>
      <c r="I50" s="43">
        <f>SUMIF(BOM!C:C,Abstract!E50,BOM!M:M)</f>
        <v>727.08032909709982</v>
      </c>
      <c r="J50" s="8">
        <f t="shared" ref="J50" si="54">H50-I50</f>
        <v>41.159670902899961</v>
      </c>
      <c r="K50" s="7">
        <f t="shared" ref="K50" si="55">G50*J50</f>
        <v>1163542.7367540791</v>
      </c>
      <c r="L50" s="11">
        <f>SUMIF('Inventory Reg'!I:I,Abstract!E50,'Inventory Reg'!O:O)</f>
        <v>21717376.559999995</v>
      </c>
      <c r="M50" s="6" t="s">
        <v>14</v>
      </c>
      <c r="N50" s="3">
        <f t="shared" si="48"/>
        <v>20553833.823245917</v>
      </c>
      <c r="O50" s="12"/>
    </row>
    <row r="51" spans="3:15">
      <c r="C51" s="9">
        <v>46</v>
      </c>
      <c r="D51" s="55">
        <v>44896</v>
      </c>
      <c r="E51" s="154" t="s">
        <v>106</v>
      </c>
      <c r="F51" s="153" t="s">
        <v>107</v>
      </c>
      <c r="G51" s="6">
        <f>SUMIF('Inventory Reg'!I:I,Abstract!E51,'Inventory Reg'!M:M)</f>
        <v>3090</v>
      </c>
      <c r="H51" s="43">
        <f t="shared" ref="H51:H60" si="56">IFERROR(L51/G51,0)</f>
        <v>783.99</v>
      </c>
      <c r="I51" s="43">
        <f>SUMIF(BOM!C:C,Abstract!E51,BOM!M:M)</f>
        <v>722.0447840590441</v>
      </c>
      <c r="J51" s="8">
        <f t="shared" ref="J51:J60" si="57">H51-I51</f>
        <v>61.945215940955904</v>
      </c>
      <c r="K51" s="7">
        <f t="shared" ref="K51:K60" si="58">G51*J51</f>
        <v>191410.71725755374</v>
      </c>
      <c r="L51" s="11">
        <f>SUMIF('Inventory Reg'!I:I,Abstract!E51,'Inventory Reg'!O:O)</f>
        <v>2422529.1</v>
      </c>
      <c r="M51" s="6" t="s">
        <v>14</v>
      </c>
      <c r="N51" s="3">
        <f t="shared" si="48"/>
        <v>2231118.3827424464</v>
      </c>
      <c r="O51" s="12"/>
    </row>
    <row r="52" spans="3:15">
      <c r="C52" s="9">
        <v>47</v>
      </c>
      <c r="D52" s="55">
        <v>44896</v>
      </c>
      <c r="E52" s="154" t="s">
        <v>108</v>
      </c>
      <c r="F52" s="153" t="s">
        <v>109</v>
      </c>
      <c r="G52" s="6">
        <f>SUMIF('Inventory Reg'!I:I,Abstract!E52,'Inventory Reg'!M:M)</f>
        <v>9920</v>
      </c>
      <c r="H52" s="43">
        <f t="shared" si="56"/>
        <v>957.97000000000025</v>
      </c>
      <c r="I52" s="43">
        <f>SUMIF(BOM!C:C,Abstract!E52,BOM!M:M)</f>
        <v>924.9280028222978</v>
      </c>
      <c r="J52" s="8">
        <f t="shared" si="57"/>
        <v>33.041997177702456</v>
      </c>
      <c r="K52" s="7">
        <f t="shared" si="58"/>
        <v>327776.61200280837</v>
      </c>
      <c r="L52" s="11">
        <f>SUMIF('Inventory Reg'!I:I,Abstract!E52,'Inventory Reg'!O:O)</f>
        <v>9503062.4000000022</v>
      </c>
      <c r="M52" s="6" t="s">
        <v>14</v>
      </c>
      <c r="N52" s="3">
        <f t="shared" si="48"/>
        <v>9175285.7879971936</v>
      </c>
      <c r="O52" s="12">
        <f>G52*3.2</f>
        <v>31744</v>
      </c>
    </row>
    <row r="53" spans="3:15">
      <c r="C53" s="9">
        <v>48</v>
      </c>
      <c r="D53" s="55">
        <v>44896</v>
      </c>
      <c r="E53" s="154" t="s">
        <v>110</v>
      </c>
      <c r="F53" s="153" t="s">
        <v>111</v>
      </c>
      <c r="G53" s="6">
        <f>SUMIF('Inventory Reg'!I:I,Abstract!E53,'Inventory Reg'!M:M)</f>
        <v>6003</v>
      </c>
      <c r="H53" s="43">
        <f t="shared" si="56"/>
        <v>886.25</v>
      </c>
      <c r="I53" s="43">
        <f>SUMIF(BOM!C:C,Abstract!E53,BOM!M:M)</f>
        <v>853.17647634330615</v>
      </c>
      <c r="J53" s="8">
        <f t="shared" si="57"/>
        <v>33.073523656693851</v>
      </c>
      <c r="K53" s="7">
        <f t="shared" si="58"/>
        <v>198540.36251113319</v>
      </c>
      <c r="L53" s="11">
        <f>SUMIF('Inventory Reg'!I:I,Abstract!E53,'Inventory Reg'!O:O)</f>
        <v>5320158.75</v>
      </c>
      <c r="M53" s="6" t="s">
        <v>14</v>
      </c>
      <c r="N53" s="3">
        <f t="shared" si="48"/>
        <v>5121618.3874888672</v>
      </c>
      <c r="O53" s="12"/>
    </row>
    <row r="54" spans="3:15" hidden="1">
      <c r="C54" s="9">
        <v>49</v>
      </c>
      <c r="D54" s="55">
        <v>44896</v>
      </c>
      <c r="E54" s="154" t="s">
        <v>112</v>
      </c>
      <c r="F54" s="153" t="s">
        <v>113</v>
      </c>
      <c r="G54" s="6">
        <f>SUMIF('Inventory Reg'!I:I,Abstract!E54,'Inventory Reg'!M:M)</f>
        <v>0</v>
      </c>
      <c r="H54" s="43">
        <f t="shared" si="56"/>
        <v>0</v>
      </c>
      <c r="I54" s="43">
        <f>SUMIF(BOM!C:C,Abstract!E54,BOM!M:M)</f>
        <v>905.40952333049381</v>
      </c>
      <c r="J54" s="8">
        <f t="shared" si="57"/>
        <v>-905.40952333049381</v>
      </c>
      <c r="K54" s="7">
        <f t="shared" si="58"/>
        <v>0</v>
      </c>
      <c r="L54" s="11">
        <f>SUMIF('Inventory Reg'!I:I,Abstract!E54,'Inventory Reg'!O:O)</f>
        <v>0</v>
      </c>
      <c r="M54" s="6" t="s">
        <v>17</v>
      </c>
      <c r="N54" s="3">
        <f t="shared" ref="N54:N60" si="59">G54*I54</f>
        <v>0</v>
      </c>
      <c r="O54" s="12"/>
    </row>
    <row r="55" spans="3:15" hidden="1">
      <c r="C55" s="9">
        <v>50</v>
      </c>
      <c r="D55" s="55">
        <v>44896</v>
      </c>
      <c r="E55" s="154" t="s">
        <v>114</v>
      </c>
      <c r="F55" s="153" t="s">
        <v>115</v>
      </c>
      <c r="G55" s="6">
        <f>SUMIF('Inventory Reg'!I:I,Abstract!E55,'Inventory Reg'!M:M)</f>
        <v>0</v>
      </c>
      <c r="H55" s="43">
        <f t="shared" si="56"/>
        <v>0</v>
      </c>
      <c r="I55" s="43">
        <f>SUMIF(BOM!C:C,Abstract!E55,BOM!M:M)</f>
        <v>1149.9219281752401</v>
      </c>
      <c r="J55" s="8">
        <f t="shared" si="57"/>
        <v>-1149.9219281752401</v>
      </c>
      <c r="K55" s="7">
        <f t="shared" si="58"/>
        <v>0</v>
      </c>
      <c r="L55" s="11">
        <f>SUMIF('Inventory Reg'!I:I,Abstract!E55,'Inventory Reg'!O:O)</f>
        <v>0</v>
      </c>
      <c r="M55" s="6" t="s">
        <v>17</v>
      </c>
      <c r="N55" s="3">
        <f t="shared" si="59"/>
        <v>0</v>
      </c>
      <c r="O55" s="12"/>
    </row>
    <row r="56" spans="3:15">
      <c r="C56" s="9">
        <v>51</v>
      </c>
      <c r="D56" s="55">
        <v>44896</v>
      </c>
      <c r="E56" s="154" t="s">
        <v>116</v>
      </c>
      <c r="F56" s="153" t="s">
        <v>117</v>
      </c>
      <c r="G56" s="6">
        <f>SUMIF('Inventory Reg'!I:I,Abstract!E56,'Inventory Reg'!M:M)</f>
        <v>1196</v>
      </c>
      <c r="H56" s="43">
        <f t="shared" ref="H56:H57" si="60">IFERROR(L56/G56,0)</f>
        <v>682.6</v>
      </c>
      <c r="I56" s="43">
        <f>SUMIF(BOM!C:C,Abstract!E56,BOM!M:M)</f>
        <v>687.3760544418551</v>
      </c>
      <c r="J56" s="8">
        <f t="shared" ref="J56:J57" si="61">H56-I56</f>
        <v>-4.7760544418550808</v>
      </c>
      <c r="K56" s="7">
        <f t="shared" ref="K56:K57" si="62">G56*J56</f>
        <v>-5712.1611124586761</v>
      </c>
      <c r="L56" s="11">
        <f>SUMIF('Inventory Reg'!I:I,Abstract!E56,'Inventory Reg'!O:O)</f>
        <v>816389.60000000009</v>
      </c>
      <c r="M56" s="6" t="s">
        <v>14</v>
      </c>
      <c r="N56" s="3">
        <f t="shared" si="59"/>
        <v>822101.76111245865</v>
      </c>
      <c r="O56" s="12"/>
    </row>
    <row r="57" spans="3:15">
      <c r="C57" s="9">
        <v>52</v>
      </c>
      <c r="D57" s="55">
        <v>44896</v>
      </c>
      <c r="E57" s="154" t="s">
        <v>118</v>
      </c>
      <c r="F57" s="153" t="s">
        <v>119</v>
      </c>
      <c r="G57" s="6">
        <f>SUMIF('Inventory Reg'!I:I,Abstract!E57,'Inventory Reg'!M:M)</f>
        <v>7949</v>
      </c>
      <c r="H57" s="43">
        <f t="shared" si="60"/>
        <v>682.59999999999991</v>
      </c>
      <c r="I57" s="43">
        <f>SUMIF(BOM!C:C,Abstract!E57,BOM!M:M)</f>
        <v>688.26481614735007</v>
      </c>
      <c r="J57" s="8">
        <f t="shared" si="61"/>
        <v>-5.6648161473501659</v>
      </c>
      <c r="K57" s="7">
        <f t="shared" si="62"/>
        <v>-45029.623555286467</v>
      </c>
      <c r="L57" s="11">
        <f>SUMIF('Inventory Reg'!I:I,Abstract!E57,'Inventory Reg'!O:O)</f>
        <v>5425987.3999999994</v>
      </c>
      <c r="M57" s="6" t="s">
        <v>14</v>
      </c>
      <c r="N57" s="3">
        <f t="shared" si="59"/>
        <v>5471017.0235552853</v>
      </c>
      <c r="O57" s="12"/>
    </row>
    <row r="58" spans="3:15" hidden="1">
      <c r="C58" s="9">
        <v>53</v>
      </c>
      <c r="D58" s="55">
        <v>44896</v>
      </c>
      <c r="E58" s="154" t="s">
        <v>120</v>
      </c>
      <c r="F58" s="153" t="s">
        <v>121</v>
      </c>
      <c r="G58" s="6">
        <f>SUMIF('Inventory Reg'!I:I,Abstract!E58,'Inventory Reg'!M:M)</f>
        <v>0</v>
      </c>
      <c r="H58" s="43">
        <f t="shared" si="56"/>
        <v>0</v>
      </c>
      <c r="I58" s="43">
        <f>SUMIF(BOM!C:C,Abstract!E58,BOM!M:M)</f>
        <v>1161.9460965514954</v>
      </c>
      <c r="J58" s="8">
        <f t="shared" si="57"/>
        <v>-1161.9460965514954</v>
      </c>
      <c r="K58" s="7">
        <f t="shared" si="58"/>
        <v>0</v>
      </c>
      <c r="L58" s="11">
        <f>SUMIF('Inventory Reg'!I:I,Abstract!E58,'Inventory Reg'!O:O)</f>
        <v>0</v>
      </c>
      <c r="M58" s="6" t="s">
        <v>17</v>
      </c>
      <c r="N58" s="3">
        <f t="shared" si="59"/>
        <v>0</v>
      </c>
      <c r="O58" s="12"/>
    </row>
    <row r="59" spans="3:15">
      <c r="C59" s="9"/>
      <c r="D59" s="55"/>
      <c r="E59" s="154" t="s">
        <v>122</v>
      </c>
      <c r="F59" s="153" t="s">
        <v>123</v>
      </c>
      <c r="G59" s="6">
        <f>SUMIF('Inventory Reg'!I:I,Abstract!E59,'Inventory Reg'!M:M)</f>
        <v>461</v>
      </c>
      <c r="H59" s="43">
        <f t="shared" si="56"/>
        <v>697.8</v>
      </c>
      <c r="I59" s="43">
        <f>SUMIF(BOM!C:C,Abstract!E59,BOM!M:M)</f>
        <v>481.35000444428545</v>
      </c>
      <c r="J59" s="8">
        <f t="shared" si="57"/>
        <v>216.44999555571451</v>
      </c>
      <c r="K59" s="7">
        <f t="shared" si="58"/>
        <v>99783.447951184382</v>
      </c>
      <c r="L59" s="11">
        <f>SUMIF('Inventory Reg'!I:I,Abstract!E59,'Inventory Reg'!O:O)</f>
        <v>321685.8</v>
      </c>
      <c r="M59" s="6" t="s">
        <v>14</v>
      </c>
      <c r="N59" s="3">
        <f t="shared" si="59"/>
        <v>221902.35204881558</v>
      </c>
      <c r="O59" s="12"/>
    </row>
    <row r="60" spans="3:15">
      <c r="C60" s="9"/>
      <c r="D60" s="55"/>
      <c r="E60" s="154" t="s">
        <v>124</v>
      </c>
      <c r="F60" s="153" t="s">
        <v>125</v>
      </c>
      <c r="G60" s="6">
        <f>SUMIF('Inventory Reg'!I:I,Abstract!E60,'Inventory Reg'!M:M)</f>
        <v>6374</v>
      </c>
      <c r="H60" s="43">
        <f t="shared" si="56"/>
        <v>944.19999999999993</v>
      </c>
      <c r="I60" s="43">
        <f>SUMIF(BOM!C:C,Abstract!E60,BOM!M:M)</f>
        <v>961.72384564348738</v>
      </c>
      <c r="J60" s="8">
        <f t="shared" si="57"/>
        <v>-17.523845643487448</v>
      </c>
      <c r="K60" s="7">
        <f t="shared" si="58"/>
        <v>-111696.992131589</v>
      </c>
      <c r="L60" s="11">
        <f>SUMIF('Inventory Reg'!I:I,Abstract!E60,'Inventory Reg'!O:O)</f>
        <v>6018330.7999999998</v>
      </c>
      <c r="M60" s="6" t="s">
        <v>14</v>
      </c>
      <c r="N60" s="3">
        <f t="shared" si="59"/>
        <v>6130027.7921315888</v>
      </c>
      <c r="O60" s="12"/>
    </row>
    <row r="61" spans="3:15">
      <c r="C61" s="9"/>
      <c r="D61" s="55"/>
      <c r="E61" s="154"/>
      <c r="F61" s="153"/>
      <c r="G61" s="6"/>
      <c r="H61" s="43"/>
      <c r="I61" s="43"/>
      <c r="J61" s="8"/>
      <c r="K61" s="7"/>
      <c r="L61" s="11"/>
      <c r="M61" s="6"/>
      <c r="O61" s="12"/>
    </row>
    <row r="62" spans="3:15">
      <c r="C62" s="9"/>
      <c r="D62" s="55"/>
      <c r="E62" s="154"/>
      <c r="F62" s="153"/>
      <c r="G62" s="6"/>
      <c r="H62" s="43"/>
      <c r="I62" s="43"/>
      <c r="J62" s="8"/>
      <c r="K62" s="7"/>
      <c r="L62" s="11"/>
      <c r="M62" s="6"/>
      <c r="O62" s="12"/>
    </row>
    <row r="63" spans="3:15">
      <c r="C63" s="9"/>
      <c r="D63" s="55"/>
      <c r="E63" s="154"/>
      <c r="F63" s="153"/>
      <c r="G63" s="6"/>
      <c r="H63" s="43"/>
      <c r="I63" s="43"/>
      <c r="J63" s="8"/>
      <c r="K63" s="7"/>
      <c r="L63" s="11"/>
      <c r="M63" s="6"/>
      <c r="O63" s="12"/>
    </row>
    <row r="64" spans="3:15">
      <c r="F64" s="13" t="s">
        <v>126</v>
      </c>
      <c r="G64" s="152">
        <f>SUM(G5:G63)</f>
        <v>141523</v>
      </c>
      <c r="H64" s="25"/>
      <c r="I64" s="13"/>
      <c r="J64" s="13"/>
      <c r="K64" s="152">
        <f>SUM(K5:K63)</f>
        <v>4765547.4864077</v>
      </c>
      <c r="L64" s="152">
        <f>SUM(L5:L63)</f>
        <v>114180688.07999998</v>
      </c>
      <c r="N64" s="152">
        <f>SUM(N5:N63)</f>
        <v>109415140.59359227</v>
      </c>
      <c r="O64" s="152">
        <f>SUM(O5:O63)</f>
        <v>114294.40000000001</v>
      </c>
    </row>
    <row r="65" spans="6:14">
      <c r="F65" s="13" t="s">
        <v>127</v>
      </c>
      <c r="G65" s="13"/>
      <c r="H65" s="25"/>
      <c r="I65" s="13"/>
      <c r="J65" s="13"/>
      <c r="K65" s="14">
        <f>K64/100000</f>
        <v>47.655474864077</v>
      </c>
      <c r="L65" s="17">
        <f>L64/100000</f>
        <v>1141.8068807999998</v>
      </c>
      <c r="N65" s="17">
        <f>N64/100000</f>
        <v>1094.1514059359226</v>
      </c>
    </row>
    <row r="66" spans="6:14">
      <c r="K66" s="3"/>
    </row>
    <row r="68" spans="6:14">
      <c r="K68" s="3">
        <f>+K64-O64</f>
        <v>4651253.0864076996</v>
      </c>
    </row>
  </sheetData>
  <autoFilter ref="C4:R60" xr:uid="{00000000-0009-0000-0000-000000000000}">
    <filterColumn colId="4">
      <filters>
        <filter val="10"/>
        <filter val="1048"/>
        <filter val="119"/>
        <filter val="1196"/>
        <filter val="151"/>
        <filter val="2023"/>
        <filter val="2318"/>
        <filter val="23774"/>
        <filter val="24821"/>
        <filter val="258"/>
        <filter val="28269"/>
        <filter val="3090"/>
        <filter val="31"/>
        <filter val="394"/>
        <filter val="461"/>
        <filter val="496"/>
        <filter val="6003"/>
        <filter val="6374"/>
        <filter val="6578"/>
        <filter val="6721"/>
        <filter val="7949"/>
        <filter val="843"/>
        <filter val="8590"/>
        <filter val="86"/>
        <filter val="9920"/>
      </filters>
    </filterColumn>
  </autoFilter>
  <mergeCells count="1">
    <mergeCell ref="C3:M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58"/>
  <sheetViews>
    <sheetView topLeftCell="E1" workbookViewId="0">
      <pane ySplit="2" topLeftCell="A3" activePane="bottomLeft" state="frozen"/>
      <selection pane="bottomLeft" activeCell="M3" sqref="M3"/>
    </sheetView>
  </sheetViews>
  <sheetFormatPr defaultRowHeight="14.45"/>
  <cols>
    <col min="2" max="2" width="16" style="73" customWidth="1"/>
    <col min="3" max="3" width="16.5703125" customWidth="1"/>
    <col min="4" max="4" width="57.42578125" customWidth="1"/>
    <col min="5" max="5" width="21.28515625" style="73" customWidth="1"/>
    <col min="6" max="6" width="41.42578125" style="73" customWidth="1"/>
    <col min="7" max="7" width="12.85546875" bestFit="1" customWidth="1"/>
    <col min="8" max="8" width="16.85546875" style="12" customWidth="1"/>
    <col min="9" max="9" width="11.7109375" customWidth="1"/>
    <col min="10" max="10" width="16" style="172" customWidth="1"/>
    <col min="11" max="11" width="16.5703125" customWidth="1"/>
    <col min="12" max="12" width="11.85546875" style="16" customWidth="1"/>
    <col min="13" max="13" width="10.42578125" style="71" customWidth="1"/>
    <col min="14" max="14" width="8.85546875" bestFit="1" customWidth="1"/>
    <col min="15" max="15" width="10" bestFit="1" customWidth="1"/>
    <col min="16" max="16" width="11.28515625" bestFit="1" customWidth="1"/>
  </cols>
  <sheetData>
    <row r="1" spans="1:13">
      <c r="K1" s="51"/>
      <c r="L1" s="69"/>
      <c r="M1" s="70"/>
    </row>
    <row r="2" spans="1:13" ht="30.75" customHeight="1">
      <c r="A2" s="131" t="s">
        <v>11</v>
      </c>
      <c r="B2" s="131" t="s">
        <v>128</v>
      </c>
      <c r="C2" s="131" t="s">
        <v>3</v>
      </c>
      <c r="D2" s="131" t="s">
        <v>4</v>
      </c>
      <c r="E2" s="131" t="s">
        <v>129</v>
      </c>
      <c r="F2" s="131" t="s">
        <v>130</v>
      </c>
      <c r="G2" s="131" t="s">
        <v>131</v>
      </c>
      <c r="H2" s="131" t="s">
        <v>132</v>
      </c>
      <c r="I2" s="131" t="s">
        <v>133</v>
      </c>
      <c r="J2" s="173" t="s">
        <v>134</v>
      </c>
      <c r="K2" s="131" t="s">
        <v>135</v>
      </c>
      <c r="L2" s="131" t="s">
        <v>136</v>
      </c>
      <c r="M2" s="131" t="s">
        <v>137</v>
      </c>
    </row>
    <row r="3" spans="1:13" s="107" customFormat="1" ht="15" customHeight="1">
      <c r="A3" s="100" t="str">
        <f>VLOOKUP(C3,Abstract!$E$4:$M$62,9,0)</f>
        <v>ACTIVE</v>
      </c>
      <c r="B3" s="95" t="s">
        <v>138</v>
      </c>
      <c r="C3" s="132" t="s">
        <v>12</v>
      </c>
      <c r="D3" s="101" t="s">
        <v>13</v>
      </c>
      <c r="E3" s="95" t="s">
        <v>139</v>
      </c>
      <c r="F3" s="102" t="s">
        <v>140</v>
      </c>
      <c r="G3" s="103">
        <v>715.35599999999999</v>
      </c>
      <c r="H3" s="104">
        <f>VLOOKUP($E3,'Stock statement'!$D$2:$P$384,13,)</f>
        <v>0.34</v>
      </c>
      <c r="I3" s="105">
        <v>2.5000000000000001E-2</v>
      </c>
      <c r="J3" s="100">
        <v>1.0249999999999999</v>
      </c>
      <c r="K3" s="106">
        <f t="shared" ref="K3:K35" si="0">+G3*H3*(1+I3)*J3</f>
        <v>255.53410514999999</v>
      </c>
      <c r="L3" s="98"/>
      <c r="M3" s="104">
        <f t="shared" ref="M3:M36" si="1">K3/$G$27</f>
        <v>1.4718764456639999</v>
      </c>
    </row>
    <row r="4" spans="1:13" s="107" customFormat="1" ht="15" customHeight="1">
      <c r="A4" s="100" t="str">
        <f>VLOOKUP(C4,Abstract!$E$4:$M$62,9,0)</f>
        <v>ACTIVE</v>
      </c>
      <c r="B4" s="95" t="s">
        <v>138</v>
      </c>
      <c r="C4" s="132" t="s">
        <v>12</v>
      </c>
      <c r="D4" s="101" t="s">
        <v>13</v>
      </c>
      <c r="E4" s="95" t="s">
        <v>141</v>
      </c>
      <c r="F4" s="108" t="s">
        <v>142</v>
      </c>
      <c r="G4" s="109">
        <v>185.7</v>
      </c>
      <c r="H4" s="104">
        <f>VLOOKUP($E4,'Stock statement'!$D$2:$P$384,13,)</f>
        <v>94.278330452007026</v>
      </c>
      <c r="I4" s="105">
        <v>2.5000000000000001E-2</v>
      </c>
      <c r="J4" s="100">
        <v>1.0249999999999999</v>
      </c>
      <c r="K4" s="106">
        <f t="shared" si="0"/>
        <v>18393.80244191267</v>
      </c>
      <c r="L4" s="98"/>
      <c r="M4" s="110">
        <f t="shared" si="1"/>
        <v>105.94830206541698</v>
      </c>
    </row>
    <row r="5" spans="1:13" s="107" customFormat="1" ht="15" customHeight="1">
      <c r="A5" s="100" t="str">
        <f>VLOOKUP(C5,Abstract!$E$4:$M$62,9,0)</f>
        <v>ACTIVE</v>
      </c>
      <c r="B5" s="95" t="s">
        <v>138</v>
      </c>
      <c r="C5" s="132" t="s">
        <v>12</v>
      </c>
      <c r="D5" s="101" t="s">
        <v>13</v>
      </c>
      <c r="E5" s="95" t="s">
        <v>143</v>
      </c>
      <c r="F5" s="108" t="s">
        <v>144</v>
      </c>
      <c r="G5" s="109">
        <v>5</v>
      </c>
      <c r="H5" s="104">
        <f>VLOOKUP($E5,'Stock statement'!$D$2:$P$384,13,)</f>
        <v>178.57970547017939</v>
      </c>
      <c r="I5" s="105">
        <v>2.5000000000000001E-2</v>
      </c>
      <c r="J5" s="100">
        <v>1.0249999999999999</v>
      </c>
      <c r="K5" s="106">
        <f t="shared" si="0"/>
        <v>938.10151529803602</v>
      </c>
      <c r="L5" s="98"/>
      <c r="M5" s="110">
        <f t="shared" si="1"/>
        <v>5.4034647281166874</v>
      </c>
    </row>
    <row r="6" spans="1:13" s="107" customFormat="1" ht="15" customHeight="1">
      <c r="A6" s="100" t="str">
        <f>VLOOKUP(C6,Abstract!$E$4:$M$62,9,0)</f>
        <v>ACTIVE</v>
      </c>
      <c r="B6" s="95" t="s">
        <v>138</v>
      </c>
      <c r="C6" s="132" t="s">
        <v>12</v>
      </c>
      <c r="D6" s="101" t="s">
        <v>13</v>
      </c>
      <c r="E6" s="95" t="s">
        <v>145</v>
      </c>
      <c r="F6" s="102" t="s">
        <v>146</v>
      </c>
      <c r="G6" s="109">
        <v>10</v>
      </c>
      <c r="H6" s="104">
        <f>VLOOKUP($E6,'Stock statement'!$D$2:$P$384,13,)</f>
        <v>151.08681180977209</v>
      </c>
      <c r="I6" s="105">
        <v>2.5000000000000001E-2</v>
      </c>
      <c r="J6" s="100">
        <v>1.0249999999999999</v>
      </c>
      <c r="K6" s="106">
        <f t="shared" si="0"/>
        <v>1587.3558165764177</v>
      </c>
      <c r="L6" s="98"/>
      <c r="M6" s="110">
        <f t="shared" si="1"/>
        <v>9.1431695034801663</v>
      </c>
    </row>
    <row r="7" spans="1:13" s="107" customFormat="1" ht="15" customHeight="1">
      <c r="A7" s="100" t="str">
        <f>VLOOKUP(C7,Abstract!$E$4:$M$62,9,0)</f>
        <v>ACTIVE</v>
      </c>
      <c r="B7" s="95" t="s">
        <v>138</v>
      </c>
      <c r="C7" s="132" t="s">
        <v>12</v>
      </c>
      <c r="D7" s="101" t="s">
        <v>13</v>
      </c>
      <c r="E7" s="95" t="s">
        <v>147</v>
      </c>
      <c r="F7" s="95" t="s">
        <v>148</v>
      </c>
      <c r="G7" s="109">
        <v>0.5</v>
      </c>
      <c r="H7" s="104">
        <f>VLOOKUP($E7,'Stock statement'!$D$2:$P$384,13,)</f>
        <v>353.50950483838068</v>
      </c>
      <c r="I7" s="105">
        <v>2.5000000000000001E-2</v>
      </c>
      <c r="J7" s="100">
        <v>1.0249999999999999</v>
      </c>
      <c r="K7" s="106">
        <f t="shared" si="0"/>
        <v>185.70296176041182</v>
      </c>
      <c r="L7" s="98"/>
      <c r="M7" s="110">
        <f t="shared" si="1"/>
        <v>1.0696490597399722</v>
      </c>
    </row>
    <row r="8" spans="1:13" s="107" customFormat="1" ht="15" customHeight="1">
      <c r="A8" s="100" t="str">
        <f>VLOOKUP(C8,Abstract!$E$4:$M$62,9,0)</f>
        <v>ACTIVE</v>
      </c>
      <c r="B8" s="95" t="s">
        <v>138</v>
      </c>
      <c r="C8" s="132" t="s">
        <v>12</v>
      </c>
      <c r="D8" s="101" t="s">
        <v>13</v>
      </c>
      <c r="E8" s="95" t="s">
        <v>149</v>
      </c>
      <c r="F8" s="95" t="s">
        <v>150</v>
      </c>
      <c r="G8" s="109">
        <v>0.125</v>
      </c>
      <c r="H8" s="104">
        <f>VLOOKUP($E8,'Stock statement'!$D$2:$P$384,13,)</f>
        <v>161.56941474217822</v>
      </c>
      <c r="I8" s="105">
        <v>2.5000000000000001E-2</v>
      </c>
      <c r="J8" s="100">
        <v>1.0249999999999999</v>
      </c>
      <c r="K8" s="106">
        <f t="shared" si="0"/>
        <v>21.218608295437623</v>
      </c>
      <c r="L8" s="98"/>
      <c r="M8" s="110">
        <f t="shared" si="1"/>
        <v>0.1222191837817207</v>
      </c>
    </row>
    <row r="9" spans="1:13" s="107" customFormat="1" ht="15" customHeight="1">
      <c r="A9" s="100" t="str">
        <f>VLOOKUP(C9,Abstract!$E$4:$M$62,9,0)</f>
        <v>ACTIVE</v>
      </c>
      <c r="B9" s="95" t="s">
        <v>138</v>
      </c>
      <c r="C9" s="132" t="s">
        <v>12</v>
      </c>
      <c r="D9" s="101" t="s">
        <v>13</v>
      </c>
      <c r="E9" s="95" t="s">
        <v>151</v>
      </c>
      <c r="F9" s="102" t="s">
        <v>152</v>
      </c>
      <c r="G9" s="103">
        <v>3</v>
      </c>
      <c r="H9" s="104">
        <f>VLOOKUP($E9,'Stock statement'!$D$2:$P$384,13,)</f>
        <v>762.38931335604309</v>
      </c>
      <c r="I9" s="105">
        <v>2.5000000000000001E-2</v>
      </c>
      <c r="J9" s="100">
        <v>1.0249999999999999</v>
      </c>
      <c r="K9" s="106">
        <f t="shared" si="0"/>
        <v>2402.9558170340779</v>
      </c>
      <c r="L9" s="98"/>
      <c r="M9" s="110">
        <f t="shared" si="1"/>
        <v>13.841025506116289</v>
      </c>
    </row>
    <row r="10" spans="1:13" s="107" customFormat="1" ht="15" customHeight="1">
      <c r="A10" s="100" t="str">
        <f>VLOOKUP(C10,Abstract!$E$4:$M$62,9,0)</f>
        <v>ACTIVE</v>
      </c>
      <c r="B10" s="95" t="s">
        <v>138</v>
      </c>
      <c r="C10" s="132" t="s">
        <v>12</v>
      </c>
      <c r="D10" s="101" t="s">
        <v>13</v>
      </c>
      <c r="E10" s="95" t="s">
        <v>153</v>
      </c>
      <c r="F10" s="108" t="s">
        <v>154</v>
      </c>
      <c r="G10" s="109">
        <v>0.625</v>
      </c>
      <c r="H10" s="104">
        <f>VLOOKUP($E10,'Stock statement'!$D$2:$P$384,13,)</f>
        <v>84.206363687840948</v>
      </c>
      <c r="I10" s="105">
        <v>2.5000000000000001E-2</v>
      </c>
      <c r="J10" s="100">
        <v>1.0249999999999999</v>
      </c>
      <c r="K10" s="106">
        <f t="shared" si="0"/>
        <v>55.293319280961178</v>
      </c>
      <c r="L10" s="98"/>
      <c r="M10" s="110">
        <f t="shared" si="1"/>
        <v>0.31848951905833639</v>
      </c>
    </row>
    <row r="11" spans="1:13" s="107" customFormat="1" ht="15" customHeight="1">
      <c r="A11" s="100" t="str">
        <f>VLOOKUP(C11,Abstract!$E$4:$M$62,9,0)</f>
        <v>ACTIVE</v>
      </c>
      <c r="B11" s="95" t="s">
        <v>138</v>
      </c>
      <c r="C11" s="132" t="s">
        <v>12</v>
      </c>
      <c r="D11" s="101" t="s">
        <v>13</v>
      </c>
      <c r="E11" s="95" t="s">
        <v>155</v>
      </c>
      <c r="F11" s="102" t="s">
        <v>156</v>
      </c>
      <c r="G11" s="109">
        <v>15</v>
      </c>
      <c r="H11" s="104">
        <f>VLOOKUP($E11,'Stock statement'!$D$2:$P$384,13,)</f>
        <v>68.308211638055738</v>
      </c>
      <c r="I11" s="105">
        <v>2.5000000000000001E-2</v>
      </c>
      <c r="J11" s="100">
        <v>1.0249999999999999</v>
      </c>
      <c r="K11" s="106">
        <f t="shared" si="0"/>
        <v>1076.4947227834843</v>
      </c>
      <c r="L11" s="98"/>
      <c r="M11" s="110">
        <f t="shared" si="1"/>
        <v>6.2006096032328699</v>
      </c>
    </row>
    <row r="12" spans="1:13" s="107" customFormat="1" ht="15" customHeight="1">
      <c r="A12" s="100" t="str">
        <f>VLOOKUP(C12,Abstract!$E$4:$M$62,9,0)</f>
        <v>ACTIVE</v>
      </c>
      <c r="B12" s="95" t="s">
        <v>138</v>
      </c>
      <c r="C12" s="132" t="s">
        <v>12</v>
      </c>
      <c r="D12" s="101" t="s">
        <v>13</v>
      </c>
      <c r="E12" s="95" t="s">
        <v>157</v>
      </c>
      <c r="F12" s="102" t="s">
        <v>158</v>
      </c>
      <c r="G12" s="109">
        <v>1</v>
      </c>
      <c r="H12" s="104">
        <f>VLOOKUP($E12,'Stock statement'!$D$2:$P$384,13,)</f>
        <v>828.81974703846117</v>
      </c>
      <c r="I12" s="105">
        <v>2.5000000000000001E-2</v>
      </c>
      <c r="J12" s="100">
        <v>1.0249999999999999</v>
      </c>
      <c r="K12" s="106">
        <f t="shared" si="0"/>
        <v>870.77874673228314</v>
      </c>
      <c r="L12" s="98"/>
      <c r="M12" s="110">
        <f t="shared" si="1"/>
        <v>5.0156855811779506</v>
      </c>
    </row>
    <row r="13" spans="1:13" s="107" customFormat="1" ht="15" customHeight="1">
      <c r="A13" s="100" t="str">
        <f>VLOOKUP(C13,Abstract!$E$4:$M$62,9,0)</f>
        <v>ACTIVE</v>
      </c>
      <c r="B13" s="95" t="s">
        <v>138</v>
      </c>
      <c r="C13" s="132" t="s">
        <v>12</v>
      </c>
      <c r="D13" s="101" t="s">
        <v>13</v>
      </c>
      <c r="E13" s="157">
        <v>115150</v>
      </c>
      <c r="F13" s="102" t="s">
        <v>159</v>
      </c>
      <c r="G13" s="109">
        <v>1</v>
      </c>
      <c r="H13" s="104">
        <f>VLOOKUP($E13,'Stock statement'!$D$2:$P$384,13,)</f>
        <v>456.30699446392703</v>
      </c>
      <c r="I13" s="105">
        <v>2.5000000000000001E-2</v>
      </c>
      <c r="J13" s="100">
        <v>1.0249999999999999</v>
      </c>
      <c r="K13" s="106">
        <f t="shared" si="0"/>
        <v>479.40753605866325</v>
      </c>
      <c r="L13" s="98"/>
      <c r="M13" s="110">
        <f t="shared" si="1"/>
        <v>2.7613874076979004</v>
      </c>
    </row>
    <row r="14" spans="1:13" s="107" customFormat="1" ht="15" customHeight="1">
      <c r="A14" s="100" t="str">
        <f>VLOOKUP(C14,Abstract!$E$4:$M$62,9,0)</f>
        <v>ACTIVE</v>
      </c>
      <c r="B14" s="95" t="s">
        <v>138</v>
      </c>
      <c r="C14" s="132" t="s">
        <v>12</v>
      </c>
      <c r="D14" s="101" t="s">
        <v>13</v>
      </c>
      <c r="E14" s="95" t="s">
        <v>160</v>
      </c>
      <c r="F14" s="108" t="s">
        <v>161</v>
      </c>
      <c r="G14" s="109">
        <v>0.25</v>
      </c>
      <c r="H14" s="104">
        <f>VLOOKUP($E14,'Stock statement'!$D$2:$P$384,13,)</f>
        <v>3313.2387673094586</v>
      </c>
      <c r="I14" s="105">
        <v>2.5000000000000001E-2</v>
      </c>
      <c r="J14" s="100">
        <v>1.0249999999999999</v>
      </c>
      <c r="K14" s="106">
        <f t="shared" si="0"/>
        <v>870.24286997612489</v>
      </c>
      <c r="L14" s="98"/>
      <c r="M14" s="110">
        <f t="shared" si="1"/>
        <v>5.0125989310624792</v>
      </c>
    </row>
    <row r="15" spans="1:13" s="107" customFormat="1" ht="15" customHeight="1">
      <c r="A15" s="100" t="str">
        <f>VLOOKUP(C15,Abstract!$E$4:$M$62,9,0)</f>
        <v>ACTIVE</v>
      </c>
      <c r="B15" s="95" t="s">
        <v>138</v>
      </c>
      <c r="C15" s="132" t="s">
        <v>12</v>
      </c>
      <c r="D15" s="101" t="s">
        <v>13</v>
      </c>
      <c r="E15" s="95" t="s">
        <v>147</v>
      </c>
      <c r="F15" s="95" t="s">
        <v>148</v>
      </c>
      <c r="G15" s="109">
        <v>0.5</v>
      </c>
      <c r="H15" s="104">
        <f>VLOOKUP($E15,'Stock statement'!$D$2:$P$384,13,)</f>
        <v>353.50950483838068</v>
      </c>
      <c r="I15" s="105">
        <v>2.5000000000000001E-2</v>
      </c>
      <c r="J15" s="100">
        <v>1.0249999999999999</v>
      </c>
      <c r="K15" s="106">
        <f t="shared" si="0"/>
        <v>185.70296176041182</v>
      </c>
      <c r="L15" s="98"/>
      <c r="M15" s="110">
        <f t="shared" si="1"/>
        <v>1.0696490597399722</v>
      </c>
    </row>
    <row r="16" spans="1:13" s="107" customFormat="1" ht="15" customHeight="1">
      <c r="A16" s="100" t="str">
        <f>VLOOKUP(C16,Abstract!$E$4:$M$62,9,0)</f>
        <v>ACTIVE</v>
      </c>
      <c r="B16" s="95" t="s">
        <v>138</v>
      </c>
      <c r="C16" s="132" t="s">
        <v>12</v>
      </c>
      <c r="D16" s="101" t="s">
        <v>13</v>
      </c>
      <c r="E16" s="95" t="s">
        <v>162</v>
      </c>
      <c r="F16" s="95" t="s">
        <v>163</v>
      </c>
      <c r="G16" s="109">
        <v>0.04</v>
      </c>
      <c r="H16" s="104">
        <f>VLOOKUP($E16,'Stock statement'!$D$2:$P$384,13,)</f>
        <v>348.44830167161894</v>
      </c>
      <c r="I16" s="105">
        <v>2.5000000000000001E-2</v>
      </c>
      <c r="J16" s="100">
        <v>1.0249999999999999</v>
      </c>
      <c r="K16" s="106">
        <f t="shared" si="0"/>
        <v>14.643539877749783</v>
      </c>
      <c r="L16" s="98"/>
      <c r="M16" s="110">
        <f t="shared" si="1"/>
        <v>8.4346789695838753E-2</v>
      </c>
    </row>
    <row r="17" spans="1:14" s="107" customFormat="1" ht="15" customHeight="1">
      <c r="A17" s="100" t="str">
        <f>VLOOKUP(C17,Abstract!$E$4:$M$62,9,0)</f>
        <v>ACTIVE</v>
      </c>
      <c r="B17" s="95" t="s">
        <v>138</v>
      </c>
      <c r="C17" s="132" t="s">
        <v>12</v>
      </c>
      <c r="D17" s="101" t="s">
        <v>13</v>
      </c>
      <c r="E17" s="95" t="s">
        <v>164</v>
      </c>
      <c r="F17" s="95" t="s">
        <v>165</v>
      </c>
      <c r="G17" s="109">
        <v>3.5000000000000001E-3</v>
      </c>
      <c r="H17" s="104">
        <f>VLOOKUP($E17,'Stock statement'!$D$2:$P$384,13,)</f>
        <v>1939</v>
      </c>
      <c r="I17" s="105">
        <v>2.5000000000000001E-2</v>
      </c>
      <c r="J17" s="100">
        <v>1.0249999999999999</v>
      </c>
      <c r="K17" s="106">
        <f t="shared" si="0"/>
        <v>7.1300665624999988</v>
      </c>
      <c r="L17" s="98"/>
      <c r="M17" s="110">
        <f t="shared" si="1"/>
        <v>4.1069183399999994E-2</v>
      </c>
    </row>
    <row r="18" spans="1:14" s="107" customFormat="1" ht="15" customHeight="1">
      <c r="A18" s="100" t="str">
        <f>VLOOKUP(C18,Abstract!$E$4:$M$62,9,0)</f>
        <v>ACTIVE</v>
      </c>
      <c r="B18" s="95" t="s">
        <v>138</v>
      </c>
      <c r="C18" s="132" t="s">
        <v>12</v>
      </c>
      <c r="D18" s="101" t="s">
        <v>13</v>
      </c>
      <c r="E18" s="95" t="s">
        <v>166</v>
      </c>
      <c r="F18" s="108" t="s">
        <v>167</v>
      </c>
      <c r="G18" s="109">
        <v>2.5</v>
      </c>
      <c r="H18" s="104">
        <f>VLOOKUP($E18,'Stock statement'!$D$2:$P$384,13,)</f>
        <v>127.15913438761541</v>
      </c>
      <c r="I18" s="105">
        <v>2.5000000000000001E-2</v>
      </c>
      <c r="J18" s="100">
        <v>1.0249999999999999</v>
      </c>
      <c r="K18" s="106">
        <f t="shared" si="0"/>
        <v>333.99141391497102</v>
      </c>
      <c r="L18" s="98"/>
      <c r="M18" s="110">
        <f t="shared" si="1"/>
        <v>1.923790544150233</v>
      </c>
    </row>
    <row r="19" spans="1:14" s="107" customFormat="1" ht="15" customHeight="1">
      <c r="A19" s="100" t="str">
        <f>VLOOKUP(C19,Abstract!$E$4:$M$62,9,0)</f>
        <v>ACTIVE</v>
      </c>
      <c r="B19" s="95" t="s">
        <v>138</v>
      </c>
      <c r="C19" s="132" t="s">
        <v>12</v>
      </c>
      <c r="D19" s="101" t="s">
        <v>13</v>
      </c>
      <c r="E19" s="95" t="s">
        <v>168</v>
      </c>
      <c r="F19" s="108" t="s">
        <v>169</v>
      </c>
      <c r="G19" s="109">
        <v>20</v>
      </c>
      <c r="H19" s="104">
        <f>VLOOKUP($E19,'Stock statement'!$D$2:$P$384,13,)</f>
        <v>0</v>
      </c>
      <c r="I19" s="105">
        <v>2.5000000000000001E-2</v>
      </c>
      <c r="J19" s="100">
        <v>1.0249999999999999</v>
      </c>
      <c r="K19" s="106">
        <f t="shared" si="0"/>
        <v>0</v>
      </c>
      <c r="L19" s="98"/>
      <c r="M19" s="110">
        <f t="shared" si="1"/>
        <v>0</v>
      </c>
    </row>
    <row r="20" spans="1:14" s="107" customFormat="1" ht="15" customHeight="1">
      <c r="A20" s="100" t="str">
        <f>VLOOKUP(C20,Abstract!$E$4:$M$62,9,0)</f>
        <v>ACTIVE</v>
      </c>
      <c r="B20" s="95" t="s">
        <v>138</v>
      </c>
      <c r="C20" s="132" t="s">
        <v>12</v>
      </c>
      <c r="D20" s="101" t="s">
        <v>13</v>
      </c>
      <c r="E20" s="95" t="s">
        <v>170</v>
      </c>
      <c r="F20" s="108" t="s">
        <v>171</v>
      </c>
      <c r="G20" s="109">
        <v>20</v>
      </c>
      <c r="H20" s="104">
        <f>VLOOKUP($E20,'Stock statement'!$D$2:$P$384,13,)</f>
        <v>0</v>
      </c>
      <c r="I20" s="105">
        <v>2.5000000000000001E-2</v>
      </c>
      <c r="J20" s="100">
        <v>1.0249999999999999</v>
      </c>
      <c r="K20" s="106">
        <f t="shared" si="0"/>
        <v>0</v>
      </c>
      <c r="L20" s="98"/>
      <c r="M20" s="110">
        <f t="shared" si="1"/>
        <v>0</v>
      </c>
    </row>
    <row r="21" spans="1:14" s="107" customFormat="1" ht="15" customHeight="1">
      <c r="A21" s="100" t="str">
        <f>VLOOKUP(C21,Abstract!$E$4:$M$62,9,0)</f>
        <v>ACTIVE</v>
      </c>
      <c r="B21" s="95" t="s">
        <v>138</v>
      </c>
      <c r="C21" s="132" t="s">
        <v>12</v>
      </c>
      <c r="D21" s="101" t="s">
        <v>13</v>
      </c>
      <c r="E21" s="99">
        <v>114476</v>
      </c>
      <c r="F21" s="111" t="s">
        <v>172</v>
      </c>
      <c r="G21" s="109">
        <v>6</v>
      </c>
      <c r="H21" s="104">
        <f>VLOOKUP($E21,'Stock statement'!$D$2:$P$384,13,)</f>
        <v>739.98731621274567</v>
      </c>
      <c r="I21" s="105">
        <v>2.5000000000000001E-2</v>
      </c>
      <c r="J21" s="100">
        <v>1.0249999999999999</v>
      </c>
      <c r="K21" s="106">
        <f t="shared" si="0"/>
        <v>4664.6950445760949</v>
      </c>
      <c r="L21" s="98"/>
      <c r="M21" s="110">
        <f t="shared" si="1"/>
        <v>26.868643456758306</v>
      </c>
    </row>
    <row r="22" spans="1:14" s="107" customFormat="1" ht="15" customHeight="1">
      <c r="A22" s="100" t="str">
        <f>VLOOKUP(C22,Abstract!$E$4:$M$62,9,0)</f>
        <v>ACTIVE</v>
      </c>
      <c r="B22" s="95" t="s">
        <v>138</v>
      </c>
      <c r="C22" s="132" t="s">
        <v>12</v>
      </c>
      <c r="D22" s="101" t="s">
        <v>13</v>
      </c>
      <c r="E22" s="99" t="s">
        <v>173</v>
      </c>
      <c r="F22" s="95" t="s">
        <v>174</v>
      </c>
      <c r="G22" s="109">
        <v>0.2</v>
      </c>
      <c r="H22" s="104">
        <f>VLOOKUP($E22,'Stock statement'!$D$2:$P$384,13,)</f>
        <v>555.2517156766155</v>
      </c>
      <c r="I22" s="105">
        <v>2.5000000000000001E-2</v>
      </c>
      <c r="J22" s="100">
        <v>1.0249999999999999</v>
      </c>
      <c r="K22" s="106">
        <f t="shared" si="0"/>
        <v>116.67226675654881</v>
      </c>
      <c r="L22" s="98"/>
      <c r="M22" s="110">
        <f t="shared" si="1"/>
        <v>0.67203225651772114</v>
      </c>
    </row>
    <row r="23" spans="1:14" s="107" customFormat="1" ht="15" customHeight="1">
      <c r="A23" s="100" t="str">
        <f>VLOOKUP(C23,Abstract!$E$4:$M$62,9,0)</f>
        <v>ACTIVE</v>
      </c>
      <c r="B23" s="95" t="s">
        <v>138</v>
      </c>
      <c r="C23" s="132" t="s">
        <v>12</v>
      </c>
      <c r="D23" s="101" t="s">
        <v>13</v>
      </c>
      <c r="E23" s="99" t="s">
        <v>175</v>
      </c>
      <c r="F23" s="95" t="s">
        <v>176</v>
      </c>
      <c r="G23" s="109">
        <v>0.1</v>
      </c>
      <c r="H23" s="104">
        <f>VLOOKUP($E23,'Stock statement'!$D$2:$P$384,13,)</f>
        <v>1750.9314909799687</v>
      </c>
      <c r="I23" s="105">
        <v>2.5000000000000001E-2</v>
      </c>
      <c r="J23" s="100">
        <v>1.0249999999999999</v>
      </c>
      <c r="K23" s="106">
        <f t="shared" si="0"/>
        <v>183.95723977108293</v>
      </c>
      <c r="L23" s="98"/>
      <c r="M23" s="110">
        <f t="shared" si="1"/>
        <v>1.0595937010814376</v>
      </c>
    </row>
    <row r="24" spans="1:14" s="107" customFormat="1" ht="15" customHeight="1">
      <c r="A24" s="100" t="str">
        <f>VLOOKUP(C24,Abstract!$E$4:$M$62,9,0)</f>
        <v>ACTIVE</v>
      </c>
      <c r="B24" s="95" t="s">
        <v>138</v>
      </c>
      <c r="C24" s="132" t="s">
        <v>12</v>
      </c>
      <c r="D24" s="101" t="s">
        <v>13</v>
      </c>
      <c r="E24" s="99" t="s">
        <v>177</v>
      </c>
      <c r="F24" s="95" t="s">
        <v>178</v>
      </c>
      <c r="G24" s="109">
        <v>0.1</v>
      </c>
      <c r="H24" s="104">
        <f>VLOOKUP($E24,'Stock statement'!$D$2:$P$384,13,)</f>
        <v>195.29212473407105</v>
      </c>
      <c r="I24" s="105">
        <v>2.5000000000000001E-2</v>
      </c>
      <c r="J24" s="100">
        <v>1.0249999999999999</v>
      </c>
      <c r="K24" s="106">
        <f t="shared" si="0"/>
        <v>20.517878854873334</v>
      </c>
      <c r="L24" s="98"/>
      <c r="M24" s="110">
        <f t="shared" si="1"/>
        <v>0.11818298220407041</v>
      </c>
    </row>
    <row r="25" spans="1:14" s="107" customFormat="1" ht="15" customHeight="1">
      <c r="A25" s="100" t="str">
        <f>VLOOKUP(C25,Abstract!$E$4:$M$62,9,0)</f>
        <v>ACTIVE</v>
      </c>
      <c r="B25" s="95" t="s">
        <v>138</v>
      </c>
      <c r="C25" s="132" t="s">
        <v>12</v>
      </c>
      <c r="D25" s="101" t="s">
        <v>13</v>
      </c>
      <c r="E25" s="99" t="s">
        <v>179</v>
      </c>
      <c r="F25" s="102" t="s">
        <v>180</v>
      </c>
      <c r="G25" s="109">
        <v>0.5</v>
      </c>
      <c r="H25" s="104">
        <f>VLOOKUP($E25,'Stock statement'!$D$2:$P$384,13,)</f>
        <v>1036.4956269221443</v>
      </c>
      <c r="I25" s="105">
        <v>2.5000000000000001E-2</v>
      </c>
      <c r="J25" s="100">
        <v>1.0249999999999999</v>
      </c>
      <c r="K25" s="106">
        <f t="shared" si="0"/>
        <v>544.48410901753891</v>
      </c>
      <c r="L25" s="98"/>
      <c r="M25" s="110">
        <f t="shared" si="1"/>
        <v>3.1362284679410242</v>
      </c>
    </row>
    <row r="26" spans="1:14" s="107" customFormat="1" ht="15" customHeight="1">
      <c r="A26" s="100" t="str">
        <f>VLOOKUP(C26,Abstract!$E$4:$M$62,9,0)</f>
        <v>ACTIVE</v>
      </c>
      <c r="B26" s="95" t="s">
        <v>138</v>
      </c>
      <c r="C26" s="132" t="s">
        <v>12</v>
      </c>
      <c r="D26" s="101" t="s">
        <v>13</v>
      </c>
      <c r="E26" s="99" t="s">
        <v>181</v>
      </c>
      <c r="F26" s="102" t="s">
        <v>182</v>
      </c>
      <c r="G26" s="109">
        <v>12.5</v>
      </c>
      <c r="H26" s="104">
        <f>VLOOKUP($E26,'Stock statement'!$D$2:$P$384,13,)</f>
        <v>17.110276913020375</v>
      </c>
      <c r="I26" s="105">
        <v>2.5000000000000001E-2</v>
      </c>
      <c r="J26" s="100">
        <v>1.0249999999999999</v>
      </c>
      <c r="K26" s="106">
        <f t="shared" si="0"/>
        <v>224.70605852177536</v>
      </c>
      <c r="L26" s="98"/>
      <c r="M26" s="110">
        <f t="shared" si="1"/>
        <v>1.2943068970854261</v>
      </c>
    </row>
    <row r="27" spans="1:14" s="107" customFormat="1" ht="15" customHeight="1">
      <c r="A27" s="100" t="str">
        <f>VLOOKUP(C27,Abstract!$E$4:$M$62,9,0)</f>
        <v>ACTIVE</v>
      </c>
      <c r="B27" s="99" t="s">
        <v>183</v>
      </c>
      <c r="C27" s="132" t="s">
        <v>12</v>
      </c>
      <c r="D27" s="101" t="s">
        <v>13</v>
      </c>
      <c r="E27" s="99" t="s">
        <v>184</v>
      </c>
      <c r="F27" s="95" t="s">
        <v>184</v>
      </c>
      <c r="G27" s="109">
        <f>1000/(80*72/1000)</f>
        <v>173.61111111111111</v>
      </c>
      <c r="H27" s="104">
        <f>VLOOKUP($E27,'Stock statement'!$D$2:$P$384,13,)</f>
        <v>45.42307692307692</v>
      </c>
      <c r="I27" s="112">
        <v>6.0000000000000001E-3</v>
      </c>
      <c r="J27" s="113">
        <v>1</v>
      </c>
      <c r="K27" s="106">
        <f t="shared" si="0"/>
        <v>7933.2665598290596</v>
      </c>
      <c r="L27" s="98"/>
      <c r="M27" s="110">
        <f t="shared" si="1"/>
        <v>45.69561538461538</v>
      </c>
    </row>
    <row r="28" spans="1:14" s="107" customFormat="1" ht="15" customHeight="1">
      <c r="A28" s="100" t="str">
        <f>VLOOKUP(C28,Abstract!$E$4:$M$62,9,0)</f>
        <v>ACTIVE</v>
      </c>
      <c r="B28" s="99" t="s">
        <v>183</v>
      </c>
      <c r="C28" s="132" t="s">
        <v>12</v>
      </c>
      <c r="D28" s="101" t="s">
        <v>13</v>
      </c>
      <c r="E28" s="99" t="s">
        <v>185</v>
      </c>
      <c r="F28" s="95" t="s">
        <v>186</v>
      </c>
      <c r="G28" s="109">
        <f>+G27*72</f>
        <v>12500</v>
      </c>
      <c r="H28" s="104">
        <f>VLOOKUP($E28,'Stock statement'!$D$2:$P$384,13,)</f>
        <v>3.7035825643868883</v>
      </c>
      <c r="I28" s="112">
        <v>6.0000000000000001E-3</v>
      </c>
      <c r="J28" s="113">
        <v>1</v>
      </c>
      <c r="K28" s="106">
        <f t="shared" si="0"/>
        <v>46572.550747165122</v>
      </c>
      <c r="L28" s="98"/>
      <c r="M28" s="110">
        <f t="shared" si="1"/>
        <v>268.2578923036711</v>
      </c>
      <c r="N28" s="174">
        <f>G28/3</f>
        <v>4166.666666666667</v>
      </c>
    </row>
    <row r="29" spans="1:14" s="107" customFormat="1" ht="15" customHeight="1">
      <c r="A29" s="100" t="str">
        <f>VLOOKUP(C29,Abstract!$E$4:$M$62,9,0)</f>
        <v>ACTIVE</v>
      </c>
      <c r="B29" s="99" t="s">
        <v>183</v>
      </c>
      <c r="C29" s="132" t="s">
        <v>12</v>
      </c>
      <c r="D29" s="101" t="s">
        <v>13</v>
      </c>
      <c r="E29" s="99" t="s">
        <v>187</v>
      </c>
      <c r="F29" s="95" t="s">
        <v>188</v>
      </c>
      <c r="G29" s="109">
        <f>+G27*72</f>
        <v>12500</v>
      </c>
      <c r="H29" s="104">
        <f>VLOOKUP($E29,'Stock statement'!$D$2:$P$384,13,)</f>
        <v>3.758072167201024</v>
      </c>
      <c r="I29" s="112">
        <v>6.0000000000000001E-3</v>
      </c>
      <c r="J29" s="113">
        <v>1</v>
      </c>
      <c r="K29" s="106">
        <f t="shared" si="0"/>
        <v>47257.757502552879</v>
      </c>
      <c r="L29" s="98"/>
      <c r="M29" s="110">
        <f t="shared" si="1"/>
        <v>272.20468321470457</v>
      </c>
    </row>
    <row r="30" spans="1:14" s="107" customFormat="1" ht="15" customHeight="1">
      <c r="A30" s="100" t="str">
        <f>VLOOKUP(C30,Abstract!$E$4:$M$62,9,0)</f>
        <v>ACTIVE</v>
      </c>
      <c r="B30" s="99" t="s">
        <v>183</v>
      </c>
      <c r="C30" s="132" t="s">
        <v>12</v>
      </c>
      <c r="D30" s="101" t="s">
        <v>13</v>
      </c>
      <c r="E30" s="99">
        <v>214303</v>
      </c>
      <c r="F30" s="95" t="s">
        <v>189</v>
      </c>
      <c r="G30" s="109">
        <f>+G27*72</f>
        <v>12500</v>
      </c>
      <c r="H30" s="104">
        <f>VLOOKUP($E30,'Stock statement'!$D$2:$P$384,13,)</f>
        <v>0.3</v>
      </c>
      <c r="I30" s="105">
        <v>0.02</v>
      </c>
      <c r="J30" s="113">
        <v>1</v>
      </c>
      <c r="K30" s="106">
        <f t="shared" si="0"/>
        <v>3825</v>
      </c>
      <c r="L30" s="98"/>
      <c r="M30" s="110">
        <f t="shared" si="1"/>
        <v>22.032</v>
      </c>
    </row>
    <row r="31" spans="1:14" s="107" customFormat="1" ht="15" customHeight="1">
      <c r="A31" s="100" t="str">
        <f>VLOOKUP(C31,Abstract!$E$4:$M$62,9,0)</f>
        <v>ACTIVE</v>
      </c>
      <c r="B31" s="99" t="s">
        <v>183</v>
      </c>
      <c r="C31" s="132" t="s">
        <v>12</v>
      </c>
      <c r="D31" s="101" t="s">
        <v>13</v>
      </c>
      <c r="E31" s="99">
        <v>214302</v>
      </c>
      <c r="F31" s="95" t="s">
        <v>190</v>
      </c>
      <c r="G31" s="109">
        <f>+G27*72</f>
        <v>12500</v>
      </c>
      <c r="H31" s="104">
        <f>VLOOKUP($E31,'Stock statement'!$D$2:$P$384,13,)</f>
        <v>0.53</v>
      </c>
      <c r="I31" s="105">
        <v>0.02</v>
      </c>
      <c r="J31" s="113">
        <v>1</v>
      </c>
      <c r="K31" s="106">
        <f t="shared" si="0"/>
        <v>6757.5</v>
      </c>
      <c r="L31" s="98"/>
      <c r="M31" s="110">
        <f t="shared" si="1"/>
        <v>38.923200000000001</v>
      </c>
    </row>
    <row r="32" spans="1:14" s="107" customFormat="1" ht="15" customHeight="1">
      <c r="A32" s="100" t="str">
        <f>VLOOKUP(C32,Abstract!$E$4:$M$62,9,0)</f>
        <v>ACTIVE</v>
      </c>
      <c r="B32" s="99" t="s">
        <v>183</v>
      </c>
      <c r="C32" s="132" t="s">
        <v>12</v>
      </c>
      <c r="D32" s="101" t="s">
        <v>13</v>
      </c>
      <c r="E32" s="99" t="s">
        <v>191</v>
      </c>
      <c r="F32" s="95" t="s">
        <v>192</v>
      </c>
      <c r="G32" s="109">
        <v>3.46</v>
      </c>
      <c r="H32" s="104">
        <f>VLOOKUP($E32,'Stock statement'!$D$2:$P$384,13,)</f>
        <v>44.985440769279101</v>
      </c>
      <c r="I32" s="105">
        <v>0.02</v>
      </c>
      <c r="J32" s="113">
        <v>1</v>
      </c>
      <c r="K32" s="106">
        <f t="shared" si="0"/>
        <v>158.76261756293979</v>
      </c>
      <c r="L32" s="98"/>
      <c r="M32" s="110">
        <f t="shared" si="1"/>
        <v>0.91447267716253322</v>
      </c>
    </row>
    <row r="33" spans="1:13" s="107" customFormat="1" ht="15" customHeight="1">
      <c r="A33" s="100" t="str">
        <f>VLOOKUP(C33,Abstract!$E$4:$M$62,9,0)</f>
        <v>ACTIVE</v>
      </c>
      <c r="B33" s="99" t="s">
        <v>183</v>
      </c>
      <c r="C33" s="132" t="s">
        <v>12</v>
      </c>
      <c r="D33" s="101" t="s">
        <v>13</v>
      </c>
      <c r="E33" s="99">
        <v>214331</v>
      </c>
      <c r="F33" s="95" t="s">
        <v>193</v>
      </c>
      <c r="G33" s="109">
        <f>+G27*24</f>
        <v>4166.666666666667</v>
      </c>
      <c r="H33" s="104">
        <f>VLOOKUP($E33,'Stock statement'!$D$2:$P$384,13,)</f>
        <v>8.5993343999078107</v>
      </c>
      <c r="I33" s="105">
        <v>0.02</v>
      </c>
      <c r="J33" s="113">
        <v>1</v>
      </c>
      <c r="K33" s="106">
        <f t="shared" si="0"/>
        <v>36547.171199608194</v>
      </c>
      <c r="L33" s="98"/>
      <c r="M33" s="110">
        <f t="shared" si="1"/>
        <v>210.51170610974319</v>
      </c>
    </row>
    <row r="34" spans="1:13" s="107" customFormat="1" ht="15" customHeight="1">
      <c r="A34" s="100" t="str">
        <f>VLOOKUP(C34,Abstract!$E$4:$M$62,9,0)</f>
        <v>ACTIVE</v>
      </c>
      <c r="B34" s="95" t="s">
        <v>194</v>
      </c>
      <c r="C34" s="132" t="s">
        <v>12</v>
      </c>
      <c r="D34" s="101" t="s">
        <v>13</v>
      </c>
      <c r="E34" s="99" t="s">
        <v>195</v>
      </c>
      <c r="F34" s="95"/>
      <c r="G34" s="109">
        <f>G28</f>
        <v>12500</v>
      </c>
      <c r="H34" s="103">
        <v>0.04</v>
      </c>
      <c r="I34" s="112"/>
      <c r="J34" s="113">
        <v>1</v>
      </c>
      <c r="K34" s="104">
        <f t="shared" si="0"/>
        <v>500</v>
      </c>
      <c r="L34" s="98"/>
      <c r="M34" s="110">
        <f t="shared" si="1"/>
        <v>2.88</v>
      </c>
    </row>
    <row r="35" spans="1:13" s="107" customFormat="1" ht="15" customHeight="1">
      <c r="A35" s="100" t="str">
        <f>VLOOKUP(C35,Abstract!$E$4:$M$62,9,0)</f>
        <v>ACTIVE</v>
      </c>
      <c r="B35" s="95" t="s">
        <v>194</v>
      </c>
      <c r="C35" s="132" t="s">
        <v>12</v>
      </c>
      <c r="D35" s="101" t="s">
        <v>13</v>
      </c>
      <c r="E35" s="99" t="s">
        <v>196</v>
      </c>
      <c r="F35" s="95"/>
      <c r="G35" s="109">
        <f>G34*24</f>
        <v>300000</v>
      </c>
      <c r="H35" s="114">
        <v>1.6999999999999999E-3</v>
      </c>
      <c r="I35" s="112"/>
      <c r="J35" s="113">
        <v>1</v>
      </c>
      <c r="K35" s="104">
        <f t="shared" si="0"/>
        <v>510</v>
      </c>
      <c r="L35" s="98"/>
      <c r="M35" s="110">
        <f t="shared" si="1"/>
        <v>2.9375999999999998</v>
      </c>
    </row>
    <row r="36" spans="1:13" s="107" customFormat="1" ht="15" customHeight="1">
      <c r="A36" s="100" t="str">
        <f>VLOOKUP(C36,Abstract!$E$4:$M$62,9,0)</f>
        <v>ACTIVE</v>
      </c>
      <c r="B36" s="99" t="s">
        <v>197</v>
      </c>
      <c r="C36" s="132" t="s">
        <v>12</v>
      </c>
      <c r="D36" s="101" t="s">
        <v>13</v>
      </c>
      <c r="E36" s="99" t="s">
        <v>198</v>
      </c>
      <c r="F36" s="95"/>
      <c r="G36" s="109"/>
      <c r="H36" s="104"/>
      <c r="I36" s="100"/>
      <c r="J36" s="113"/>
      <c r="K36" s="106">
        <v>9000</v>
      </c>
      <c r="L36" s="115">
        <f>SUM(K3:K36)</f>
        <v>192495.39766719029</v>
      </c>
      <c r="M36" s="104">
        <f t="shared" si="1"/>
        <v>51.839999999999996</v>
      </c>
    </row>
    <row r="37" spans="1:13" s="107" customFormat="1" ht="15" customHeight="1">
      <c r="A37" s="100" t="str">
        <f>VLOOKUP(C37,Abstract!$E$4:$M$62,9,0)</f>
        <v>No Sales</v>
      </c>
      <c r="B37" s="95" t="s">
        <v>138</v>
      </c>
      <c r="C37" s="42" t="s">
        <v>15</v>
      </c>
      <c r="D37" s="101" t="s">
        <v>16</v>
      </c>
      <c r="E37" s="99" t="s">
        <v>139</v>
      </c>
      <c r="F37" s="102" t="s">
        <v>140</v>
      </c>
      <c r="G37" s="109">
        <v>715.85599999999999</v>
      </c>
      <c r="H37" s="104">
        <f>VLOOKUP($E37,'Stock statement'!$D$2:$P$384,13,)</f>
        <v>0.34</v>
      </c>
      <c r="I37" s="105">
        <v>2.5000000000000001E-2</v>
      </c>
      <c r="J37" s="116">
        <v>1.0249999999999999</v>
      </c>
      <c r="K37" s="106">
        <f t="shared" ref="K37:K68" si="2">+G37*H37*(1+I37)*J37</f>
        <v>255.71271139999996</v>
      </c>
      <c r="L37" s="98"/>
      <c r="M37" s="110">
        <f>K37/$G$61</f>
        <v>2.1479867757599997</v>
      </c>
    </row>
    <row r="38" spans="1:13" s="107" customFormat="1" ht="15" customHeight="1">
      <c r="A38" s="100" t="str">
        <f>VLOOKUP(C38,Abstract!$E$4:$M$62,9,0)</f>
        <v>No Sales</v>
      </c>
      <c r="B38" s="95" t="s">
        <v>138</v>
      </c>
      <c r="C38" s="42" t="s">
        <v>15</v>
      </c>
      <c r="D38" s="101" t="s">
        <v>16</v>
      </c>
      <c r="E38" s="99" t="s">
        <v>141</v>
      </c>
      <c r="F38" s="108" t="s">
        <v>142</v>
      </c>
      <c r="G38" s="109">
        <v>185.7</v>
      </c>
      <c r="H38" s="104">
        <f>VLOOKUP($E38,'Stock statement'!$D$2:$P$384,13,)</f>
        <v>94.278330452007026</v>
      </c>
      <c r="I38" s="105">
        <v>2.5000000000000001E-2</v>
      </c>
      <c r="J38" s="116">
        <v>1.0249999999999999</v>
      </c>
      <c r="K38" s="106">
        <f t="shared" si="2"/>
        <v>18393.80244191267</v>
      </c>
      <c r="L38" s="98"/>
      <c r="M38" s="110">
        <f t="shared" ref="M38:M70" si="3">K38/$G$61</f>
        <v>154.50794051206645</v>
      </c>
    </row>
    <row r="39" spans="1:13" s="107" customFormat="1" ht="15" customHeight="1">
      <c r="A39" s="100" t="str">
        <f>VLOOKUP(C39,Abstract!$E$4:$M$62,9,0)</f>
        <v>No Sales</v>
      </c>
      <c r="B39" s="95" t="s">
        <v>138</v>
      </c>
      <c r="C39" s="42" t="s">
        <v>15</v>
      </c>
      <c r="D39" s="101" t="s">
        <v>16</v>
      </c>
      <c r="E39" s="99" t="s">
        <v>143</v>
      </c>
      <c r="F39" s="108" t="s">
        <v>144</v>
      </c>
      <c r="G39" s="109">
        <v>5</v>
      </c>
      <c r="H39" s="104">
        <f>VLOOKUP($E39,'Stock statement'!$D$2:$P$384,13,)</f>
        <v>178.57970547017939</v>
      </c>
      <c r="I39" s="105">
        <v>2.5000000000000001E-2</v>
      </c>
      <c r="J39" s="116">
        <v>1.0249999999999999</v>
      </c>
      <c r="K39" s="106">
        <f t="shared" si="2"/>
        <v>938.10151529803602</v>
      </c>
      <c r="L39" s="98"/>
      <c r="M39" s="110">
        <f t="shared" si="3"/>
        <v>7.8800527285035029</v>
      </c>
    </row>
    <row r="40" spans="1:13" s="107" customFormat="1" ht="15" customHeight="1">
      <c r="A40" s="100" t="str">
        <f>VLOOKUP(C40,Abstract!$E$4:$M$62,9,0)</f>
        <v>No Sales</v>
      </c>
      <c r="B40" s="95" t="s">
        <v>138</v>
      </c>
      <c r="C40" s="42" t="s">
        <v>15</v>
      </c>
      <c r="D40" s="101" t="s">
        <v>16</v>
      </c>
      <c r="E40" s="99" t="s">
        <v>145</v>
      </c>
      <c r="F40" s="102" t="s">
        <v>146</v>
      </c>
      <c r="G40" s="109">
        <v>10</v>
      </c>
      <c r="H40" s="104">
        <f>VLOOKUP($E40,'Stock statement'!$D$2:$P$384,13,)</f>
        <v>151.08681180977209</v>
      </c>
      <c r="I40" s="105">
        <v>2.5000000000000001E-2</v>
      </c>
      <c r="J40" s="116">
        <v>1.0249999999999999</v>
      </c>
      <c r="K40" s="106">
        <f t="shared" si="2"/>
        <v>1587.3558165764177</v>
      </c>
      <c r="L40" s="98"/>
      <c r="M40" s="110">
        <f t="shared" si="3"/>
        <v>13.33378885924191</v>
      </c>
    </row>
    <row r="41" spans="1:13" s="107" customFormat="1" ht="15" customHeight="1">
      <c r="A41" s="100" t="str">
        <f>VLOOKUP(C41,Abstract!$E$4:$M$62,9,0)</f>
        <v>No Sales</v>
      </c>
      <c r="B41" s="95" t="s">
        <v>138</v>
      </c>
      <c r="C41" s="42" t="s">
        <v>15</v>
      </c>
      <c r="D41" s="101" t="s">
        <v>16</v>
      </c>
      <c r="E41" s="99" t="s">
        <v>147</v>
      </c>
      <c r="F41" s="95" t="s">
        <v>148</v>
      </c>
      <c r="G41" s="109">
        <v>0.5</v>
      </c>
      <c r="H41" s="104">
        <f>VLOOKUP($E41,'Stock statement'!$D$2:$P$384,13,)</f>
        <v>353.50950483838068</v>
      </c>
      <c r="I41" s="105">
        <v>2.5000000000000001E-2</v>
      </c>
      <c r="J41" s="116">
        <v>1.0249999999999999</v>
      </c>
      <c r="K41" s="106">
        <f t="shared" si="2"/>
        <v>185.70296176041182</v>
      </c>
      <c r="L41" s="98"/>
      <c r="M41" s="110">
        <f t="shared" si="3"/>
        <v>1.5599048787874594</v>
      </c>
    </row>
    <row r="42" spans="1:13" s="107" customFormat="1" ht="15" customHeight="1">
      <c r="A42" s="100" t="str">
        <f>VLOOKUP(C42,Abstract!$E$4:$M$62,9,0)</f>
        <v>No Sales</v>
      </c>
      <c r="B42" s="95" t="s">
        <v>138</v>
      </c>
      <c r="C42" s="42" t="s">
        <v>15</v>
      </c>
      <c r="D42" s="101" t="s">
        <v>16</v>
      </c>
      <c r="E42" s="99" t="s">
        <v>149</v>
      </c>
      <c r="F42" s="95" t="s">
        <v>150</v>
      </c>
      <c r="G42" s="109">
        <v>0.125</v>
      </c>
      <c r="H42" s="104">
        <f>VLOOKUP($E42,'Stock statement'!$D$2:$P$384,13,)</f>
        <v>161.56941474217822</v>
      </c>
      <c r="I42" s="105">
        <v>2.5000000000000001E-2</v>
      </c>
      <c r="J42" s="116">
        <v>1.0249999999999999</v>
      </c>
      <c r="K42" s="106">
        <f t="shared" si="2"/>
        <v>21.218608295437623</v>
      </c>
      <c r="L42" s="98"/>
      <c r="M42" s="110">
        <f t="shared" si="3"/>
        <v>0.17823630968167606</v>
      </c>
    </row>
    <row r="43" spans="1:13" s="107" customFormat="1" ht="15" customHeight="1">
      <c r="A43" s="100" t="str">
        <f>VLOOKUP(C43,Abstract!$E$4:$M$62,9,0)</f>
        <v>No Sales</v>
      </c>
      <c r="B43" s="95" t="s">
        <v>138</v>
      </c>
      <c r="C43" s="42" t="s">
        <v>15</v>
      </c>
      <c r="D43" s="101" t="s">
        <v>16</v>
      </c>
      <c r="E43" s="99" t="s">
        <v>151</v>
      </c>
      <c r="F43" s="102" t="s">
        <v>152</v>
      </c>
      <c r="G43" s="109">
        <v>3</v>
      </c>
      <c r="H43" s="104">
        <f>VLOOKUP($E43,'Stock statement'!$D$2:$P$384,13,)</f>
        <v>762.38931335604309</v>
      </c>
      <c r="I43" s="105">
        <v>2.5000000000000001E-2</v>
      </c>
      <c r="J43" s="116">
        <v>1.0249999999999999</v>
      </c>
      <c r="K43" s="106">
        <f t="shared" si="2"/>
        <v>2402.9558170340779</v>
      </c>
      <c r="L43" s="98"/>
      <c r="M43" s="110">
        <f t="shared" si="3"/>
        <v>20.184828863086256</v>
      </c>
    </row>
    <row r="44" spans="1:13" s="107" customFormat="1" ht="15" customHeight="1">
      <c r="A44" s="100" t="str">
        <f>VLOOKUP(C44,Abstract!$E$4:$M$62,9,0)</f>
        <v>No Sales</v>
      </c>
      <c r="B44" s="95" t="s">
        <v>138</v>
      </c>
      <c r="C44" s="42" t="s">
        <v>15</v>
      </c>
      <c r="D44" s="101" t="s">
        <v>16</v>
      </c>
      <c r="E44" s="99" t="s">
        <v>153</v>
      </c>
      <c r="F44" s="95" t="s">
        <v>154</v>
      </c>
      <c r="G44" s="109">
        <v>0.625</v>
      </c>
      <c r="H44" s="104">
        <f>VLOOKUP($E44,'Stock statement'!$D$2:$P$384,13,)</f>
        <v>84.206363687840948</v>
      </c>
      <c r="I44" s="105">
        <v>2.5000000000000001E-2</v>
      </c>
      <c r="J44" s="116">
        <v>1.0249999999999999</v>
      </c>
      <c r="K44" s="106">
        <f t="shared" si="2"/>
        <v>55.293319280961178</v>
      </c>
      <c r="L44" s="98"/>
      <c r="M44" s="110">
        <f t="shared" si="3"/>
        <v>0.46446388196007393</v>
      </c>
    </row>
    <row r="45" spans="1:13" s="107" customFormat="1" ht="15" customHeight="1">
      <c r="A45" s="100" t="str">
        <f>VLOOKUP(C45,Abstract!$E$4:$M$62,9,0)</f>
        <v>No Sales</v>
      </c>
      <c r="B45" s="95" t="s">
        <v>138</v>
      </c>
      <c r="C45" s="42" t="s">
        <v>15</v>
      </c>
      <c r="D45" s="101" t="s">
        <v>16</v>
      </c>
      <c r="E45" s="99" t="s">
        <v>155</v>
      </c>
      <c r="F45" s="102" t="s">
        <v>156</v>
      </c>
      <c r="G45" s="109">
        <v>15</v>
      </c>
      <c r="H45" s="104">
        <f>VLOOKUP($E45,'Stock statement'!$D$2:$P$384,13,)</f>
        <v>68.308211638055738</v>
      </c>
      <c r="I45" s="105">
        <v>2.5000000000000001E-2</v>
      </c>
      <c r="J45" s="116">
        <v>1.0249999999999999</v>
      </c>
      <c r="K45" s="106">
        <f t="shared" si="2"/>
        <v>1076.4947227834843</v>
      </c>
      <c r="L45" s="98"/>
      <c r="M45" s="110">
        <f t="shared" si="3"/>
        <v>9.0425556713812689</v>
      </c>
    </row>
    <row r="46" spans="1:13" s="107" customFormat="1" ht="15" customHeight="1">
      <c r="A46" s="100" t="str">
        <f>VLOOKUP(C46,Abstract!$E$4:$M$62,9,0)</f>
        <v>No Sales</v>
      </c>
      <c r="B46" s="95" t="s">
        <v>138</v>
      </c>
      <c r="C46" s="42" t="s">
        <v>15</v>
      </c>
      <c r="D46" s="101" t="s">
        <v>16</v>
      </c>
      <c r="E46" s="99" t="s">
        <v>157</v>
      </c>
      <c r="F46" s="102" t="s">
        <v>158</v>
      </c>
      <c r="G46" s="109">
        <v>1</v>
      </c>
      <c r="H46" s="104">
        <f>VLOOKUP($E46,'Stock statement'!$D$2:$P$384,13,)</f>
        <v>828.81974703846117</v>
      </c>
      <c r="I46" s="105">
        <v>2.5000000000000001E-2</v>
      </c>
      <c r="J46" s="116">
        <v>1.0249999999999999</v>
      </c>
      <c r="K46" s="106">
        <f t="shared" si="2"/>
        <v>870.77874673228314</v>
      </c>
      <c r="L46" s="98"/>
      <c r="M46" s="110">
        <f t="shared" si="3"/>
        <v>7.3145414725511788</v>
      </c>
    </row>
    <row r="47" spans="1:13" s="107" customFormat="1" ht="15" customHeight="1">
      <c r="A47" s="100" t="str">
        <f>VLOOKUP(C47,Abstract!$E$4:$M$62,9,0)</f>
        <v>No Sales</v>
      </c>
      <c r="B47" s="95" t="s">
        <v>138</v>
      </c>
      <c r="C47" s="42" t="s">
        <v>15</v>
      </c>
      <c r="D47" s="101" t="s">
        <v>16</v>
      </c>
      <c r="E47" s="157">
        <v>115150</v>
      </c>
      <c r="F47" s="95" t="s">
        <v>159</v>
      </c>
      <c r="G47" s="109">
        <v>1</v>
      </c>
      <c r="H47" s="104">
        <f>VLOOKUP($E47,'Stock statement'!$D$2:$P$384,13,)</f>
        <v>456.30699446392703</v>
      </c>
      <c r="I47" s="105">
        <v>2.5000000000000001E-2</v>
      </c>
      <c r="J47" s="116">
        <v>1.0249999999999999</v>
      </c>
      <c r="K47" s="106">
        <f t="shared" si="2"/>
        <v>479.40753605866325</v>
      </c>
      <c r="L47" s="98"/>
      <c r="M47" s="110">
        <f t="shared" si="3"/>
        <v>4.027023302892772</v>
      </c>
    </row>
    <row r="48" spans="1:13" s="107" customFormat="1" ht="15" customHeight="1">
      <c r="A48" s="100" t="str">
        <f>VLOOKUP(C48,Abstract!$E$4:$M$62,9,0)</f>
        <v>No Sales</v>
      </c>
      <c r="B48" s="95" t="s">
        <v>138</v>
      </c>
      <c r="C48" s="42" t="s">
        <v>15</v>
      </c>
      <c r="D48" s="101" t="s">
        <v>16</v>
      </c>
      <c r="E48" s="99" t="s">
        <v>160</v>
      </c>
      <c r="F48" s="108" t="s">
        <v>161</v>
      </c>
      <c r="G48" s="109">
        <v>0.25</v>
      </c>
      <c r="H48" s="104">
        <f>VLOOKUP($E48,'Stock statement'!$D$2:$P$384,13,)</f>
        <v>3313.2387673094586</v>
      </c>
      <c r="I48" s="105">
        <v>2.5000000000000001E-2</v>
      </c>
      <c r="J48" s="116">
        <v>1.0249999999999999</v>
      </c>
      <c r="K48" s="106">
        <f t="shared" si="2"/>
        <v>870.24286997612489</v>
      </c>
      <c r="L48" s="98"/>
      <c r="M48" s="110">
        <f t="shared" si="3"/>
        <v>7.3100401077994501</v>
      </c>
    </row>
    <row r="49" spans="1:13" s="107" customFormat="1" ht="15" customHeight="1">
      <c r="A49" s="100" t="str">
        <f>VLOOKUP(C49,Abstract!$E$4:$M$62,9,0)</f>
        <v>No Sales</v>
      </c>
      <c r="B49" s="95" t="s">
        <v>138</v>
      </c>
      <c r="C49" s="42" t="s">
        <v>15</v>
      </c>
      <c r="D49" s="101" t="s">
        <v>16</v>
      </c>
      <c r="E49" s="99" t="s">
        <v>147</v>
      </c>
      <c r="F49" s="95" t="s">
        <v>148</v>
      </c>
      <c r="G49" s="109">
        <v>0.5</v>
      </c>
      <c r="H49" s="104">
        <f>VLOOKUP($E49,'Stock statement'!$D$2:$P$384,13,)</f>
        <v>353.50950483838068</v>
      </c>
      <c r="I49" s="105">
        <v>2.5000000000000001E-2</v>
      </c>
      <c r="J49" s="116">
        <v>1.0249999999999999</v>
      </c>
      <c r="K49" s="106">
        <f t="shared" si="2"/>
        <v>185.70296176041182</v>
      </c>
      <c r="L49" s="98"/>
      <c r="M49" s="110">
        <f t="shared" si="3"/>
        <v>1.5599048787874594</v>
      </c>
    </row>
    <row r="50" spans="1:13" s="107" customFormat="1" ht="15" customHeight="1">
      <c r="A50" s="100" t="str">
        <f>VLOOKUP(C50,Abstract!$E$4:$M$62,9,0)</f>
        <v>No Sales</v>
      </c>
      <c r="B50" s="95" t="s">
        <v>138</v>
      </c>
      <c r="C50" s="42" t="s">
        <v>15</v>
      </c>
      <c r="D50" s="101" t="s">
        <v>16</v>
      </c>
      <c r="E50" s="99" t="s">
        <v>162</v>
      </c>
      <c r="F50" s="95" t="s">
        <v>163</v>
      </c>
      <c r="G50" s="109">
        <v>0.04</v>
      </c>
      <c r="H50" s="104">
        <f>VLOOKUP($E50,'Stock statement'!$D$2:$P$384,13,)</f>
        <v>348.44830167161894</v>
      </c>
      <c r="I50" s="105">
        <v>2.5000000000000001E-2</v>
      </c>
      <c r="J50" s="116">
        <v>1.0249999999999999</v>
      </c>
      <c r="K50" s="106">
        <f t="shared" si="2"/>
        <v>14.643539877749783</v>
      </c>
      <c r="L50" s="98"/>
      <c r="M50" s="110">
        <f t="shared" si="3"/>
        <v>0.12300573497309819</v>
      </c>
    </row>
    <row r="51" spans="1:13" s="107" customFormat="1" ht="15" customHeight="1">
      <c r="A51" s="100" t="str">
        <f>VLOOKUP(C51,Abstract!$E$4:$M$62,9,0)</f>
        <v>No Sales</v>
      </c>
      <c r="B51" s="95" t="s">
        <v>138</v>
      </c>
      <c r="C51" s="42" t="s">
        <v>15</v>
      </c>
      <c r="D51" s="101" t="s">
        <v>16</v>
      </c>
      <c r="E51" s="99" t="s">
        <v>164</v>
      </c>
      <c r="F51" s="95" t="s">
        <v>165</v>
      </c>
      <c r="G51" s="109">
        <v>3.5000000000000001E-3</v>
      </c>
      <c r="H51" s="104">
        <f>VLOOKUP($E51,'Stock statement'!$D$2:$P$384,13,)</f>
        <v>1939</v>
      </c>
      <c r="I51" s="105">
        <v>2.5000000000000001E-2</v>
      </c>
      <c r="J51" s="116">
        <v>1.0249999999999999</v>
      </c>
      <c r="K51" s="106">
        <f t="shared" si="2"/>
        <v>7.1300665624999988</v>
      </c>
      <c r="L51" s="98"/>
      <c r="M51" s="110">
        <f t="shared" si="3"/>
        <v>5.9892559124999994E-2</v>
      </c>
    </row>
    <row r="52" spans="1:13" s="107" customFormat="1" ht="15" customHeight="1">
      <c r="A52" s="100" t="str">
        <f>VLOOKUP(C52,Abstract!$E$4:$M$62,9,0)</f>
        <v>No Sales</v>
      </c>
      <c r="B52" s="95" t="s">
        <v>138</v>
      </c>
      <c r="C52" s="42" t="s">
        <v>15</v>
      </c>
      <c r="D52" s="101" t="s">
        <v>16</v>
      </c>
      <c r="E52" s="99" t="s">
        <v>166</v>
      </c>
      <c r="F52" s="108" t="s">
        <v>167</v>
      </c>
      <c r="G52" s="109">
        <v>2.5</v>
      </c>
      <c r="H52" s="104">
        <f>VLOOKUP($E52,'Stock statement'!$D$2:$P$384,13,)</f>
        <v>127.15913438761541</v>
      </c>
      <c r="I52" s="105">
        <v>2.5000000000000001E-2</v>
      </c>
      <c r="J52" s="116">
        <v>1.0249999999999999</v>
      </c>
      <c r="K52" s="106">
        <f t="shared" si="2"/>
        <v>333.99141391497102</v>
      </c>
      <c r="L52" s="98"/>
      <c r="M52" s="110">
        <f t="shared" si="3"/>
        <v>2.805527876885757</v>
      </c>
    </row>
    <row r="53" spans="1:13" s="107" customFormat="1" ht="15" customHeight="1">
      <c r="A53" s="100" t="str">
        <f>VLOOKUP(C53,Abstract!$E$4:$M$62,9,0)</f>
        <v>No Sales</v>
      </c>
      <c r="B53" s="95" t="s">
        <v>138</v>
      </c>
      <c r="C53" s="42" t="s">
        <v>15</v>
      </c>
      <c r="D53" s="101" t="s">
        <v>16</v>
      </c>
      <c r="E53" s="99" t="s">
        <v>168</v>
      </c>
      <c r="F53" s="95" t="s">
        <v>169</v>
      </c>
      <c r="G53" s="109">
        <v>20</v>
      </c>
      <c r="H53" s="104">
        <f>VLOOKUP($E53,'Stock statement'!$D$2:$P$384,13,)</f>
        <v>0</v>
      </c>
      <c r="I53" s="105">
        <v>2.5000000000000001E-2</v>
      </c>
      <c r="J53" s="116">
        <v>1.0249999999999999</v>
      </c>
      <c r="K53" s="106">
        <f t="shared" si="2"/>
        <v>0</v>
      </c>
      <c r="L53" s="98"/>
      <c r="M53" s="110">
        <f t="shared" si="3"/>
        <v>0</v>
      </c>
    </row>
    <row r="54" spans="1:13" s="107" customFormat="1" ht="15" customHeight="1">
      <c r="A54" s="100" t="str">
        <f>VLOOKUP(C54,Abstract!$E$4:$M$62,9,0)</f>
        <v>No Sales</v>
      </c>
      <c r="B54" s="95" t="s">
        <v>138</v>
      </c>
      <c r="C54" s="42" t="s">
        <v>15</v>
      </c>
      <c r="D54" s="101" t="s">
        <v>16</v>
      </c>
      <c r="E54" s="99" t="s">
        <v>170</v>
      </c>
      <c r="F54" s="95" t="s">
        <v>171</v>
      </c>
      <c r="G54" s="109">
        <v>20</v>
      </c>
      <c r="H54" s="104">
        <f>VLOOKUP($E54,'Stock statement'!$D$2:$P$384,13,)</f>
        <v>0</v>
      </c>
      <c r="I54" s="105">
        <v>2.5000000000000001E-2</v>
      </c>
      <c r="J54" s="116">
        <v>1.0249999999999999</v>
      </c>
      <c r="K54" s="106">
        <f t="shared" si="2"/>
        <v>0</v>
      </c>
      <c r="L54" s="98"/>
      <c r="M54" s="110">
        <f t="shared" si="3"/>
        <v>0</v>
      </c>
    </row>
    <row r="55" spans="1:13" s="107" customFormat="1" ht="15" customHeight="1">
      <c r="A55" s="100" t="str">
        <f>VLOOKUP(C55,Abstract!$E$4:$M$62,9,0)</f>
        <v>No Sales</v>
      </c>
      <c r="B55" s="95" t="s">
        <v>138</v>
      </c>
      <c r="C55" s="42" t="s">
        <v>15</v>
      </c>
      <c r="D55" s="101" t="s">
        <v>16</v>
      </c>
      <c r="E55" s="99">
        <v>114476</v>
      </c>
      <c r="F55" s="99" t="s">
        <v>172</v>
      </c>
      <c r="G55" s="109">
        <v>6</v>
      </c>
      <c r="H55" s="104">
        <f>VLOOKUP($E55,'Stock statement'!$D$2:$P$384,13,)</f>
        <v>739.98731621274567</v>
      </c>
      <c r="I55" s="105">
        <v>2.5000000000000001E-2</v>
      </c>
      <c r="J55" s="116">
        <v>1.0249999999999999</v>
      </c>
      <c r="K55" s="106">
        <f t="shared" si="2"/>
        <v>4664.6950445760949</v>
      </c>
      <c r="L55" s="98"/>
      <c r="M55" s="110">
        <f t="shared" si="3"/>
        <v>39.183438374439199</v>
      </c>
    </row>
    <row r="56" spans="1:13" s="107" customFormat="1" ht="15" customHeight="1">
      <c r="A56" s="100" t="str">
        <f>VLOOKUP(C56,Abstract!$E$4:$M$62,9,0)</f>
        <v>No Sales</v>
      </c>
      <c r="B56" s="95" t="s">
        <v>138</v>
      </c>
      <c r="C56" s="42" t="s">
        <v>15</v>
      </c>
      <c r="D56" s="101" t="s">
        <v>16</v>
      </c>
      <c r="E56" s="99" t="s">
        <v>173</v>
      </c>
      <c r="F56" s="95" t="s">
        <v>174</v>
      </c>
      <c r="G56" s="109">
        <v>0.2</v>
      </c>
      <c r="H56" s="104">
        <f>VLOOKUP($E56,'Stock statement'!$D$2:$P$384,13,)</f>
        <v>555.2517156766155</v>
      </c>
      <c r="I56" s="105">
        <v>2.5000000000000001E-2</v>
      </c>
      <c r="J56" s="116">
        <v>1.0249999999999999</v>
      </c>
      <c r="K56" s="106">
        <f t="shared" si="2"/>
        <v>116.67226675654881</v>
      </c>
      <c r="L56" s="98"/>
      <c r="M56" s="110">
        <f t="shared" si="3"/>
        <v>0.98004704075501003</v>
      </c>
    </row>
    <row r="57" spans="1:13" s="107" customFormat="1" ht="15" customHeight="1">
      <c r="A57" s="100" t="str">
        <f>VLOOKUP(C57,Abstract!$E$4:$M$62,9,0)</f>
        <v>No Sales</v>
      </c>
      <c r="B57" s="95" t="s">
        <v>138</v>
      </c>
      <c r="C57" s="42" t="s">
        <v>15</v>
      </c>
      <c r="D57" s="101" t="s">
        <v>16</v>
      </c>
      <c r="E57" s="99" t="s">
        <v>175</v>
      </c>
      <c r="F57" s="95" t="s">
        <v>176</v>
      </c>
      <c r="G57" s="109">
        <v>0.1</v>
      </c>
      <c r="H57" s="104">
        <f>VLOOKUP($E57,'Stock statement'!$D$2:$P$384,13,)</f>
        <v>1750.9314909799687</v>
      </c>
      <c r="I57" s="105">
        <v>2.5000000000000001E-2</v>
      </c>
      <c r="J57" s="116">
        <v>1.0249999999999999</v>
      </c>
      <c r="K57" s="106">
        <f t="shared" si="2"/>
        <v>183.95723977108293</v>
      </c>
      <c r="L57" s="98"/>
      <c r="M57" s="110">
        <f t="shared" si="3"/>
        <v>1.5452408140770968</v>
      </c>
    </row>
    <row r="58" spans="1:13" s="107" customFormat="1" ht="15" customHeight="1">
      <c r="A58" s="100" t="str">
        <f>VLOOKUP(C58,Abstract!$E$4:$M$62,9,0)</f>
        <v>No Sales</v>
      </c>
      <c r="B58" s="95" t="s">
        <v>138</v>
      </c>
      <c r="C58" s="42" t="s">
        <v>15</v>
      </c>
      <c r="D58" s="101" t="s">
        <v>16</v>
      </c>
      <c r="E58" s="99" t="s">
        <v>177</v>
      </c>
      <c r="F58" s="95" t="s">
        <v>178</v>
      </c>
      <c r="G58" s="109">
        <v>0.1</v>
      </c>
      <c r="H58" s="104">
        <f>VLOOKUP($E58,'Stock statement'!$D$2:$P$384,13,)</f>
        <v>195.29212473407105</v>
      </c>
      <c r="I58" s="105">
        <v>2.5000000000000001E-2</v>
      </c>
      <c r="J58" s="116">
        <v>1.0249999999999999</v>
      </c>
      <c r="K58" s="106">
        <f t="shared" si="2"/>
        <v>20.517878854873334</v>
      </c>
      <c r="L58" s="98"/>
      <c r="M58" s="110">
        <f t="shared" si="3"/>
        <v>0.17235018238093602</v>
      </c>
    </row>
    <row r="59" spans="1:13" s="107" customFormat="1" ht="15" customHeight="1">
      <c r="A59" s="100" t="str">
        <f>VLOOKUP(C59,Abstract!$E$4:$M$62,9,0)</f>
        <v>No Sales</v>
      </c>
      <c r="B59" s="95" t="s">
        <v>138</v>
      </c>
      <c r="C59" s="42" t="s">
        <v>15</v>
      </c>
      <c r="D59" s="101" t="s">
        <v>16</v>
      </c>
      <c r="E59" s="99" t="s">
        <v>179</v>
      </c>
      <c r="F59" s="102" t="s">
        <v>180</v>
      </c>
      <c r="G59" s="109">
        <v>0.5</v>
      </c>
      <c r="H59" s="104">
        <f>VLOOKUP($E59,'Stock statement'!$D$2:$P$384,13,)</f>
        <v>1036.4956269221443</v>
      </c>
      <c r="I59" s="105">
        <v>2.5000000000000001E-2</v>
      </c>
      <c r="J59" s="116">
        <v>1.0249999999999999</v>
      </c>
      <c r="K59" s="106">
        <f t="shared" si="2"/>
        <v>544.48410901753891</v>
      </c>
      <c r="L59" s="98"/>
      <c r="M59" s="110">
        <f t="shared" si="3"/>
        <v>4.5736665157473269</v>
      </c>
    </row>
    <row r="60" spans="1:13" s="107" customFormat="1" ht="15" customHeight="1">
      <c r="A60" s="100" t="str">
        <f>VLOOKUP(C60,Abstract!$E$4:$M$62,9,0)</f>
        <v>No Sales</v>
      </c>
      <c r="B60" s="95" t="s">
        <v>138</v>
      </c>
      <c r="C60" s="42" t="s">
        <v>15</v>
      </c>
      <c r="D60" s="101" t="s">
        <v>16</v>
      </c>
      <c r="E60" s="99" t="s">
        <v>181</v>
      </c>
      <c r="F60" s="102" t="s">
        <v>182</v>
      </c>
      <c r="G60" s="109">
        <v>12</v>
      </c>
      <c r="H60" s="104">
        <f>VLOOKUP($E60,'Stock statement'!$D$2:$P$384,13,)</f>
        <v>17.110276913020375</v>
      </c>
      <c r="I60" s="105">
        <v>2.5000000000000001E-2</v>
      </c>
      <c r="J60" s="116">
        <v>1.0249999999999999</v>
      </c>
      <c r="K60" s="106">
        <f t="shared" si="2"/>
        <v>215.71781618090435</v>
      </c>
      <c r="L60" s="98"/>
      <c r="M60" s="110">
        <f t="shared" si="3"/>
        <v>1.8120296559195967</v>
      </c>
    </row>
    <row r="61" spans="1:13" s="107" customFormat="1" ht="15" customHeight="1">
      <c r="A61" s="100" t="str">
        <f>VLOOKUP(C61,Abstract!$E$4:$M$62,9,0)</f>
        <v>No Sales</v>
      </c>
      <c r="B61" s="99" t="s">
        <v>183</v>
      </c>
      <c r="C61" s="42" t="s">
        <v>15</v>
      </c>
      <c r="D61" s="101" t="s">
        <v>16</v>
      </c>
      <c r="E61" s="99" t="s">
        <v>199</v>
      </c>
      <c r="F61" s="95" t="s">
        <v>199</v>
      </c>
      <c r="G61" s="109">
        <v>119.04761904761904</v>
      </c>
      <c r="H61" s="104">
        <f>VLOOKUP($E61,'Stock statement'!$D$2:$P$384,13,)</f>
        <v>38.303168306187175</v>
      </c>
      <c r="I61" s="112">
        <v>6.0000000000000001E-3</v>
      </c>
      <c r="J61" s="113">
        <v>1</v>
      </c>
      <c r="K61" s="106">
        <f t="shared" si="2"/>
        <v>4587.2603947647967</v>
      </c>
      <c r="L61" s="98"/>
      <c r="M61" s="110">
        <f t="shared" si="3"/>
        <v>38.532987316024297</v>
      </c>
    </row>
    <row r="62" spans="1:13" s="107" customFormat="1" ht="15" customHeight="1">
      <c r="A62" s="100" t="str">
        <f>VLOOKUP(C62,Abstract!$E$4:$M$62,9,0)</f>
        <v>No Sales</v>
      </c>
      <c r="B62" s="99" t="s">
        <v>183</v>
      </c>
      <c r="C62" s="42" t="s">
        <v>15</v>
      </c>
      <c r="D62" s="101" t="s">
        <v>16</v>
      </c>
      <c r="E62" s="99" t="s">
        <v>200</v>
      </c>
      <c r="F62" s="95" t="s">
        <v>201</v>
      </c>
      <c r="G62" s="109">
        <v>5714.2857142857138</v>
      </c>
      <c r="H62" s="104">
        <f>VLOOKUP($E62,'Stock statement'!$D$2:$P$384,13,)</f>
        <v>4.8721495707176867</v>
      </c>
      <c r="I62" s="112">
        <v>6.0000000000000001E-3</v>
      </c>
      <c r="J62" s="113">
        <v>1</v>
      </c>
      <c r="K62" s="106">
        <f t="shared" si="2"/>
        <v>28007.899817954243</v>
      </c>
      <c r="L62" s="98"/>
      <c r="M62" s="110">
        <f t="shared" si="3"/>
        <v>235.26635847081567</v>
      </c>
    </row>
    <row r="63" spans="1:13" s="107" customFormat="1" ht="15" customHeight="1">
      <c r="A63" s="100" t="str">
        <f>VLOOKUP(C63,Abstract!$E$4:$M$62,9,0)</f>
        <v>No Sales</v>
      </c>
      <c r="B63" s="99" t="s">
        <v>183</v>
      </c>
      <c r="C63" s="42" t="s">
        <v>15</v>
      </c>
      <c r="D63" s="101" t="s">
        <v>16</v>
      </c>
      <c r="E63" s="99" t="s">
        <v>202</v>
      </c>
      <c r="F63" s="95" t="s">
        <v>203</v>
      </c>
      <c r="G63" s="109">
        <v>5714.2857142857138</v>
      </c>
      <c r="H63" s="104">
        <f>VLOOKUP($E63,'Stock statement'!$D$2:$P$384,13,)</f>
        <v>3.4435005965610177</v>
      </c>
      <c r="I63" s="112">
        <v>6.0000000000000001E-3</v>
      </c>
      <c r="J63" s="113">
        <v>1</v>
      </c>
      <c r="K63" s="106">
        <f t="shared" si="2"/>
        <v>19795.209143659333</v>
      </c>
      <c r="L63" s="98"/>
      <c r="M63" s="110">
        <f t="shared" si="3"/>
        <v>166.27975680673842</v>
      </c>
    </row>
    <row r="64" spans="1:13" s="107" customFormat="1" ht="15" customHeight="1">
      <c r="A64" s="100" t="str">
        <f>VLOOKUP(C64,Abstract!$E$4:$M$62,9,0)</f>
        <v>No Sales</v>
      </c>
      <c r="B64" s="99" t="s">
        <v>183</v>
      </c>
      <c r="C64" s="42" t="s">
        <v>15</v>
      </c>
      <c r="D64" s="101" t="s">
        <v>16</v>
      </c>
      <c r="E64" s="99">
        <v>212583</v>
      </c>
      <c r="F64" s="95" t="s">
        <v>204</v>
      </c>
      <c r="G64" s="109">
        <v>5714.2857142857138</v>
      </c>
      <c r="H64" s="104">
        <f>VLOOKUP($E64,'Stock statement'!$D$2:$P$384,13,)</f>
        <v>0</v>
      </c>
      <c r="I64" s="105">
        <v>0.02</v>
      </c>
      <c r="J64" s="113">
        <v>1</v>
      </c>
      <c r="K64" s="106">
        <f t="shared" si="2"/>
        <v>0</v>
      </c>
      <c r="L64" s="98"/>
      <c r="M64" s="110">
        <f t="shared" si="3"/>
        <v>0</v>
      </c>
    </row>
    <row r="65" spans="1:13" s="107" customFormat="1" ht="15" customHeight="1">
      <c r="A65" s="100" t="str">
        <f>VLOOKUP(C65,Abstract!$E$4:$M$62,9,0)</f>
        <v>No Sales</v>
      </c>
      <c r="B65" s="99" t="s">
        <v>183</v>
      </c>
      <c r="C65" s="42" t="s">
        <v>15</v>
      </c>
      <c r="D65" s="101" t="s">
        <v>16</v>
      </c>
      <c r="E65" s="99">
        <v>212582</v>
      </c>
      <c r="F65" s="95" t="s">
        <v>205</v>
      </c>
      <c r="G65" s="109">
        <v>5714.2857142857138</v>
      </c>
      <c r="H65" s="104">
        <f>VLOOKUP($E65,'Stock statement'!$D$2:$P$384,13,)</f>
        <v>0</v>
      </c>
      <c r="I65" s="105">
        <v>0.02</v>
      </c>
      <c r="J65" s="113">
        <v>1</v>
      </c>
      <c r="K65" s="106">
        <f t="shared" si="2"/>
        <v>0</v>
      </c>
      <c r="L65" s="98"/>
      <c r="M65" s="110">
        <f t="shared" si="3"/>
        <v>0</v>
      </c>
    </row>
    <row r="66" spans="1:13" s="107" customFormat="1" ht="15" customHeight="1">
      <c r="A66" s="100" t="str">
        <f>VLOOKUP(C66,Abstract!$E$4:$M$62,9,0)</f>
        <v>No Sales</v>
      </c>
      <c r="B66" s="99" t="s">
        <v>183</v>
      </c>
      <c r="C66" s="42" t="s">
        <v>15</v>
      </c>
      <c r="D66" s="101" t="s">
        <v>16</v>
      </c>
      <c r="E66" s="99" t="s">
        <v>191</v>
      </c>
      <c r="F66" s="95" t="s">
        <v>192</v>
      </c>
      <c r="G66" s="109">
        <v>2.0238095238095237</v>
      </c>
      <c r="H66" s="104">
        <f>VLOOKUP($E66,'Stock statement'!$D$2:$P$384,13,)</f>
        <v>44.985440769279101</v>
      </c>
      <c r="I66" s="112">
        <v>0.02</v>
      </c>
      <c r="J66" s="113">
        <v>1</v>
      </c>
      <c r="K66" s="106">
        <f t="shared" si="2"/>
        <v>92.862802730868992</v>
      </c>
      <c r="L66" s="98"/>
      <c r="M66" s="110">
        <f t="shared" si="3"/>
        <v>0.78004754293929957</v>
      </c>
    </row>
    <row r="67" spans="1:13" s="107" customFormat="1" ht="15" customHeight="1">
      <c r="A67" s="100" t="str">
        <f>VLOOKUP(C67,Abstract!$E$4:$M$62,9,0)</f>
        <v>No Sales</v>
      </c>
      <c r="B67" s="99" t="s">
        <v>183</v>
      </c>
      <c r="C67" s="42" t="s">
        <v>15</v>
      </c>
      <c r="D67" s="101" t="s">
        <v>16</v>
      </c>
      <c r="E67" s="99" t="s">
        <v>206</v>
      </c>
      <c r="F67" s="95" t="s">
        <v>207</v>
      </c>
      <c r="G67" s="109">
        <v>952.38095238095229</v>
      </c>
      <c r="H67" s="104">
        <f>VLOOKUP($E67,'Stock statement'!$D$2:$P$384,13,)</f>
        <v>4.2025763620200998</v>
      </c>
      <c r="I67" s="112">
        <v>0.01</v>
      </c>
      <c r="J67" s="113">
        <v>1</v>
      </c>
      <c r="K67" s="106">
        <f t="shared" si="2"/>
        <v>4042.4782148955242</v>
      </c>
      <c r="L67" s="98"/>
      <c r="M67" s="110">
        <f t="shared" si="3"/>
        <v>33.956817005122403</v>
      </c>
    </row>
    <row r="68" spans="1:13" s="107" customFormat="1" ht="15" customHeight="1">
      <c r="A68" s="100" t="str">
        <f>VLOOKUP(C68,Abstract!$E$4:$M$62,9,0)</f>
        <v>No Sales</v>
      </c>
      <c r="B68" s="95" t="s">
        <v>194</v>
      </c>
      <c r="C68" s="42" t="s">
        <v>15</v>
      </c>
      <c r="D68" s="101" t="s">
        <v>16</v>
      </c>
      <c r="E68" s="99" t="s">
        <v>195</v>
      </c>
      <c r="F68" s="95"/>
      <c r="G68" s="109">
        <f>G62</f>
        <v>5714.2857142857138</v>
      </c>
      <c r="H68" s="103">
        <v>0.04</v>
      </c>
      <c r="I68" s="112"/>
      <c r="J68" s="113">
        <v>1</v>
      </c>
      <c r="K68" s="106">
        <f t="shared" si="2"/>
        <v>228.57142857142856</v>
      </c>
      <c r="L68" s="98"/>
      <c r="M68" s="110">
        <f t="shared" si="3"/>
        <v>1.92</v>
      </c>
    </row>
    <row r="69" spans="1:13" s="107" customFormat="1" ht="15" customHeight="1">
      <c r="A69" s="100" t="str">
        <f>VLOOKUP(C69,Abstract!$E$4:$M$62,9,0)</f>
        <v>No Sales</v>
      </c>
      <c r="B69" s="95" t="s">
        <v>194</v>
      </c>
      <c r="C69" s="42" t="s">
        <v>15</v>
      </c>
      <c r="D69" s="101" t="s">
        <v>16</v>
      </c>
      <c r="E69" s="99" t="s">
        <v>196</v>
      </c>
      <c r="F69" s="95"/>
      <c r="G69" s="109">
        <f>G62*24</f>
        <v>137142.85714285713</v>
      </c>
      <c r="H69" s="114">
        <v>1.6999999999999999E-3</v>
      </c>
      <c r="I69" s="112"/>
      <c r="J69" s="113">
        <v>1</v>
      </c>
      <c r="K69" s="106">
        <f t="shared" ref="K69" si="4">+G69*H69*(1+I69)*J69</f>
        <v>233.14285714285711</v>
      </c>
      <c r="L69" s="98"/>
      <c r="M69" s="110">
        <f t="shared" si="3"/>
        <v>1.9583999999999999</v>
      </c>
    </row>
    <row r="70" spans="1:13" s="107" customFormat="1" ht="15" customHeight="1">
      <c r="A70" s="100" t="str">
        <f>VLOOKUP(C70,Abstract!$E$4:$M$62,9,0)</f>
        <v>No Sales</v>
      </c>
      <c r="B70" s="99" t="s">
        <v>197</v>
      </c>
      <c r="C70" s="42" t="s">
        <v>15</v>
      </c>
      <c r="D70" s="101" t="s">
        <v>16</v>
      </c>
      <c r="E70" s="99" t="s">
        <v>198</v>
      </c>
      <c r="F70" s="95"/>
      <c r="G70" s="109"/>
      <c r="H70" s="100"/>
      <c r="I70" s="100"/>
      <c r="J70" s="113"/>
      <c r="K70" s="106">
        <v>9000</v>
      </c>
      <c r="L70" s="98">
        <f>SUM(K37:K70)</f>
        <v>99412.004064100314</v>
      </c>
      <c r="M70" s="110">
        <f t="shared" si="3"/>
        <v>75.600000000000009</v>
      </c>
    </row>
    <row r="71" spans="1:13" s="107" customFormat="1" ht="15" customHeight="1">
      <c r="A71" s="100" t="str">
        <f>VLOOKUP(C71,Abstract!$E$4:$M$62,9,0)</f>
        <v>ACTIVE</v>
      </c>
      <c r="B71" s="95" t="s">
        <v>138</v>
      </c>
      <c r="C71" s="100" t="s">
        <v>18</v>
      </c>
      <c r="D71" s="100" t="s">
        <v>19</v>
      </c>
      <c r="E71" s="99" t="s">
        <v>139</v>
      </c>
      <c r="F71" s="102" t="s">
        <v>140</v>
      </c>
      <c r="G71" s="109">
        <v>741.16</v>
      </c>
      <c r="H71" s="104">
        <f>VLOOKUP($E71,'Stock statement'!$D$2:$P$384,13,)</f>
        <v>0.34</v>
      </c>
      <c r="I71" s="105">
        <v>2.5000000000000001E-2</v>
      </c>
      <c r="J71" s="116">
        <v>1.0249999999999999</v>
      </c>
      <c r="K71" s="106">
        <f t="shared" ref="K71:K89" si="5">+G71*H71*(1+I71)*J71</f>
        <v>264.75161650000001</v>
      </c>
      <c r="L71" s="98"/>
      <c r="M71" s="110">
        <f>K71/$G$94</f>
        <v>3.04993862208</v>
      </c>
    </row>
    <row r="72" spans="1:13" s="107" customFormat="1" ht="15" customHeight="1">
      <c r="A72" s="100" t="str">
        <f>VLOOKUP(C72,Abstract!$E$4:$M$62,9,0)</f>
        <v>ACTIVE</v>
      </c>
      <c r="B72" s="95" t="s">
        <v>138</v>
      </c>
      <c r="C72" s="100" t="s">
        <v>18</v>
      </c>
      <c r="D72" s="100" t="s">
        <v>19</v>
      </c>
      <c r="E72" s="99" t="s">
        <v>141</v>
      </c>
      <c r="F72" s="108" t="s">
        <v>142</v>
      </c>
      <c r="G72" s="109">
        <v>185.7</v>
      </c>
      <c r="H72" s="104">
        <f>VLOOKUP($E72,'Stock statement'!$D$2:$P$384,13,)</f>
        <v>94.278330452007026</v>
      </c>
      <c r="I72" s="105">
        <v>2.5000000000000001E-2</v>
      </c>
      <c r="J72" s="116">
        <v>1.0249999999999999</v>
      </c>
      <c r="K72" s="106">
        <f t="shared" si="5"/>
        <v>18393.80244191267</v>
      </c>
      <c r="L72" s="98"/>
      <c r="M72" s="110">
        <f t="shared" ref="M72:M96" si="6">K72/$G$94</f>
        <v>211.89660413083396</v>
      </c>
    </row>
    <row r="73" spans="1:13" s="107" customFormat="1" ht="15" customHeight="1">
      <c r="A73" s="100" t="str">
        <f>VLOOKUP(C73,Abstract!$E$4:$M$62,9,0)</f>
        <v>ACTIVE</v>
      </c>
      <c r="B73" s="95" t="s">
        <v>138</v>
      </c>
      <c r="C73" s="100" t="s">
        <v>18</v>
      </c>
      <c r="D73" s="100" t="s">
        <v>19</v>
      </c>
      <c r="E73" s="99" t="s">
        <v>145</v>
      </c>
      <c r="F73" s="102" t="s">
        <v>146</v>
      </c>
      <c r="G73" s="109">
        <v>10</v>
      </c>
      <c r="H73" s="104">
        <f>VLOOKUP($E73,'Stock statement'!$D$2:$P$384,13,)</f>
        <v>151.08681180977209</v>
      </c>
      <c r="I73" s="105">
        <v>2.5000000000000001E-2</v>
      </c>
      <c r="J73" s="116">
        <v>1.0249999999999999</v>
      </c>
      <c r="K73" s="106">
        <f t="shared" si="5"/>
        <v>1587.3558165764177</v>
      </c>
      <c r="L73" s="98"/>
      <c r="M73" s="110">
        <f t="shared" si="6"/>
        <v>18.286339006960333</v>
      </c>
    </row>
    <row r="74" spans="1:13" s="107" customFormat="1" ht="15" customHeight="1">
      <c r="A74" s="100" t="str">
        <f>VLOOKUP(C74,Abstract!$E$4:$M$62,9,0)</f>
        <v>ACTIVE</v>
      </c>
      <c r="B74" s="95" t="s">
        <v>138</v>
      </c>
      <c r="C74" s="100" t="s">
        <v>18</v>
      </c>
      <c r="D74" s="100" t="s">
        <v>19</v>
      </c>
      <c r="E74" s="99" t="s">
        <v>149</v>
      </c>
      <c r="F74" s="99" t="s">
        <v>208</v>
      </c>
      <c r="G74" s="109">
        <v>0.125</v>
      </c>
      <c r="H74" s="104">
        <f>VLOOKUP($E74,'Stock statement'!$D$2:$P$384,13,)</f>
        <v>161.56941474217822</v>
      </c>
      <c r="I74" s="105">
        <v>2.5000000000000001E-2</v>
      </c>
      <c r="J74" s="116">
        <v>1.0249999999999999</v>
      </c>
      <c r="K74" s="106">
        <f t="shared" si="5"/>
        <v>21.218608295437623</v>
      </c>
      <c r="L74" s="98"/>
      <c r="M74" s="110">
        <f t="shared" si="6"/>
        <v>0.24443836756344139</v>
      </c>
    </row>
    <row r="75" spans="1:13" s="107" customFormat="1" ht="15" customHeight="1">
      <c r="A75" s="100" t="str">
        <f>VLOOKUP(C75,Abstract!$E$4:$M$62,9,0)</f>
        <v>ACTIVE</v>
      </c>
      <c r="B75" s="95" t="s">
        <v>138</v>
      </c>
      <c r="C75" s="100" t="s">
        <v>18</v>
      </c>
      <c r="D75" s="100" t="s">
        <v>19</v>
      </c>
      <c r="E75" s="99" t="s">
        <v>151</v>
      </c>
      <c r="F75" s="99" t="s">
        <v>152</v>
      </c>
      <c r="G75" s="109">
        <v>2.5</v>
      </c>
      <c r="H75" s="104">
        <f>VLOOKUP($E75,'Stock statement'!$D$2:$P$384,13,)</f>
        <v>762.38931335604309</v>
      </c>
      <c r="I75" s="105">
        <v>2.5000000000000001E-2</v>
      </c>
      <c r="J75" s="116">
        <v>1.0249999999999999</v>
      </c>
      <c r="K75" s="106">
        <f t="shared" si="5"/>
        <v>2002.4631808617316</v>
      </c>
      <c r="L75" s="98"/>
      <c r="M75" s="110">
        <f t="shared" si="6"/>
        <v>23.068375843527146</v>
      </c>
    </row>
    <row r="76" spans="1:13" s="107" customFormat="1" ht="15" customHeight="1">
      <c r="A76" s="100" t="str">
        <f>VLOOKUP(C76,Abstract!$E$4:$M$62,9,0)</f>
        <v>ACTIVE</v>
      </c>
      <c r="B76" s="95" t="s">
        <v>138</v>
      </c>
      <c r="C76" s="100" t="s">
        <v>18</v>
      </c>
      <c r="D76" s="100" t="s">
        <v>19</v>
      </c>
      <c r="E76" s="99" t="s">
        <v>157</v>
      </c>
      <c r="F76" s="102" t="s">
        <v>158</v>
      </c>
      <c r="G76" s="109">
        <v>1</v>
      </c>
      <c r="H76" s="104">
        <f>VLOOKUP($E76,'Stock statement'!$D$2:$P$384,13,)</f>
        <v>828.81974703846117</v>
      </c>
      <c r="I76" s="105">
        <v>2.5000000000000001E-2</v>
      </c>
      <c r="J76" s="116">
        <v>1.0249999999999999</v>
      </c>
      <c r="K76" s="106">
        <f t="shared" si="5"/>
        <v>870.77874673228314</v>
      </c>
      <c r="L76" s="98"/>
      <c r="M76" s="110">
        <f t="shared" si="6"/>
        <v>10.031371162355901</v>
      </c>
    </row>
    <row r="77" spans="1:13" s="107" customFormat="1" ht="15" customHeight="1">
      <c r="A77" s="100" t="str">
        <f>VLOOKUP(C77,Abstract!$E$4:$M$62,9,0)</f>
        <v>ACTIVE</v>
      </c>
      <c r="B77" s="95" t="s">
        <v>138</v>
      </c>
      <c r="C77" s="100" t="s">
        <v>18</v>
      </c>
      <c r="D77" s="100" t="s">
        <v>19</v>
      </c>
      <c r="E77" s="157">
        <v>115150</v>
      </c>
      <c r="F77" s="99" t="s">
        <v>159</v>
      </c>
      <c r="G77" s="109">
        <v>1</v>
      </c>
      <c r="H77" s="104">
        <f>VLOOKUP($E77,'Stock statement'!$D$2:$P$384,13,)</f>
        <v>456.30699446392703</v>
      </c>
      <c r="I77" s="105">
        <v>2.5000000000000001E-2</v>
      </c>
      <c r="J77" s="116">
        <v>1.0249999999999999</v>
      </c>
      <c r="K77" s="106">
        <f t="shared" si="5"/>
        <v>479.40753605866325</v>
      </c>
      <c r="L77" s="98"/>
      <c r="M77" s="110">
        <f t="shared" si="6"/>
        <v>5.5227748153958007</v>
      </c>
    </row>
    <row r="78" spans="1:13" s="107" customFormat="1" ht="15" customHeight="1">
      <c r="A78" s="100" t="str">
        <f>VLOOKUP(C78,Abstract!$E$4:$M$62,9,0)</f>
        <v>ACTIVE</v>
      </c>
      <c r="B78" s="95" t="s">
        <v>138</v>
      </c>
      <c r="C78" s="100" t="s">
        <v>18</v>
      </c>
      <c r="D78" s="100" t="s">
        <v>19</v>
      </c>
      <c r="E78" s="99" t="s">
        <v>160</v>
      </c>
      <c r="F78" s="108" t="s">
        <v>161</v>
      </c>
      <c r="G78" s="109">
        <v>0.25</v>
      </c>
      <c r="H78" s="104">
        <f>VLOOKUP($E78,'Stock statement'!$D$2:$P$384,13,)</f>
        <v>3313.2387673094586</v>
      </c>
      <c r="I78" s="105">
        <v>2.5000000000000001E-2</v>
      </c>
      <c r="J78" s="116">
        <v>1.0249999999999999</v>
      </c>
      <c r="K78" s="106">
        <f t="shared" si="5"/>
        <v>870.24286997612489</v>
      </c>
      <c r="L78" s="98"/>
      <c r="M78" s="110">
        <f t="shared" si="6"/>
        <v>10.025197862124958</v>
      </c>
    </row>
    <row r="79" spans="1:13" s="107" customFormat="1" ht="15" customHeight="1">
      <c r="A79" s="100" t="str">
        <f>VLOOKUP(C79,Abstract!$E$4:$M$62,9,0)</f>
        <v>ACTIVE</v>
      </c>
      <c r="B79" s="95" t="s">
        <v>138</v>
      </c>
      <c r="C79" s="100" t="s">
        <v>18</v>
      </c>
      <c r="D79" s="100" t="s">
        <v>19</v>
      </c>
      <c r="E79" s="99" t="s">
        <v>166</v>
      </c>
      <c r="F79" s="99" t="s">
        <v>167</v>
      </c>
      <c r="G79" s="109">
        <v>2.5</v>
      </c>
      <c r="H79" s="104">
        <f>VLOOKUP($E79,'Stock statement'!$D$2:$P$384,13,)</f>
        <v>127.15913438761541</v>
      </c>
      <c r="I79" s="105">
        <v>2.5000000000000001E-2</v>
      </c>
      <c r="J79" s="116">
        <v>1.0249999999999999</v>
      </c>
      <c r="K79" s="106">
        <f t="shared" si="5"/>
        <v>333.99141391497102</v>
      </c>
      <c r="L79" s="98"/>
      <c r="M79" s="110">
        <f t="shared" si="6"/>
        <v>3.847581088300466</v>
      </c>
    </row>
    <row r="80" spans="1:13" s="107" customFormat="1" ht="15" customHeight="1">
      <c r="A80" s="100" t="str">
        <f>VLOOKUP(C80,Abstract!$E$4:$M$62,9,0)</f>
        <v>ACTIVE</v>
      </c>
      <c r="B80" s="95" t="s">
        <v>138</v>
      </c>
      <c r="C80" s="100" t="s">
        <v>18</v>
      </c>
      <c r="D80" s="100" t="s">
        <v>19</v>
      </c>
      <c r="E80" s="99" t="s">
        <v>209</v>
      </c>
      <c r="F80" s="99" t="s">
        <v>210</v>
      </c>
      <c r="G80" s="109">
        <v>20</v>
      </c>
      <c r="H80" s="104">
        <f>VLOOKUP($E80,'Stock statement'!$D$2:$P$384,13,)</f>
        <v>220.67282625366343</v>
      </c>
      <c r="I80" s="105">
        <v>2.5000000000000001E-2</v>
      </c>
      <c r="J80" s="116">
        <v>1.0249999999999999</v>
      </c>
      <c r="K80" s="106">
        <f t="shared" si="5"/>
        <v>4636.8877616551026</v>
      </c>
      <c r="L80" s="98"/>
      <c r="M80" s="110">
        <f t="shared" si="6"/>
        <v>53.416947014266782</v>
      </c>
    </row>
    <row r="81" spans="1:13" s="107" customFormat="1" ht="15" customHeight="1">
      <c r="A81" s="100" t="str">
        <f>VLOOKUP(C81,Abstract!$E$4:$M$62,9,0)</f>
        <v>ACTIVE</v>
      </c>
      <c r="B81" s="95" t="s">
        <v>138</v>
      </c>
      <c r="C81" s="100" t="s">
        <v>18</v>
      </c>
      <c r="D81" s="100" t="s">
        <v>19</v>
      </c>
      <c r="E81" s="99" t="s">
        <v>153</v>
      </c>
      <c r="F81" s="99" t="s">
        <v>154</v>
      </c>
      <c r="G81" s="109">
        <v>0.75</v>
      </c>
      <c r="H81" s="104">
        <f>VLOOKUP($E81,'Stock statement'!$D$2:$P$384,13,)</f>
        <v>84.206363687840948</v>
      </c>
      <c r="I81" s="105">
        <v>2.5000000000000001E-2</v>
      </c>
      <c r="J81" s="116">
        <v>1.0249999999999999</v>
      </c>
      <c r="K81" s="106">
        <f t="shared" si="5"/>
        <v>66.351983137153411</v>
      </c>
      <c r="L81" s="98"/>
      <c r="M81" s="110">
        <f t="shared" si="6"/>
        <v>0.76437484574000725</v>
      </c>
    </row>
    <row r="82" spans="1:13" s="107" customFormat="1" ht="15" customHeight="1">
      <c r="A82" s="100" t="str">
        <f>VLOOKUP(C82,Abstract!$E$4:$M$62,9,0)</f>
        <v>ACTIVE</v>
      </c>
      <c r="B82" s="95" t="s">
        <v>138</v>
      </c>
      <c r="C82" s="100" t="s">
        <v>18</v>
      </c>
      <c r="D82" s="100" t="s">
        <v>19</v>
      </c>
      <c r="E82" s="99" t="s">
        <v>147</v>
      </c>
      <c r="F82" s="95" t="s">
        <v>148</v>
      </c>
      <c r="G82" s="109">
        <v>1</v>
      </c>
      <c r="H82" s="104">
        <f>VLOOKUP($E82,'Stock statement'!$D$2:$P$384,13,)</f>
        <v>353.50950483838068</v>
      </c>
      <c r="I82" s="105">
        <v>2.5000000000000001E-2</v>
      </c>
      <c r="J82" s="116">
        <v>1.0249999999999999</v>
      </c>
      <c r="K82" s="106">
        <f t="shared" si="5"/>
        <v>371.40592352082365</v>
      </c>
      <c r="L82" s="98"/>
      <c r="M82" s="110">
        <f t="shared" si="6"/>
        <v>4.2785962389598886</v>
      </c>
    </row>
    <row r="83" spans="1:13" s="107" customFormat="1" ht="15" customHeight="1">
      <c r="A83" s="100" t="str">
        <f>VLOOKUP(C83,Abstract!$E$4:$M$62,9,0)</f>
        <v>ACTIVE</v>
      </c>
      <c r="B83" s="95" t="s">
        <v>138</v>
      </c>
      <c r="C83" s="100" t="s">
        <v>18</v>
      </c>
      <c r="D83" s="100" t="s">
        <v>19</v>
      </c>
      <c r="E83" s="99" t="s">
        <v>211</v>
      </c>
      <c r="F83" s="99" t="s">
        <v>212</v>
      </c>
      <c r="G83" s="109">
        <v>0.1</v>
      </c>
      <c r="H83" s="104">
        <f>VLOOKUP($E83,'Stock statement'!$D$2:$P$384,13,)</f>
        <v>1279.5862001575747</v>
      </c>
      <c r="I83" s="105">
        <v>2.5000000000000001E-2</v>
      </c>
      <c r="J83" s="116">
        <v>1.0249999999999999</v>
      </c>
      <c r="K83" s="106">
        <f t="shared" si="5"/>
        <v>134.43652515405518</v>
      </c>
      <c r="L83" s="98"/>
      <c r="M83" s="110">
        <f t="shared" si="6"/>
        <v>1.5487087697747155</v>
      </c>
    </row>
    <row r="84" spans="1:13" s="107" customFormat="1" ht="15" customHeight="1">
      <c r="A84" s="100" t="str">
        <f>VLOOKUP(C84,Abstract!$E$4:$M$62,9,0)</f>
        <v>ACTIVE</v>
      </c>
      <c r="B84" s="95" t="s">
        <v>138</v>
      </c>
      <c r="C84" s="100" t="s">
        <v>18</v>
      </c>
      <c r="D84" s="100" t="s">
        <v>19</v>
      </c>
      <c r="E84" s="99" t="s">
        <v>213</v>
      </c>
      <c r="F84" s="99" t="s">
        <v>214</v>
      </c>
      <c r="G84" s="109">
        <v>0.09</v>
      </c>
      <c r="H84" s="104">
        <f>VLOOKUP($E84,'Stock statement'!$D$2:$P$384,13,)</f>
        <v>674.683130739744</v>
      </c>
      <c r="I84" s="105">
        <v>2.5000000000000001E-2</v>
      </c>
      <c r="J84" s="116">
        <v>1.0249999999999999</v>
      </c>
      <c r="K84" s="106">
        <f t="shared" si="5"/>
        <v>63.795506781009905</v>
      </c>
      <c r="L84" s="98"/>
      <c r="M84" s="110">
        <f t="shared" si="6"/>
        <v>0.73492423811723406</v>
      </c>
    </row>
    <row r="85" spans="1:13" s="107" customFormat="1" ht="15" customHeight="1">
      <c r="A85" s="100" t="str">
        <f>VLOOKUP(C85,Abstract!$E$4:$M$62,9,0)</f>
        <v>ACTIVE</v>
      </c>
      <c r="B85" s="95" t="s">
        <v>138</v>
      </c>
      <c r="C85" s="100" t="s">
        <v>18</v>
      </c>
      <c r="D85" s="100" t="s">
        <v>19</v>
      </c>
      <c r="E85" s="99" t="s">
        <v>215</v>
      </c>
      <c r="F85" s="99" t="s">
        <v>216</v>
      </c>
      <c r="G85" s="109">
        <v>0.09</v>
      </c>
      <c r="H85" s="104">
        <f>VLOOKUP($E85,'Stock statement'!$D$2:$P$384,13,)</f>
        <v>545.51731168806748</v>
      </c>
      <c r="I85" s="105">
        <v>2.5000000000000001E-2</v>
      </c>
      <c r="J85" s="116">
        <v>1.0249999999999999</v>
      </c>
      <c r="K85" s="106">
        <f t="shared" si="5"/>
        <v>51.582071303304822</v>
      </c>
      <c r="L85" s="98"/>
      <c r="M85" s="110">
        <f t="shared" si="6"/>
        <v>0.59422546141407151</v>
      </c>
    </row>
    <row r="86" spans="1:13" s="107" customFormat="1" ht="15" customHeight="1">
      <c r="A86" s="100" t="str">
        <f>VLOOKUP(C86,Abstract!$E$4:$M$62,9,0)</f>
        <v>ACTIVE</v>
      </c>
      <c r="B86" s="95" t="s">
        <v>138</v>
      </c>
      <c r="C86" s="100" t="s">
        <v>18</v>
      </c>
      <c r="D86" s="100" t="s">
        <v>19</v>
      </c>
      <c r="E86" s="99" t="s">
        <v>217</v>
      </c>
      <c r="F86" s="99" t="s">
        <v>218</v>
      </c>
      <c r="G86" s="109">
        <v>0.1</v>
      </c>
      <c r="H86" s="104">
        <f>VLOOKUP($E86,'Stock statement'!$D$2:$P$384,13,)</f>
        <v>910.5767983004796</v>
      </c>
      <c r="I86" s="105">
        <v>2.5000000000000001E-2</v>
      </c>
      <c r="J86" s="116">
        <v>1.0249999999999999</v>
      </c>
      <c r="K86" s="106">
        <f t="shared" si="5"/>
        <v>95.667474871444114</v>
      </c>
      <c r="L86" s="98"/>
      <c r="M86" s="110">
        <f t="shared" si="6"/>
        <v>1.1020893105190361</v>
      </c>
    </row>
    <row r="87" spans="1:13" s="107" customFormat="1" ht="15" customHeight="1">
      <c r="A87" s="100" t="str">
        <f>VLOOKUP(C87,Abstract!$E$4:$M$62,9,0)</f>
        <v>ACTIVE</v>
      </c>
      <c r="B87" s="95" t="s">
        <v>138</v>
      </c>
      <c r="C87" s="100" t="s">
        <v>18</v>
      </c>
      <c r="D87" s="100" t="s">
        <v>19</v>
      </c>
      <c r="E87" s="99" t="s">
        <v>155</v>
      </c>
      <c r="F87" s="99" t="s">
        <v>156</v>
      </c>
      <c r="G87" s="109">
        <v>15</v>
      </c>
      <c r="H87" s="104">
        <f>VLOOKUP($E87,'Stock statement'!$D$2:$P$384,13,)</f>
        <v>68.308211638055738</v>
      </c>
      <c r="I87" s="105">
        <v>2.5000000000000001E-2</v>
      </c>
      <c r="J87" s="116">
        <v>1.0249999999999999</v>
      </c>
      <c r="K87" s="106">
        <f t="shared" si="5"/>
        <v>1076.4947227834843</v>
      </c>
      <c r="L87" s="98"/>
      <c r="M87" s="110">
        <f t="shared" si="6"/>
        <v>12.40121920646574</v>
      </c>
    </row>
    <row r="88" spans="1:13" s="107" customFormat="1" ht="15" customHeight="1">
      <c r="A88" s="100" t="str">
        <f>VLOOKUP(C88,Abstract!$E$4:$M$62,9,0)</f>
        <v>ACTIVE</v>
      </c>
      <c r="B88" s="95" t="s">
        <v>138</v>
      </c>
      <c r="C88" s="100" t="s">
        <v>18</v>
      </c>
      <c r="D88" s="100" t="s">
        <v>19</v>
      </c>
      <c r="E88" s="99" t="s">
        <v>219</v>
      </c>
      <c r="F88" s="99" t="s">
        <v>220</v>
      </c>
      <c r="G88" s="109">
        <v>2.5000000000000001E-2</v>
      </c>
      <c r="H88" s="104">
        <f>VLOOKUP($E88,'Stock statement'!$D$2:$P$384,13,)</f>
        <v>549.27282042136164</v>
      </c>
      <c r="I88" s="105">
        <v>2.5000000000000001E-2</v>
      </c>
      <c r="J88" s="116">
        <v>1.0249999999999999</v>
      </c>
      <c r="K88" s="106">
        <f t="shared" si="5"/>
        <v>14.426993923879825</v>
      </c>
      <c r="L88" s="98"/>
      <c r="M88" s="110">
        <f t="shared" si="6"/>
        <v>0.16619897000309558</v>
      </c>
    </row>
    <row r="89" spans="1:13" s="107" customFormat="1" ht="15" customHeight="1">
      <c r="A89" s="100" t="str">
        <f>VLOOKUP(C89,Abstract!$E$4:$M$62,9,0)</f>
        <v>ACTIVE</v>
      </c>
      <c r="B89" s="95" t="s">
        <v>138</v>
      </c>
      <c r="C89" s="100" t="s">
        <v>18</v>
      </c>
      <c r="D89" s="100" t="s">
        <v>19</v>
      </c>
      <c r="E89" s="99" t="s">
        <v>221</v>
      </c>
      <c r="F89" s="99" t="s">
        <v>222</v>
      </c>
      <c r="G89" s="109">
        <v>0.1</v>
      </c>
      <c r="H89" s="104">
        <f>VLOOKUP($E89,'Stock statement'!$D$2:$P$384,13,)</f>
        <v>494.13931116123297</v>
      </c>
      <c r="I89" s="105">
        <v>2.5000000000000001E-2</v>
      </c>
      <c r="J89" s="116">
        <v>1.0249999999999999</v>
      </c>
      <c r="K89" s="106">
        <f t="shared" si="5"/>
        <v>51.915511378877035</v>
      </c>
      <c r="L89" s="98"/>
      <c r="M89" s="110">
        <f t="shared" si="6"/>
        <v>0.59806669108466348</v>
      </c>
    </row>
    <row r="90" spans="1:13" s="107" customFormat="1" ht="15" customHeight="1">
      <c r="A90" s="100" t="str">
        <f>VLOOKUP(C90,Abstract!$E$4:$M$62,9,0)</f>
        <v>ACTIVE</v>
      </c>
      <c r="B90" s="95" t="s">
        <v>138</v>
      </c>
      <c r="C90" s="100" t="s">
        <v>18</v>
      </c>
      <c r="D90" s="100" t="s">
        <v>19</v>
      </c>
      <c r="E90" s="99" t="s">
        <v>223</v>
      </c>
      <c r="F90" s="99" t="s">
        <v>224</v>
      </c>
      <c r="G90" s="109">
        <v>0.01</v>
      </c>
      <c r="H90" s="104">
        <f>VLOOKUP($E90,'Stock statement'!$D$2:$P$384,13,)</f>
        <v>661.66658982809031</v>
      </c>
      <c r="I90" s="105">
        <v>2.5000000000000001E-2</v>
      </c>
      <c r="J90" s="116">
        <v>1.0249999999999999</v>
      </c>
      <c r="K90" s="106">
        <f t="shared" ref="K90:K150" si="7">+G90*H90*(1+I90)*J90</f>
        <v>6.9516346093813723</v>
      </c>
      <c r="L90" s="98"/>
      <c r="M90" s="110">
        <f t="shared" si="6"/>
        <v>8.008283070007341E-2</v>
      </c>
    </row>
    <row r="91" spans="1:13" s="107" customFormat="1" ht="15" customHeight="1">
      <c r="A91" s="100" t="str">
        <f>VLOOKUP(C91,Abstract!$E$4:$M$62,9,0)</f>
        <v>ACTIVE</v>
      </c>
      <c r="B91" s="95" t="s">
        <v>138</v>
      </c>
      <c r="C91" s="100" t="s">
        <v>18</v>
      </c>
      <c r="D91" s="100" t="s">
        <v>19</v>
      </c>
      <c r="E91" s="99" t="s">
        <v>225</v>
      </c>
      <c r="F91" s="99" t="s">
        <v>226</v>
      </c>
      <c r="G91" s="109">
        <v>6</v>
      </c>
      <c r="H91" s="104">
        <f>VLOOKUP($E91,'Stock statement'!$D$2:$P$384,13,)</f>
        <v>770.99998748629207</v>
      </c>
      <c r="I91" s="105">
        <v>2.5000000000000001E-2</v>
      </c>
      <c r="J91" s="116">
        <v>1.0249999999999999</v>
      </c>
      <c r="K91" s="106">
        <f t="shared" si="7"/>
        <v>4860.1911711167131</v>
      </c>
      <c r="L91" s="98"/>
      <c r="M91" s="110">
        <f t="shared" si="6"/>
        <v>55.989402291264533</v>
      </c>
    </row>
    <row r="92" spans="1:13" s="107" customFormat="1" ht="15" customHeight="1">
      <c r="A92" s="100" t="str">
        <f>VLOOKUP(C92,Abstract!$E$4:$M$62,9,0)</f>
        <v>ACTIVE</v>
      </c>
      <c r="B92" s="95" t="s">
        <v>138</v>
      </c>
      <c r="C92" s="100" t="s">
        <v>18</v>
      </c>
      <c r="D92" s="100" t="s">
        <v>19</v>
      </c>
      <c r="E92" s="99" t="s">
        <v>181</v>
      </c>
      <c r="F92" s="102" t="s">
        <v>182</v>
      </c>
      <c r="G92" s="109">
        <v>12.5</v>
      </c>
      <c r="H92" s="104">
        <f>VLOOKUP($E92,'Stock statement'!$D$2:$P$384,13,)</f>
        <v>17.110276913020375</v>
      </c>
      <c r="I92" s="105">
        <v>2.5000000000000001E-2</v>
      </c>
      <c r="J92" s="116">
        <v>1.0249999999999999</v>
      </c>
      <c r="K92" s="106">
        <f t="shared" si="7"/>
        <v>224.70605852177536</v>
      </c>
      <c r="L92" s="98"/>
      <c r="M92" s="110">
        <f t="shared" si="6"/>
        <v>2.5886137941708522</v>
      </c>
    </row>
    <row r="93" spans="1:13" s="107" customFormat="1" ht="15" customHeight="1">
      <c r="A93" s="100" t="str">
        <f>VLOOKUP(C93,Abstract!$E$4:$M$62,9,0)</f>
        <v>ACTIVE</v>
      </c>
      <c r="B93" s="99" t="s">
        <v>183</v>
      </c>
      <c r="C93" s="100" t="s">
        <v>18</v>
      </c>
      <c r="D93" s="100" t="s">
        <v>19</v>
      </c>
      <c r="E93" s="99">
        <v>211697</v>
      </c>
      <c r="F93" s="99" t="s">
        <v>227</v>
      </c>
      <c r="G93" s="109">
        <v>56.16319444444445</v>
      </c>
      <c r="H93" s="104">
        <f>VLOOKUP($E93,'Stock statement'!$D$2:$P$384,13,)</f>
        <v>252.46017604226088</v>
      </c>
      <c r="I93" s="112">
        <v>1.7500000000000002E-2</v>
      </c>
      <c r="J93" s="113">
        <v>1</v>
      </c>
      <c r="K93" s="106">
        <f t="shared" si="7"/>
        <v>14427.101930779627</v>
      </c>
      <c r="L93" s="98"/>
      <c r="M93" s="110">
        <f t="shared" si="6"/>
        <v>166.2002142425813</v>
      </c>
    </row>
    <row r="94" spans="1:13" s="107" customFormat="1" ht="15" customHeight="1">
      <c r="A94" s="100" t="str">
        <f>VLOOKUP(C94,Abstract!$E$4:$M$62,9,0)</f>
        <v>ACTIVE</v>
      </c>
      <c r="B94" s="99" t="s">
        <v>183</v>
      </c>
      <c r="C94" s="100" t="s">
        <v>18</v>
      </c>
      <c r="D94" s="100" t="s">
        <v>19</v>
      </c>
      <c r="E94" s="99">
        <v>230241</v>
      </c>
      <c r="F94" s="99" t="s">
        <v>228</v>
      </c>
      <c r="G94" s="109">
        <v>86.805555555555557</v>
      </c>
      <c r="H94" s="104">
        <f>VLOOKUP($E94,'Stock statement'!$D$2:$P$384,13,)</f>
        <v>41.189648849750384</v>
      </c>
      <c r="I94" s="112">
        <v>6.0000000000000001E-3</v>
      </c>
      <c r="J94" s="113">
        <v>1</v>
      </c>
      <c r="K94" s="106">
        <f t="shared" si="7"/>
        <v>3596.9432936500771</v>
      </c>
      <c r="L94" s="98"/>
      <c r="M94" s="110">
        <f t="shared" si="6"/>
        <v>41.436786742848888</v>
      </c>
    </row>
    <row r="95" spans="1:13" s="107" customFormat="1" ht="15" customHeight="1">
      <c r="A95" s="100" t="str">
        <f>VLOOKUP(C95,Abstract!$E$4:$M$62,9,0)</f>
        <v>ACTIVE</v>
      </c>
      <c r="B95" s="99" t="s">
        <v>183</v>
      </c>
      <c r="C95" s="100" t="s">
        <v>18</v>
      </c>
      <c r="D95" s="100" t="s">
        <v>19</v>
      </c>
      <c r="E95" s="99" t="s">
        <v>191</v>
      </c>
      <c r="F95" s="95" t="s">
        <v>192</v>
      </c>
      <c r="G95" s="109">
        <v>1.7361111111111112</v>
      </c>
      <c r="H95" s="104">
        <f>VLOOKUP($E95,'Stock statement'!$D$2:$P$384,13,)</f>
        <v>44.985440769279101</v>
      </c>
      <c r="I95" s="112">
        <v>0.02</v>
      </c>
      <c r="J95" s="113">
        <v>1</v>
      </c>
      <c r="K95" s="106">
        <f t="shared" si="7"/>
        <v>79.661718028931745</v>
      </c>
      <c r="L95" s="98"/>
      <c r="M95" s="110">
        <f t="shared" si="6"/>
        <v>0.91770299169329372</v>
      </c>
    </row>
    <row r="96" spans="1:13" s="107" customFormat="1" ht="15" customHeight="1">
      <c r="A96" s="100" t="str">
        <f>VLOOKUP(C96,Abstract!$E$4:$M$62,9,0)</f>
        <v>ACTIVE</v>
      </c>
      <c r="B96" s="99" t="s">
        <v>197</v>
      </c>
      <c r="C96" s="100" t="s">
        <v>18</v>
      </c>
      <c r="D96" s="100" t="s">
        <v>19</v>
      </c>
      <c r="E96" s="99" t="s">
        <v>198</v>
      </c>
      <c r="F96" s="99"/>
      <c r="G96" s="109"/>
      <c r="H96" s="104"/>
      <c r="I96" s="100"/>
      <c r="J96" s="113"/>
      <c r="K96" s="106">
        <v>6180</v>
      </c>
      <c r="L96" s="98">
        <f>SUM(K71:K96)</f>
        <v>60762.532512043945</v>
      </c>
      <c r="M96" s="110">
        <f t="shared" si="6"/>
        <v>71.193600000000004</v>
      </c>
    </row>
    <row r="97" spans="1:13" s="107" customFormat="1" ht="15" customHeight="1">
      <c r="A97" s="100" t="str">
        <f>VLOOKUP(C97,Abstract!$E$4:$M$62,9,0)</f>
        <v>ACTIVE</v>
      </c>
      <c r="B97" s="95" t="s">
        <v>138</v>
      </c>
      <c r="C97" s="117" t="s">
        <v>20</v>
      </c>
      <c r="D97" s="100" t="s">
        <v>21</v>
      </c>
      <c r="E97" s="99" t="s">
        <v>139</v>
      </c>
      <c r="F97" s="102" t="s">
        <v>140</v>
      </c>
      <c r="G97" s="109">
        <v>741.16</v>
      </c>
      <c r="H97" s="104">
        <f>VLOOKUP($E97,'Stock statement'!$D$2:$P$384,13,)</f>
        <v>0.34</v>
      </c>
      <c r="I97" s="105">
        <v>2.5000000000000001E-2</v>
      </c>
      <c r="J97" s="116">
        <v>1.0249999999999999</v>
      </c>
      <c r="K97" s="106">
        <f t="shared" si="7"/>
        <v>264.75161650000001</v>
      </c>
      <c r="L97" s="98"/>
      <c r="M97" s="110">
        <f>K97/$G$120</f>
        <v>3.04993862208</v>
      </c>
    </row>
    <row r="98" spans="1:13" s="107" customFormat="1" ht="15" customHeight="1">
      <c r="A98" s="100" t="str">
        <f>VLOOKUP(C98,Abstract!$E$4:$M$62,9,0)</f>
        <v>ACTIVE</v>
      </c>
      <c r="B98" s="95" t="s">
        <v>138</v>
      </c>
      <c r="C98" s="117" t="s">
        <v>20</v>
      </c>
      <c r="D98" s="100" t="s">
        <v>21</v>
      </c>
      <c r="E98" s="99" t="s">
        <v>141</v>
      </c>
      <c r="F98" s="108" t="s">
        <v>142</v>
      </c>
      <c r="G98" s="109">
        <v>185.7</v>
      </c>
      <c r="H98" s="104">
        <f>VLOOKUP($E98,'Stock statement'!$D$2:$P$384,13,)</f>
        <v>94.278330452007026</v>
      </c>
      <c r="I98" s="105">
        <v>2.5000000000000001E-2</v>
      </c>
      <c r="J98" s="116">
        <v>1.0249999999999999</v>
      </c>
      <c r="K98" s="106">
        <f t="shared" ref="K98:K121" si="8">+G98*H98*(1+I98)*J98</f>
        <v>18393.80244191267</v>
      </c>
      <c r="L98" s="98"/>
      <c r="M98" s="110">
        <f t="shared" ref="M98:M122" si="9">K98/$G$120</f>
        <v>211.89660413083396</v>
      </c>
    </row>
    <row r="99" spans="1:13" s="107" customFormat="1" ht="15" customHeight="1">
      <c r="A99" s="100" t="str">
        <f>VLOOKUP(C99,Abstract!$E$4:$M$62,9,0)</f>
        <v>ACTIVE</v>
      </c>
      <c r="B99" s="95" t="s">
        <v>138</v>
      </c>
      <c r="C99" s="117" t="s">
        <v>20</v>
      </c>
      <c r="D99" s="100" t="s">
        <v>21</v>
      </c>
      <c r="E99" s="99" t="s">
        <v>145</v>
      </c>
      <c r="F99" s="102" t="s">
        <v>146</v>
      </c>
      <c r="G99" s="109">
        <v>10</v>
      </c>
      <c r="H99" s="104">
        <f>VLOOKUP($E99,'Stock statement'!$D$2:$P$384,13,)</f>
        <v>151.08681180977209</v>
      </c>
      <c r="I99" s="105">
        <v>2.5000000000000001E-2</v>
      </c>
      <c r="J99" s="116">
        <v>1.0249999999999999</v>
      </c>
      <c r="K99" s="106">
        <f t="shared" si="8"/>
        <v>1587.3558165764177</v>
      </c>
      <c r="L99" s="98"/>
      <c r="M99" s="110">
        <f t="shared" si="9"/>
        <v>18.286339006960333</v>
      </c>
    </row>
    <row r="100" spans="1:13" s="107" customFormat="1" ht="15" customHeight="1">
      <c r="A100" s="100" t="str">
        <f>VLOOKUP(C100,Abstract!$E$4:$M$62,9,0)</f>
        <v>ACTIVE</v>
      </c>
      <c r="B100" s="95" t="s">
        <v>138</v>
      </c>
      <c r="C100" s="117" t="s">
        <v>20</v>
      </c>
      <c r="D100" s="100" t="s">
        <v>21</v>
      </c>
      <c r="E100" s="99" t="s">
        <v>149</v>
      </c>
      <c r="F100" s="99" t="s">
        <v>208</v>
      </c>
      <c r="G100" s="109">
        <v>0.125</v>
      </c>
      <c r="H100" s="104">
        <f>VLOOKUP($E100,'Stock statement'!$D$2:$P$384,13,)</f>
        <v>161.56941474217822</v>
      </c>
      <c r="I100" s="105">
        <v>2.5000000000000001E-2</v>
      </c>
      <c r="J100" s="116">
        <v>1.0249999999999999</v>
      </c>
      <c r="K100" s="106">
        <f t="shared" si="8"/>
        <v>21.218608295437623</v>
      </c>
      <c r="L100" s="98"/>
      <c r="M100" s="110">
        <f t="shared" si="9"/>
        <v>0.24443836756344139</v>
      </c>
    </row>
    <row r="101" spans="1:13" s="107" customFormat="1" ht="15" customHeight="1">
      <c r="A101" s="100" t="str">
        <f>VLOOKUP(C101,Abstract!$E$4:$M$62,9,0)</f>
        <v>ACTIVE</v>
      </c>
      <c r="B101" s="95" t="s">
        <v>138</v>
      </c>
      <c r="C101" s="117" t="s">
        <v>20</v>
      </c>
      <c r="D101" s="100" t="s">
        <v>21</v>
      </c>
      <c r="E101" s="99" t="s">
        <v>151</v>
      </c>
      <c r="F101" s="95" t="s">
        <v>152</v>
      </c>
      <c r="G101" s="109">
        <v>2.5</v>
      </c>
      <c r="H101" s="104">
        <f>VLOOKUP($E101,'Stock statement'!$D$2:$P$384,13,)</f>
        <v>762.38931335604309</v>
      </c>
      <c r="I101" s="105">
        <v>2.5000000000000001E-2</v>
      </c>
      <c r="J101" s="116">
        <v>1.0249999999999999</v>
      </c>
      <c r="K101" s="106">
        <f t="shared" si="8"/>
        <v>2002.4631808617316</v>
      </c>
      <c r="L101" s="98"/>
      <c r="M101" s="110">
        <f t="shared" si="9"/>
        <v>23.068375843527146</v>
      </c>
    </row>
    <row r="102" spans="1:13" s="107" customFormat="1" ht="15" customHeight="1">
      <c r="A102" s="100" t="str">
        <f>VLOOKUP(C102,Abstract!$E$4:$M$62,9,0)</f>
        <v>ACTIVE</v>
      </c>
      <c r="B102" s="95" t="s">
        <v>138</v>
      </c>
      <c r="C102" s="117" t="s">
        <v>20</v>
      </c>
      <c r="D102" s="100" t="s">
        <v>21</v>
      </c>
      <c r="E102" s="99" t="s">
        <v>157</v>
      </c>
      <c r="F102" s="102" t="s">
        <v>158</v>
      </c>
      <c r="G102" s="109">
        <v>1</v>
      </c>
      <c r="H102" s="104">
        <f>VLOOKUP($E102,'Stock statement'!$D$2:$P$384,13,)</f>
        <v>828.81974703846117</v>
      </c>
      <c r="I102" s="105">
        <v>2.5000000000000001E-2</v>
      </c>
      <c r="J102" s="116">
        <v>1.0249999999999999</v>
      </c>
      <c r="K102" s="106">
        <f t="shared" si="8"/>
        <v>870.77874673228314</v>
      </c>
      <c r="L102" s="98"/>
      <c r="M102" s="110">
        <f t="shared" si="9"/>
        <v>10.031371162355901</v>
      </c>
    </row>
    <row r="103" spans="1:13" s="107" customFormat="1" ht="15" customHeight="1">
      <c r="A103" s="100" t="str">
        <f>VLOOKUP(C103,Abstract!$E$4:$M$62,9,0)</f>
        <v>ACTIVE</v>
      </c>
      <c r="B103" s="95" t="s">
        <v>138</v>
      </c>
      <c r="C103" s="117" t="s">
        <v>20</v>
      </c>
      <c r="D103" s="100" t="s">
        <v>21</v>
      </c>
      <c r="E103" s="157">
        <v>115150</v>
      </c>
      <c r="F103" s="36" t="s">
        <v>159</v>
      </c>
      <c r="G103" s="109">
        <v>1</v>
      </c>
      <c r="H103" s="104">
        <f>VLOOKUP($E103,'Stock statement'!$D$2:$P$384,13,)</f>
        <v>456.30699446392703</v>
      </c>
      <c r="I103" s="105">
        <v>2.5000000000000001E-2</v>
      </c>
      <c r="J103" s="116">
        <v>1.0249999999999999</v>
      </c>
      <c r="K103" s="106">
        <f t="shared" si="8"/>
        <v>479.40753605866325</v>
      </c>
      <c r="L103" s="98"/>
      <c r="M103" s="110">
        <f t="shared" si="9"/>
        <v>5.5227748153958007</v>
      </c>
    </row>
    <row r="104" spans="1:13" s="107" customFormat="1" ht="15" customHeight="1">
      <c r="A104" s="100" t="str">
        <f>VLOOKUP(C104,Abstract!$E$4:$M$62,9,0)</f>
        <v>ACTIVE</v>
      </c>
      <c r="B104" s="95" t="s">
        <v>138</v>
      </c>
      <c r="C104" s="117" t="s">
        <v>20</v>
      </c>
      <c r="D104" s="100" t="s">
        <v>21</v>
      </c>
      <c r="E104" s="99" t="s">
        <v>160</v>
      </c>
      <c r="F104" s="108" t="s">
        <v>161</v>
      </c>
      <c r="G104" s="109">
        <v>0.25</v>
      </c>
      <c r="H104" s="104">
        <f>VLOOKUP($E104,'Stock statement'!$D$2:$P$384,13,)</f>
        <v>3313.2387673094586</v>
      </c>
      <c r="I104" s="105">
        <v>2.5000000000000001E-2</v>
      </c>
      <c r="J104" s="116">
        <v>1.0249999999999999</v>
      </c>
      <c r="K104" s="106">
        <f t="shared" si="8"/>
        <v>870.24286997612489</v>
      </c>
      <c r="L104" s="98"/>
      <c r="M104" s="110">
        <f t="shared" si="9"/>
        <v>10.025197862124958</v>
      </c>
    </row>
    <row r="105" spans="1:13" s="107" customFormat="1" ht="15" customHeight="1">
      <c r="A105" s="100" t="str">
        <f>VLOOKUP(C105,Abstract!$E$4:$M$62,9,0)</f>
        <v>ACTIVE</v>
      </c>
      <c r="B105" s="95" t="s">
        <v>138</v>
      </c>
      <c r="C105" s="117" t="s">
        <v>20</v>
      </c>
      <c r="D105" s="100" t="s">
        <v>21</v>
      </c>
      <c r="E105" s="99" t="s">
        <v>166</v>
      </c>
      <c r="F105" s="99" t="s">
        <v>167</v>
      </c>
      <c r="G105" s="109">
        <v>2.5</v>
      </c>
      <c r="H105" s="104">
        <f>VLOOKUP($E105,'Stock statement'!$D$2:$P$384,13,)</f>
        <v>127.15913438761541</v>
      </c>
      <c r="I105" s="105">
        <v>2.5000000000000001E-2</v>
      </c>
      <c r="J105" s="116">
        <v>1.0249999999999999</v>
      </c>
      <c r="K105" s="106">
        <f t="shared" si="8"/>
        <v>333.99141391497102</v>
      </c>
      <c r="L105" s="98"/>
      <c r="M105" s="110">
        <f t="shared" si="9"/>
        <v>3.847581088300466</v>
      </c>
    </row>
    <row r="106" spans="1:13" s="107" customFormat="1" ht="15" customHeight="1">
      <c r="A106" s="100" t="str">
        <f>VLOOKUP(C106,Abstract!$E$4:$M$62,9,0)</f>
        <v>ACTIVE</v>
      </c>
      <c r="B106" s="95" t="s">
        <v>138</v>
      </c>
      <c r="C106" s="117" t="s">
        <v>20</v>
      </c>
      <c r="D106" s="100" t="s">
        <v>21</v>
      </c>
      <c r="E106" s="99" t="s">
        <v>209</v>
      </c>
      <c r="F106" s="99" t="s">
        <v>210</v>
      </c>
      <c r="G106" s="109">
        <v>20</v>
      </c>
      <c r="H106" s="104">
        <f>VLOOKUP($E106,'Stock statement'!$D$2:$P$384,13,)</f>
        <v>220.67282625366343</v>
      </c>
      <c r="I106" s="105">
        <v>2.5000000000000001E-2</v>
      </c>
      <c r="J106" s="116">
        <v>1.0249999999999999</v>
      </c>
      <c r="K106" s="106">
        <f t="shared" si="8"/>
        <v>4636.8877616551026</v>
      </c>
      <c r="L106" s="98"/>
      <c r="M106" s="110">
        <f t="shared" si="9"/>
        <v>53.416947014266782</v>
      </c>
    </row>
    <row r="107" spans="1:13" s="107" customFormat="1" ht="15" customHeight="1">
      <c r="A107" s="100" t="str">
        <f>VLOOKUP(C107,Abstract!$E$4:$M$62,9,0)</f>
        <v>ACTIVE</v>
      </c>
      <c r="B107" s="95" t="s">
        <v>138</v>
      </c>
      <c r="C107" s="117" t="s">
        <v>20</v>
      </c>
      <c r="D107" s="100" t="s">
        <v>21</v>
      </c>
      <c r="E107" s="99" t="s">
        <v>153</v>
      </c>
      <c r="F107" s="99" t="s">
        <v>154</v>
      </c>
      <c r="G107" s="109">
        <v>0.75</v>
      </c>
      <c r="H107" s="104">
        <f>VLOOKUP($E107,'Stock statement'!$D$2:$P$384,13,)</f>
        <v>84.206363687840948</v>
      </c>
      <c r="I107" s="105">
        <v>2.5000000000000001E-2</v>
      </c>
      <c r="J107" s="116">
        <v>1.0249999999999999</v>
      </c>
      <c r="K107" s="106">
        <f t="shared" si="8"/>
        <v>66.351983137153411</v>
      </c>
      <c r="L107" s="98"/>
      <c r="M107" s="110">
        <f t="shared" si="9"/>
        <v>0.76437484574000725</v>
      </c>
    </row>
    <row r="108" spans="1:13" s="107" customFormat="1" ht="15" customHeight="1">
      <c r="A108" s="100" t="str">
        <f>VLOOKUP(C108,Abstract!$E$4:$M$62,9,0)</f>
        <v>ACTIVE</v>
      </c>
      <c r="B108" s="95" t="s">
        <v>138</v>
      </c>
      <c r="C108" s="117" t="s">
        <v>20</v>
      </c>
      <c r="D108" s="100" t="s">
        <v>21</v>
      </c>
      <c r="E108" s="99" t="s">
        <v>147</v>
      </c>
      <c r="F108" s="95" t="s">
        <v>148</v>
      </c>
      <c r="G108" s="109">
        <v>1</v>
      </c>
      <c r="H108" s="104">
        <f>VLOOKUP($E108,'Stock statement'!$D$2:$P$384,13,)</f>
        <v>353.50950483838068</v>
      </c>
      <c r="I108" s="105">
        <v>2.5000000000000001E-2</v>
      </c>
      <c r="J108" s="116">
        <v>1.0249999999999999</v>
      </c>
      <c r="K108" s="106">
        <f t="shared" si="8"/>
        <v>371.40592352082365</v>
      </c>
      <c r="L108" s="98"/>
      <c r="M108" s="110">
        <f t="shared" si="9"/>
        <v>4.2785962389598886</v>
      </c>
    </row>
    <row r="109" spans="1:13" s="107" customFormat="1" ht="15" customHeight="1">
      <c r="A109" s="100" t="str">
        <f>VLOOKUP(C109,Abstract!$E$4:$M$62,9,0)</f>
        <v>ACTIVE</v>
      </c>
      <c r="B109" s="95" t="s">
        <v>138</v>
      </c>
      <c r="C109" s="117" t="s">
        <v>20</v>
      </c>
      <c r="D109" s="100" t="s">
        <v>21</v>
      </c>
      <c r="E109" s="99" t="s">
        <v>211</v>
      </c>
      <c r="F109" s="99" t="s">
        <v>212</v>
      </c>
      <c r="G109" s="109">
        <v>0.1</v>
      </c>
      <c r="H109" s="104">
        <f>VLOOKUP($E109,'Stock statement'!$D$2:$P$384,13,)</f>
        <v>1279.5862001575747</v>
      </c>
      <c r="I109" s="105">
        <v>2.5000000000000001E-2</v>
      </c>
      <c r="J109" s="116">
        <v>1.0249999999999999</v>
      </c>
      <c r="K109" s="106">
        <f t="shared" si="8"/>
        <v>134.43652515405518</v>
      </c>
      <c r="L109" s="98"/>
      <c r="M109" s="110">
        <f t="shared" si="9"/>
        <v>1.5487087697747155</v>
      </c>
    </row>
    <row r="110" spans="1:13" s="107" customFormat="1" ht="15" customHeight="1">
      <c r="A110" s="100" t="str">
        <f>VLOOKUP(C110,Abstract!$E$4:$M$62,9,0)</f>
        <v>ACTIVE</v>
      </c>
      <c r="B110" s="95" t="s">
        <v>138</v>
      </c>
      <c r="C110" s="117" t="s">
        <v>20</v>
      </c>
      <c r="D110" s="100" t="s">
        <v>21</v>
      </c>
      <c r="E110" s="99" t="s">
        <v>213</v>
      </c>
      <c r="F110" s="99" t="s">
        <v>214</v>
      </c>
      <c r="G110" s="109">
        <v>0.09</v>
      </c>
      <c r="H110" s="104">
        <f>VLOOKUP($E110,'Stock statement'!$D$2:$P$384,13,)</f>
        <v>674.683130739744</v>
      </c>
      <c r="I110" s="105">
        <v>2.5000000000000001E-2</v>
      </c>
      <c r="J110" s="116">
        <v>1.0249999999999999</v>
      </c>
      <c r="K110" s="106">
        <f t="shared" si="8"/>
        <v>63.795506781009905</v>
      </c>
      <c r="L110" s="98"/>
      <c r="M110" s="110">
        <f t="shared" si="9"/>
        <v>0.73492423811723406</v>
      </c>
    </row>
    <row r="111" spans="1:13" s="107" customFormat="1" ht="15" customHeight="1">
      <c r="A111" s="100" t="str">
        <f>VLOOKUP(C111,Abstract!$E$4:$M$62,9,0)</f>
        <v>ACTIVE</v>
      </c>
      <c r="B111" s="95" t="s">
        <v>138</v>
      </c>
      <c r="C111" s="117" t="s">
        <v>20</v>
      </c>
      <c r="D111" s="100" t="s">
        <v>21</v>
      </c>
      <c r="E111" s="99" t="s">
        <v>215</v>
      </c>
      <c r="F111" s="99" t="s">
        <v>216</v>
      </c>
      <c r="G111" s="109">
        <v>0.09</v>
      </c>
      <c r="H111" s="104">
        <f>VLOOKUP($E111,'Stock statement'!$D$2:$P$384,13,)</f>
        <v>545.51731168806748</v>
      </c>
      <c r="I111" s="105">
        <v>2.5000000000000001E-2</v>
      </c>
      <c r="J111" s="116">
        <v>1.0249999999999999</v>
      </c>
      <c r="K111" s="106">
        <f t="shared" si="8"/>
        <v>51.582071303304822</v>
      </c>
      <c r="L111" s="98"/>
      <c r="M111" s="110">
        <f t="shared" si="9"/>
        <v>0.59422546141407151</v>
      </c>
    </row>
    <row r="112" spans="1:13" s="107" customFormat="1" ht="15" customHeight="1">
      <c r="A112" s="100" t="str">
        <f>VLOOKUP(C112,Abstract!$E$4:$M$62,9,0)</f>
        <v>ACTIVE</v>
      </c>
      <c r="B112" s="95" t="s">
        <v>138</v>
      </c>
      <c r="C112" s="117" t="s">
        <v>20</v>
      </c>
      <c r="D112" s="100" t="s">
        <v>21</v>
      </c>
      <c r="E112" s="99" t="s">
        <v>217</v>
      </c>
      <c r="F112" s="99" t="s">
        <v>218</v>
      </c>
      <c r="G112" s="109">
        <v>0.1</v>
      </c>
      <c r="H112" s="104">
        <f>VLOOKUP($E112,'Stock statement'!$D$2:$P$384,13,)</f>
        <v>910.5767983004796</v>
      </c>
      <c r="I112" s="105">
        <v>2.5000000000000001E-2</v>
      </c>
      <c r="J112" s="116">
        <v>1.0249999999999999</v>
      </c>
      <c r="K112" s="106">
        <f t="shared" si="8"/>
        <v>95.667474871444114</v>
      </c>
      <c r="L112" s="98"/>
      <c r="M112" s="110">
        <f t="shared" si="9"/>
        <v>1.1020893105190361</v>
      </c>
    </row>
    <row r="113" spans="1:13" s="107" customFormat="1" ht="15" customHeight="1">
      <c r="A113" s="100" t="str">
        <f>VLOOKUP(C113,Abstract!$E$4:$M$62,9,0)</f>
        <v>ACTIVE</v>
      </c>
      <c r="B113" s="95" t="s">
        <v>138</v>
      </c>
      <c r="C113" s="117" t="s">
        <v>20</v>
      </c>
      <c r="D113" s="100" t="s">
        <v>21</v>
      </c>
      <c r="E113" s="99" t="s">
        <v>155</v>
      </c>
      <c r="F113" s="99" t="s">
        <v>156</v>
      </c>
      <c r="G113" s="109">
        <v>15</v>
      </c>
      <c r="H113" s="104">
        <f>VLOOKUP($E113,'Stock statement'!$D$2:$P$384,13,)</f>
        <v>68.308211638055738</v>
      </c>
      <c r="I113" s="105">
        <v>2.5000000000000001E-2</v>
      </c>
      <c r="J113" s="116">
        <v>1.0249999999999999</v>
      </c>
      <c r="K113" s="106">
        <f t="shared" si="8"/>
        <v>1076.4947227834843</v>
      </c>
      <c r="L113" s="98"/>
      <c r="M113" s="110">
        <f t="shared" si="9"/>
        <v>12.40121920646574</v>
      </c>
    </row>
    <row r="114" spans="1:13" s="107" customFormat="1" ht="15" customHeight="1">
      <c r="A114" s="100" t="str">
        <f>VLOOKUP(C114,Abstract!$E$4:$M$62,9,0)</f>
        <v>ACTIVE</v>
      </c>
      <c r="B114" s="95" t="s">
        <v>138</v>
      </c>
      <c r="C114" s="117" t="s">
        <v>20</v>
      </c>
      <c r="D114" s="100" t="s">
        <v>21</v>
      </c>
      <c r="E114" s="99" t="s">
        <v>219</v>
      </c>
      <c r="F114" s="99" t="s">
        <v>220</v>
      </c>
      <c r="G114" s="109">
        <v>2.5000000000000001E-2</v>
      </c>
      <c r="H114" s="104">
        <f>VLOOKUP($E114,'Stock statement'!$D$2:$P$384,13,)</f>
        <v>549.27282042136164</v>
      </c>
      <c r="I114" s="105">
        <v>2.5000000000000001E-2</v>
      </c>
      <c r="J114" s="116">
        <v>1.0249999999999999</v>
      </c>
      <c r="K114" s="106">
        <f t="shared" si="8"/>
        <v>14.426993923879825</v>
      </c>
      <c r="L114" s="98"/>
      <c r="M114" s="110">
        <f t="shared" si="9"/>
        <v>0.16619897000309558</v>
      </c>
    </row>
    <row r="115" spans="1:13" s="107" customFormat="1" ht="15" customHeight="1">
      <c r="A115" s="100" t="str">
        <f>VLOOKUP(C115,Abstract!$E$4:$M$62,9,0)</f>
        <v>ACTIVE</v>
      </c>
      <c r="B115" s="95" t="s">
        <v>138</v>
      </c>
      <c r="C115" s="117" t="s">
        <v>20</v>
      </c>
      <c r="D115" s="100" t="s">
        <v>21</v>
      </c>
      <c r="E115" s="99" t="s">
        <v>221</v>
      </c>
      <c r="F115" s="99" t="s">
        <v>222</v>
      </c>
      <c r="G115" s="109">
        <v>0.1</v>
      </c>
      <c r="H115" s="104">
        <f>VLOOKUP($E115,'Stock statement'!$D$2:$P$384,13,)</f>
        <v>494.13931116123297</v>
      </c>
      <c r="I115" s="105">
        <v>2.5000000000000001E-2</v>
      </c>
      <c r="J115" s="116">
        <v>1.0249999999999999</v>
      </c>
      <c r="K115" s="106">
        <f t="shared" si="8"/>
        <v>51.915511378877035</v>
      </c>
      <c r="L115" s="98"/>
      <c r="M115" s="110">
        <f t="shared" si="9"/>
        <v>0.59806669108466348</v>
      </c>
    </row>
    <row r="116" spans="1:13" s="107" customFormat="1" ht="15" customHeight="1">
      <c r="A116" s="100" t="str">
        <f>VLOOKUP(C116,Abstract!$E$4:$M$62,9,0)</f>
        <v>ACTIVE</v>
      </c>
      <c r="B116" s="95" t="s">
        <v>138</v>
      </c>
      <c r="C116" s="117" t="s">
        <v>20</v>
      </c>
      <c r="D116" s="100" t="s">
        <v>21</v>
      </c>
      <c r="E116" s="99" t="s">
        <v>223</v>
      </c>
      <c r="F116" s="99" t="s">
        <v>224</v>
      </c>
      <c r="G116" s="109">
        <v>0.01</v>
      </c>
      <c r="H116" s="104">
        <f>VLOOKUP($E116,'Stock statement'!$D$2:$P$384,13,)</f>
        <v>661.66658982809031</v>
      </c>
      <c r="I116" s="105">
        <v>2.5000000000000001E-2</v>
      </c>
      <c r="J116" s="116">
        <v>1.0249999999999999</v>
      </c>
      <c r="K116" s="106">
        <f t="shared" si="8"/>
        <v>6.9516346093813723</v>
      </c>
      <c r="L116" s="98"/>
      <c r="M116" s="110">
        <f t="shared" si="9"/>
        <v>8.008283070007341E-2</v>
      </c>
    </row>
    <row r="117" spans="1:13" s="107" customFormat="1" ht="15" customHeight="1">
      <c r="A117" s="100" t="str">
        <f>VLOOKUP(C117,Abstract!$E$4:$M$62,9,0)</f>
        <v>ACTIVE</v>
      </c>
      <c r="B117" s="95" t="s">
        <v>138</v>
      </c>
      <c r="C117" s="117" t="s">
        <v>20</v>
      </c>
      <c r="D117" s="100" t="s">
        <v>21</v>
      </c>
      <c r="E117" s="99" t="s">
        <v>225</v>
      </c>
      <c r="F117" s="99" t="s">
        <v>226</v>
      </c>
      <c r="G117" s="109">
        <v>6</v>
      </c>
      <c r="H117" s="104">
        <f>VLOOKUP($E117,'Stock statement'!$D$2:$P$384,13,)</f>
        <v>770.99998748629207</v>
      </c>
      <c r="I117" s="105">
        <v>2.5000000000000001E-2</v>
      </c>
      <c r="J117" s="116">
        <v>1.0249999999999999</v>
      </c>
      <c r="K117" s="106">
        <f t="shared" si="8"/>
        <v>4860.1911711167131</v>
      </c>
      <c r="L117" s="98"/>
      <c r="M117" s="110">
        <f t="shared" si="9"/>
        <v>55.989402291264533</v>
      </c>
    </row>
    <row r="118" spans="1:13" s="107" customFormat="1" ht="15" customHeight="1">
      <c r="A118" s="100" t="str">
        <f>VLOOKUP(C118,Abstract!$E$4:$M$62,9,0)</f>
        <v>ACTIVE</v>
      </c>
      <c r="B118" s="95" t="s">
        <v>138</v>
      </c>
      <c r="C118" s="117" t="s">
        <v>20</v>
      </c>
      <c r="D118" s="100" t="s">
        <v>21</v>
      </c>
      <c r="E118" s="99" t="s">
        <v>181</v>
      </c>
      <c r="F118" s="102" t="s">
        <v>182</v>
      </c>
      <c r="G118" s="109">
        <v>12.5</v>
      </c>
      <c r="H118" s="104">
        <f>VLOOKUP($E118,'Stock statement'!$D$2:$P$384,13,)</f>
        <v>17.110276913020375</v>
      </c>
      <c r="I118" s="105">
        <v>2.5000000000000001E-2</v>
      </c>
      <c r="J118" s="116">
        <v>1.0249999999999999</v>
      </c>
      <c r="K118" s="106">
        <f t="shared" si="8"/>
        <v>224.70605852177536</v>
      </c>
      <c r="L118" s="98"/>
      <c r="M118" s="110">
        <f t="shared" si="9"/>
        <v>2.5886137941708522</v>
      </c>
    </row>
    <row r="119" spans="1:13" s="107" customFormat="1" ht="15" customHeight="1">
      <c r="A119" s="100" t="str">
        <f>VLOOKUP(C119,Abstract!$E$4:$M$62,9,0)</f>
        <v>ACTIVE</v>
      </c>
      <c r="B119" s="99" t="s">
        <v>183</v>
      </c>
      <c r="C119" s="117" t="s">
        <v>20</v>
      </c>
      <c r="D119" s="100" t="s">
        <v>21</v>
      </c>
      <c r="E119" s="99">
        <v>211696</v>
      </c>
      <c r="F119" s="99" t="s">
        <v>229</v>
      </c>
      <c r="G119" s="109">
        <v>56.16319444444445</v>
      </c>
      <c r="H119" s="104">
        <f>VLOOKUP($E119,'Stock statement'!$D$2:$P$384,13,)</f>
        <v>235.80124966766542</v>
      </c>
      <c r="I119" s="112">
        <v>1.7500000000000002E-2</v>
      </c>
      <c r="J119" s="113">
        <v>1</v>
      </c>
      <c r="K119" s="106">
        <f t="shared" si="8"/>
        <v>13475.110085446328</v>
      </c>
      <c r="L119" s="98"/>
      <c r="M119" s="110">
        <f t="shared" si="9"/>
        <v>155.23326818434168</v>
      </c>
    </row>
    <row r="120" spans="1:13" s="107" customFormat="1" ht="15" customHeight="1">
      <c r="A120" s="100" t="str">
        <f>VLOOKUP(C120,Abstract!$E$4:$M$62,9,0)</f>
        <v>ACTIVE</v>
      </c>
      <c r="B120" s="99" t="s">
        <v>183</v>
      </c>
      <c r="C120" s="117" t="s">
        <v>20</v>
      </c>
      <c r="D120" s="100" t="s">
        <v>21</v>
      </c>
      <c r="E120" s="99">
        <v>230240</v>
      </c>
      <c r="F120" s="99" t="s">
        <v>230</v>
      </c>
      <c r="G120" s="109">
        <v>86.805555555555557</v>
      </c>
      <c r="H120" s="104">
        <f>VLOOKUP($E120,'Stock statement'!$D$2:$P$384,13,)</f>
        <v>41.017540341245144</v>
      </c>
      <c r="I120" s="112">
        <v>6.0000000000000001E-3</v>
      </c>
      <c r="J120" s="113">
        <v>1</v>
      </c>
      <c r="K120" s="106">
        <f t="shared" si="8"/>
        <v>3581.913679105262</v>
      </c>
      <c r="L120" s="98"/>
      <c r="M120" s="110">
        <f t="shared" si="9"/>
        <v>41.263645583292615</v>
      </c>
    </row>
    <row r="121" spans="1:13" s="107" customFormat="1" ht="15" customHeight="1">
      <c r="A121" s="100" t="str">
        <f>VLOOKUP(C121,Abstract!$E$4:$M$62,9,0)</f>
        <v>ACTIVE</v>
      </c>
      <c r="B121" s="99" t="s">
        <v>183</v>
      </c>
      <c r="C121" s="117" t="s">
        <v>20</v>
      </c>
      <c r="D121" s="100" t="s">
        <v>21</v>
      </c>
      <c r="E121" s="99" t="s">
        <v>191</v>
      </c>
      <c r="F121" s="95" t="s">
        <v>192</v>
      </c>
      <c r="G121" s="109">
        <v>1.7361111111111112</v>
      </c>
      <c r="H121" s="104">
        <f>VLOOKUP($E121,'Stock statement'!$D$2:$P$384,13,)</f>
        <v>44.985440769279101</v>
      </c>
      <c r="I121" s="105">
        <v>0.02</v>
      </c>
      <c r="J121" s="113">
        <v>1</v>
      </c>
      <c r="K121" s="106">
        <f t="shared" si="8"/>
        <v>79.661718028931745</v>
      </c>
      <c r="L121" s="98"/>
      <c r="M121" s="110">
        <f t="shared" si="9"/>
        <v>0.91770299169329372</v>
      </c>
    </row>
    <row r="122" spans="1:13" s="107" customFormat="1" ht="15" customHeight="1">
      <c r="A122" s="100" t="str">
        <f>VLOOKUP(C122,Abstract!$E$4:$M$62,9,0)</f>
        <v>ACTIVE</v>
      </c>
      <c r="B122" s="99" t="s">
        <v>197</v>
      </c>
      <c r="C122" s="117" t="s">
        <v>20</v>
      </c>
      <c r="D122" s="100" t="s">
        <v>21</v>
      </c>
      <c r="E122" s="99" t="s">
        <v>198</v>
      </c>
      <c r="F122" s="99"/>
      <c r="G122" s="109"/>
      <c r="H122" s="104"/>
      <c r="I122" s="100"/>
      <c r="J122" s="113"/>
      <c r="K122" s="106">
        <v>6180</v>
      </c>
      <c r="L122" s="98">
        <f>SUM(K97:K122)</f>
        <v>59795.511052165828</v>
      </c>
      <c r="M122" s="110">
        <f t="shared" si="9"/>
        <v>71.193600000000004</v>
      </c>
    </row>
    <row r="123" spans="1:13" s="107" customFormat="1" ht="15" customHeight="1">
      <c r="A123" s="100" t="str">
        <f>VLOOKUP(C123,Abstract!$E$4:$M$62,9,0)</f>
        <v>ACTIVE</v>
      </c>
      <c r="B123" s="95" t="s">
        <v>138</v>
      </c>
      <c r="C123" s="118" t="s">
        <v>22</v>
      </c>
      <c r="D123" s="101" t="s">
        <v>23</v>
      </c>
      <c r="E123" s="99" t="s">
        <v>139</v>
      </c>
      <c r="F123" s="102" t="s">
        <v>140</v>
      </c>
      <c r="G123" s="109">
        <v>741.16</v>
      </c>
      <c r="H123" s="104">
        <f>VLOOKUP($E123,'Stock statement'!$D$2:$P$384,13,)</f>
        <v>0.34</v>
      </c>
      <c r="I123" s="105">
        <v>2.5000000000000001E-2</v>
      </c>
      <c r="J123" s="116">
        <v>1.0249999999999999</v>
      </c>
      <c r="K123" s="106">
        <f t="shared" si="7"/>
        <v>264.75161650000001</v>
      </c>
      <c r="L123" s="98"/>
      <c r="M123" s="110">
        <f>K123/$G$145</f>
        <v>1.3343481471600001</v>
      </c>
    </row>
    <row r="124" spans="1:13" s="107" customFormat="1" ht="15" customHeight="1">
      <c r="A124" s="100" t="str">
        <f>VLOOKUP(C124,Abstract!$E$4:$M$62,9,0)</f>
        <v>ACTIVE</v>
      </c>
      <c r="B124" s="95" t="s">
        <v>138</v>
      </c>
      <c r="C124" s="118" t="s">
        <v>22</v>
      </c>
      <c r="D124" s="101" t="s">
        <v>23</v>
      </c>
      <c r="E124" s="99" t="s">
        <v>141</v>
      </c>
      <c r="F124" s="108" t="s">
        <v>142</v>
      </c>
      <c r="G124" s="109">
        <v>185.7</v>
      </c>
      <c r="H124" s="104">
        <f>VLOOKUP($E124,'Stock statement'!$D$2:$P$384,13,)</f>
        <v>94.278330452007026</v>
      </c>
      <c r="I124" s="105">
        <v>2.5000000000000001E-2</v>
      </c>
      <c r="J124" s="116">
        <v>1.0249999999999999</v>
      </c>
      <c r="K124" s="106">
        <f t="shared" si="7"/>
        <v>18393.80244191267</v>
      </c>
      <c r="L124" s="98"/>
      <c r="M124" s="110">
        <f t="shared" ref="M124:M154" si="10">K124/$G$145</f>
        <v>92.70476430723987</v>
      </c>
    </row>
    <row r="125" spans="1:13" s="107" customFormat="1" ht="15" customHeight="1">
      <c r="A125" s="100" t="str">
        <f>VLOOKUP(C125,Abstract!$E$4:$M$62,9,0)</f>
        <v>ACTIVE</v>
      </c>
      <c r="B125" s="95" t="s">
        <v>138</v>
      </c>
      <c r="C125" s="118" t="s">
        <v>22</v>
      </c>
      <c r="D125" s="101" t="s">
        <v>23</v>
      </c>
      <c r="E125" s="99" t="s">
        <v>145</v>
      </c>
      <c r="F125" s="102" t="s">
        <v>146</v>
      </c>
      <c r="G125" s="109">
        <v>10</v>
      </c>
      <c r="H125" s="104">
        <f>VLOOKUP($E125,'Stock statement'!$D$2:$P$384,13,)</f>
        <v>151.08681180977209</v>
      </c>
      <c r="I125" s="105">
        <v>2.5000000000000001E-2</v>
      </c>
      <c r="J125" s="116">
        <v>1.0249999999999999</v>
      </c>
      <c r="K125" s="106">
        <f t="shared" si="7"/>
        <v>1587.3558165764177</v>
      </c>
      <c r="L125" s="98"/>
      <c r="M125" s="110">
        <f t="shared" si="10"/>
        <v>8.0002733155451455</v>
      </c>
    </row>
    <row r="126" spans="1:13" s="107" customFormat="1" ht="15" customHeight="1">
      <c r="A126" s="100" t="str">
        <f>VLOOKUP(C126,Abstract!$E$4:$M$62,9,0)</f>
        <v>ACTIVE</v>
      </c>
      <c r="B126" s="95" t="s">
        <v>138</v>
      </c>
      <c r="C126" s="118" t="s">
        <v>22</v>
      </c>
      <c r="D126" s="101" t="s">
        <v>23</v>
      </c>
      <c r="E126" s="99" t="s">
        <v>149</v>
      </c>
      <c r="F126" s="95" t="s">
        <v>150</v>
      </c>
      <c r="G126" s="109">
        <v>0.125</v>
      </c>
      <c r="H126" s="104">
        <f>VLOOKUP($E126,'Stock statement'!$D$2:$P$384,13,)</f>
        <v>161.56941474217822</v>
      </c>
      <c r="I126" s="105">
        <v>2.5000000000000001E-2</v>
      </c>
      <c r="J126" s="116">
        <v>1.0249999999999999</v>
      </c>
      <c r="K126" s="106">
        <f t="shared" si="7"/>
        <v>21.218608295437623</v>
      </c>
      <c r="L126" s="98"/>
      <c r="M126" s="110">
        <f t="shared" si="10"/>
        <v>0.10694178580900562</v>
      </c>
    </row>
    <row r="127" spans="1:13" s="107" customFormat="1" ht="15" customHeight="1">
      <c r="A127" s="100" t="str">
        <f>VLOOKUP(C127,Abstract!$E$4:$M$62,9,0)</f>
        <v>ACTIVE</v>
      </c>
      <c r="B127" s="95" t="s">
        <v>138</v>
      </c>
      <c r="C127" s="118" t="s">
        <v>22</v>
      </c>
      <c r="D127" s="101" t="s">
        <v>23</v>
      </c>
      <c r="E127" s="99" t="s">
        <v>151</v>
      </c>
      <c r="F127" s="95" t="s">
        <v>152</v>
      </c>
      <c r="G127" s="109">
        <v>2.5</v>
      </c>
      <c r="H127" s="104">
        <f>VLOOKUP($E127,'Stock statement'!$D$2:$P$384,13,)</f>
        <v>762.38931335604309</v>
      </c>
      <c r="I127" s="105">
        <v>2.5000000000000001E-2</v>
      </c>
      <c r="J127" s="116">
        <v>1.0249999999999999</v>
      </c>
      <c r="K127" s="106">
        <f t="shared" si="7"/>
        <v>2002.4631808617316</v>
      </c>
      <c r="L127" s="98"/>
      <c r="M127" s="110">
        <f t="shared" si="10"/>
        <v>10.092414431543128</v>
      </c>
    </row>
    <row r="128" spans="1:13" s="107" customFormat="1" ht="15" customHeight="1">
      <c r="A128" s="100" t="str">
        <f>VLOOKUP(C128,Abstract!$E$4:$M$62,9,0)</f>
        <v>ACTIVE</v>
      </c>
      <c r="B128" s="95" t="s">
        <v>138</v>
      </c>
      <c r="C128" s="118" t="s">
        <v>22</v>
      </c>
      <c r="D128" s="101" t="s">
        <v>23</v>
      </c>
      <c r="E128" s="99" t="s">
        <v>157</v>
      </c>
      <c r="F128" s="102" t="s">
        <v>158</v>
      </c>
      <c r="G128" s="109">
        <v>1</v>
      </c>
      <c r="H128" s="104">
        <f>VLOOKUP($E128,'Stock statement'!$D$2:$P$384,13,)</f>
        <v>828.81974703846117</v>
      </c>
      <c r="I128" s="105">
        <v>2.5000000000000001E-2</v>
      </c>
      <c r="J128" s="116">
        <v>1.0249999999999999</v>
      </c>
      <c r="K128" s="106">
        <f t="shared" si="7"/>
        <v>870.77874673228314</v>
      </c>
      <c r="L128" s="98"/>
      <c r="M128" s="110">
        <f t="shared" si="10"/>
        <v>4.3887248835307071</v>
      </c>
    </row>
    <row r="129" spans="1:13" s="107" customFormat="1" ht="15" customHeight="1">
      <c r="A129" s="100" t="str">
        <f>VLOOKUP(C129,Abstract!$E$4:$M$62,9,0)</f>
        <v>ACTIVE</v>
      </c>
      <c r="B129" s="95" t="s">
        <v>138</v>
      </c>
      <c r="C129" s="118" t="s">
        <v>22</v>
      </c>
      <c r="D129" s="101" t="s">
        <v>23</v>
      </c>
      <c r="E129" s="157">
        <v>115150</v>
      </c>
      <c r="F129" s="36" t="s">
        <v>159</v>
      </c>
      <c r="G129" s="109">
        <v>1</v>
      </c>
      <c r="H129" s="104">
        <f>VLOOKUP($E129,'Stock statement'!$D$2:$P$384,13,)</f>
        <v>456.30699446392703</v>
      </c>
      <c r="I129" s="105">
        <v>2.5000000000000001E-2</v>
      </c>
      <c r="J129" s="116">
        <v>1.0249999999999999</v>
      </c>
      <c r="K129" s="106">
        <f t="shared" si="7"/>
        <v>479.40753605866325</v>
      </c>
      <c r="L129" s="98"/>
      <c r="M129" s="110">
        <f t="shared" si="10"/>
        <v>2.4162139817356629</v>
      </c>
    </row>
    <row r="130" spans="1:13" s="107" customFormat="1" ht="15" customHeight="1">
      <c r="A130" s="100" t="str">
        <f>VLOOKUP(C130,Abstract!$E$4:$M$62,9,0)</f>
        <v>ACTIVE</v>
      </c>
      <c r="B130" s="95" t="s">
        <v>138</v>
      </c>
      <c r="C130" s="118" t="s">
        <v>22</v>
      </c>
      <c r="D130" s="101" t="s">
        <v>23</v>
      </c>
      <c r="E130" s="99" t="s">
        <v>160</v>
      </c>
      <c r="F130" s="108" t="s">
        <v>161</v>
      </c>
      <c r="G130" s="109">
        <v>0.25</v>
      </c>
      <c r="H130" s="104">
        <f>VLOOKUP($E130,'Stock statement'!$D$2:$P$384,13,)</f>
        <v>3313.2387673094586</v>
      </c>
      <c r="I130" s="105">
        <v>2.5000000000000001E-2</v>
      </c>
      <c r="J130" s="116">
        <v>1.0249999999999999</v>
      </c>
      <c r="K130" s="106">
        <f t="shared" si="7"/>
        <v>870.24286997612489</v>
      </c>
      <c r="L130" s="98"/>
      <c r="M130" s="110">
        <f t="shared" si="10"/>
        <v>4.3860240646796695</v>
      </c>
    </row>
    <row r="131" spans="1:13" s="107" customFormat="1" ht="15" customHeight="1">
      <c r="A131" s="100" t="str">
        <f>VLOOKUP(C131,Abstract!$E$4:$M$62,9,0)</f>
        <v>ACTIVE</v>
      </c>
      <c r="B131" s="95" t="s">
        <v>138</v>
      </c>
      <c r="C131" s="118" t="s">
        <v>22</v>
      </c>
      <c r="D131" s="101" t="s">
        <v>23</v>
      </c>
      <c r="E131" s="99" t="s">
        <v>166</v>
      </c>
      <c r="F131" s="95" t="s">
        <v>167</v>
      </c>
      <c r="G131" s="109">
        <v>2.5</v>
      </c>
      <c r="H131" s="104">
        <f>VLOOKUP($E131,'Stock statement'!$D$2:$P$384,13,)</f>
        <v>127.15913438761541</v>
      </c>
      <c r="I131" s="105">
        <v>2.5000000000000001E-2</v>
      </c>
      <c r="J131" s="116">
        <v>1.0249999999999999</v>
      </c>
      <c r="K131" s="106">
        <f t="shared" si="7"/>
        <v>333.99141391497102</v>
      </c>
      <c r="L131" s="98"/>
      <c r="M131" s="110">
        <f t="shared" si="10"/>
        <v>1.6833167261314541</v>
      </c>
    </row>
    <row r="132" spans="1:13" s="107" customFormat="1" ht="15" customHeight="1">
      <c r="A132" s="100" t="str">
        <f>VLOOKUP(C132,Abstract!$E$4:$M$62,9,0)</f>
        <v>ACTIVE</v>
      </c>
      <c r="B132" s="95" t="s">
        <v>138</v>
      </c>
      <c r="C132" s="118" t="s">
        <v>22</v>
      </c>
      <c r="D132" s="101" t="s">
        <v>23</v>
      </c>
      <c r="E132" s="99" t="s">
        <v>209</v>
      </c>
      <c r="F132" s="99" t="s">
        <v>210</v>
      </c>
      <c r="G132" s="109">
        <v>20</v>
      </c>
      <c r="H132" s="104">
        <f>VLOOKUP($E132,'Stock statement'!$D$2:$P$384,13,)</f>
        <v>220.67282625366343</v>
      </c>
      <c r="I132" s="105">
        <v>2.5000000000000001E-2</v>
      </c>
      <c r="J132" s="116">
        <v>1.0249999999999999</v>
      </c>
      <c r="K132" s="106">
        <f t="shared" si="7"/>
        <v>4636.8877616551026</v>
      </c>
      <c r="L132" s="98"/>
      <c r="M132" s="110">
        <f t="shared" si="10"/>
        <v>23.369914318741717</v>
      </c>
    </row>
    <row r="133" spans="1:13" s="107" customFormat="1" ht="15" customHeight="1">
      <c r="A133" s="100" t="str">
        <f>VLOOKUP(C133,Abstract!$E$4:$M$62,9,0)</f>
        <v>ACTIVE</v>
      </c>
      <c r="B133" s="95" t="s">
        <v>138</v>
      </c>
      <c r="C133" s="118" t="s">
        <v>22</v>
      </c>
      <c r="D133" s="101" t="s">
        <v>23</v>
      </c>
      <c r="E133" s="99" t="s">
        <v>153</v>
      </c>
      <c r="F133" s="95" t="s">
        <v>154</v>
      </c>
      <c r="G133" s="109">
        <v>0.75</v>
      </c>
      <c r="H133" s="104">
        <f>VLOOKUP($E133,'Stock statement'!$D$2:$P$384,13,)</f>
        <v>84.206363687840948</v>
      </c>
      <c r="I133" s="105">
        <v>2.5000000000000001E-2</v>
      </c>
      <c r="J133" s="116">
        <v>1.0249999999999999</v>
      </c>
      <c r="K133" s="106">
        <f t="shared" si="7"/>
        <v>66.351983137153411</v>
      </c>
      <c r="L133" s="98"/>
      <c r="M133" s="110">
        <f t="shared" si="10"/>
        <v>0.33441399501125318</v>
      </c>
    </row>
    <row r="134" spans="1:13" s="107" customFormat="1" ht="15" customHeight="1">
      <c r="A134" s="100" t="str">
        <f>VLOOKUP(C134,Abstract!$E$4:$M$62,9,0)</f>
        <v>ACTIVE</v>
      </c>
      <c r="B134" s="95" t="s">
        <v>138</v>
      </c>
      <c r="C134" s="118" t="s">
        <v>22</v>
      </c>
      <c r="D134" s="101" t="s">
        <v>23</v>
      </c>
      <c r="E134" s="99" t="s">
        <v>147</v>
      </c>
      <c r="F134" s="95" t="s">
        <v>148</v>
      </c>
      <c r="G134" s="109">
        <v>1</v>
      </c>
      <c r="H134" s="104">
        <f>VLOOKUP($E134,'Stock statement'!$D$2:$P$384,13,)</f>
        <v>353.50950483838068</v>
      </c>
      <c r="I134" s="105">
        <v>2.5000000000000001E-2</v>
      </c>
      <c r="J134" s="116">
        <v>1.0249999999999999</v>
      </c>
      <c r="K134" s="106">
        <f t="shared" si="7"/>
        <v>371.40592352082365</v>
      </c>
      <c r="L134" s="98"/>
      <c r="M134" s="110">
        <f t="shared" si="10"/>
        <v>1.8718858545449513</v>
      </c>
    </row>
    <row r="135" spans="1:13" s="107" customFormat="1" ht="15" customHeight="1">
      <c r="A135" s="100" t="str">
        <f>VLOOKUP(C135,Abstract!$E$4:$M$62,9,0)</f>
        <v>ACTIVE</v>
      </c>
      <c r="B135" s="95" t="s">
        <v>138</v>
      </c>
      <c r="C135" s="118" t="s">
        <v>22</v>
      </c>
      <c r="D135" s="101" t="s">
        <v>23</v>
      </c>
      <c r="E135" s="99" t="s">
        <v>211</v>
      </c>
      <c r="F135" s="95" t="s">
        <v>212</v>
      </c>
      <c r="G135" s="109">
        <v>0.1</v>
      </c>
      <c r="H135" s="104">
        <f>VLOOKUP($E135,'Stock statement'!$D$2:$P$384,13,)</f>
        <v>1279.5862001575747</v>
      </c>
      <c r="I135" s="105">
        <v>2.5000000000000001E-2</v>
      </c>
      <c r="J135" s="116">
        <v>1.0249999999999999</v>
      </c>
      <c r="K135" s="106">
        <f t="shared" si="7"/>
        <v>134.43652515405518</v>
      </c>
      <c r="L135" s="98"/>
      <c r="M135" s="110">
        <f t="shared" si="10"/>
        <v>0.67756008677643809</v>
      </c>
    </row>
    <row r="136" spans="1:13" s="107" customFormat="1" ht="15" customHeight="1">
      <c r="A136" s="100" t="str">
        <f>VLOOKUP(C136,Abstract!$E$4:$M$62,9,0)</f>
        <v>ACTIVE</v>
      </c>
      <c r="B136" s="95" t="s">
        <v>138</v>
      </c>
      <c r="C136" s="118" t="s">
        <v>22</v>
      </c>
      <c r="D136" s="101" t="s">
        <v>23</v>
      </c>
      <c r="E136" s="99" t="s">
        <v>213</v>
      </c>
      <c r="F136" s="95" t="s">
        <v>214</v>
      </c>
      <c r="G136" s="109">
        <v>0.09</v>
      </c>
      <c r="H136" s="104">
        <f>VLOOKUP($E136,'Stock statement'!$D$2:$P$384,13,)</f>
        <v>674.683130739744</v>
      </c>
      <c r="I136" s="105">
        <v>2.5000000000000001E-2</v>
      </c>
      <c r="J136" s="116">
        <v>1.0249999999999999</v>
      </c>
      <c r="K136" s="106">
        <f t="shared" si="7"/>
        <v>63.795506781009905</v>
      </c>
      <c r="L136" s="98"/>
      <c r="M136" s="110">
        <f t="shared" si="10"/>
        <v>0.32152935417628992</v>
      </c>
    </row>
    <row r="137" spans="1:13" s="107" customFormat="1" ht="15" customHeight="1">
      <c r="A137" s="100" t="str">
        <f>VLOOKUP(C137,Abstract!$E$4:$M$62,9,0)</f>
        <v>ACTIVE</v>
      </c>
      <c r="B137" s="95" t="s">
        <v>138</v>
      </c>
      <c r="C137" s="118" t="s">
        <v>22</v>
      </c>
      <c r="D137" s="101" t="s">
        <v>23</v>
      </c>
      <c r="E137" s="99" t="s">
        <v>215</v>
      </c>
      <c r="F137" s="95" t="s">
        <v>216</v>
      </c>
      <c r="G137" s="109">
        <v>0.09</v>
      </c>
      <c r="H137" s="104">
        <f>VLOOKUP($E137,'Stock statement'!$D$2:$P$384,13,)</f>
        <v>545.51731168806748</v>
      </c>
      <c r="I137" s="105">
        <v>2.5000000000000001E-2</v>
      </c>
      <c r="J137" s="116">
        <v>1.0249999999999999</v>
      </c>
      <c r="K137" s="106">
        <f t="shared" si="7"/>
        <v>51.582071303304822</v>
      </c>
      <c r="L137" s="98"/>
      <c r="M137" s="110">
        <f t="shared" si="10"/>
        <v>0.25997363936865631</v>
      </c>
    </row>
    <row r="138" spans="1:13" s="107" customFormat="1" ht="15" customHeight="1">
      <c r="A138" s="100" t="str">
        <f>VLOOKUP(C138,Abstract!$E$4:$M$62,9,0)</f>
        <v>ACTIVE</v>
      </c>
      <c r="B138" s="95" t="s">
        <v>138</v>
      </c>
      <c r="C138" s="118" t="s">
        <v>22</v>
      </c>
      <c r="D138" s="101" t="s">
        <v>23</v>
      </c>
      <c r="E138" s="99" t="s">
        <v>217</v>
      </c>
      <c r="F138" s="99" t="s">
        <v>218</v>
      </c>
      <c r="G138" s="109">
        <v>0.1</v>
      </c>
      <c r="H138" s="104">
        <f>VLOOKUP($E138,'Stock statement'!$D$2:$P$384,13,)</f>
        <v>910.5767983004796</v>
      </c>
      <c r="I138" s="105">
        <v>2.5000000000000001E-2</v>
      </c>
      <c r="J138" s="116">
        <v>1.0249999999999999</v>
      </c>
      <c r="K138" s="106">
        <f t="shared" si="7"/>
        <v>95.667474871444114</v>
      </c>
      <c r="L138" s="98"/>
      <c r="M138" s="110">
        <f t="shared" si="10"/>
        <v>0.48216407335207834</v>
      </c>
    </row>
    <row r="139" spans="1:13" s="107" customFormat="1" ht="15" customHeight="1">
      <c r="A139" s="100" t="str">
        <f>VLOOKUP(C139,Abstract!$E$4:$M$62,9,0)</f>
        <v>ACTIVE</v>
      </c>
      <c r="B139" s="95" t="s">
        <v>138</v>
      </c>
      <c r="C139" s="118" t="s">
        <v>22</v>
      </c>
      <c r="D139" s="101" t="s">
        <v>23</v>
      </c>
      <c r="E139" s="99" t="s">
        <v>155</v>
      </c>
      <c r="F139" s="95" t="s">
        <v>156</v>
      </c>
      <c r="G139" s="109">
        <v>15</v>
      </c>
      <c r="H139" s="104">
        <f>VLOOKUP($E139,'Stock statement'!$D$2:$P$384,13,)</f>
        <v>68.308211638055738</v>
      </c>
      <c r="I139" s="105">
        <v>2.5000000000000001E-2</v>
      </c>
      <c r="J139" s="116">
        <v>1.0249999999999999</v>
      </c>
      <c r="K139" s="106">
        <f t="shared" si="7"/>
        <v>1076.4947227834843</v>
      </c>
      <c r="L139" s="98"/>
      <c r="M139" s="110">
        <f t="shared" si="10"/>
        <v>5.4255334028287612</v>
      </c>
    </row>
    <row r="140" spans="1:13" s="107" customFormat="1" ht="15" customHeight="1">
      <c r="A140" s="100" t="str">
        <f>VLOOKUP(C140,Abstract!$E$4:$M$62,9,0)</f>
        <v>ACTIVE</v>
      </c>
      <c r="B140" s="95" t="s">
        <v>138</v>
      </c>
      <c r="C140" s="118" t="s">
        <v>22</v>
      </c>
      <c r="D140" s="101" t="s">
        <v>23</v>
      </c>
      <c r="E140" s="99" t="s">
        <v>219</v>
      </c>
      <c r="F140" s="95" t="s">
        <v>220</v>
      </c>
      <c r="G140" s="109">
        <v>2.5000000000000001E-2</v>
      </c>
      <c r="H140" s="104">
        <f>VLOOKUP($E140,'Stock statement'!$D$2:$P$384,13,)</f>
        <v>549.27282042136164</v>
      </c>
      <c r="I140" s="105">
        <v>2.5000000000000001E-2</v>
      </c>
      <c r="J140" s="116">
        <v>1.0249999999999999</v>
      </c>
      <c r="K140" s="106">
        <f t="shared" si="7"/>
        <v>14.426993923879825</v>
      </c>
      <c r="L140" s="98"/>
      <c r="M140" s="110">
        <f t="shared" si="10"/>
        <v>7.2712049376354324E-2</v>
      </c>
    </row>
    <row r="141" spans="1:13" s="107" customFormat="1" ht="15" customHeight="1">
      <c r="A141" s="100" t="str">
        <f>VLOOKUP(C141,Abstract!$E$4:$M$62,9,0)</f>
        <v>ACTIVE</v>
      </c>
      <c r="B141" s="95" t="s">
        <v>138</v>
      </c>
      <c r="C141" s="118" t="s">
        <v>22</v>
      </c>
      <c r="D141" s="101" t="s">
        <v>23</v>
      </c>
      <c r="E141" s="99" t="s">
        <v>221</v>
      </c>
      <c r="F141" s="99" t="s">
        <v>222</v>
      </c>
      <c r="G141" s="109">
        <v>0.1</v>
      </c>
      <c r="H141" s="104">
        <f>VLOOKUP($E141,'Stock statement'!$D$2:$P$384,13,)</f>
        <v>494.13931116123297</v>
      </c>
      <c r="I141" s="105">
        <v>2.5000000000000001E-2</v>
      </c>
      <c r="J141" s="116">
        <v>1.0249999999999999</v>
      </c>
      <c r="K141" s="106">
        <f t="shared" si="7"/>
        <v>51.915511378877035</v>
      </c>
      <c r="L141" s="98"/>
      <c r="M141" s="110">
        <f t="shared" si="10"/>
        <v>0.26165417734954027</v>
      </c>
    </row>
    <row r="142" spans="1:13" s="107" customFormat="1" ht="15" customHeight="1">
      <c r="A142" s="100" t="str">
        <f>VLOOKUP(C142,Abstract!$E$4:$M$62,9,0)</f>
        <v>ACTIVE</v>
      </c>
      <c r="B142" s="95" t="s">
        <v>138</v>
      </c>
      <c r="C142" s="118" t="s">
        <v>22</v>
      </c>
      <c r="D142" s="101" t="s">
        <v>23</v>
      </c>
      <c r="E142" s="99" t="s">
        <v>223</v>
      </c>
      <c r="F142" s="95" t="s">
        <v>224</v>
      </c>
      <c r="G142" s="109">
        <v>0.01</v>
      </c>
      <c r="H142" s="104">
        <f>VLOOKUP($E142,'Stock statement'!$D$2:$P$384,13,)</f>
        <v>661.66658982809031</v>
      </c>
      <c r="I142" s="105">
        <v>2.5000000000000001E-2</v>
      </c>
      <c r="J142" s="116">
        <v>1.0249999999999999</v>
      </c>
      <c r="K142" s="106">
        <f t="shared" si="7"/>
        <v>6.9516346093813723</v>
      </c>
      <c r="L142" s="98"/>
      <c r="M142" s="110">
        <f t="shared" si="10"/>
        <v>3.5036238431282118E-2</v>
      </c>
    </row>
    <row r="143" spans="1:13" s="107" customFormat="1" ht="15" customHeight="1">
      <c r="A143" s="100" t="str">
        <f>VLOOKUP(C143,Abstract!$E$4:$M$62,9,0)</f>
        <v>ACTIVE</v>
      </c>
      <c r="B143" s="95" t="s">
        <v>138</v>
      </c>
      <c r="C143" s="118" t="s">
        <v>22</v>
      </c>
      <c r="D143" s="101" t="s">
        <v>23</v>
      </c>
      <c r="E143" s="99" t="s">
        <v>225</v>
      </c>
      <c r="F143" s="95" t="s">
        <v>226</v>
      </c>
      <c r="G143" s="109">
        <v>6</v>
      </c>
      <c r="H143" s="104">
        <f>VLOOKUP($E143,'Stock statement'!$D$2:$P$384,13,)</f>
        <v>770.99998748629207</v>
      </c>
      <c r="I143" s="105">
        <v>2.5000000000000001E-2</v>
      </c>
      <c r="J143" s="116">
        <v>1.0249999999999999</v>
      </c>
      <c r="K143" s="106">
        <f t="shared" si="7"/>
        <v>4860.1911711167131</v>
      </c>
      <c r="L143" s="98"/>
      <c r="M143" s="110">
        <f t="shared" si="10"/>
        <v>24.495363502428233</v>
      </c>
    </row>
    <row r="144" spans="1:13" s="107" customFormat="1" ht="15" customHeight="1">
      <c r="A144" s="100" t="str">
        <f>VLOOKUP(C144,Abstract!$E$4:$M$62,9,0)</f>
        <v>ACTIVE</v>
      </c>
      <c r="B144" s="95" t="s">
        <v>138</v>
      </c>
      <c r="C144" s="118" t="s">
        <v>22</v>
      </c>
      <c r="D144" s="101" t="s">
        <v>23</v>
      </c>
      <c r="E144" s="99" t="s">
        <v>181</v>
      </c>
      <c r="F144" s="102" t="s">
        <v>182</v>
      </c>
      <c r="G144" s="109">
        <v>12.5</v>
      </c>
      <c r="H144" s="104">
        <f>VLOOKUP($E144,'Stock statement'!$D$2:$P$384,13,)</f>
        <v>17.110276913020375</v>
      </c>
      <c r="I144" s="105">
        <v>2.5000000000000001E-2</v>
      </c>
      <c r="J144" s="116">
        <v>1.0249999999999999</v>
      </c>
      <c r="K144" s="106">
        <f t="shared" si="7"/>
        <v>224.70605852177536</v>
      </c>
      <c r="L144" s="98"/>
      <c r="M144" s="110">
        <f t="shared" si="10"/>
        <v>1.132518534949748</v>
      </c>
    </row>
    <row r="145" spans="1:13" s="107" customFormat="1" ht="15" customHeight="1">
      <c r="A145" s="100" t="str">
        <f>VLOOKUP(C145,Abstract!$E$4:$M$62,9,0)</f>
        <v>ACTIVE</v>
      </c>
      <c r="B145" s="99" t="s">
        <v>183</v>
      </c>
      <c r="C145" s="118" t="s">
        <v>22</v>
      </c>
      <c r="D145" s="101" t="s">
        <v>23</v>
      </c>
      <c r="E145" s="99" t="s">
        <v>231</v>
      </c>
      <c r="F145" s="95" t="s">
        <v>232</v>
      </c>
      <c r="G145" s="109">
        <v>198.4126984126984</v>
      </c>
      <c r="H145" s="104">
        <f>VLOOKUP($E145,'Stock statement'!$D$2:$P$384,13,)</f>
        <v>23.921893984514593</v>
      </c>
      <c r="I145" s="112">
        <v>6.0000000000000001E-3</v>
      </c>
      <c r="J145" s="113">
        <v>1</v>
      </c>
      <c r="K145" s="106">
        <f t="shared" si="7"/>
        <v>4774.8859818296978</v>
      </c>
      <c r="L145" s="98"/>
      <c r="M145" s="110">
        <f t="shared" si="10"/>
        <v>24.065425348421677</v>
      </c>
    </row>
    <row r="146" spans="1:13" s="107" customFormat="1" ht="15" customHeight="1">
      <c r="A146" s="100" t="str">
        <f>VLOOKUP(C146,Abstract!$E$4:$M$62,9,0)</f>
        <v>ACTIVE</v>
      </c>
      <c r="B146" s="99" t="s">
        <v>183</v>
      </c>
      <c r="C146" s="118" t="s">
        <v>22</v>
      </c>
      <c r="D146" s="101" t="s">
        <v>23</v>
      </c>
      <c r="E146" s="99" t="s">
        <v>233</v>
      </c>
      <c r="F146" s="95" t="s">
        <v>234</v>
      </c>
      <c r="G146" s="109">
        <v>28571.428571428569</v>
      </c>
      <c r="H146" s="104">
        <f>VLOOKUP($E146,'Stock statement'!$D$2:$P$384,13,)</f>
        <v>1.8849477525115979</v>
      </c>
      <c r="I146" s="112">
        <v>6.0000000000000001E-3</v>
      </c>
      <c r="J146" s="113">
        <v>1</v>
      </c>
      <c r="K146" s="106">
        <f t="shared" si="7"/>
        <v>54178.783972190497</v>
      </c>
      <c r="L146" s="98"/>
      <c r="M146" s="110">
        <f t="shared" si="10"/>
        <v>273.06107121984013</v>
      </c>
    </row>
    <row r="147" spans="1:13" s="107" customFormat="1" ht="15" customHeight="1">
      <c r="A147" s="100" t="str">
        <f>VLOOKUP(C147,Abstract!$E$4:$M$62,9,0)</f>
        <v>ACTIVE</v>
      </c>
      <c r="B147" s="99" t="s">
        <v>183</v>
      </c>
      <c r="C147" s="118" t="s">
        <v>22</v>
      </c>
      <c r="D147" s="101" t="s">
        <v>23</v>
      </c>
      <c r="E147" s="99" t="s">
        <v>235</v>
      </c>
      <c r="F147" s="95" t="s">
        <v>236</v>
      </c>
      <c r="G147" s="109">
        <v>28571.428571428569</v>
      </c>
      <c r="H147" s="104">
        <f>VLOOKUP($E147,'Stock statement'!$D$2:$P$384,13,)</f>
        <v>0.35657271963009673</v>
      </c>
      <c r="I147" s="112">
        <v>6.0000000000000001E-3</v>
      </c>
      <c r="J147" s="113">
        <v>1</v>
      </c>
      <c r="K147" s="106">
        <f t="shared" si="7"/>
        <v>10248.918741367923</v>
      </c>
      <c r="L147" s="98"/>
      <c r="M147" s="110">
        <f t="shared" si="10"/>
        <v>51.654550456494334</v>
      </c>
    </row>
    <row r="148" spans="1:13" s="107" customFormat="1" ht="15" customHeight="1">
      <c r="A148" s="100" t="str">
        <f>VLOOKUP(C148,Abstract!$E$4:$M$62,9,0)</f>
        <v>ACTIVE</v>
      </c>
      <c r="B148" s="99" t="s">
        <v>183</v>
      </c>
      <c r="C148" s="118" t="s">
        <v>22</v>
      </c>
      <c r="D148" s="101" t="s">
        <v>23</v>
      </c>
      <c r="E148" s="99" t="s">
        <v>237</v>
      </c>
      <c r="F148" s="95" t="s">
        <v>238</v>
      </c>
      <c r="G148" s="109">
        <v>2380.9523809523807</v>
      </c>
      <c r="H148" s="104">
        <f>VLOOKUP($E148,'Stock statement'!$D$2:$P$384,13,)</f>
        <v>13.396768916953182</v>
      </c>
      <c r="I148" s="112">
        <v>1.4999999999999999E-2</v>
      </c>
      <c r="J148" s="113">
        <v>1</v>
      </c>
      <c r="K148" s="106">
        <f t="shared" si="7"/>
        <v>32375.524882636848</v>
      </c>
      <c r="L148" s="98"/>
      <c r="M148" s="110">
        <f t="shared" si="10"/>
        <v>163.17264540848973</v>
      </c>
    </row>
    <row r="149" spans="1:13" s="107" customFormat="1" ht="15" customHeight="1">
      <c r="A149" s="100" t="str">
        <f>VLOOKUP(C149,Abstract!$E$4:$M$62,9,0)</f>
        <v>ACTIVE</v>
      </c>
      <c r="B149" s="99" t="s">
        <v>183</v>
      </c>
      <c r="C149" s="118" t="s">
        <v>22</v>
      </c>
      <c r="D149" s="101" t="s">
        <v>23</v>
      </c>
      <c r="E149" s="99" t="s">
        <v>239</v>
      </c>
      <c r="F149" s="95" t="s">
        <v>240</v>
      </c>
      <c r="G149" s="109">
        <v>2380.9523809523807</v>
      </c>
      <c r="H149" s="104">
        <f>VLOOKUP($E149,'Stock statement'!$D$2:$P$384,13,)</f>
        <v>1.1001817286275044</v>
      </c>
      <c r="I149" s="112">
        <v>1.4999999999999999E-2</v>
      </c>
      <c r="J149" s="113">
        <v>1</v>
      </c>
      <c r="K149" s="106">
        <f t="shared" si="7"/>
        <v>2658.7725108498016</v>
      </c>
      <c r="L149" s="98"/>
      <c r="M149" s="110">
        <f t="shared" si="10"/>
        <v>13.400213454683001</v>
      </c>
    </row>
    <row r="150" spans="1:13" s="107" customFormat="1" ht="15" customHeight="1">
      <c r="A150" s="100" t="str">
        <f>VLOOKUP(C150,Abstract!$E$4:$M$62,9,0)</f>
        <v>ACTIVE</v>
      </c>
      <c r="B150" s="99" t="s">
        <v>183</v>
      </c>
      <c r="C150" s="118" t="s">
        <v>22</v>
      </c>
      <c r="D150" s="101" t="s">
        <v>23</v>
      </c>
      <c r="E150" s="99" t="s">
        <v>241</v>
      </c>
      <c r="F150" s="95" t="s">
        <v>242</v>
      </c>
      <c r="G150" s="109">
        <v>28571.428571428569</v>
      </c>
      <c r="H150" s="104">
        <f>VLOOKUP($E150,'Stock statement'!$D$2:$P$384,13,)</f>
        <v>0.66563908676021066</v>
      </c>
      <c r="I150" s="112">
        <v>0.01</v>
      </c>
      <c r="J150" s="113">
        <v>1</v>
      </c>
      <c r="K150" s="106">
        <f t="shared" si="7"/>
        <v>19208.442217937507</v>
      </c>
      <c r="L150" s="98"/>
      <c r="M150" s="110">
        <f t="shared" si="10"/>
        <v>96.810548778405035</v>
      </c>
    </row>
    <row r="151" spans="1:13" s="107" customFormat="1" ht="15" customHeight="1">
      <c r="A151" s="100" t="str">
        <f>VLOOKUP(C151,Abstract!$E$4:$M$62,9,0)</f>
        <v>ACTIVE</v>
      </c>
      <c r="B151" s="99" t="s">
        <v>183</v>
      </c>
      <c r="C151" s="118" t="s">
        <v>22</v>
      </c>
      <c r="D151" s="101" t="s">
        <v>23</v>
      </c>
      <c r="E151" s="99" t="s">
        <v>191</v>
      </c>
      <c r="F151" s="95" t="s">
        <v>192</v>
      </c>
      <c r="G151" s="109">
        <v>3.37</v>
      </c>
      <c r="H151" s="104">
        <f>VLOOKUP($E151,'Stock statement'!$D$2:$P$384,13,)</f>
        <v>44.985440769279101</v>
      </c>
      <c r="I151" s="112">
        <v>0.02</v>
      </c>
      <c r="J151" s="113">
        <v>1</v>
      </c>
      <c r="K151" s="106">
        <f t="shared" ref="K151:K153" si="11">+G151*H151*(1+I151)*J151</f>
        <v>154.63295410031998</v>
      </c>
      <c r="L151" s="98"/>
      <c r="M151" s="110">
        <f t="shared" si="10"/>
        <v>0.77935008866561273</v>
      </c>
    </row>
    <row r="152" spans="1:13" s="107" customFormat="1" ht="15" customHeight="1">
      <c r="A152" s="100" t="str">
        <f>VLOOKUP(C152,Abstract!$E$4:$M$62,9,0)</f>
        <v>ACTIVE</v>
      </c>
      <c r="B152" s="95" t="s">
        <v>194</v>
      </c>
      <c r="C152" s="118" t="s">
        <v>22</v>
      </c>
      <c r="D152" s="101" t="s">
        <v>23</v>
      </c>
      <c r="E152" s="99" t="s">
        <v>243</v>
      </c>
      <c r="F152" s="95"/>
      <c r="G152" s="109">
        <f>G146</f>
        <v>28571.428571428569</v>
      </c>
      <c r="H152" s="103">
        <v>0.04</v>
      </c>
      <c r="I152" s="119"/>
      <c r="J152" s="113">
        <v>1</v>
      </c>
      <c r="K152" s="106">
        <f t="shared" si="11"/>
        <v>1142.8571428571429</v>
      </c>
      <c r="L152" s="98"/>
      <c r="M152" s="110">
        <f t="shared" si="10"/>
        <v>5.7600000000000007</v>
      </c>
    </row>
    <row r="153" spans="1:13" s="107" customFormat="1" ht="15" customHeight="1">
      <c r="A153" s="100" t="str">
        <f>VLOOKUP(C153,Abstract!$E$4:$M$62,9,0)</f>
        <v>ACTIVE</v>
      </c>
      <c r="B153" s="95" t="s">
        <v>194</v>
      </c>
      <c r="C153" s="118" t="s">
        <v>22</v>
      </c>
      <c r="D153" s="101" t="s">
        <v>23</v>
      </c>
      <c r="E153" s="99" t="s">
        <v>196</v>
      </c>
      <c r="F153" s="95"/>
      <c r="G153" s="109">
        <f>G146*23</f>
        <v>657142.85714285704</v>
      </c>
      <c r="H153" s="114">
        <v>1.6999999999999999E-3</v>
      </c>
      <c r="I153" s="119"/>
      <c r="J153" s="113">
        <v>1</v>
      </c>
      <c r="K153" s="106">
        <f t="shared" si="11"/>
        <v>1117.1428571428569</v>
      </c>
      <c r="L153" s="98"/>
      <c r="M153" s="110">
        <f t="shared" si="10"/>
        <v>5.630399999999999</v>
      </c>
    </row>
    <row r="154" spans="1:13" s="107" customFormat="1" ht="15" customHeight="1">
      <c r="A154" s="100" t="str">
        <f>VLOOKUP(C154,Abstract!$E$4:$M$62,9,0)</f>
        <v>ACTIVE</v>
      </c>
      <c r="B154" s="99" t="s">
        <v>197</v>
      </c>
      <c r="C154" s="118" t="s">
        <v>22</v>
      </c>
      <c r="D154" s="101" t="s">
        <v>23</v>
      </c>
      <c r="E154" s="99" t="s">
        <v>198</v>
      </c>
      <c r="F154" s="95"/>
      <c r="G154" s="109"/>
      <c r="H154" s="104"/>
      <c r="I154" s="100"/>
      <c r="J154" s="113"/>
      <c r="K154" s="106">
        <v>9000</v>
      </c>
      <c r="L154" s="98">
        <f>SUM(K123:K154)</f>
        <v>171338.78683049791</v>
      </c>
      <c r="M154" s="110">
        <f t="shared" si="10"/>
        <v>45.36</v>
      </c>
    </row>
    <row r="155" spans="1:13" s="107" customFormat="1" ht="15" customHeight="1">
      <c r="A155" s="100" t="str">
        <f>VLOOKUP(C155,Abstract!$E$4:$M$62,9,0)</f>
        <v>No Sales</v>
      </c>
      <c r="B155" s="95" t="s">
        <v>138</v>
      </c>
      <c r="C155" s="118" t="s">
        <v>24</v>
      </c>
      <c r="D155" s="101" t="s">
        <v>25</v>
      </c>
      <c r="E155" s="99" t="s">
        <v>139</v>
      </c>
      <c r="F155" s="102" t="s">
        <v>140</v>
      </c>
      <c r="G155" s="109">
        <v>741.16</v>
      </c>
      <c r="H155" s="104">
        <f>VLOOKUP($E155,'Stock statement'!$D$2:$P$384,13,)</f>
        <v>0.34</v>
      </c>
      <c r="I155" s="105">
        <v>2.5000000000000001E-2</v>
      </c>
      <c r="J155" s="116">
        <v>1.0249999999999999</v>
      </c>
      <c r="K155" s="106">
        <f t="shared" ref="K155:K216" si="12">+G155*H155*(1+I155)*J155</f>
        <v>264.75161650000001</v>
      </c>
      <c r="L155" s="98"/>
      <c r="M155" s="110">
        <f>K155/$G$177</f>
        <v>1.52496931104</v>
      </c>
    </row>
    <row r="156" spans="1:13" s="107" customFormat="1" ht="15" customHeight="1">
      <c r="A156" s="100" t="str">
        <f>VLOOKUP(C156,Abstract!$E$4:$M$62,9,0)</f>
        <v>No Sales</v>
      </c>
      <c r="B156" s="95" t="s">
        <v>138</v>
      </c>
      <c r="C156" s="118" t="s">
        <v>24</v>
      </c>
      <c r="D156" s="101" t="s">
        <v>25</v>
      </c>
      <c r="E156" s="99" t="s">
        <v>141</v>
      </c>
      <c r="F156" s="108" t="s">
        <v>142</v>
      </c>
      <c r="G156" s="109">
        <v>185.7</v>
      </c>
      <c r="H156" s="104">
        <f>VLOOKUP($E156,'Stock statement'!$D$2:$P$384,13,)</f>
        <v>94.278330452007026</v>
      </c>
      <c r="I156" s="105">
        <v>2.5000000000000001E-2</v>
      </c>
      <c r="J156" s="116">
        <v>1.0249999999999999</v>
      </c>
      <c r="K156" s="106">
        <f t="shared" si="12"/>
        <v>18393.80244191267</v>
      </c>
      <c r="L156" s="98"/>
      <c r="M156" s="110">
        <f t="shared" ref="M156:M186" si="13">K156/$G$177</f>
        <v>105.94830206541698</v>
      </c>
    </row>
    <row r="157" spans="1:13" s="107" customFormat="1" ht="15" customHeight="1">
      <c r="A157" s="100" t="str">
        <f>VLOOKUP(C157,Abstract!$E$4:$M$62,9,0)</f>
        <v>No Sales</v>
      </c>
      <c r="B157" s="95" t="s">
        <v>138</v>
      </c>
      <c r="C157" s="118" t="s">
        <v>24</v>
      </c>
      <c r="D157" s="101" t="s">
        <v>25</v>
      </c>
      <c r="E157" s="99" t="s">
        <v>145</v>
      </c>
      <c r="F157" s="102" t="s">
        <v>146</v>
      </c>
      <c r="G157" s="109">
        <v>10</v>
      </c>
      <c r="H157" s="104">
        <f>VLOOKUP($E157,'Stock statement'!$D$2:$P$384,13,)</f>
        <v>151.08681180977209</v>
      </c>
      <c r="I157" s="105">
        <v>2.5000000000000001E-2</v>
      </c>
      <c r="J157" s="116">
        <v>1.0249999999999999</v>
      </c>
      <c r="K157" s="106">
        <f t="shared" si="12"/>
        <v>1587.3558165764177</v>
      </c>
      <c r="L157" s="98"/>
      <c r="M157" s="110">
        <f t="shared" si="13"/>
        <v>9.1431695034801663</v>
      </c>
    </row>
    <row r="158" spans="1:13" s="107" customFormat="1" ht="15" customHeight="1">
      <c r="A158" s="100" t="str">
        <f>VLOOKUP(C158,Abstract!$E$4:$M$62,9,0)</f>
        <v>No Sales</v>
      </c>
      <c r="B158" s="95" t="s">
        <v>138</v>
      </c>
      <c r="C158" s="118" t="s">
        <v>24</v>
      </c>
      <c r="D158" s="101" t="s">
        <v>25</v>
      </c>
      <c r="E158" s="99" t="s">
        <v>149</v>
      </c>
      <c r="F158" s="95" t="s">
        <v>150</v>
      </c>
      <c r="G158" s="109">
        <v>0.125</v>
      </c>
      <c r="H158" s="104">
        <f>VLOOKUP($E158,'Stock statement'!$D$2:$P$384,13,)</f>
        <v>161.56941474217822</v>
      </c>
      <c r="I158" s="105">
        <v>2.5000000000000001E-2</v>
      </c>
      <c r="J158" s="116">
        <v>1.0249999999999999</v>
      </c>
      <c r="K158" s="106">
        <f t="shared" si="12"/>
        <v>21.218608295437623</v>
      </c>
      <c r="L158" s="98"/>
      <c r="M158" s="110">
        <f t="shared" si="13"/>
        <v>0.1222191837817207</v>
      </c>
    </row>
    <row r="159" spans="1:13" s="107" customFormat="1" ht="15" customHeight="1">
      <c r="A159" s="100" t="str">
        <f>VLOOKUP(C159,Abstract!$E$4:$M$62,9,0)</f>
        <v>No Sales</v>
      </c>
      <c r="B159" s="95" t="s">
        <v>138</v>
      </c>
      <c r="C159" s="118" t="s">
        <v>24</v>
      </c>
      <c r="D159" s="101" t="s">
        <v>25</v>
      </c>
      <c r="E159" s="99" t="s">
        <v>151</v>
      </c>
      <c r="F159" s="95" t="s">
        <v>152</v>
      </c>
      <c r="G159" s="109">
        <v>2.5</v>
      </c>
      <c r="H159" s="104">
        <f>VLOOKUP($E159,'Stock statement'!$D$2:$P$384,13,)</f>
        <v>762.38931335604309</v>
      </c>
      <c r="I159" s="105">
        <v>2.5000000000000001E-2</v>
      </c>
      <c r="J159" s="116">
        <v>1.0249999999999999</v>
      </c>
      <c r="K159" s="106">
        <f t="shared" si="12"/>
        <v>2002.4631808617316</v>
      </c>
      <c r="L159" s="98"/>
      <c r="M159" s="110">
        <f t="shared" si="13"/>
        <v>11.534187921763573</v>
      </c>
    </row>
    <row r="160" spans="1:13" s="107" customFormat="1" ht="15" customHeight="1">
      <c r="A160" s="100" t="str">
        <f>VLOOKUP(C160,Abstract!$E$4:$M$62,9,0)</f>
        <v>No Sales</v>
      </c>
      <c r="B160" s="95" t="s">
        <v>138</v>
      </c>
      <c r="C160" s="118" t="s">
        <v>24</v>
      </c>
      <c r="D160" s="101" t="s">
        <v>25</v>
      </c>
      <c r="E160" s="99" t="s">
        <v>157</v>
      </c>
      <c r="F160" s="102" t="s">
        <v>158</v>
      </c>
      <c r="G160" s="109">
        <v>1</v>
      </c>
      <c r="H160" s="104">
        <f>VLOOKUP($E160,'Stock statement'!$D$2:$P$384,13,)</f>
        <v>828.81974703846117</v>
      </c>
      <c r="I160" s="105">
        <v>2.5000000000000001E-2</v>
      </c>
      <c r="J160" s="116">
        <v>1.0249999999999999</v>
      </c>
      <c r="K160" s="106">
        <f t="shared" si="12"/>
        <v>870.77874673228314</v>
      </c>
      <c r="L160" s="98"/>
      <c r="M160" s="110">
        <f t="shared" si="13"/>
        <v>5.0156855811779506</v>
      </c>
    </row>
    <row r="161" spans="1:13" s="107" customFormat="1" ht="15" customHeight="1">
      <c r="A161" s="100" t="str">
        <f>VLOOKUP(C161,Abstract!$E$4:$M$62,9,0)</f>
        <v>No Sales</v>
      </c>
      <c r="B161" s="95" t="s">
        <v>138</v>
      </c>
      <c r="C161" s="118" t="s">
        <v>24</v>
      </c>
      <c r="D161" s="101" t="s">
        <v>25</v>
      </c>
      <c r="E161" s="157">
        <v>115150</v>
      </c>
      <c r="F161" s="95" t="s">
        <v>159</v>
      </c>
      <c r="G161" s="109">
        <v>1</v>
      </c>
      <c r="H161" s="104">
        <f>VLOOKUP($E161,'Stock statement'!$D$2:$P$384,13,)</f>
        <v>456.30699446392703</v>
      </c>
      <c r="I161" s="105">
        <v>2.5000000000000001E-2</v>
      </c>
      <c r="J161" s="116">
        <v>1.0249999999999999</v>
      </c>
      <c r="K161" s="106">
        <f t="shared" si="12"/>
        <v>479.40753605866325</v>
      </c>
      <c r="L161" s="98"/>
      <c r="M161" s="110">
        <f t="shared" si="13"/>
        <v>2.7613874076979004</v>
      </c>
    </row>
    <row r="162" spans="1:13" s="107" customFormat="1" ht="15" customHeight="1">
      <c r="A162" s="100" t="str">
        <f>VLOOKUP(C162,Abstract!$E$4:$M$62,9,0)</f>
        <v>No Sales</v>
      </c>
      <c r="B162" s="95" t="s">
        <v>138</v>
      </c>
      <c r="C162" s="118" t="s">
        <v>24</v>
      </c>
      <c r="D162" s="101" t="s">
        <v>25</v>
      </c>
      <c r="E162" s="99" t="s">
        <v>160</v>
      </c>
      <c r="F162" s="108" t="s">
        <v>161</v>
      </c>
      <c r="G162" s="109">
        <v>0.25</v>
      </c>
      <c r="H162" s="104">
        <f>VLOOKUP($E162,'Stock statement'!$D$2:$P$384,13,)</f>
        <v>3313.2387673094586</v>
      </c>
      <c r="I162" s="105">
        <v>2.5000000000000001E-2</v>
      </c>
      <c r="J162" s="116">
        <v>1.0249999999999999</v>
      </c>
      <c r="K162" s="106">
        <f t="shared" si="12"/>
        <v>870.24286997612489</v>
      </c>
      <c r="L162" s="98"/>
      <c r="M162" s="110">
        <f t="shared" si="13"/>
        <v>5.0125989310624792</v>
      </c>
    </row>
    <row r="163" spans="1:13" s="107" customFormat="1" ht="15" customHeight="1">
      <c r="A163" s="100" t="str">
        <f>VLOOKUP(C163,Abstract!$E$4:$M$62,9,0)</f>
        <v>No Sales</v>
      </c>
      <c r="B163" s="95" t="s">
        <v>138</v>
      </c>
      <c r="C163" s="118" t="s">
        <v>24</v>
      </c>
      <c r="D163" s="101" t="s">
        <v>25</v>
      </c>
      <c r="E163" s="99" t="s">
        <v>166</v>
      </c>
      <c r="F163" s="95" t="s">
        <v>167</v>
      </c>
      <c r="G163" s="109">
        <v>2.5</v>
      </c>
      <c r="H163" s="104">
        <f>VLOOKUP($E163,'Stock statement'!$D$2:$P$384,13,)</f>
        <v>127.15913438761541</v>
      </c>
      <c r="I163" s="105">
        <v>2.5000000000000001E-2</v>
      </c>
      <c r="J163" s="116">
        <v>1.0249999999999999</v>
      </c>
      <c r="K163" s="106">
        <f t="shared" si="12"/>
        <v>333.99141391497102</v>
      </c>
      <c r="L163" s="98"/>
      <c r="M163" s="110">
        <f t="shared" si="13"/>
        <v>1.923790544150233</v>
      </c>
    </row>
    <row r="164" spans="1:13" s="107" customFormat="1" ht="15" customHeight="1">
      <c r="A164" s="100" t="str">
        <f>VLOOKUP(C164,Abstract!$E$4:$M$62,9,0)</f>
        <v>No Sales</v>
      </c>
      <c r="B164" s="95" t="s">
        <v>138</v>
      </c>
      <c r="C164" s="118" t="s">
        <v>24</v>
      </c>
      <c r="D164" s="101" t="s">
        <v>25</v>
      </c>
      <c r="E164" s="99" t="s">
        <v>209</v>
      </c>
      <c r="F164" s="99" t="s">
        <v>210</v>
      </c>
      <c r="G164" s="109">
        <v>20</v>
      </c>
      <c r="H164" s="104">
        <f>VLOOKUP($E164,'Stock statement'!$D$2:$P$384,13,)</f>
        <v>220.67282625366343</v>
      </c>
      <c r="I164" s="105">
        <v>2.5000000000000001E-2</v>
      </c>
      <c r="J164" s="116">
        <v>1.0249999999999999</v>
      </c>
      <c r="K164" s="106">
        <f t="shared" si="12"/>
        <v>4636.8877616551026</v>
      </c>
      <c r="L164" s="98"/>
      <c r="M164" s="110">
        <f t="shared" si="13"/>
        <v>26.708473507133391</v>
      </c>
    </row>
    <row r="165" spans="1:13" s="107" customFormat="1" ht="15" customHeight="1">
      <c r="A165" s="100" t="str">
        <f>VLOOKUP(C165,Abstract!$E$4:$M$62,9,0)</f>
        <v>No Sales</v>
      </c>
      <c r="B165" s="95" t="s">
        <v>138</v>
      </c>
      <c r="C165" s="118" t="s">
        <v>24</v>
      </c>
      <c r="D165" s="101" t="s">
        <v>25</v>
      </c>
      <c r="E165" s="99" t="s">
        <v>153</v>
      </c>
      <c r="F165" s="95" t="s">
        <v>154</v>
      </c>
      <c r="G165" s="109">
        <v>0.75</v>
      </c>
      <c r="H165" s="104">
        <f>VLOOKUP($E165,'Stock statement'!$D$2:$P$384,13,)</f>
        <v>84.206363687840948</v>
      </c>
      <c r="I165" s="105">
        <v>2.5000000000000001E-2</v>
      </c>
      <c r="J165" s="116">
        <v>1.0249999999999999</v>
      </c>
      <c r="K165" s="106">
        <f t="shared" si="12"/>
        <v>66.351983137153411</v>
      </c>
      <c r="L165" s="98"/>
      <c r="M165" s="110">
        <f t="shared" si="13"/>
        <v>0.38218742287000362</v>
      </c>
    </row>
    <row r="166" spans="1:13" s="107" customFormat="1" ht="15" customHeight="1">
      <c r="A166" s="100" t="str">
        <f>VLOOKUP(C166,Abstract!$E$4:$M$62,9,0)</f>
        <v>No Sales</v>
      </c>
      <c r="B166" s="95" t="s">
        <v>138</v>
      </c>
      <c r="C166" s="118" t="s">
        <v>24</v>
      </c>
      <c r="D166" s="101" t="s">
        <v>25</v>
      </c>
      <c r="E166" s="99" t="s">
        <v>147</v>
      </c>
      <c r="F166" s="95" t="s">
        <v>148</v>
      </c>
      <c r="G166" s="109">
        <v>1</v>
      </c>
      <c r="H166" s="104">
        <f>VLOOKUP($E166,'Stock statement'!$D$2:$P$384,13,)</f>
        <v>353.50950483838068</v>
      </c>
      <c r="I166" s="105">
        <v>2.5000000000000001E-2</v>
      </c>
      <c r="J166" s="116">
        <v>1.0249999999999999</v>
      </c>
      <c r="K166" s="106">
        <f t="shared" si="12"/>
        <v>371.40592352082365</v>
      </c>
      <c r="L166" s="98"/>
      <c r="M166" s="110">
        <f t="shared" si="13"/>
        <v>2.1392981194799443</v>
      </c>
    </row>
    <row r="167" spans="1:13" s="107" customFormat="1" ht="15" customHeight="1">
      <c r="A167" s="100" t="str">
        <f>VLOOKUP(C167,Abstract!$E$4:$M$62,9,0)</f>
        <v>No Sales</v>
      </c>
      <c r="B167" s="95" t="s">
        <v>138</v>
      </c>
      <c r="C167" s="118" t="s">
        <v>24</v>
      </c>
      <c r="D167" s="101" t="s">
        <v>25</v>
      </c>
      <c r="E167" s="99" t="s">
        <v>211</v>
      </c>
      <c r="F167" s="95" t="s">
        <v>212</v>
      </c>
      <c r="G167" s="109">
        <v>0.1</v>
      </c>
      <c r="H167" s="104">
        <f>VLOOKUP($E167,'Stock statement'!$D$2:$P$384,13,)</f>
        <v>1279.5862001575747</v>
      </c>
      <c r="I167" s="105">
        <v>2.5000000000000001E-2</v>
      </c>
      <c r="J167" s="116">
        <v>1.0249999999999999</v>
      </c>
      <c r="K167" s="106">
        <f t="shared" si="12"/>
        <v>134.43652515405518</v>
      </c>
      <c r="L167" s="98"/>
      <c r="M167" s="110">
        <f t="shared" si="13"/>
        <v>0.77435438488735775</v>
      </c>
    </row>
    <row r="168" spans="1:13" s="107" customFormat="1" ht="15" customHeight="1">
      <c r="A168" s="100" t="str">
        <f>VLOOKUP(C168,Abstract!$E$4:$M$62,9,0)</f>
        <v>No Sales</v>
      </c>
      <c r="B168" s="95" t="s">
        <v>138</v>
      </c>
      <c r="C168" s="118" t="s">
        <v>24</v>
      </c>
      <c r="D168" s="101" t="s">
        <v>25</v>
      </c>
      <c r="E168" s="99" t="s">
        <v>213</v>
      </c>
      <c r="F168" s="95" t="s">
        <v>214</v>
      </c>
      <c r="G168" s="109">
        <v>0.09</v>
      </c>
      <c r="H168" s="104">
        <f>VLOOKUP($E168,'Stock statement'!$D$2:$P$384,13,)</f>
        <v>674.683130739744</v>
      </c>
      <c r="I168" s="105">
        <v>2.5000000000000001E-2</v>
      </c>
      <c r="J168" s="116">
        <v>1.0249999999999999</v>
      </c>
      <c r="K168" s="106">
        <f t="shared" si="12"/>
        <v>63.795506781009905</v>
      </c>
      <c r="L168" s="98"/>
      <c r="M168" s="110">
        <f t="shared" si="13"/>
        <v>0.36746211905861703</v>
      </c>
    </row>
    <row r="169" spans="1:13" s="107" customFormat="1" ht="15" customHeight="1">
      <c r="A169" s="100" t="str">
        <f>VLOOKUP(C169,Abstract!$E$4:$M$62,9,0)</f>
        <v>No Sales</v>
      </c>
      <c r="B169" s="95" t="s">
        <v>138</v>
      </c>
      <c r="C169" s="118" t="s">
        <v>24</v>
      </c>
      <c r="D169" s="101" t="s">
        <v>25</v>
      </c>
      <c r="E169" s="99" t="s">
        <v>215</v>
      </c>
      <c r="F169" s="95" t="s">
        <v>216</v>
      </c>
      <c r="G169" s="109">
        <v>0.09</v>
      </c>
      <c r="H169" s="104">
        <f>VLOOKUP($E169,'Stock statement'!$D$2:$P$384,13,)</f>
        <v>545.51731168806748</v>
      </c>
      <c r="I169" s="105">
        <v>2.5000000000000001E-2</v>
      </c>
      <c r="J169" s="116">
        <v>1.0249999999999999</v>
      </c>
      <c r="K169" s="106">
        <f t="shared" si="12"/>
        <v>51.582071303304822</v>
      </c>
      <c r="L169" s="98"/>
      <c r="M169" s="110">
        <f t="shared" si="13"/>
        <v>0.29711273070703575</v>
      </c>
    </row>
    <row r="170" spans="1:13" s="107" customFormat="1" ht="15" customHeight="1">
      <c r="A170" s="100" t="str">
        <f>VLOOKUP(C170,Abstract!$E$4:$M$62,9,0)</f>
        <v>No Sales</v>
      </c>
      <c r="B170" s="95" t="s">
        <v>138</v>
      </c>
      <c r="C170" s="118" t="s">
        <v>24</v>
      </c>
      <c r="D170" s="101" t="s">
        <v>25</v>
      </c>
      <c r="E170" s="99" t="s">
        <v>217</v>
      </c>
      <c r="F170" s="99" t="s">
        <v>218</v>
      </c>
      <c r="G170" s="109">
        <v>0.1</v>
      </c>
      <c r="H170" s="104">
        <f>VLOOKUP($E170,'Stock statement'!$D$2:$P$384,13,)</f>
        <v>910.5767983004796</v>
      </c>
      <c r="I170" s="105">
        <v>2.5000000000000001E-2</v>
      </c>
      <c r="J170" s="116">
        <v>1.0249999999999999</v>
      </c>
      <c r="K170" s="106">
        <f t="shared" si="12"/>
        <v>95.667474871444114</v>
      </c>
      <c r="L170" s="98"/>
      <c r="M170" s="110">
        <f t="shared" si="13"/>
        <v>0.55104465525951807</v>
      </c>
    </row>
    <row r="171" spans="1:13" s="107" customFormat="1" ht="15" customHeight="1">
      <c r="A171" s="100" t="str">
        <f>VLOOKUP(C171,Abstract!$E$4:$M$62,9,0)</f>
        <v>No Sales</v>
      </c>
      <c r="B171" s="95" t="s">
        <v>138</v>
      </c>
      <c r="C171" s="118" t="s">
        <v>24</v>
      </c>
      <c r="D171" s="101" t="s">
        <v>25</v>
      </c>
      <c r="E171" s="99" t="s">
        <v>155</v>
      </c>
      <c r="F171" s="95" t="s">
        <v>156</v>
      </c>
      <c r="G171" s="109">
        <v>15</v>
      </c>
      <c r="H171" s="104">
        <f>VLOOKUP($E171,'Stock statement'!$D$2:$P$384,13,)</f>
        <v>68.308211638055738</v>
      </c>
      <c r="I171" s="105">
        <v>2.5000000000000001E-2</v>
      </c>
      <c r="J171" s="116">
        <v>1.0249999999999999</v>
      </c>
      <c r="K171" s="106">
        <f t="shared" si="12"/>
        <v>1076.4947227834843</v>
      </c>
      <c r="L171" s="98"/>
      <c r="M171" s="110">
        <f t="shared" si="13"/>
        <v>6.2006096032328699</v>
      </c>
    </row>
    <row r="172" spans="1:13" s="107" customFormat="1" ht="15" customHeight="1">
      <c r="A172" s="100" t="str">
        <f>VLOOKUP(C172,Abstract!$E$4:$M$62,9,0)</f>
        <v>No Sales</v>
      </c>
      <c r="B172" s="95" t="s">
        <v>138</v>
      </c>
      <c r="C172" s="118" t="s">
        <v>24</v>
      </c>
      <c r="D172" s="101" t="s">
        <v>25</v>
      </c>
      <c r="E172" s="99" t="s">
        <v>219</v>
      </c>
      <c r="F172" s="95" t="s">
        <v>220</v>
      </c>
      <c r="G172" s="109">
        <v>2.5000000000000001E-2</v>
      </c>
      <c r="H172" s="104">
        <f>VLOOKUP($E172,'Stock statement'!$D$2:$P$384,13,)</f>
        <v>549.27282042136164</v>
      </c>
      <c r="I172" s="105">
        <v>2.5000000000000001E-2</v>
      </c>
      <c r="J172" s="116">
        <v>1.0249999999999999</v>
      </c>
      <c r="K172" s="106">
        <f t="shared" si="12"/>
        <v>14.426993923879825</v>
      </c>
      <c r="L172" s="98"/>
      <c r="M172" s="110">
        <f t="shared" si="13"/>
        <v>8.309948500154779E-2</v>
      </c>
    </row>
    <row r="173" spans="1:13" s="107" customFormat="1" ht="15" customHeight="1">
      <c r="A173" s="100" t="str">
        <f>VLOOKUP(C173,Abstract!$E$4:$M$62,9,0)</f>
        <v>No Sales</v>
      </c>
      <c r="B173" s="95" t="s">
        <v>138</v>
      </c>
      <c r="C173" s="118" t="s">
        <v>24</v>
      </c>
      <c r="D173" s="101" t="s">
        <v>25</v>
      </c>
      <c r="E173" s="99" t="s">
        <v>221</v>
      </c>
      <c r="F173" s="99" t="s">
        <v>222</v>
      </c>
      <c r="G173" s="109">
        <v>0.1</v>
      </c>
      <c r="H173" s="104">
        <f>VLOOKUP($E173,'Stock statement'!$D$2:$P$384,13,)</f>
        <v>494.13931116123297</v>
      </c>
      <c r="I173" s="105">
        <v>2.5000000000000001E-2</v>
      </c>
      <c r="J173" s="116">
        <v>1.0249999999999999</v>
      </c>
      <c r="K173" s="106">
        <f t="shared" si="12"/>
        <v>51.915511378877035</v>
      </c>
      <c r="L173" s="98"/>
      <c r="M173" s="110">
        <f t="shared" si="13"/>
        <v>0.29903334554233174</v>
      </c>
    </row>
    <row r="174" spans="1:13" s="107" customFormat="1" ht="15" customHeight="1">
      <c r="A174" s="100" t="str">
        <f>VLOOKUP(C174,Abstract!$E$4:$M$62,9,0)</f>
        <v>No Sales</v>
      </c>
      <c r="B174" s="95" t="s">
        <v>138</v>
      </c>
      <c r="C174" s="118" t="s">
        <v>24</v>
      </c>
      <c r="D174" s="101" t="s">
        <v>25</v>
      </c>
      <c r="E174" s="99" t="s">
        <v>223</v>
      </c>
      <c r="F174" s="95" t="s">
        <v>224</v>
      </c>
      <c r="G174" s="109">
        <v>0.01</v>
      </c>
      <c r="H174" s="104">
        <f>VLOOKUP($E174,'Stock statement'!$D$2:$P$384,13,)</f>
        <v>661.66658982809031</v>
      </c>
      <c r="I174" s="105">
        <v>2.5000000000000001E-2</v>
      </c>
      <c r="J174" s="116">
        <v>1.0249999999999999</v>
      </c>
      <c r="K174" s="106">
        <f t="shared" si="12"/>
        <v>6.9516346093813723</v>
      </c>
      <c r="L174" s="98"/>
      <c r="M174" s="110">
        <f t="shared" si="13"/>
        <v>4.0041415350036705E-2</v>
      </c>
    </row>
    <row r="175" spans="1:13" s="107" customFormat="1" ht="15" customHeight="1">
      <c r="A175" s="100" t="str">
        <f>VLOOKUP(C175,Abstract!$E$4:$M$62,9,0)</f>
        <v>No Sales</v>
      </c>
      <c r="B175" s="95" t="s">
        <v>138</v>
      </c>
      <c r="C175" s="118" t="s">
        <v>24</v>
      </c>
      <c r="D175" s="101" t="s">
        <v>25</v>
      </c>
      <c r="E175" s="99" t="s">
        <v>225</v>
      </c>
      <c r="F175" s="95" t="s">
        <v>226</v>
      </c>
      <c r="G175" s="109">
        <v>6</v>
      </c>
      <c r="H175" s="104">
        <f>VLOOKUP($E175,'Stock statement'!$D$2:$P$384,13,)</f>
        <v>770.99998748629207</v>
      </c>
      <c r="I175" s="105">
        <v>2.5000000000000001E-2</v>
      </c>
      <c r="J175" s="116">
        <v>1.0249999999999999</v>
      </c>
      <c r="K175" s="106">
        <f t="shared" si="12"/>
        <v>4860.1911711167131</v>
      </c>
      <c r="L175" s="98"/>
      <c r="M175" s="110">
        <f t="shared" si="13"/>
        <v>27.994701145632266</v>
      </c>
    </row>
    <row r="176" spans="1:13" s="107" customFormat="1" ht="15" customHeight="1">
      <c r="A176" s="100" t="str">
        <f>VLOOKUP(C176,Abstract!$E$4:$M$62,9,0)</f>
        <v>No Sales</v>
      </c>
      <c r="B176" s="95" t="s">
        <v>138</v>
      </c>
      <c r="C176" s="118" t="s">
        <v>24</v>
      </c>
      <c r="D176" s="101" t="s">
        <v>25</v>
      </c>
      <c r="E176" s="99" t="s">
        <v>181</v>
      </c>
      <c r="F176" s="102" t="s">
        <v>182</v>
      </c>
      <c r="G176" s="109">
        <v>12.5</v>
      </c>
      <c r="H176" s="104">
        <f>VLOOKUP($E176,'Stock statement'!$D$2:$P$384,13,)</f>
        <v>17.110276913020375</v>
      </c>
      <c r="I176" s="105">
        <v>2.5000000000000001E-2</v>
      </c>
      <c r="J176" s="116">
        <v>1.0249999999999999</v>
      </c>
      <c r="K176" s="106">
        <f t="shared" si="12"/>
        <v>224.70605852177536</v>
      </c>
      <c r="L176" s="98"/>
      <c r="M176" s="110">
        <f t="shared" si="13"/>
        <v>1.2943068970854261</v>
      </c>
    </row>
    <row r="177" spans="1:13" s="107" customFormat="1" ht="15" customHeight="1">
      <c r="A177" s="100" t="str">
        <f>VLOOKUP(C177,Abstract!$E$4:$M$62,9,0)</f>
        <v>No Sales</v>
      </c>
      <c r="B177" s="99" t="s">
        <v>183</v>
      </c>
      <c r="C177" s="118" t="s">
        <v>24</v>
      </c>
      <c r="D177" s="101" t="s">
        <v>25</v>
      </c>
      <c r="E177" s="99" t="s">
        <v>244</v>
      </c>
      <c r="F177" s="95" t="s">
        <v>245</v>
      </c>
      <c r="G177" s="109">
        <v>173.61111111111111</v>
      </c>
      <c r="H177" s="104">
        <f>VLOOKUP($E177,'Stock statement'!$D$2:$P$384,13,)</f>
        <v>23.211225071225073</v>
      </c>
      <c r="I177" s="112">
        <v>6.0000000000000001E-3</v>
      </c>
      <c r="J177" s="113">
        <v>1</v>
      </c>
      <c r="K177" s="106">
        <f t="shared" si="12"/>
        <v>4053.9049343146567</v>
      </c>
      <c r="L177" s="98"/>
      <c r="M177" s="110">
        <f t="shared" si="13"/>
        <v>23.350492421652422</v>
      </c>
    </row>
    <row r="178" spans="1:13" s="107" customFormat="1" ht="15" customHeight="1">
      <c r="A178" s="100" t="str">
        <f>VLOOKUP(C178,Abstract!$E$4:$M$62,9,0)</f>
        <v>No Sales</v>
      </c>
      <c r="B178" s="99" t="s">
        <v>183</v>
      </c>
      <c r="C178" s="118" t="s">
        <v>24</v>
      </c>
      <c r="D178" s="101" t="s">
        <v>25</v>
      </c>
      <c r="E178" s="99" t="s">
        <v>246</v>
      </c>
      <c r="F178" s="95" t="s">
        <v>247</v>
      </c>
      <c r="G178" s="109">
        <v>12500</v>
      </c>
      <c r="H178" s="104">
        <f>VLOOKUP($E178,'Stock statement'!$D$2:$P$384,13,)</f>
        <v>3.4262434039361702</v>
      </c>
      <c r="I178" s="112">
        <v>6.0000000000000001E-3</v>
      </c>
      <c r="J178" s="113">
        <v>1</v>
      </c>
      <c r="K178" s="106">
        <f t="shared" si="12"/>
        <v>43085.010804497346</v>
      </c>
      <c r="L178" s="98"/>
      <c r="M178" s="110">
        <f t="shared" si="13"/>
        <v>248.16966223390472</v>
      </c>
    </row>
    <row r="179" spans="1:13" s="107" customFormat="1" ht="15" customHeight="1">
      <c r="A179" s="100" t="str">
        <f>VLOOKUP(C179,Abstract!$E$4:$M$62,9,0)</f>
        <v>No Sales</v>
      </c>
      <c r="B179" s="99" t="s">
        <v>183</v>
      </c>
      <c r="C179" s="118" t="s">
        <v>24</v>
      </c>
      <c r="D179" s="101" t="s">
        <v>25</v>
      </c>
      <c r="E179" s="99" t="s">
        <v>248</v>
      </c>
      <c r="F179" s="95" t="s">
        <v>249</v>
      </c>
      <c r="G179" s="109">
        <v>12500</v>
      </c>
      <c r="H179" s="104">
        <f>VLOOKUP($E179,'Stock statement'!$D$2:$P$384,13,)</f>
        <v>3.1661470602783846</v>
      </c>
      <c r="I179" s="112">
        <v>6.0000000000000001E-3</v>
      </c>
      <c r="J179" s="113">
        <v>1</v>
      </c>
      <c r="K179" s="106">
        <f t="shared" si="12"/>
        <v>39814.299283000684</v>
      </c>
      <c r="L179" s="98"/>
      <c r="M179" s="110">
        <f t="shared" si="13"/>
        <v>229.33036387008394</v>
      </c>
    </row>
    <row r="180" spans="1:13" s="107" customFormat="1" ht="15" customHeight="1">
      <c r="A180" s="100" t="str">
        <f>VLOOKUP(C180,Abstract!$E$4:$M$62,9,0)</f>
        <v>No Sales</v>
      </c>
      <c r="B180" s="99" t="s">
        <v>183</v>
      </c>
      <c r="C180" s="118" t="s">
        <v>24</v>
      </c>
      <c r="D180" s="101" t="s">
        <v>25</v>
      </c>
      <c r="E180" s="99" t="s">
        <v>250</v>
      </c>
      <c r="F180" s="95" t="s">
        <v>251</v>
      </c>
      <c r="G180" s="109">
        <v>12500</v>
      </c>
      <c r="H180" s="104">
        <f>VLOOKUP($E180,'Stock statement'!$D$2:$P$384,13,)</f>
        <v>1.2403875968992248</v>
      </c>
      <c r="I180" s="105">
        <v>0.02</v>
      </c>
      <c r="J180" s="113">
        <v>1</v>
      </c>
      <c r="K180" s="106">
        <f t="shared" si="12"/>
        <v>15814.941860465118</v>
      </c>
      <c r="L180" s="98"/>
      <c r="M180" s="110">
        <f t="shared" si="13"/>
        <v>91.094065116279083</v>
      </c>
    </row>
    <row r="181" spans="1:13" s="107" customFormat="1" ht="15" customHeight="1">
      <c r="A181" s="100" t="str">
        <f>VLOOKUP(C181,Abstract!$E$4:$M$62,9,0)</f>
        <v>No Sales</v>
      </c>
      <c r="B181" s="99" t="s">
        <v>183</v>
      </c>
      <c r="C181" s="118" t="s">
        <v>24</v>
      </c>
      <c r="D181" s="101" t="s">
        <v>25</v>
      </c>
      <c r="E181" s="99" t="s">
        <v>252</v>
      </c>
      <c r="F181" s="95" t="s">
        <v>253</v>
      </c>
      <c r="G181" s="109">
        <v>12500</v>
      </c>
      <c r="H181" s="104">
        <f>VLOOKUP($E181,'Stock statement'!$D$2:$P$384,13,)</f>
        <v>0.92796728374327608</v>
      </c>
      <c r="I181" s="105">
        <v>0.02</v>
      </c>
      <c r="J181" s="113">
        <v>1</v>
      </c>
      <c r="K181" s="106">
        <f t="shared" si="12"/>
        <v>11831.582867726769</v>
      </c>
      <c r="L181" s="98"/>
      <c r="M181" s="110">
        <f t="shared" si="13"/>
        <v>68.149917318106191</v>
      </c>
    </row>
    <row r="182" spans="1:13" s="107" customFormat="1" ht="15" customHeight="1">
      <c r="A182" s="100" t="str">
        <f>VLOOKUP(C182,Abstract!$E$4:$M$62,9,0)</f>
        <v>No Sales</v>
      </c>
      <c r="B182" s="99" t="s">
        <v>183</v>
      </c>
      <c r="C182" s="118" t="s">
        <v>24</v>
      </c>
      <c r="D182" s="101" t="s">
        <v>25</v>
      </c>
      <c r="E182" s="99" t="s">
        <v>191</v>
      </c>
      <c r="F182" s="95" t="s">
        <v>192</v>
      </c>
      <c r="G182" s="109">
        <f>+G177*0.025</f>
        <v>4.3402777777777777</v>
      </c>
      <c r="H182" s="104">
        <f>VLOOKUP($E182,'Stock statement'!$D$2:$P$384,13,)</f>
        <v>44.985440769279101</v>
      </c>
      <c r="I182" s="112">
        <v>0.02</v>
      </c>
      <c r="J182" s="113">
        <v>1</v>
      </c>
      <c r="K182" s="106">
        <f t="shared" si="12"/>
        <v>199.15429507232935</v>
      </c>
      <c r="L182" s="98"/>
      <c r="M182" s="110">
        <f t="shared" si="13"/>
        <v>1.147128739616617</v>
      </c>
    </row>
    <row r="183" spans="1:13" s="107" customFormat="1" ht="15" customHeight="1">
      <c r="A183" s="100" t="str">
        <f>VLOOKUP(C183,Abstract!$E$4:$M$62,9,0)</f>
        <v>No Sales</v>
      </c>
      <c r="B183" s="99" t="s">
        <v>183</v>
      </c>
      <c r="C183" s="118" t="s">
        <v>24</v>
      </c>
      <c r="D183" s="101" t="s">
        <v>25</v>
      </c>
      <c r="E183" s="99" t="s">
        <v>254</v>
      </c>
      <c r="F183" s="95" t="s">
        <v>255</v>
      </c>
      <c r="G183" s="109">
        <f>+G177*12</f>
        <v>2083.3333333333335</v>
      </c>
      <c r="H183" s="104">
        <f>VLOOKUP($E183,'Stock statement'!$D$2:$P$384,13,)</f>
        <v>2.6</v>
      </c>
      <c r="I183" s="112">
        <v>0.01</v>
      </c>
      <c r="J183" s="113">
        <v>1</v>
      </c>
      <c r="K183" s="106">
        <f t="shared" si="12"/>
        <v>5470.8333333333339</v>
      </c>
      <c r="L183" s="98"/>
      <c r="M183" s="110">
        <f t="shared" si="13"/>
        <v>31.512000000000004</v>
      </c>
    </row>
    <row r="184" spans="1:13" s="107" customFormat="1" ht="15" customHeight="1">
      <c r="A184" s="100" t="str">
        <f>VLOOKUP(C184,Abstract!$E$4:$M$62,9,0)</f>
        <v>No Sales</v>
      </c>
      <c r="B184" s="95" t="s">
        <v>194</v>
      </c>
      <c r="C184" s="118" t="s">
        <v>24</v>
      </c>
      <c r="D184" s="101" t="s">
        <v>25</v>
      </c>
      <c r="E184" s="99" t="s">
        <v>256</v>
      </c>
      <c r="F184" s="95"/>
      <c r="G184" s="109">
        <f>G178</f>
        <v>12500</v>
      </c>
      <c r="H184" s="103">
        <v>0.04</v>
      </c>
      <c r="I184" s="119"/>
      <c r="J184" s="113">
        <v>1</v>
      </c>
      <c r="K184" s="106">
        <f t="shared" si="12"/>
        <v>500</v>
      </c>
      <c r="L184" s="98"/>
      <c r="M184" s="110">
        <f t="shared" si="13"/>
        <v>2.88</v>
      </c>
    </row>
    <row r="185" spans="1:13" s="107" customFormat="1" ht="15" customHeight="1">
      <c r="A185" s="100" t="str">
        <f>VLOOKUP(C185,Abstract!$E$4:$M$62,9,0)</f>
        <v>No Sales</v>
      </c>
      <c r="B185" s="95" t="s">
        <v>194</v>
      </c>
      <c r="C185" s="118" t="s">
        <v>24</v>
      </c>
      <c r="D185" s="101" t="s">
        <v>25</v>
      </c>
      <c r="E185" s="99" t="s">
        <v>196</v>
      </c>
      <c r="F185" s="95"/>
      <c r="G185" s="109">
        <f>G178*24</f>
        <v>300000</v>
      </c>
      <c r="H185" s="114">
        <v>1.6999999999999999E-3</v>
      </c>
      <c r="I185" s="119"/>
      <c r="J185" s="113">
        <v>1</v>
      </c>
      <c r="K185" s="106">
        <f t="shared" ref="K185" si="14">+G185*H185*(1+I185)*J185</f>
        <v>510</v>
      </c>
      <c r="L185" s="98"/>
      <c r="M185" s="110">
        <f t="shared" si="13"/>
        <v>2.9375999999999998</v>
      </c>
    </row>
    <row r="186" spans="1:13" s="107" customFormat="1" ht="15" customHeight="1">
      <c r="A186" s="100" t="str">
        <f>VLOOKUP(C186,Abstract!$E$4:$M$62,9,0)</f>
        <v>No Sales</v>
      </c>
      <c r="B186" s="99" t="s">
        <v>197</v>
      </c>
      <c r="C186" s="118" t="s">
        <v>24</v>
      </c>
      <c r="D186" s="101" t="s">
        <v>25</v>
      </c>
      <c r="E186" s="99" t="s">
        <v>198</v>
      </c>
      <c r="F186" s="95"/>
      <c r="G186" s="109"/>
      <c r="H186" s="104"/>
      <c r="I186" s="100"/>
      <c r="J186" s="113"/>
      <c r="K186" s="106">
        <v>9000</v>
      </c>
      <c r="L186" s="98">
        <f>SUM(K155:K186)</f>
        <v>166758.55294799557</v>
      </c>
      <c r="M186" s="110">
        <f t="shared" si="13"/>
        <v>51.839999999999996</v>
      </c>
    </row>
    <row r="187" spans="1:13" s="107" customFormat="1" ht="15" customHeight="1">
      <c r="A187" s="100" t="str">
        <f>VLOOKUP(C187,Abstract!$E$4:$M$62,9,0)</f>
        <v>No Sales</v>
      </c>
      <c r="B187" s="95" t="s">
        <v>138</v>
      </c>
      <c r="C187" s="118" t="s">
        <v>26</v>
      </c>
      <c r="D187" s="101" t="s">
        <v>27</v>
      </c>
      <c r="E187" s="99" t="s">
        <v>139</v>
      </c>
      <c r="F187" s="102" t="s">
        <v>140</v>
      </c>
      <c r="G187" s="109">
        <v>733.76499999999987</v>
      </c>
      <c r="H187" s="104">
        <f>VLOOKUP($E187,'Stock statement'!$D$2:$P$384,13,)</f>
        <v>0.34</v>
      </c>
      <c r="I187" s="105">
        <v>2.5000000000000001E-2</v>
      </c>
      <c r="J187" s="116">
        <v>1.0249999999999999</v>
      </c>
      <c r="K187" s="106">
        <f t="shared" si="12"/>
        <v>262.1100300624999</v>
      </c>
      <c r="L187" s="98"/>
      <c r="M187" s="110">
        <f>K187/$G$209</f>
        <v>2.2017242525249996</v>
      </c>
    </row>
    <row r="188" spans="1:13" s="107" customFormat="1" ht="15" customHeight="1">
      <c r="A188" s="100" t="str">
        <f>VLOOKUP(C188,Abstract!$E$4:$M$62,9,0)</f>
        <v>No Sales</v>
      </c>
      <c r="B188" s="95" t="s">
        <v>138</v>
      </c>
      <c r="C188" s="118" t="s">
        <v>26</v>
      </c>
      <c r="D188" s="101" t="s">
        <v>27</v>
      </c>
      <c r="E188" s="99" t="s">
        <v>141</v>
      </c>
      <c r="F188" s="108" t="s">
        <v>142</v>
      </c>
      <c r="G188" s="109">
        <v>185.7</v>
      </c>
      <c r="H188" s="104">
        <f>VLOOKUP($E188,'Stock statement'!$D$2:$P$384,13,)</f>
        <v>94.278330452007026</v>
      </c>
      <c r="I188" s="105">
        <v>2.5000000000000001E-2</v>
      </c>
      <c r="J188" s="116">
        <v>1.0249999999999999</v>
      </c>
      <c r="K188" s="106">
        <f t="shared" si="12"/>
        <v>18393.80244191267</v>
      </c>
      <c r="L188" s="98"/>
      <c r="M188" s="110">
        <f t="shared" ref="M188:M218" si="15">K188/$G$209</f>
        <v>154.50794051206645</v>
      </c>
    </row>
    <row r="189" spans="1:13" s="107" customFormat="1" ht="15" customHeight="1">
      <c r="A189" s="100" t="str">
        <f>VLOOKUP(C189,Abstract!$E$4:$M$62,9,0)</f>
        <v>No Sales</v>
      </c>
      <c r="B189" s="95" t="s">
        <v>138</v>
      </c>
      <c r="C189" s="118" t="s">
        <v>26</v>
      </c>
      <c r="D189" s="101" t="s">
        <v>27</v>
      </c>
      <c r="E189" s="99" t="s">
        <v>145</v>
      </c>
      <c r="F189" s="102" t="s">
        <v>146</v>
      </c>
      <c r="G189" s="109">
        <v>10</v>
      </c>
      <c r="H189" s="104">
        <f>VLOOKUP($E189,'Stock statement'!$D$2:$P$384,13,)</f>
        <v>151.08681180977209</v>
      </c>
      <c r="I189" s="105">
        <v>2.5000000000000001E-2</v>
      </c>
      <c r="J189" s="116">
        <v>1.0249999999999999</v>
      </c>
      <c r="K189" s="106">
        <f t="shared" si="12"/>
        <v>1587.3558165764177</v>
      </c>
      <c r="L189" s="98"/>
      <c r="M189" s="110">
        <f t="shared" si="15"/>
        <v>13.33378885924191</v>
      </c>
    </row>
    <row r="190" spans="1:13" s="107" customFormat="1" ht="15" customHeight="1">
      <c r="A190" s="100" t="str">
        <f>VLOOKUP(C190,Abstract!$E$4:$M$62,9,0)</f>
        <v>No Sales</v>
      </c>
      <c r="B190" s="95" t="s">
        <v>138</v>
      </c>
      <c r="C190" s="118" t="s">
        <v>26</v>
      </c>
      <c r="D190" s="101" t="s">
        <v>27</v>
      </c>
      <c r="E190" s="99" t="s">
        <v>149</v>
      </c>
      <c r="F190" s="95" t="s">
        <v>150</v>
      </c>
      <c r="G190" s="109">
        <v>0.125</v>
      </c>
      <c r="H190" s="104">
        <f>VLOOKUP($E190,'Stock statement'!$D$2:$P$384,13,)</f>
        <v>161.56941474217822</v>
      </c>
      <c r="I190" s="105">
        <v>2.5000000000000001E-2</v>
      </c>
      <c r="J190" s="116">
        <v>1.0249999999999999</v>
      </c>
      <c r="K190" s="106">
        <f t="shared" si="12"/>
        <v>21.218608295437623</v>
      </c>
      <c r="L190" s="98"/>
      <c r="M190" s="110">
        <f t="shared" si="15"/>
        <v>0.17823630968167606</v>
      </c>
    </row>
    <row r="191" spans="1:13" s="107" customFormat="1" ht="15" customHeight="1">
      <c r="A191" s="100" t="str">
        <f>VLOOKUP(C191,Abstract!$E$4:$M$62,9,0)</f>
        <v>No Sales</v>
      </c>
      <c r="B191" s="95" t="s">
        <v>138</v>
      </c>
      <c r="C191" s="118" t="s">
        <v>26</v>
      </c>
      <c r="D191" s="101" t="s">
        <v>27</v>
      </c>
      <c r="E191" s="99" t="s">
        <v>151</v>
      </c>
      <c r="F191" s="95" t="s">
        <v>152</v>
      </c>
      <c r="G191" s="109">
        <v>2.5</v>
      </c>
      <c r="H191" s="104">
        <f>VLOOKUP($E191,'Stock statement'!$D$2:$P$384,13,)</f>
        <v>762.38931335604309</v>
      </c>
      <c r="I191" s="105">
        <v>2.5000000000000001E-2</v>
      </c>
      <c r="J191" s="116">
        <v>1.0249999999999999</v>
      </c>
      <c r="K191" s="106">
        <f t="shared" si="12"/>
        <v>2002.4631808617316</v>
      </c>
      <c r="L191" s="98"/>
      <c r="M191" s="110">
        <f t="shared" si="15"/>
        <v>16.820690719238549</v>
      </c>
    </row>
    <row r="192" spans="1:13" s="107" customFormat="1" ht="15" customHeight="1">
      <c r="A192" s="100" t="str">
        <f>VLOOKUP(C192,Abstract!$E$4:$M$62,9,0)</f>
        <v>No Sales</v>
      </c>
      <c r="B192" s="95" t="s">
        <v>138</v>
      </c>
      <c r="C192" s="118" t="s">
        <v>26</v>
      </c>
      <c r="D192" s="101" t="s">
        <v>27</v>
      </c>
      <c r="E192" s="99" t="s">
        <v>157</v>
      </c>
      <c r="F192" s="102" t="s">
        <v>158</v>
      </c>
      <c r="G192" s="109">
        <v>1</v>
      </c>
      <c r="H192" s="104">
        <f>VLOOKUP($E192,'Stock statement'!$D$2:$P$384,13,)</f>
        <v>828.81974703846117</v>
      </c>
      <c r="I192" s="105">
        <v>2.5000000000000001E-2</v>
      </c>
      <c r="J192" s="116">
        <v>1.0249999999999999</v>
      </c>
      <c r="K192" s="106">
        <f t="shared" si="12"/>
        <v>870.77874673228314</v>
      </c>
      <c r="L192" s="98"/>
      <c r="M192" s="110">
        <f t="shared" si="15"/>
        <v>7.3145414725511788</v>
      </c>
    </row>
    <row r="193" spans="1:13" s="107" customFormat="1" ht="15" customHeight="1">
      <c r="A193" s="100" t="str">
        <f>VLOOKUP(C193,Abstract!$E$4:$M$62,9,0)</f>
        <v>No Sales</v>
      </c>
      <c r="B193" s="95" t="s">
        <v>138</v>
      </c>
      <c r="C193" s="118" t="s">
        <v>26</v>
      </c>
      <c r="D193" s="101" t="s">
        <v>27</v>
      </c>
      <c r="E193" s="157">
        <v>115150</v>
      </c>
      <c r="F193" s="36" t="s">
        <v>159</v>
      </c>
      <c r="G193" s="109">
        <v>1</v>
      </c>
      <c r="H193" s="104">
        <f>VLOOKUP($E193,'Stock statement'!$D$2:$P$384,13,)</f>
        <v>456.30699446392703</v>
      </c>
      <c r="I193" s="105">
        <v>2.5000000000000001E-2</v>
      </c>
      <c r="J193" s="116">
        <v>1.0249999999999999</v>
      </c>
      <c r="K193" s="106">
        <f t="shared" si="12"/>
        <v>479.40753605866325</v>
      </c>
      <c r="L193" s="98"/>
      <c r="M193" s="110">
        <f t="shared" si="15"/>
        <v>4.027023302892772</v>
      </c>
    </row>
    <row r="194" spans="1:13" s="107" customFormat="1" ht="15" customHeight="1">
      <c r="A194" s="100" t="str">
        <f>VLOOKUP(C194,Abstract!$E$4:$M$62,9,0)</f>
        <v>No Sales</v>
      </c>
      <c r="B194" s="95" t="s">
        <v>138</v>
      </c>
      <c r="C194" s="118" t="s">
        <v>26</v>
      </c>
      <c r="D194" s="101" t="s">
        <v>27</v>
      </c>
      <c r="E194" s="99" t="s">
        <v>160</v>
      </c>
      <c r="F194" s="108" t="s">
        <v>161</v>
      </c>
      <c r="G194" s="109">
        <v>0.25</v>
      </c>
      <c r="H194" s="104">
        <f>VLOOKUP($E194,'Stock statement'!$D$2:$P$384,13,)</f>
        <v>3313.2387673094586</v>
      </c>
      <c r="I194" s="105">
        <v>2.5000000000000001E-2</v>
      </c>
      <c r="J194" s="116">
        <v>1.0249999999999999</v>
      </c>
      <c r="K194" s="106">
        <f t="shared" si="12"/>
        <v>870.24286997612489</v>
      </c>
      <c r="L194" s="98"/>
      <c r="M194" s="110">
        <f t="shared" si="15"/>
        <v>7.3100401077994501</v>
      </c>
    </row>
    <row r="195" spans="1:13" s="107" customFormat="1" ht="15" customHeight="1">
      <c r="A195" s="100" t="str">
        <f>VLOOKUP(C195,Abstract!$E$4:$M$62,9,0)</f>
        <v>No Sales</v>
      </c>
      <c r="B195" s="95" t="s">
        <v>138</v>
      </c>
      <c r="C195" s="118" t="s">
        <v>26</v>
      </c>
      <c r="D195" s="101" t="s">
        <v>27</v>
      </c>
      <c r="E195" s="99" t="s">
        <v>143</v>
      </c>
      <c r="F195" s="108" t="s">
        <v>144</v>
      </c>
      <c r="G195" s="109">
        <v>5</v>
      </c>
      <c r="H195" s="104">
        <f>VLOOKUP($E195,'Stock statement'!$D$2:$P$384,13,)</f>
        <v>178.57970547017939</v>
      </c>
      <c r="I195" s="105">
        <v>2.5000000000000001E-2</v>
      </c>
      <c r="J195" s="116">
        <v>1.0249999999999999</v>
      </c>
      <c r="K195" s="106">
        <f t="shared" si="12"/>
        <v>938.10151529803602</v>
      </c>
      <c r="L195" s="98"/>
      <c r="M195" s="110">
        <f t="shared" si="15"/>
        <v>7.8800527285035029</v>
      </c>
    </row>
    <row r="196" spans="1:13" s="107" customFormat="1" ht="15" customHeight="1">
      <c r="A196" s="100" t="str">
        <f>VLOOKUP(C196,Abstract!$E$4:$M$62,9,0)</f>
        <v>No Sales</v>
      </c>
      <c r="B196" s="95" t="s">
        <v>138</v>
      </c>
      <c r="C196" s="118" t="s">
        <v>26</v>
      </c>
      <c r="D196" s="101" t="s">
        <v>27</v>
      </c>
      <c r="E196" s="99" t="s">
        <v>166</v>
      </c>
      <c r="F196" s="95" t="s">
        <v>167</v>
      </c>
      <c r="G196" s="109">
        <v>2.5</v>
      </c>
      <c r="H196" s="104">
        <f>VLOOKUP($E196,'Stock statement'!$D$2:$P$384,13,)</f>
        <v>127.15913438761541</v>
      </c>
      <c r="I196" s="105">
        <v>2.5000000000000001E-2</v>
      </c>
      <c r="J196" s="116">
        <v>1.0249999999999999</v>
      </c>
      <c r="K196" s="106">
        <f t="shared" si="12"/>
        <v>333.99141391497102</v>
      </c>
      <c r="L196" s="98"/>
      <c r="M196" s="110">
        <f t="shared" si="15"/>
        <v>2.805527876885757</v>
      </c>
    </row>
    <row r="197" spans="1:13" s="107" customFormat="1" ht="15" customHeight="1">
      <c r="A197" s="100" t="str">
        <f>VLOOKUP(C197,Abstract!$E$4:$M$62,9,0)</f>
        <v>No Sales</v>
      </c>
      <c r="B197" s="95" t="s">
        <v>138</v>
      </c>
      <c r="C197" s="118" t="s">
        <v>26</v>
      </c>
      <c r="D197" s="101" t="s">
        <v>27</v>
      </c>
      <c r="E197" s="99" t="s">
        <v>209</v>
      </c>
      <c r="F197" s="99" t="s">
        <v>210</v>
      </c>
      <c r="G197" s="109">
        <v>20</v>
      </c>
      <c r="H197" s="104">
        <f>VLOOKUP($E197,'Stock statement'!$D$2:$P$384,13,)</f>
        <v>220.67282625366343</v>
      </c>
      <c r="I197" s="105">
        <v>2.5000000000000001E-2</v>
      </c>
      <c r="J197" s="116">
        <v>1.0249999999999999</v>
      </c>
      <c r="K197" s="106">
        <f t="shared" si="12"/>
        <v>4636.8877616551026</v>
      </c>
      <c r="L197" s="98"/>
      <c r="M197" s="110">
        <f t="shared" si="15"/>
        <v>38.949857197902865</v>
      </c>
    </row>
    <row r="198" spans="1:13" s="107" customFormat="1" ht="15" customHeight="1">
      <c r="A198" s="100" t="str">
        <f>VLOOKUP(C198,Abstract!$E$4:$M$62,9,0)</f>
        <v>No Sales</v>
      </c>
      <c r="B198" s="95" t="s">
        <v>138</v>
      </c>
      <c r="C198" s="118" t="s">
        <v>26</v>
      </c>
      <c r="D198" s="101" t="s">
        <v>27</v>
      </c>
      <c r="E198" s="99" t="s">
        <v>153</v>
      </c>
      <c r="F198" s="95" t="s">
        <v>154</v>
      </c>
      <c r="G198" s="109">
        <v>0.75</v>
      </c>
      <c r="H198" s="104">
        <f>VLOOKUP($E198,'Stock statement'!$D$2:$P$384,13,)</f>
        <v>84.206363687840948</v>
      </c>
      <c r="I198" s="105">
        <v>2.5000000000000001E-2</v>
      </c>
      <c r="J198" s="116">
        <v>1.0249999999999999</v>
      </c>
      <c r="K198" s="106">
        <f t="shared" si="12"/>
        <v>66.351983137153411</v>
      </c>
      <c r="L198" s="98"/>
      <c r="M198" s="110">
        <f t="shared" si="15"/>
        <v>0.5573566583520887</v>
      </c>
    </row>
    <row r="199" spans="1:13" s="107" customFormat="1" ht="15" customHeight="1">
      <c r="A199" s="100" t="str">
        <f>VLOOKUP(C199,Abstract!$E$4:$M$62,9,0)</f>
        <v>No Sales</v>
      </c>
      <c r="B199" s="95" t="s">
        <v>138</v>
      </c>
      <c r="C199" s="118" t="s">
        <v>26</v>
      </c>
      <c r="D199" s="101" t="s">
        <v>27</v>
      </c>
      <c r="E199" s="99" t="s">
        <v>147</v>
      </c>
      <c r="F199" s="95" t="s">
        <v>148</v>
      </c>
      <c r="G199" s="109">
        <v>1</v>
      </c>
      <c r="H199" s="104">
        <f>VLOOKUP($E199,'Stock statement'!$D$2:$P$384,13,)</f>
        <v>353.50950483838068</v>
      </c>
      <c r="I199" s="105">
        <v>2.5000000000000001E-2</v>
      </c>
      <c r="J199" s="116">
        <v>1.0249999999999999</v>
      </c>
      <c r="K199" s="106">
        <f t="shared" si="12"/>
        <v>371.40592352082365</v>
      </c>
      <c r="L199" s="98"/>
      <c r="M199" s="110">
        <f t="shared" si="15"/>
        <v>3.1198097575749189</v>
      </c>
    </row>
    <row r="200" spans="1:13" s="107" customFormat="1" ht="15" customHeight="1">
      <c r="A200" s="100" t="str">
        <f>VLOOKUP(C200,Abstract!$E$4:$M$62,9,0)</f>
        <v>No Sales</v>
      </c>
      <c r="B200" s="95" t="s">
        <v>138</v>
      </c>
      <c r="C200" s="118" t="s">
        <v>26</v>
      </c>
      <c r="D200" s="101" t="s">
        <v>27</v>
      </c>
      <c r="E200" s="99" t="s">
        <v>257</v>
      </c>
      <c r="F200" s="95" t="s">
        <v>258</v>
      </c>
      <c r="G200" s="109">
        <v>0.1</v>
      </c>
      <c r="H200" s="104">
        <f>VLOOKUP($E200,'Stock statement'!$D$2:$P$384,13,)</f>
        <v>1031.4407683596341</v>
      </c>
      <c r="I200" s="105">
        <v>2.5000000000000001E-2</v>
      </c>
      <c r="J200" s="116">
        <v>1.0249999999999999</v>
      </c>
      <c r="K200" s="106">
        <f t="shared" si="12"/>
        <v>108.36574572578405</v>
      </c>
      <c r="L200" s="98"/>
      <c r="M200" s="110">
        <f t="shared" si="15"/>
        <v>0.91027226409658613</v>
      </c>
    </row>
    <row r="201" spans="1:13" s="107" customFormat="1" ht="15" customHeight="1">
      <c r="A201" s="100" t="str">
        <f>VLOOKUP(C201,Abstract!$E$4:$M$62,9,0)</f>
        <v>No Sales</v>
      </c>
      <c r="B201" s="95" t="s">
        <v>138</v>
      </c>
      <c r="C201" s="118" t="s">
        <v>26</v>
      </c>
      <c r="D201" s="101" t="s">
        <v>27</v>
      </c>
      <c r="E201" s="99" t="s">
        <v>177</v>
      </c>
      <c r="F201" s="95" t="s">
        <v>178</v>
      </c>
      <c r="G201" s="109">
        <v>0.1</v>
      </c>
      <c r="H201" s="104">
        <f>VLOOKUP($E201,'Stock statement'!$D$2:$P$384,13,)</f>
        <v>195.29212473407105</v>
      </c>
      <c r="I201" s="105">
        <v>2.5000000000000001E-2</v>
      </c>
      <c r="J201" s="116">
        <v>1.0249999999999999</v>
      </c>
      <c r="K201" s="106">
        <f t="shared" si="12"/>
        <v>20.517878854873334</v>
      </c>
      <c r="L201" s="98"/>
      <c r="M201" s="110">
        <f t="shared" si="15"/>
        <v>0.17235018238093602</v>
      </c>
    </row>
    <row r="202" spans="1:13" s="107" customFormat="1" ht="15" customHeight="1">
      <c r="A202" s="100" t="str">
        <f>VLOOKUP(C202,Abstract!$E$4:$M$62,9,0)</f>
        <v>No Sales</v>
      </c>
      <c r="B202" s="95" t="s">
        <v>138</v>
      </c>
      <c r="C202" s="118" t="s">
        <v>26</v>
      </c>
      <c r="D202" s="101" t="s">
        <v>27</v>
      </c>
      <c r="E202" s="99" t="s">
        <v>217</v>
      </c>
      <c r="F202" s="99" t="s">
        <v>218</v>
      </c>
      <c r="G202" s="109">
        <v>0.1</v>
      </c>
      <c r="H202" s="104">
        <f>VLOOKUP($E202,'Stock statement'!$D$2:$P$384,13,)</f>
        <v>910.5767983004796</v>
      </c>
      <c r="I202" s="105">
        <v>2.5000000000000001E-2</v>
      </c>
      <c r="J202" s="116">
        <v>1.0249999999999999</v>
      </c>
      <c r="K202" s="106">
        <f t="shared" si="12"/>
        <v>95.667474871444114</v>
      </c>
      <c r="L202" s="98"/>
      <c r="M202" s="110">
        <f t="shared" si="15"/>
        <v>0.8036067889201306</v>
      </c>
    </row>
    <row r="203" spans="1:13" s="107" customFormat="1" ht="15" customHeight="1">
      <c r="A203" s="100" t="str">
        <f>VLOOKUP(C203,Abstract!$E$4:$M$62,9,0)</f>
        <v>No Sales</v>
      </c>
      <c r="B203" s="95" t="s">
        <v>138</v>
      </c>
      <c r="C203" s="118" t="s">
        <v>26</v>
      </c>
      <c r="D203" s="101" t="s">
        <v>27</v>
      </c>
      <c r="E203" s="99" t="s">
        <v>259</v>
      </c>
      <c r="F203" s="99" t="s">
        <v>260</v>
      </c>
      <c r="G203" s="109">
        <v>0.06</v>
      </c>
      <c r="H203" s="104">
        <f>VLOOKUP($E203,'Stock statement'!$D$2:$P$384,13,)</f>
        <v>894.46244467712404</v>
      </c>
      <c r="I203" s="105">
        <v>2.5000000000000001E-2</v>
      </c>
      <c r="J203" s="116">
        <v>1.0249999999999999</v>
      </c>
      <c r="K203" s="106">
        <f t="shared" si="12"/>
        <v>56.384676356334197</v>
      </c>
      <c r="L203" s="98"/>
      <c r="M203" s="110">
        <f t="shared" si="15"/>
        <v>0.47363128139320732</v>
      </c>
    </row>
    <row r="204" spans="1:13" s="107" customFormat="1" ht="15" customHeight="1">
      <c r="A204" s="100" t="str">
        <f>VLOOKUP(C204,Abstract!$E$4:$M$62,9,0)</f>
        <v>No Sales</v>
      </c>
      <c r="B204" s="95" t="s">
        <v>138</v>
      </c>
      <c r="C204" s="118" t="s">
        <v>26</v>
      </c>
      <c r="D204" s="101" t="s">
        <v>27</v>
      </c>
      <c r="E204" s="99" t="s">
        <v>155</v>
      </c>
      <c r="F204" s="95" t="s">
        <v>156</v>
      </c>
      <c r="G204" s="109">
        <v>15</v>
      </c>
      <c r="H204" s="104">
        <f>VLOOKUP($E204,'Stock statement'!$D$2:$P$384,13,)</f>
        <v>68.308211638055738</v>
      </c>
      <c r="I204" s="105">
        <v>2.5000000000000001E-2</v>
      </c>
      <c r="J204" s="116">
        <v>1.0249999999999999</v>
      </c>
      <c r="K204" s="106">
        <f t="shared" si="12"/>
        <v>1076.4947227834843</v>
      </c>
      <c r="L204" s="98"/>
      <c r="M204" s="110">
        <f t="shared" si="15"/>
        <v>9.0425556713812689</v>
      </c>
    </row>
    <row r="205" spans="1:13" s="107" customFormat="1" ht="15" customHeight="1">
      <c r="A205" s="100" t="str">
        <f>VLOOKUP(C205,Abstract!$E$4:$M$62,9,0)</f>
        <v>No Sales</v>
      </c>
      <c r="B205" s="95" t="s">
        <v>138</v>
      </c>
      <c r="C205" s="118" t="s">
        <v>26</v>
      </c>
      <c r="D205" s="101" t="s">
        <v>27</v>
      </c>
      <c r="E205" s="99" t="s">
        <v>261</v>
      </c>
      <c r="F205" s="95" t="s">
        <v>262</v>
      </c>
      <c r="G205" s="109">
        <v>2.5</v>
      </c>
      <c r="H205" s="104">
        <f>VLOOKUP($E205,'Stock statement'!$D$2:$P$384,13,)</f>
        <v>0</v>
      </c>
      <c r="I205" s="105">
        <v>2.5000000000000001E-2</v>
      </c>
      <c r="J205" s="116">
        <v>1.0249999999999999</v>
      </c>
      <c r="K205" s="106">
        <f t="shared" si="12"/>
        <v>0</v>
      </c>
      <c r="L205" s="98"/>
      <c r="M205" s="110">
        <f t="shared" si="15"/>
        <v>0</v>
      </c>
    </row>
    <row r="206" spans="1:13" s="107" customFormat="1" ht="15" customHeight="1">
      <c r="A206" s="100" t="str">
        <f>VLOOKUP(C206,Abstract!$E$4:$M$62,9,0)</f>
        <v>No Sales</v>
      </c>
      <c r="B206" s="95" t="s">
        <v>138</v>
      </c>
      <c r="C206" s="118" t="s">
        <v>26</v>
      </c>
      <c r="D206" s="101" t="s">
        <v>27</v>
      </c>
      <c r="E206" s="99" t="s">
        <v>263</v>
      </c>
      <c r="F206" s="95" t="s">
        <v>264</v>
      </c>
      <c r="G206" s="109">
        <v>6</v>
      </c>
      <c r="H206" s="104">
        <f>VLOOKUP($E206,'Stock statement'!$D$2:$P$384,13,)</f>
        <v>727.3911741078939</v>
      </c>
      <c r="I206" s="105">
        <v>2.5000000000000001E-2</v>
      </c>
      <c r="J206" s="116">
        <v>1.0249999999999999</v>
      </c>
      <c r="K206" s="106">
        <f t="shared" si="12"/>
        <v>4585.2921137826361</v>
      </c>
      <c r="L206" s="98"/>
      <c r="M206" s="110">
        <f t="shared" si="15"/>
        <v>38.516453755774144</v>
      </c>
    </row>
    <row r="207" spans="1:13" s="107" customFormat="1" ht="15" customHeight="1">
      <c r="A207" s="100" t="str">
        <f>VLOOKUP(C207,Abstract!$E$4:$M$62,9,0)</f>
        <v>No Sales</v>
      </c>
      <c r="B207" s="95" t="s">
        <v>138</v>
      </c>
      <c r="C207" s="118" t="s">
        <v>26</v>
      </c>
      <c r="D207" s="101" t="s">
        <v>27</v>
      </c>
      <c r="E207" s="99" t="s">
        <v>173</v>
      </c>
      <c r="F207" s="95" t="s">
        <v>174</v>
      </c>
      <c r="G207" s="109">
        <v>0.05</v>
      </c>
      <c r="H207" s="104">
        <f>VLOOKUP($E207,'Stock statement'!$D$2:$P$384,13,)</f>
        <v>555.2517156766155</v>
      </c>
      <c r="I207" s="105">
        <v>2.5000000000000001E-2</v>
      </c>
      <c r="J207" s="116">
        <v>1.0249999999999999</v>
      </c>
      <c r="K207" s="106">
        <f t="shared" si="12"/>
        <v>29.168066689137202</v>
      </c>
      <c r="L207" s="98"/>
      <c r="M207" s="110">
        <f t="shared" si="15"/>
        <v>0.24501176018875251</v>
      </c>
    </row>
    <row r="208" spans="1:13" s="107" customFormat="1" ht="15" customHeight="1">
      <c r="A208" s="100" t="str">
        <f>VLOOKUP(C208,Abstract!$E$4:$M$62,9,0)</f>
        <v>No Sales</v>
      </c>
      <c r="B208" s="95" t="s">
        <v>138</v>
      </c>
      <c r="C208" s="118" t="s">
        <v>26</v>
      </c>
      <c r="D208" s="101" t="s">
        <v>27</v>
      </c>
      <c r="E208" s="99" t="s">
        <v>181</v>
      </c>
      <c r="F208" s="102" t="s">
        <v>182</v>
      </c>
      <c r="G208" s="109">
        <v>12.5</v>
      </c>
      <c r="H208" s="104">
        <f>VLOOKUP($E208,'Stock statement'!$D$2:$P$384,13,)</f>
        <v>17.110276913020375</v>
      </c>
      <c r="I208" s="105">
        <v>2.5000000000000001E-2</v>
      </c>
      <c r="J208" s="116">
        <v>1.0249999999999999</v>
      </c>
      <c r="K208" s="106">
        <f t="shared" si="12"/>
        <v>224.70605852177536</v>
      </c>
      <c r="L208" s="98"/>
      <c r="M208" s="110">
        <f t="shared" si="15"/>
        <v>1.8875308915829132</v>
      </c>
    </row>
    <row r="209" spans="1:13" s="107" customFormat="1" ht="15" customHeight="1">
      <c r="A209" s="100" t="str">
        <f>VLOOKUP(C209,Abstract!$E$4:$M$62,9,0)</f>
        <v>No Sales</v>
      </c>
      <c r="B209" s="99" t="s">
        <v>183</v>
      </c>
      <c r="C209" s="118" t="s">
        <v>26</v>
      </c>
      <c r="D209" s="101" t="s">
        <v>27</v>
      </c>
      <c r="E209" s="99" t="s">
        <v>265</v>
      </c>
      <c r="F209" s="95" t="s">
        <v>266</v>
      </c>
      <c r="G209" s="109">
        <v>119.04761904761904</v>
      </c>
      <c r="H209" s="104">
        <f>VLOOKUP($E209,'Stock statement'!$D$2:$P$384,13,)</f>
        <v>26.824390815370194</v>
      </c>
      <c r="I209" s="112">
        <v>6.0000000000000001E-3</v>
      </c>
      <c r="J209" s="113">
        <v>1</v>
      </c>
      <c r="K209" s="106">
        <f t="shared" si="12"/>
        <v>3212.5401381264774</v>
      </c>
      <c r="L209" s="98"/>
      <c r="M209" s="110">
        <f t="shared" si="15"/>
        <v>26.985337160262411</v>
      </c>
    </row>
    <row r="210" spans="1:13" s="107" customFormat="1" ht="15" customHeight="1">
      <c r="A210" s="100" t="str">
        <f>VLOOKUP(C210,Abstract!$E$4:$M$62,9,0)</f>
        <v>No Sales</v>
      </c>
      <c r="B210" s="99" t="s">
        <v>183</v>
      </c>
      <c r="C210" s="118" t="s">
        <v>26</v>
      </c>
      <c r="D210" s="101" t="s">
        <v>27</v>
      </c>
      <c r="E210" s="99" t="s">
        <v>267</v>
      </c>
      <c r="F210" s="95" t="s">
        <v>268</v>
      </c>
      <c r="G210" s="109">
        <v>5714.2857142857138</v>
      </c>
      <c r="H210" s="104">
        <f>VLOOKUP($E210,'Stock statement'!$D$2:$P$384,13,)</f>
        <v>4.0504226563082311</v>
      </c>
      <c r="I210" s="112">
        <v>6.0000000000000001E-3</v>
      </c>
      <c r="J210" s="113">
        <v>1</v>
      </c>
      <c r="K210" s="106">
        <f t="shared" si="12"/>
        <v>23284.143955691885</v>
      </c>
      <c r="L210" s="98"/>
      <c r="M210" s="110">
        <f t="shared" si="15"/>
        <v>195.58680922781184</v>
      </c>
    </row>
    <row r="211" spans="1:13" s="107" customFormat="1" ht="15" customHeight="1">
      <c r="A211" s="100" t="str">
        <f>VLOOKUP(C211,Abstract!$E$4:$M$62,9,0)</f>
        <v>No Sales</v>
      </c>
      <c r="B211" s="99" t="s">
        <v>183</v>
      </c>
      <c r="C211" s="118" t="s">
        <v>26</v>
      </c>
      <c r="D211" s="101" t="s">
        <v>27</v>
      </c>
      <c r="E211" s="99" t="s">
        <v>269</v>
      </c>
      <c r="F211" s="95" t="s">
        <v>270</v>
      </c>
      <c r="G211" s="109">
        <v>5714.2857142857138</v>
      </c>
      <c r="H211" s="104">
        <f>VLOOKUP($E211,'Stock statement'!$D$2:$P$384,13,)</f>
        <v>3.5590061241147728</v>
      </c>
      <c r="I211" s="112">
        <v>6.0000000000000001E-3</v>
      </c>
      <c r="J211" s="113">
        <v>1</v>
      </c>
      <c r="K211" s="106">
        <f t="shared" si="12"/>
        <v>20459.200919196919</v>
      </c>
      <c r="L211" s="98"/>
      <c r="M211" s="110">
        <f t="shared" si="15"/>
        <v>171.85728772125412</v>
      </c>
    </row>
    <row r="212" spans="1:13" s="107" customFormat="1" ht="15" customHeight="1">
      <c r="A212" s="100" t="str">
        <f>VLOOKUP(C212,Abstract!$E$4:$M$62,9,0)</f>
        <v>No Sales</v>
      </c>
      <c r="B212" s="99" t="s">
        <v>183</v>
      </c>
      <c r="C212" s="118" t="s">
        <v>26</v>
      </c>
      <c r="D212" s="101" t="s">
        <v>27</v>
      </c>
      <c r="E212" s="99" t="s">
        <v>271</v>
      </c>
      <c r="F212" s="95" t="s">
        <v>272</v>
      </c>
      <c r="G212" s="109">
        <v>5714.2857142857138</v>
      </c>
      <c r="H212" s="104">
        <f>VLOOKUP($E212,'Stock statement'!$D$2:$P$384,13,)</f>
        <v>1.8057114032233634</v>
      </c>
      <c r="I212" s="105">
        <v>0.02</v>
      </c>
      <c r="J212" s="113">
        <v>1</v>
      </c>
      <c r="K212" s="106">
        <f t="shared" si="12"/>
        <v>10524.717893073317</v>
      </c>
      <c r="L212" s="98"/>
      <c r="M212" s="110">
        <f t="shared" si="15"/>
        <v>88.407630301815871</v>
      </c>
    </row>
    <row r="213" spans="1:13" s="107" customFormat="1" ht="15" customHeight="1">
      <c r="A213" s="100" t="str">
        <f>VLOOKUP(C213,Abstract!$E$4:$M$62,9,0)</f>
        <v>No Sales</v>
      </c>
      <c r="B213" s="99" t="s">
        <v>183</v>
      </c>
      <c r="C213" s="118" t="s">
        <v>26</v>
      </c>
      <c r="D213" s="101" t="s">
        <v>27</v>
      </c>
      <c r="E213" s="99" t="s">
        <v>273</v>
      </c>
      <c r="F213" s="95" t="s">
        <v>274</v>
      </c>
      <c r="G213" s="109">
        <v>5714.2857142857138</v>
      </c>
      <c r="H213" s="104">
        <f>VLOOKUP($E213,'Stock statement'!$D$2:$P$384,13,)</f>
        <v>1.5081897488876137</v>
      </c>
      <c r="I213" s="105">
        <v>0.02</v>
      </c>
      <c r="J213" s="113">
        <v>1</v>
      </c>
      <c r="K213" s="106">
        <f t="shared" si="12"/>
        <v>8790.5916792306616</v>
      </c>
      <c r="L213" s="98"/>
      <c r="M213" s="110">
        <f t="shared" si="15"/>
        <v>73.840970105537565</v>
      </c>
    </row>
    <row r="214" spans="1:13" s="107" customFormat="1" ht="15" customHeight="1">
      <c r="A214" s="100" t="str">
        <f>VLOOKUP(C214,Abstract!$E$4:$M$62,9,0)</f>
        <v>No Sales</v>
      </c>
      <c r="B214" s="99" t="s">
        <v>183</v>
      </c>
      <c r="C214" s="118" t="s">
        <v>26</v>
      </c>
      <c r="D214" s="101" t="s">
        <v>27</v>
      </c>
      <c r="E214" s="99" t="s">
        <v>191</v>
      </c>
      <c r="F214" s="95" t="s">
        <v>192</v>
      </c>
      <c r="G214" s="109">
        <v>2.9761904761904763</v>
      </c>
      <c r="H214" s="104">
        <f>VLOOKUP($E214,'Stock statement'!$D$2:$P$384,13,)</f>
        <v>44.985440769279101</v>
      </c>
      <c r="I214" s="112">
        <v>0.02</v>
      </c>
      <c r="J214" s="113">
        <v>1</v>
      </c>
      <c r="K214" s="106">
        <f t="shared" si="12"/>
        <v>136.56294519245444</v>
      </c>
      <c r="L214" s="98"/>
      <c r="M214" s="110">
        <f t="shared" si="15"/>
        <v>1.1471287396166174</v>
      </c>
    </row>
    <row r="215" spans="1:13" s="107" customFormat="1" ht="15" customHeight="1">
      <c r="A215" s="100" t="str">
        <f>VLOOKUP(C215,Abstract!$E$4:$M$62,9,0)</f>
        <v>No Sales</v>
      </c>
      <c r="B215" s="99" t="s">
        <v>183</v>
      </c>
      <c r="C215" s="118" t="s">
        <v>26</v>
      </c>
      <c r="D215" s="101" t="s">
        <v>27</v>
      </c>
      <c r="E215" s="99" t="s">
        <v>275</v>
      </c>
      <c r="F215" s="95" t="s">
        <v>207</v>
      </c>
      <c r="G215" s="109">
        <v>952.38095238095229</v>
      </c>
      <c r="H215" s="104">
        <f>VLOOKUP($E215,'Stock statement'!$D$2:$P$384,13,)</f>
        <v>4.2025763620200998</v>
      </c>
      <c r="I215" s="112">
        <v>0.01</v>
      </c>
      <c r="J215" s="113">
        <v>1</v>
      </c>
      <c r="K215" s="106">
        <f t="shared" si="12"/>
        <v>4042.4782148955242</v>
      </c>
      <c r="L215" s="98"/>
      <c r="M215" s="110">
        <f t="shared" si="15"/>
        <v>33.956817005122403</v>
      </c>
    </row>
    <row r="216" spans="1:13" s="107" customFormat="1" ht="15" customHeight="1">
      <c r="A216" s="100" t="str">
        <f>VLOOKUP(C216,Abstract!$E$4:$M$62,9,0)</f>
        <v>No Sales</v>
      </c>
      <c r="B216" s="95" t="s">
        <v>194</v>
      </c>
      <c r="C216" s="118" t="s">
        <v>26</v>
      </c>
      <c r="D216" s="101" t="s">
        <v>27</v>
      </c>
      <c r="E216" s="99" t="s">
        <v>195</v>
      </c>
      <c r="F216" s="95"/>
      <c r="G216" s="109">
        <f>G210</f>
        <v>5714.2857142857138</v>
      </c>
      <c r="H216" s="103">
        <v>0.04</v>
      </c>
      <c r="I216" s="119"/>
      <c r="J216" s="113">
        <v>1</v>
      </c>
      <c r="K216" s="106">
        <f t="shared" si="12"/>
        <v>228.57142857142856</v>
      </c>
      <c r="L216" s="98"/>
      <c r="M216" s="110">
        <f t="shared" si="15"/>
        <v>1.92</v>
      </c>
    </row>
    <row r="217" spans="1:13" s="107" customFormat="1" ht="15" customHeight="1">
      <c r="A217" s="100" t="str">
        <f>VLOOKUP(C217,Abstract!$E$4:$M$62,9,0)</f>
        <v>No Sales</v>
      </c>
      <c r="B217" s="95" t="s">
        <v>194</v>
      </c>
      <c r="C217" s="118" t="s">
        <v>26</v>
      </c>
      <c r="D217" s="101" t="s">
        <v>27</v>
      </c>
      <c r="E217" s="99" t="s">
        <v>196</v>
      </c>
      <c r="F217" s="95"/>
      <c r="G217" s="109">
        <f>G216*24</f>
        <v>137142.85714285713</v>
      </c>
      <c r="H217" s="114">
        <v>1.6999999999999999E-3</v>
      </c>
      <c r="I217" s="119"/>
      <c r="J217" s="113">
        <v>1</v>
      </c>
      <c r="K217" s="106">
        <f t="shared" ref="K217" si="16">+G217*H217*(1+I217)*J217</f>
        <v>233.14285714285711</v>
      </c>
      <c r="L217" s="98"/>
      <c r="M217" s="110">
        <f t="shared" si="15"/>
        <v>1.9583999999999999</v>
      </c>
    </row>
    <row r="218" spans="1:13" s="107" customFormat="1" ht="15" customHeight="1">
      <c r="A218" s="100" t="str">
        <f>VLOOKUP(C218,Abstract!$E$4:$M$62,9,0)</f>
        <v>No Sales</v>
      </c>
      <c r="B218" s="99" t="s">
        <v>197</v>
      </c>
      <c r="C218" s="118" t="s">
        <v>26</v>
      </c>
      <c r="D218" s="101" t="s">
        <v>27</v>
      </c>
      <c r="E218" s="99" t="s">
        <v>198</v>
      </c>
      <c r="F218" s="95"/>
      <c r="G218" s="109"/>
      <c r="H218" s="104"/>
      <c r="I218" s="100"/>
      <c r="J218" s="113"/>
      <c r="K218" s="106">
        <v>9000</v>
      </c>
      <c r="L218" s="98">
        <f>SUM(K187:K218)</f>
        <v>116942.66459670893</v>
      </c>
      <c r="M218" s="110">
        <f t="shared" si="15"/>
        <v>75.600000000000009</v>
      </c>
    </row>
    <row r="219" spans="1:13" s="107" customFormat="1" ht="15" customHeight="1">
      <c r="A219" s="100" t="str">
        <f>VLOOKUP(C219,Abstract!$E$4:$M$62,9,0)</f>
        <v>ACTIVE</v>
      </c>
      <c r="B219" s="95" t="s">
        <v>138</v>
      </c>
      <c r="C219" s="118" t="s">
        <v>28</v>
      </c>
      <c r="D219" s="101" t="s">
        <v>29</v>
      </c>
      <c r="E219" s="99" t="s">
        <v>139</v>
      </c>
      <c r="F219" s="102" t="s">
        <v>140</v>
      </c>
      <c r="G219" s="109">
        <v>741.16</v>
      </c>
      <c r="H219" s="104">
        <f>VLOOKUP($E219,'Stock statement'!$D$2:$P$384,13,)</f>
        <v>0.34</v>
      </c>
      <c r="I219" s="105">
        <v>2.5000000000000001E-2</v>
      </c>
      <c r="J219" s="116">
        <v>1.0249999999999999</v>
      </c>
      <c r="K219" s="106">
        <f t="shared" ref="K219:K280" si="17">+G219*H219*(1+I219)*J219</f>
        <v>264.75161650000001</v>
      </c>
      <c r="L219" s="98"/>
      <c r="M219" s="110">
        <f>K219/$G$241</f>
        <v>2.2239135786000004</v>
      </c>
    </row>
    <row r="220" spans="1:13" s="107" customFormat="1" ht="15" customHeight="1">
      <c r="A220" s="100" t="str">
        <f>VLOOKUP(C220,Abstract!$E$4:$M$62,9,0)</f>
        <v>ACTIVE</v>
      </c>
      <c r="B220" s="95" t="s">
        <v>138</v>
      </c>
      <c r="C220" s="118" t="s">
        <v>28</v>
      </c>
      <c r="D220" s="101" t="s">
        <v>29</v>
      </c>
      <c r="E220" s="99" t="s">
        <v>141</v>
      </c>
      <c r="F220" s="108" t="s">
        <v>142</v>
      </c>
      <c r="G220" s="109">
        <v>185.7</v>
      </c>
      <c r="H220" s="104">
        <f>VLOOKUP($E220,'Stock statement'!$D$2:$P$384,13,)</f>
        <v>94.278330452007026</v>
      </c>
      <c r="I220" s="105">
        <v>2.5000000000000001E-2</v>
      </c>
      <c r="J220" s="116">
        <v>1.0249999999999999</v>
      </c>
      <c r="K220" s="106">
        <f t="shared" si="17"/>
        <v>18393.80244191267</v>
      </c>
      <c r="L220" s="98"/>
      <c r="M220" s="110">
        <f t="shared" ref="M220:M250" si="18">K220/$G$241</f>
        <v>154.50794051206645</v>
      </c>
    </row>
    <row r="221" spans="1:13" s="107" customFormat="1" ht="15" customHeight="1">
      <c r="A221" s="100" t="str">
        <f>VLOOKUP(C221,Abstract!$E$4:$M$62,9,0)</f>
        <v>ACTIVE</v>
      </c>
      <c r="B221" s="95" t="s">
        <v>138</v>
      </c>
      <c r="C221" s="118" t="s">
        <v>28</v>
      </c>
      <c r="D221" s="101" t="s">
        <v>29</v>
      </c>
      <c r="E221" s="99" t="s">
        <v>145</v>
      </c>
      <c r="F221" s="102" t="s">
        <v>146</v>
      </c>
      <c r="G221" s="109">
        <v>10</v>
      </c>
      <c r="H221" s="104">
        <f>VLOOKUP($E221,'Stock statement'!$D$2:$P$384,13,)</f>
        <v>151.08681180977209</v>
      </c>
      <c r="I221" s="105">
        <v>2.5000000000000001E-2</v>
      </c>
      <c r="J221" s="116">
        <v>1.0249999999999999</v>
      </c>
      <c r="K221" s="106">
        <f t="shared" si="17"/>
        <v>1587.3558165764177</v>
      </c>
      <c r="L221" s="98"/>
      <c r="M221" s="110">
        <f t="shared" si="18"/>
        <v>13.33378885924191</v>
      </c>
    </row>
    <row r="222" spans="1:13" s="107" customFormat="1" ht="15" customHeight="1">
      <c r="A222" s="100" t="str">
        <f>VLOOKUP(C222,Abstract!$E$4:$M$62,9,0)</f>
        <v>ACTIVE</v>
      </c>
      <c r="B222" s="95" t="s">
        <v>138</v>
      </c>
      <c r="C222" s="118" t="s">
        <v>28</v>
      </c>
      <c r="D222" s="101" t="s">
        <v>29</v>
      </c>
      <c r="E222" s="99" t="s">
        <v>149</v>
      </c>
      <c r="F222" s="95" t="s">
        <v>150</v>
      </c>
      <c r="G222" s="109">
        <v>0.125</v>
      </c>
      <c r="H222" s="104">
        <f>VLOOKUP($E222,'Stock statement'!$D$2:$P$384,13,)</f>
        <v>161.56941474217822</v>
      </c>
      <c r="I222" s="105">
        <v>2.5000000000000001E-2</v>
      </c>
      <c r="J222" s="116">
        <v>1.0249999999999999</v>
      </c>
      <c r="K222" s="106">
        <f t="shared" si="17"/>
        <v>21.218608295437623</v>
      </c>
      <c r="L222" s="98"/>
      <c r="M222" s="110">
        <f t="shared" si="18"/>
        <v>0.17823630968167606</v>
      </c>
    </row>
    <row r="223" spans="1:13" s="107" customFormat="1" ht="15" customHeight="1">
      <c r="A223" s="100" t="str">
        <f>VLOOKUP(C223,Abstract!$E$4:$M$62,9,0)</f>
        <v>ACTIVE</v>
      </c>
      <c r="B223" s="95" t="s">
        <v>138</v>
      </c>
      <c r="C223" s="118" t="s">
        <v>28</v>
      </c>
      <c r="D223" s="101" t="s">
        <v>29</v>
      </c>
      <c r="E223" s="99" t="s">
        <v>151</v>
      </c>
      <c r="F223" s="95" t="s">
        <v>152</v>
      </c>
      <c r="G223" s="109">
        <v>2.5</v>
      </c>
      <c r="H223" s="104">
        <f>VLOOKUP($E223,'Stock statement'!$D$2:$P$384,13,)</f>
        <v>762.38931335604309</v>
      </c>
      <c r="I223" s="105">
        <v>2.5000000000000001E-2</v>
      </c>
      <c r="J223" s="116">
        <v>1.0249999999999999</v>
      </c>
      <c r="K223" s="106">
        <f t="shared" si="17"/>
        <v>2002.4631808617316</v>
      </c>
      <c r="L223" s="98"/>
      <c r="M223" s="110">
        <f t="shared" si="18"/>
        <v>16.820690719238549</v>
      </c>
    </row>
    <row r="224" spans="1:13" s="107" customFormat="1" ht="15" customHeight="1">
      <c r="A224" s="100" t="str">
        <f>VLOOKUP(C224,Abstract!$E$4:$M$62,9,0)</f>
        <v>ACTIVE</v>
      </c>
      <c r="B224" s="95" t="s">
        <v>138</v>
      </c>
      <c r="C224" s="118" t="s">
        <v>28</v>
      </c>
      <c r="D224" s="101" t="s">
        <v>29</v>
      </c>
      <c r="E224" s="99" t="s">
        <v>157</v>
      </c>
      <c r="F224" s="102" t="s">
        <v>158</v>
      </c>
      <c r="G224" s="109">
        <v>1</v>
      </c>
      <c r="H224" s="104">
        <f>VLOOKUP($E224,'Stock statement'!$D$2:$P$384,13,)</f>
        <v>828.81974703846117</v>
      </c>
      <c r="I224" s="105">
        <v>2.5000000000000001E-2</v>
      </c>
      <c r="J224" s="116">
        <v>1.0249999999999999</v>
      </c>
      <c r="K224" s="106">
        <f t="shared" si="17"/>
        <v>870.77874673228314</v>
      </c>
      <c r="L224" s="98"/>
      <c r="M224" s="110">
        <f t="shared" si="18"/>
        <v>7.3145414725511788</v>
      </c>
    </row>
    <row r="225" spans="1:13" s="107" customFormat="1" ht="15" customHeight="1">
      <c r="A225" s="100" t="str">
        <f>VLOOKUP(C225,Abstract!$E$4:$M$62,9,0)</f>
        <v>ACTIVE</v>
      </c>
      <c r="B225" s="95" t="s">
        <v>138</v>
      </c>
      <c r="C225" s="118" t="s">
        <v>28</v>
      </c>
      <c r="D225" s="101" t="s">
        <v>29</v>
      </c>
      <c r="E225" s="157">
        <v>115150</v>
      </c>
      <c r="F225" s="36" t="s">
        <v>159</v>
      </c>
      <c r="G225" s="109">
        <v>1</v>
      </c>
      <c r="H225" s="104">
        <f>VLOOKUP($E225,'Stock statement'!$D$2:$P$384,13,)</f>
        <v>456.30699446392703</v>
      </c>
      <c r="I225" s="105">
        <v>2.5000000000000001E-2</v>
      </c>
      <c r="J225" s="116">
        <v>1.0249999999999999</v>
      </c>
      <c r="K225" s="106">
        <f t="shared" si="17"/>
        <v>479.40753605866325</v>
      </c>
      <c r="L225" s="98"/>
      <c r="M225" s="110">
        <f t="shared" si="18"/>
        <v>4.027023302892772</v>
      </c>
    </row>
    <row r="226" spans="1:13" s="107" customFormat="1" ht="15" customHeight="1">
      <c r="A226" s="100" t="str">
        <f>VLOOKUP(C226,Abstract!$E$4:$M$62,9,0)</f>
        <v>ACTIVE</v>
      </c>
      <c r="B226" s="95" t="s">
        <v>138</v>
      </c>
      <c r="C226" s="118" t="s">
        <v>28</v>
      </c>
      <c r="D226" s="101" t="s">
        <v>29</v>
      </c>
      <c r="E226" s="99" t="s">
        <v>160</v>
      </c>
      <c r="F226" s="108" t="s">
        <v>161</v>
      </c>
      <c r="G226" s="109">
        <v>0.25</v>
      </c>
      <c r="H226" s="104">
        <f>VLOOKUP($E226,'Stock statement'!$D$2:$P$384,13,)</f>
        <v>3313.2387673094586</v>
      </c>
      <c r="I226" s="105">
        <v>2.5000000000000001E-2</v>
      </c>
      <c r="J226" s="116">
        <v>1.0249999999999999</v>
      </c>
      <c r="K226" s="106">
        <f t="shared" si="17"/>
        <v>870.24286997612489</v>
      </c>
      <c r="L226" s="98"/>
      <c r="M226" s="110">
        <f t="shared" si="18"/>
        <v>7.3100401077994501</v>
      </c>
    </row>
    <row r="227" spans="1:13" s="107" customFormat="1" ht="15" customHeight="1">
      <c r="A227" s="100" t="str">
        <f>VLOOKUP(C227,Abstract!$E$4:$M$62,9,0)</f>
        <v>ACTIVE</v>
      </c>
      <c r="B227" s="95" t="s">
        <v>138</v>
      </c>
      <c r="C227" s="118" t="s">
        <v>28</v>
      </c>
      <c r="D227" s="101" t="s">
        <v>29</v>
      </c>
      <c r="E227" s="99" t="s">
        <v>166</v>
      </c>
      <c r="F227" s="95" t="s">
        <v>167</v>
      </c>
      <c r="G227" s="109">
        <v>2.5</v>
      </c>
      <c r="H227" s="104">
        <f>VLOOKUP($E227,'Stock statement'!$D$2:$P$384,13,)</f>
        <v>127.15913438761541</v>
      </c>
      <c r="I227" s="105">
        <v>2.5000000000000001E-2</v>
      </c>
      <c r="J227" s="116">
        <v>1.0249999999999999</v>
      </c>
      <c r="K227" s="106">
        <f t="shared" si="17"/>
        <v>333.99141391497102</v>
      </c>
      <c r="L227" s="98"/>
      <c r="M227" s="110">
        <f t="shared" si="18"/>
        <v>2.805527876885757</v>
      </c>
    </row>
    <row r="228" spans="1:13" s="107" customFormat="1" ht="15" customHeight="1">
      <c r="A228" s="100" t="str">
        <f>VLOOKUP(C228,Abstract!$E$4:$M$62,9,0)</f>
        <v>ACTIVE</v>
      </c>
      <c r="B228" s="95" t="s">
        <v>138</v>
      </c>
      <c r="C228" s="118" t="s">
        <v>28</v>
      </c>
      <c r="D228" s="101" t="s">
        <v>29</v>
      </c>
      <c r="E228" s="99" t="s">
        <v>209</v>
      </c>
      <c r="F228" s="99" t="s">
        <v>210</v>
      </c>
      <c r="G228" s="109">
        <v>20</v>
      </c>
      <c r="H228" s="104">
        <f>VLOOKUP($E228,'Stock statement'!$D$2:$P$384,13,)</f>
        <v>220.67282625366343</v>
      </c>
      <c r="I228" s="105">
        <v>2.5000000000000001E-2</v>
      </c>
      <c r="J228" s="116">
        <v>1.0249999999999999</v>
      </c>
      <c r="K228" s="106">
        <f t="shared" si="17"/>
        <v>4636.8877616551026</v>
      </c>
      <c r="L228" s="98"/>
      <c r="M228" s="110">
        <f t="shared" si="18"/>
        <v>38.949857197902865</v>
      </c>
    </row>
    <row r="229" spans="1:13" s="107" customFormat="1" ht="15" customHeight="1">
      <c r="A229" s="100" t="str">
        <f>VLOOKUP(C229,Abstract!$E$4:$M$62,9,0)</f>
        <v>ACTIVE</v>
      </c>
      <c r="B229" s="95" t="s">
        <v>138</v>
      </c>
      <c r="C229" s="118" t="s">
        <v>28</v>
      </c>
      <c r="D229" s="101" t="s">
        <v>29</v>
      </c>
      <c r="E229" s="99" t="s">
        <v>153</v>
      </c>
      <c r="F229" s="95" t="s">
        <v>154</v>
      </c>
      <c r="G229" s="109">
        <v>0.75</v>
      </c>
      <c r="H229" s="104">
        <f>VLOOKUP($E229,'Stock statement'!$D$2:$P$384,13,)</f>
        <v>84.206363687840948</v>
      </c>
      <c r="I229" s="105">
        <v>2.5000000000000001E-2</v>
      </c>
      <c r="J229" s="116">
        <v>1.0249999999999999</v>
      </c>
      <c r="K229" s="106">
        <f t="shared" si="17"/>
        <v>66.351983137153411</v>
      </c>
      <c r="L229" s="98"/>
      <c r="M229" s="110">
        <f t="shared" si="18"/>
        <v>0.5573566583520887</v>
      </c>
    </row>
    <row r="230" spans="1:13" s="107" customFormat="1" ht="15" customHeight="1">
      <c r="A230" s="100" t="str">
        <f>VLOOKUP(C230,Abstract!$E$4:$M$62,9,0)</f>
        <v>ACTIVE</v>
      </c>
      <c r="B230" s="95" t="s">
        <v>138</v>
      </c>
      <c r="C230" s="118" t="s">
        <v>28</v>
      </c>
      <c r="D230" s="101" t="s">
        <v>29</v>
      </c>
      <c r="E230" s="99" t="s">
        <v>147</v>
      </c>
      <c r="F230" s="95" t="s">
        <v>148</v>
      </c>
      <c r="G230" s="109">
        <v>1</v>
      </c>
      <c r="H230" s="104">
        <f>VLOOKUP($E230,'Stock statement'!$D$2:$P$384,13,)</f>
        <v>353.50950483838068</v>
      </c>
      <c r="I230" s="105">
        <v>2.5000000000000001E-2</v>
      </c>
      <c r="J230" s="116">
        <v>1.0249999999999999</v>
      </c>
      <c r="K230" s="106">
        <f t="shared" si="17"/>
        <v>371.40592352082365</v>
      </c>
      <c r="L230" s="98"/>
      <c r="M230" s="110">
        <f t="shared" si="18"/>
        <v>3.1198097575749189</v>
      </c>
    </row>
    <row r="231" spans="1:13" s="107" customFormat="1" ht="15" customHeight="1">
      <c r="A231" s="100" t="str">
        <f>VLOOKUP(C231,Abstract!$E$4:$M$62,9,0)</f>
        <v>ACTIVE</v>
      </c>
      <c r="B231" s="95" t="s">
        <v>138</v>
      </c>
      <c r="C231" s="118" t="s">
        <v>28</v>
      </c>
      <c r="D231" s="101" t="s">
        <v>29</v>
      </c>
      <c r="E231" s="99" t="s">
        <v>211</v>
      </c>
      <c r="F231" s="95" t="s">
        <v>212</v>
      </c>
      <c r="G231" s="109">
        <v>0.1</v>
      </c>
      <c r="H231" s="104">
        <f>VLOOKUP($E231,'Stock statement'!$D$2:$P$384,13,)</f>
        <v>1279.5862001575747</v>
      </c>
      <c r="I231" s="105">
        <v>2.5000000000000001E-2</v>
      </c>
      <c r="J231" s="116">
        <v>1.0249999999999999</v>
      </c>
      <c r="K231" s="106">
        <f t="shared" si="17"/>
        <v>134.43652515405518</v>
      </c>
      <c r="L231" s="98"/>
      <c r="M231" s="110">
        <f t="shared" si="18"/>
        <v>1.1292668112940636</v>
      </c>
    </row>
    <row r="232" spans="1:13" s="107" customFormat="1" ht="15" customHeight="1">
      <c r="A232" s="100" t="str">
        <f>VLOOKUP(C232,Abstract!$E$4:$M$62,9,0)</f>
        <v>ACTIVE</v>
      </c>
      <c r="B232" s="95" t="s">
        <v>138</v>
      </c>
      <c r="C232" s="118" t="s">
        <v>28</v>
      </c>
      <c r="D232" s="101" t="s">
        <v>29</v>
      </c>
      <c r="E232" s="99" t="s">
        <v>213</v>
      </c>
      <c r="F232" s="95" t="s">
        <v>214</v>
      </c>
      <c r="G232" s="109">
        <v>0.09</v>
      </c>
      <c r="H232" s="104">
        <f>VLOOKUP($E232,'Stock statement'!$D$2:$P$384,13,)</f>
        <v>674.683130739744</v>
      </c>
      <c r="I232" s="105">
        <v>2.5000000000000001E-2</v>
      </c>
      <c r="J232" s="116">
        <v>1.0249999999999999</v>
      </c>
      <c r="K232" s="106">
        <f t="shared" si="17"/>
        <v>63.795506781009905</v>
      </c>
      <c r="L232" s="98"/>
      <c r="M232" s="110">
        <f t="shared" si="18"/>
        <v>0.53588225696048331</v>
      </c>
    </row>
    <row r="233" spans="1:13" s="107" customFormat="1" ht="15" customHeight="1">
      <c r="A233" s="100" t="str">
        <f>VLOOKUP(C233,Abstract!$E$4:$M$62,9,0)</f>
        <v>ACTIVE</v>
      </c>
      <c r="B233" s="95" t="s">
        <v>138</v>
      </c>
      <c r="C233" s="118" t="s">
        <v>28</v>
      </c>
      <c r="D233" s="101" t="s">
        <v>29</v>
      </c>
      <c r="E233" s="99" t="s">
        <v>215</v>
      </c>
      <c r="F233" s="95" t="s">
        <v>216</v>
      </c>
      <c r="G233" s="109">
        <v>0.09</v>
      </c>
      <c r="H233" s="104">
        <f>VLOOKUP($E233,'Stock statement'!$D$2:$P$384,13,)</f>
        <v>545.51731168806748</v>
      </c>
      <c r="I233" s="105">
        <v>2.5000000000000001E-2</v>
      </c>
      <c r="J233" s="116">
        <v>1.0249999999999999</v>
      </c>
      <c r="K233" s="106">
        <f t="shared" si="17"/>
        <v>51.582071303304822</v>
      </c>
      <c r="L233" s="98"/>
      <c r="M233" s="110">
        <f t="shared" si="18"/>
        <v>0.43328939894776053</v>
      </c>
    </row>
    <row r="234" spans="1:13" s="107" customFormat="1" ht="15" customHeight="1">
      <c r="A234" s="100" t="str">
        <f>VLOOKUP(C234,Abstract!$E$4:$M$62,9,0)</f>
        <v>ACTIVE</v>
      </c>
      <c r="B234" s="95" t="s">
        <v>138</v>
      </c>
      <c r="C234" s="118" t="s">
        <v>28</v>
      </c>
      <c r="D234" s="101" t="s">
        <v>29</v>
      </c>
      <c r="E234" s="99" t="s">
        <v>217</v>
      </c>
      <c r="F234" s="99" t="s">
        <v>218</v>
      </c>
      <c r="G234" s="109">
        <v>0.1</v>
      </c>
      <c r="H234" s="104">
        <f>VLOOKUP($E234,'Stock statement'!$D$2:$P$384,13,)</f>
        <v>910.5767983004796</v>
      </c>
      <c r="I234" s="105">
        <v>2.5000000000000001E-2</v>
      </c>
      <c r="J234" s="116">
        <v>1.0249999999999999</v>
      </c>
      <c r="K234" s="106">
        <f t="shared" si="17"/>
        <v>95.667474871444114</v>
      </c>
      <c r="L234" s="98"/>
      <c r="M234" s="110">
        <f t="shared" si="18"/>
        <v>0.8036067889201306</v>
      </c>
    </row>
    <row r="235" spans="1:13" s="107" customFormat="1" ht="15" customHeight="1">
      <c r="A235" s="100" t="str">
        <f>VLOOKUP(C235,Abstract!$E$4:$M$62,9,0)</f>
        <v>ACTIVE</v>
      </c>
      <c r="B235" s="95" t="s">
        <v>138</v>
      </c>
      <c r="C235" s="118" t="s">
        <v>28</v>
      </c>
      <c r="D235" s="101" t="s">
        <v>29</v>
      </c>
      <c r="E235" s="99" t="s">
        <v>155</v>
      </c>
      <c r="F235" s="95" t="s">
        <v>156</v>
      </c>
      <c r="G235" s="109">
        <v>15</v>
      </c>
      <c r="H235" s="104">
        <f>VLOOKUP($E235,'Stock statement'!$D$2:$P$384,13,)</f>
        <v>68.308211638055738</v>
      </c>
      <c r="I235" s="105">
        <v>2.5000000000000001E-2</v>
      </c>
      <c r="J235" s="116">
        <v>1.0249999999999999</v>
      </c>
      <c r="K235" s="106">
        <f t="shared" si="17"/>
        <v>1076.4947227834843</v>
      </c>
      <c r="L235" s="98"/>
      <c r="M235" s="110">
        <f t="shared" si="18"/>
        <v>9.0425556713812689</v>
      </c>
    </row>
    <row r="236" spans="1:13" s="107" customFormat="1" ht="15" customHeight="1">
      <c r="A236" s="100" t="str">
        <f>VLOOKUP(C236,Abstract!$E$4:$M$62,9,0)</f>
        <v>ACTIVE</v>
      </c>
      <c r="B236" s="95" t="s">
        <v>138</v>
      </c>
      <c r="C236" s="118" t="s">
        <v>28</v>
      </c>
      <c r="D236" s="101" t="s">
        <v>29</v>
      </c>
      <c r="E236" s="99" t="s">
        <v>219</v>
      </c>
      <c r="F236" s="95" t="s">
        <v>220</v>
      </c>
      <c r="G236" s="109">
        <v>2.5000000000000001E-2</v>
      </c>
      <c r="H236" s="104">
        <f>VLOOKUP($E236,'Stock statement'!$D$2:$P$384,13,)</f>
        <v>549.27282042136164</v>
      </c>
      <c r="I236" s="105">
        <v>2.5000000000000001E-2</v>
      </c>
      <c r="J236" s="116">
        <v>1.0249999999999999</v>
      </c>
      <c r="K236" s="106">
        <f t="shared" si="17"/>
        <v>14.426993923879825</v>
      </c>
      <c r="L236" s="98"/>
      <c r="M236" s="110">
        <f t="shared" si="18"/>
        <v>0.12118674896059055</v>
      </c>
    </row>
    <row r="237" spans="1:13" s="107" customFormat="1" ht="15" customHeight="1">
      <c r="A237" s="100" t="str">
        <f>VLOOKUP(C237,Abstract!$E$4:$M$62,9,0)</f>
        <v>ACTIVE</v>
      </c>
      <c r="B237" s="95" t="s">
        <v>138</v>
      </c>
      <c r="C237" s="118" t="s">
        <v>28</v>
      </c>
      <c r="D237" s="101" t="s">
        <v>29</v>
      </c>
      <c r="E237" s="99" t="s">
        <v>221</v>
      </c>
      <c r="F237" s="99" t="s">
        <v>222</v>
      </c>
      <c r="G237" s="109">
        <v>0.1</v>
      </c>
      <c r="H237" s="104">
        <f>VLOOKUP($E237,'Stock statement'!$D$2:$P$384,13,)</f>
        <v>494.13931116123297</v>
      </c>
      <c r="I237" s="105">
        <v>2.5000000000000001E-2</v>
      </c>
      <c r="J237" s="116">
        <v>1.0249999999999999</v>
      </c>
      <c r="K237" s="106">
        <f t="shared" si="17"/>
        <v>51.915511378877035</v>
      </c>
      <c r="L237" s="98"/>
      <c r="M237" s="110">
        <f t="shared" si="18"/>
        <v>0.43609029558256712</v>
      </c>
    </row>
    <row r="238" spans="1:13" s="107" customFormat="1" ht="15" customHeight="1">
      <c r="A238" s="100" t="str">
        <f>VLOOKUP(C238,Abstract!$E$4:$M$62,9,0)</f>
        <v>ACTIVE</v>
      </c>
      <c r="B238" s="95" t="s">
        <v>138</v>
      </c>
      <c r="C238" s="118" t="s">
        <v>28</v>
      </c>
      <c r="D238" s="101" t="s">
        <v>29</v>
      </c>
      <c r="E238" s="99" t="s">
        <v>223</v>
      </c>
      <c r="F238" s="95" t="s">
        <v>224</v>
      </c>
      <c r="G238" s="109">
        <v>0.01</v>
      </c>
      <c r="H238" s="104">
        <f>VLOOKUP($E238,'Stock statement'!$D$2:$P$384,13,)</f>
        <v>661.66658982809031</v>
      </c>
      <c r="I238" s="105">
        <v>2.5000000000000001E-2</v>
      </c>
      <c r="J238" s="116">
        <v>1.0249999999999999</v>
      </c>
      <c r="K238" s="106">
        <f t="shared" si="17"/>
        <v>6.9516346093813723</v>
      </c>
      <c r="L238" s="98"/>
      <c r="M238" s="110">
        <f t="shared" si="18"/>
        <v>5.8393730718803535E-2</v>
      </c>
    </row>
    <row r="239" spans="1:13" s="107" customFormat="1" ht="15" customHeight="1">
      <c r="A239" s="100" t="str">
        <f>VLOOKUP(C239,Abstract!$E$4:$M$62,9,0)</f>
        <v>ACTIVE</v>
      </c>
      <c r="B239" s="95" t="s">
        <v>138</v>
      </c>
      <c r="C239" s="118" t="s">
        <v>28</v>
      </c>
      <c r="D239" s="101" t="s">
        <v>29</v>
      </c>
      <c r="E239" s="99" t="s">
        <v>225</v>
      </c>
      <c r="F239" s="95" t="s">
        <v>226</v>
      </c>
      <c r="G239" s="109">
        <v>6</v>
      </c>
      <c r="H239" s="104">
        <f>VLOOKUP($E239,'Stock statement'!$D$2:$P$384,13,)</f>
        <v>770.99998748629207</v>
      </c>
      <c r="I239" s="105">
        <v>2.5000000000000001E-2</v>
      </c>
      <c r="J239" s="116">
        <v>1.0249999999999999</v>
      </c>
      <c r="K239" s="106">
        <f t="shared" si="17"/>
        <v>4860.1911711167131</v>
      </c>
      <c r="L239" s="98"/>
      <c r="M239" s="110">
        <f t="shared" si="18"/>
        <v>40.825605837380394</v>
      </c>
    </row>
    <row r="240" spans="1:13" s="107" customFormat="1" ht="15" customHeight="1">
      <c r="A240" s="100" t="str">
        <f>VLOOKUP(C240,Abstract!$E$4:$M$62,9,0)</f>
        <v>ACTIVE</v>
      </c>
      <c r="B240" s="95" t="s">
        <v>138</v>
      </c>
      <c r="C240" s="118" t="s">
        <v>28</v>
      </c>
      <c r="D240" s="101" t="s">
        <v>29</v>
      </c>
      <c r="E240" s="99" t="s">
        <v>181</v>
      </c>
      <c r="F240" s="102" t="s">
        <v>182</v>
      </c>
      <c r="G240" s="109">
        <v>12.5</v>
      </c>
      <c r="H240" s="104">
        <f>VLOOKUP($E240,'Stock statement'!$D$2:$P$384,13,)</f>
        <v>17.110276913020375</v>
      </c>
      <c r="I240" s="105">
        <v>2.5000000000000001E-2</v>
      </c>
      <c r="J240" s="116">
        <v>1.0249999999999999</v>
      </c>
      <c r="K240" s="106">
        <f t="shared" si="17"/>
        <v>224.70605852177536</v>
      </c>
      <c r="L240" s="98"/>
      <c r="M240" s="110">
        <f t="shared" si="18"/>
        <v>1.8875308915829132</v>
      </c>
    </row>
    <row r="241" spans="1:13" s="107" customFormat="1" ht="15" customHeight="1">
      <c r="A241" s="100" t="str">
        <f>VLOOKUP(C241,Abstract!$E$4:$M$62,9,0)</f>
        <v>ACTIVE</v>
      </c>
      <c r="B241" s="99" t="s">
        <v>183</v>
      </c>
      <c r="C241" s="118" t="s">
        <v>28</v>
      </c>
      <c r="D241" s="101" t="s">
        <v>29</v>
      </c>
      <c r="E241" s="99" t="s">
        <v>276</v>
      </c>
      <c r="F241" s="95" t="s">
        <v>277</v>
      </c>
      <c r="G241" s="109">
        <v>119.04761904761904</v>
      </c>
      <c r="H241" s="104">
        <f>VLOOKUP($E241,'Stock statement'!$D$2:$P$384,13,)</f>
        <v>34.630000000000003</v>
      </c>
      <c r="I241" s="112">
        <v>6.0000000000000001E-3</v>
      </c>
      <c r="J241" s="113">
        <v>1</v>
      </c>
      <c r="K241" s="106">
        <f t="shared" si="17"/>
        <v>4147.3547619047622</v>
      </c>
      <c r="L241" s="98"/>
      <c r="M241" s="110">
        <f t="shared" si="18"/>
        <v>34.837780000000002</v>
      </c>
    </row>
    <row r="242" spans="1:13" s="107" customFormat="1" ht="15" customHeight="1">
      <c r="A242" s="100" t="str">
        <f>VLOOKUP(C242,Abstract!$E$4:$M$62,9,0)</f>
        <v>ACTIVE</v>
      </c>
      <c r="B242" s="99" t="s">
        <v>183</v>
      </c>
      <c r="C242" s="118" t="s">
        <v>28</v>
      </c>
      <c r="D242" s="101" t="s">
        <v>29</v>
      </c>
      <c r="E242" s="99" t="s">
        <v>278</v>
      </c>
      <c r="F242" s="95" t="s">
        <v>279</v>
      </c>
      <c r="G242" s="109">
        <v>5714.2857142857138</v>
      </c>
      <c r="H242" s="104">
        <f>VLOOKUP($E242,'Stock statement'!$D$2:$P$384,13,)</f>
        <v>5.1071692893281693</v>
      </c>
      <c r="I242" s="112">
        <v>6.0000000000000001E-3</v>
      </c>
      <c r="J242" s="113">
        <v>1</v>
      </c>
      <c r="K242" s="106">
        <f t="shared" si="17"/>
        <v>29358.927457509362</v>
      </c>
      <c r="L242" s="98"/>
      <c r="M242" s="110">
        <f t="shared" si="18"/>
        <v>246.61499064307867</v>
      </c>
    </row>
    <row r="243" spans="1:13" s="107" customFormat="1" ht="15" customHeight="1">
      <c r="A243" s="100" t="str">
        <f>VLOOKUP(C243,Abstract!$E$4:$M$62,9,0)</f>
        <v>ACTIVE</v>
      </c>
      <c r="B243" s="99" t="s">
        <v>183</v>
      </c>
      <c r="C243" s="118" t="s">
        <v>28</v>
      </c>
      <c r="D243" s="101" t="s">
        <v>29</v>
      </c>
      <c r="E243" s="99" t="s">
        <v>248</v>
      </c>
      <c r="F243" s="95" t="s">
        <v>249</v>
      </c>
      <c r="G243" s="109">
        <v>5714.2857142857138</v>
      </c>
      <c r="H243" s="104">
        <f>VLOOKUP($E243,'Stock statement'!$D$2:$P$384,13,)</f>
        <v>3.1661470602783846</v>
      </c>
      <c r="I243" s="112">
        <v>6.0000000000000001E-3</v>
      </c>
      <c r="J243" s="113">
        <v>1</v>
      </c>
      <c r="K243" s="106">
        <f t="shared" si="17"/>
        <v>18200.822529371741</v>
      </c>
      <c r="L243" s="98"/>
      <c r="M243" s="110">
        <f t="shared" si="18"/>
        <v>152.88690924672264</v>
      </c>
    </row>
    <row r="244" spans="1:13" s="107" customFormat="1" ht="15" customHeight="1">
      <c r="A244" s="100" t="str">
        <f>VLOOKUP(C244,Abstract!$E$4:$M$62,9,0)</f>
        <v>ACTIVE</v>
      </c>
      <c r="B244" s="99" t="s">
        <v>183</v>
      </c>
      <c r="C244" s="118" t="s">
        <v>28</v>
      </c>
      <c r="D244" s="101" t="s">
        <v>29</v>
      </c>
      <c r="E244" s="99" t="s">
        <v>280</v>
      </c>
      <c r="F244" s="95" t="s">
        <v>281</v>
      </c>
      <c r="G244" s="109">
        <v>5714.2857142857138</v>
      </c>
      <c r="H244" s="104">
        <f>VLOOKUP($E244,'Stock statement'!$D$2:$P$384,13,)</f>
        <v>1.9553304969716105</v>
      </c>
      <c r="I244" s="105">
        <v>0.02</v>
      </c>
      <c r="J244" s="113">
        <v>1</v>
      </c>
      <c r="K244" s="106">
        <f t="shared" si="17"/>
        <v>11396.7834680631</v>
      </c>
      <c r="L244" s="98"/>
      <c r="M244" s="110">
        <f t="shared" si="18"/>
        <v>95.732981131730057</v>
      </c>
    </row>
    <row r="245" spans="1:13" s="107" customFormat="1" ht="15" customHeight="1">
      <c r="A245" s="100" t="str">
        <f>VLOOKUP(C245,Abstract!$E$4:$M$62,9,0)</f>
        <v>ACTIVE</v>
      </c>
      <c r="B245" s="99" t="s">
        <v>183</v>
      </c>
      <c r="C245" s="118" t="s">
        <v>28</v>
      </c>
      <c r="D245" s="101" t="s">
        <v>29</v>
      </c>
      <c r="E245" s="99" t="s">
        <v>282</v>
      </c>
      <c r="F245" s="95" t="s">
        <v>283</v>
      </c>
      <c r="G245" s="109">
        <v>5714.2857142857138</v>
      </c>
      <c r="H245" s="104">
        <f>VLOOKUP($E245,'Stock statement'!$D$2:$P$384,13,)</f>
        <v>1.4671576391093115</v>
      </c>
      <c r="I245" s="105">
        <v>0.02</v>
      </c>
      <c r="J245" s="113">
        <v>1</v>
      </c>
      <c r="K245" s="106">
        <f t="shared" si="17"/>
        <v>8551.4330965228437</v>
      </c>
      <c r="L245" s="98"/>
      <c r="M245" s="110">
        <f t="shared" si="18"/>
        <v>71.832038010791891</v>
      </c>
    </row>
    <row r="246" spans="1:13" s="107" customFormat="1" ht="15" customHeight="1">
      <c r="A246" s="100" t="str">
        <f>VLOOKUP(C246,Abstract!$E$4:$M$62,9,0)</f>
        <v>ACTIVE</v>
      </c>
      <c r="B246" s="99" t="s">
        <v>183</v>
      </c>
      <c r="C246" s="118" t="s">
        <v>28</v>
      </c>
      <c r="D246" s="101" t="s">
        <v>29</v>
      </c>
      <c r="E246" s="99" t="s">
        <v>191</v>
      </c>
      <c r="F246" s="95" t="s">
        <v>192</v>
      </c>
      <c r="G246" s="109">
        <v>2.9761904761904763</v>
      </c>
      <c r="H246" s="104">
        <f>VLOOKUP($E246,'Stock statement'!$D$2:$P$384,13,)</f>
        <v>44.985440769279101</v>
      </c>
      <c r="I246" s="112">
        <v>0.02</v>
      </c>
      <c r="J246" s="113">
        <v>1</v>
      </c>
      <c r="K246" s="106">
        <f t="shared" si="17"/>
        <v>136.56294519245444</v>
      </c>
      <c r="L246" s="98"/>
      <c r="M246" s="110">
        <f t="shared" si="18"/>
        <v>1.1471287396166174</v>
      </c>
    </row>
    <row r="247" spans="1:13" s="107" customFormat="1" ht="15" customHeight="1">
      <c r="A247" s="100" t="str">
        <f>VLOOKUP(C247,Abstract!$E$4:$M$62,9,0)</f>
        <v>ACTIVE</v>
      </c>
      <c r="B247" s="99" t="s">
        <v>183</v>
      </c>
      <c r="C247" s="118" t="s">
        <v>28</v>
      </c>
      <c r="D247" s="101" t="s">
        <v>29</v>
      </c>
      <c r="E247" s="99" t="s">
        <v>275</v>
      </c>
      <c r="F247" s="95" t="s">
        <v>207</v>
      </c>
      <c r="G247" s="109">
        <v>952.38095238095229</v>
      </c>
      <c r="H247" s="104">
        <f>VLOOKUP($E247,'Stock statement'!$D$2:$P$384,13,)</f>
        <v>4.2025763620200998</v>
      </c>
      <c r="I247" s="112">
        <v>0.01</v>
      </c>
      <c r="J247" s="113">
        <v>1</v>
      </c>
      <c r="K247" s="106">
        <f t="shared" si="17"/>
        <v>4042.4782148955242</v>
      </c>
      <c r="L247" s="98"/>
      <c r="M247" s="110">
        <f t="shared" si="18"/>
        <v>33.956817005122403</v>
      </c>
    </row>
    <row r="248" spans="1:13" s="107" customFormat="1" ht="15" customHeight="1">
      <c r="A248" s="100" t="str">
        <f>VLOOKUP(C248,Abstract!$E$4:$M$62,9,0)</f>
        <v>ACTIVE</v>
      </c>
      <c r="B248" s="95" t="s">
        <v>194</v>
      </c>
      <c r="C248" s="118" t="s">
        <v>28</v>
      </c>
      <c r="D248" s="101" t="s">
        <v>29</v>
      </c>
      <c r="E248" s="99" t="s">
        <v>195</v>
      </c>
      <c r="F248" s="95"/>
      <c r="G248" s="109">
        <f>G242</f>
        <v>5714.2857142857138</v>
      </c>
      <c r="H248" s="103">
        <v>0.04</v>
      </c>
      <c r="I248" s="119"/>
      <c r="J248" s="113">
        <v>1</v>
      </c>
      <c r="K248" s="106">
        <f t="shared" si="17"/>
        <v>228.57142857142856</v>
      </c>
      <c r="L248" s="98"/>
      <c r="M248" s="110">
        <f t="shared" si="18"/>
        <v>1.92</v>
      </c>
    </row>
    <row r="249" spans="1:13" s="107" customFormat="1" ht="15" customHeight="1">
      <c r="A249" s="100" t="str">
        <f>VLOOKUP(C249,Abstract!$E$4:$M$62,9,0)</f>
        <v>ACTIVE</v>
      </c>
      <c r="B249" s="95" t="s">
        <v>194</v>
      </c>
      <c r="C249" s="118" t="s">
        <v>28</v>
      </c>
      <c r="D249" s="101" t="s">
        <v>29</v>
      </c>
      <c r="E249" s="99" t="s">
        <v>196</v>
      </c>
      <c r="F249" s="95"/>
      <c r="G249" s="109">
        <f>G248*24</f>
        <v>137142.85714285713</v>
      </c>
      <c r="H249" s="114">
        <v>1.6999999999999999E-3</v>
      </c>
      <c r="I249" s="119"/>
      <c r="J249" s="113">
        <v>1</v>
      </c>
      <c r="K249" s="106">
        <f t="shared" ref="K249" si="19">+G249*H249*(1+I249)*J249</f>
        <v>233.14285714285711</v>
      </c>
      <c r="L249" s="98"/>
      <c r="M249" s="110">
        <f t="shared" si="18"/>
        <v>1.9583999999999999</v>
      </c>
    </row>
    <row r="250" spans="1:13" s="107" customFormat="1" ht="15" customHeight="1">
      <c r="A250" s="100" t="str">
        <f>VLOOKUP(C250,Abstract!$E$4:$M$62,9,0)</f>
        <v>ACTIVE</v>
      </c>
      <c r="B250" s="99" t="s">
        <v>197</v>
      </c>
      <c r="C250" s="118" t="s">
        <v>28</v>
      </c>
      <c r="D250" s="101" t="s">
        <v>29</v>
      </c>
      <c r="E250" s="99" t="s">
        <v>198</v>
      </c>
      <c r="F250" s="95"/>
      <c r="G250" s="109"/>
      <c r="H250" s="104"/>
      <c r="I250" s="100"/>
      <c r="J250" s="113"/>
      <c r="K250" s="106">
        <v>9000</v>
      </c>
      <c r="L250" s="98">
        <f>SUM(K219:K250)</f>
        <v>121774.9023287594</v>
      </c>
      <c r="M250" s="110">
        <f t="shared" si="18"/>
        <v>75.600000000000009</v>
      </c>
    </row>
    <row r="251" spans="1:13" s="107" customFormat="1" ht="15" customHeight="1">
      <c r="A251" s="100" t="str">
        <f>VLOOKUP(C251,Abstract!$E$4:$M$62,9,0)</f>
        <v>ACTIVE</v>
      </c>
      <c r="B251" s="95" t="s">
        <v>138</v>
      </c>
      <c r="C251" s="118" t="s">
        <v>30</v>
      </c>
      <c r="D251" s="101" t="s">
        <v>31</v>
      </c>
      <c r="E251" s="99" t="s">
        <v>139</v>
      </c>
      <c r="F251" s="102" t="s">
        <v>140</v>
      </c>
      <c r="G251" s="109">
        <v>741.16</v>
      </c>
      <c r="H251" s="104">
        <f>VLOOKUP($E251,'Stock statement'!$D$2:$P$384,13,)</f>
        <v>0.34</v>
      </c>
      <c r="I251" s="105">
        <v>2.5000000000000001E-2</v>
      </c>
      <c r="J251" s="116">
        <v>1.0249999999999999</v>
      </c>
      <c r="K251" s="106">
        <f t="shared" si="17"/>
        <v>264.75161650000001</v>
      </c>
      <c r="L251" s="98"/>
      <c r="M251" s="110">
        <f>K251/$G$273</f>
        <v>2.2239135786000004</v>
      </c>
    </row>
    <row r="252" spans="1:13" s="107" customFormat="1" ht="15" customHeight="1">
      <c r="A252" s="100" t="str">
        <f>VLOOKUP(C252,Abstract!$E$4:$M$62,9,0)</f>
        <v>ACTIVE</v>
      </c>
      <c r="B252" s="95" t="s">
        <v>138</v>
      </c>
      <c r="C252" s="118" t="s">
        <v>30</v>
      </c>
      <c r="D252" s="101" t="s">
        <v>31</v>
      </c>
      <c r="E252" s="99" t="s">
        <v>141</v>
      </c>
      <c r="F252" s="108" t="s">
        <v>142</v>
      </c>
      <c r="G252" s="109">
        <v>185.7</v>
      </c>
      <c r="H252" s="104">
        <f>VLOOKUP($E252,'Stock statement'!$D$2:$P$384,13,)</f>
        <v>94.278330452007026</v>
      </c>
      <c r="I252" s="105">
        <v>2.5000000000000001E-2</v>
      </c>
      <c r="J252" s="116">
        <v>1.0249999999999999</v>
      </c>
      <c r="K252" s="106">
        <f t="shared" si="17"/>
        <v>18393.80244191267</v>
      </c>
      <c r="L252" s="98"/>
      <c r="M252" s="110">
        <f t="shared" ref="M252:M282" si="20">K252/$G$273</f>
        <v>154.50794051206645</v>
      </c>
    </row>
    <row r="253" spans="1:13" s="107" customFormat="1" ht="15" customHeight="1">
      <c r="A253" s="100" t="str">
        <f>VLOOKUP(C253,Abstract!$E$4:$M$62,9,0)</f>
        <v>ACTIVE</v>
      </c>
      <c r="B253" s="95" t="s">
        <v>138</v>
      </c>
      <c r="C253" s="118" t="s">
        <v>30</v>
      </c>
      <c r="D253" s="101" t="s">
        <v>31</v>
      </c>
      <c r="E253" s="99" t="s">
        <v>145</v>
      </c>
      <c r="F253" s="102" t="s">
        <v>146</v>
      </c>
      <c r="G253" s="109">
        <v>10</v>
      </c>
      <c r="H253" s="104">
        <f>VLOOKUP($E253,'Stock statement'!$D$2:$P$384,13,)</f>
        <v>151.08681180977209</v>
      </c>
      <c r="I253" s="105">
        <v>2.5000000000000001E-2</v>
      </c>
      <c r="J253" s="116">
        <v>1.0249999999999999</v>
      </c>
      <c r="K253" s="106">
        <f t="shared" si="17"/>
        <v>1587.3558165764177</v>
      </c>
      <c r="L253" s="98"/>
      <c r="M253" s="110">
        <f t="shared" si="20"/>
        <v>13.33378885924191</v>
      </c>
    </row>
    <row r="254" spans="1:13" s="107" customFormat="1" ht="15" customHeight="1">
      <c r="A254" s="100" t="str">
        <f>VLOOKUP(C254,Abstract!$E$4:$M$62,9,0)</f>
        <v>ACTIVE</v>
      </c>
      <c r="B254" s="95" t="s">
        <v>138</v>
      </c>
      <c r="C254" s="118" t="s">
        <v>30</v>
      </c>
      <c r="D254" s="101" t="s">
        <v>31</v>
      </c>
      <c r="E254" s="99" t="s">
        <v>149</v>
      </c>
      <c r="F254" s="95" t="s">
        <v>150</v>
      </c>
      <c r="G254" s="109">
        <v>0.125</v>
      </c>
      <c r="H254" s="104">
        <f>VLOOKUP($E254,'Stock statement'!$D$2:$P$384,13,)</f>
        <v>161.56941474217822</v>
      </c>
      <c r="I254" s="105">
        <v>2.5000000000000001E-2</v>
      </c>
      <c r="J254" s="116">
        <v>1.0249999999999999</v>
      </c>
      <c r="K254" s="106">
        <f t="shared" si="17"/>
        <v>21.218608295437623</v>
      </c>
      <c r="L254" s="98"/>
      <c r="M254" s="110">
        <f t="shared" si="20"/>
        <v>0.17823630968167606</v>
      </c>
    </row>
    <row r="255" spans="1:13" s="107" customFormat="1" ht="15" customHeight="1">
      <c r="A255" s="100" t="str">
        <f>VLOOKUP(C255,Abstract!$E$4:$M$62,9,0)</f>
        <v>ACTIVE</v>
      </c>
      <c r="B255" s="95" t="s">
        <v>138</v>
      </c>
      <c r="C255" s="118" t="s">
        <v>30</v>
      </c>
      <c r="D255" s="101" t="s">
        <v>31</v>
      </c>
      <c r="E255" s="99" t="s">
        <v>151</v>
      </c>
      <c r="F255" s="95" t="s">
        <v>152</v>
      </c>
      <c r="G255" s="109">
        <v>2.5</v>
      </c>
      <c r="H255" s="104">
        <f>VLOOKUP($E255,'Stock statement'!$D$2:$P$384,13,)</f>
        <v>762.38931335604309</v>
      </c>
      <c r="I255" s="105">
        <v>2.5000000000000001E-2</v>
      </c>
      <c r="J255" s="116">
        <v>1.0249999999999999</v>
      </c>
      <c r="K255" s="106">
        <f t="shared" si="17"/>
        <v>2002.4631808617316</v>
      </c>
      <c r="L255" s="98"/>
      <c r="M255" s="110">
        <f t="shared" si="20"/>
        <v>16.820690719238549</v>
      </c>
    </row>
    <row r="256" spans="1:13" s="107" customFormat="1" ht="15" customHeight="1">
      <c r="A256" s="100" t="str">
        <f>VLOOKUP(C256,Abstract!$E$4:$M$62,9,0)</f>
        <v>ACTIVE</v>
      </c>
      <c r="B256" s="95" t="s">
        <v>138</v>
      </c>
      <c r="C256" s="118" t="s">
        <v>30</v>
      </c>
      <c r="D256" s="101" t="s">
        <v>31</v>
      </c>
      <c r="E256" s="99" t="s">
        <v>157</v>
      </c>
      <c r="F256" s="102" t="s">
        <v>158</v>
      </c>
      <c r="G256" s="109">
        <v>1</v>
      </c>
      <c r="H256" s="104">
        <f>VLOOKUP($E256,'Stock statement'!$D$2:$P$384,13,)</f>
        <v>828.81974703846117</v>
      </c>
      <c r="I256" s="105">
        <v>2.5000000000000001E-2</v>
      </c>
      <c r="J256" s="116">
        <v>1.0249999999999999</v>
      </c>
      <c r="K256" s="106">
        <f t="shared" si="17"/>
        <v>870.77874673228314</v>
      </c>
      <c r="L256" s="98"/>
      <c r="M256" s="110">
        <f t="shared" si="20"/>
        <v>7.3145414725511788</v>
      </c>
    </row>
    <row r="257" spans="1:13" s="107" customFormat="1" ht="15" customHeight="1">
      <c r="A257" s="100" t="str">
        <f>VLOOKUP(C257,Abstract!$E$4:$M$62,9,0)</f>
        <v>ACTIVE</v>
      </c>
      <c r="B257" s="95" t="s">
        <v>138</v>
      </c>
      <c r="C257" s="118" t="s">
        <v>30</v>
      </c>
      <c r="D257" s="101" t="s">
        <v>31</v>
      </c>
      <c r="E257" s="157">
        <v>115150</v>
      </c>
      <c r="F257" s="36" t="s">
        <v>159</v>
      </c>
      <c r="G257" s="109">
        <v>1</v>
      </c>
      <c r="H257" s="104">
        <f>VLOOKUP($E257,'Stock statement'!$D$2:$P$384,13,)</f>
        <v>456.30699446392703</v>
      </c>
      <c r="I257" s="105">
        <v>2.5000000000000001E-2</v>
      </c>
      <c r="J257" s="116">
        <v>1.0249999999999999</v>
      </c>
      <c r="K257" s="106">
        <f t="shared" si="17"/>
        <v>479.40753605866325</v>
      </c>
      <c r="L257" s="98"/>
      <c r="M257" s="110">
        <f t="shared" si="20"/>
        <v>4.027023302892772</v>
      </c>
    </row>
    <row r="258" spans="1:13" s="107" customFormat="1" ht="15" customHeight="1">
      <c r="A258" s="100" t="str">
        <f>VLOOKUP(C258,Abstract!$E$4:$M$62,9,0)</f>
        <v>ACTIVE</v>
      </c>
      <c r="B258" s="95" t="s">
        <v>138</v>
      </c>
      <c r="C258" s="118" t="s">
        <v>30</v>
      </c>
      <c r="D258" s="101" t="s">
        <v>31</v>
      </c>
      <c r="E258" s="99" t="s">
        <v>160</v>
      </c>
      <c r="F258" s="108" t="s">
        <v>161</v>
      </c>
      <c r="G258" s="109">
        <v>0.25</v>
      </c>
      <c r="H258" s="104">
        <f>VLOOKUP($E258,'Stock statement'!$D$2:$P$384,13,)</f>
        <v>3313.2387673094586</v>
      </c>
      <c r="I258" s="105">
        <v>2.5000000000000001E-2</v>
      </c>
      <c r="J258" s="116">
        <v>1.0249999999999999</v>
      </c>
      <c r="K258" s="106">
        <f t="shared" si="17"/>
        <v>870.24286997612489</v>
      </c>
      <c r="L258" s="98"/>
      <c r="M258" s="110">
        <f t="shared" si="20"/>
        <v>7.3100401077994501</v>
      </c>
    </row>
    <row r="259" spans="1:13" s="107" customFormat="1" ht="15" customHeight="1">
      <c r="A259" s="100" t="str">
        <f>VLOOKUP(C259,Abstract!$E$4:$M$62,9,0)</f>
        <v>ACTIVE</v>
      </c>
      <c r="B259" s="95" t="s">
        <v>138</v>
      </c>
      <c r="C259" s="118" t="s">
        <v>30</v>
      </c>
      <c r="D259" s="101" t="s">
        <v>31</v>
      </c>
      <c r="E259" s="99" t="s">
        <v>166</v>
      </c>
      <c r="F259" s="95" t="s">
        <v>167</v>
      </c>
      <c r="G259" s="109">
        <v>2.5</v>
      </c>
      <c r="H259" s="104">
        <f>VLOOKUP($E259,'Stock statement'!$D$2:$P$384,13,)</f>
        <v>127.15913438761541</v>
      </c>
      <c r="I259" s="105">
        <v>2.5000000000000001E-2</v>
      </c>
      <c r="J259" s="116">
        <v>1.0249999999999999</v>
      </c>
      <c r="K259" s="106">
        <f t="shared" si="17"/>
        <v>333.99141391497102</v>
      </c>
      <c r="L259" s="98"/>
      <c r="M259" s="110">
        <f t="shared" si="20"/>
        <v>2.805527876885757</v>
      </c>
    </row>
    <row r="260" spans="1:13" s="107" customFormat="1" ht="15" customHeight="1">
      <c r="A260" s="100" t="str">
        <f>VLOOKUP(C260,Abstract!$E$4:$M$62,9,0)</f>
        <v>ACTIVE</v>
      </c>
      <c r="B260" s="95" t="s">
        <v>138</v>
      </c>
      <c r="C260" s="118" t="s">
        <v>30</v>
      </c>
      <c r="D260" s="101" t="s">
        <v>31</v>
      </c>
      <c r="E260" s="99" t="s">
        <v>209</v>
      </c>
      <c r="F260" s="99" t="s">
        <v>210</v>
      </c>
      <c r="G260" s="109">
        <v>20</v>
      </c>
      <c r="H260" s="104">
        <f>VLOOKUP($E260,'Stock statement'!$D$2:$P$384,13,)</f>
        <v>220.67282625366343</v>
      </c>
      <c r="I260" s="105">
        <v>2.5000000000000001E-2</v>
      </c>
      <c r="J260" s="116">
        <v>1.0249999999999999</v>
      </c>
      <c r="K260" s="106">
        <f t="shared" si="17"/>
        <v>4636.8877616551026</v>
      </c>
      <c r="L260" s="98"/>
      <c r="M260" s="110">
        <f t="shared" si="20"/>
        <v>38.949857197902865</v>
      </c>
    </row>
    <row r="261" spans="1:13" s="107" customFormat="1" ht="15" customHeight="1">
      <c r="A261" s="100" t="str">
        <f>VLOOKUP(C261,Abstract!$E$4:$M$62,9,0)</f>
        <v>ACTIVE</v>
      </c>
      <c r="B261" s="95" t="s">
        <v>138</v>
      </c>
      <c r="C261" s="118" t="s">
        <v>30</v>
      </c>
      <c r="D261" s="101" t="s">
        <v>31</v>
      </c>
      <c r="E261" s="99" t="s">
        <v>153</v>
      </c>
      <c r="F261" s="95" t="s">
        <v>154</v>
      </c>
      <c r="G261" s="109">
        <v>0.75</v>
      </c>
      <c r="H261" s="104">
        <f>VLOOKUP($E261,'Stock statement'!$D$2:$P$384,13,)</f>
        <v>84.206363687840948</v>
      </c>
      <c r="I261" s="105">
        <v>2.5000000000000001E-2</v>
      </c>
      <c r="J261" s="116">
        <v>1.0249999999999999</v>
      </c>
      <c r="K261" s="106">
        <f t="shared" si="17"/>
        <v>66.351983137153411</v>
      </c>
      <c r="L261" s="98"/>
      <c r="M261" s="110">
        <f t="shared" si="20"/>
        <v>0.5573566583520887</v>
      </c>
    </row>
    <row r="262" spans="1:13" s="107" customFormat="1" ht="15" customHeight="1">
      <c r="A262" s="100" t="str">
        <f>VLOOKUP(C262,Abstract!$E$4:$M$62,9,0)</f>
        <v>ACTIVE</v>
      </c>
      <c r="B262" s="95" t="s">
        <v>138</v>
      </c>
      <c r="C262" s="118" t="s">
        <v>30</v>
      </c>
      <c r="D262" s="101" t="s">
        <v>31</v>
      </c>
      <c r="E262" s="99" t="s">
        <v>147</v>
      </c>
      <c r="F262" s="95" t="s">
        <v>148</v>
      </c>
      <c r="G262" s="109">
        <v>1</v>
      </c>
      <c r="H262" s="104">
        <f>VLOOKUP($E262,'Stock statement'!$D$2:$P$384,13,)</f>
        <v>353.50950483838068</v>
      </c>
      <c r="I262" s="105">
        <v>2.5000000000000001E-2</v>
      </c>
      <c r="J262" s="116">
        <v>1.0249999999999999</v>
      </c>
      <c r="K262" s="106">
        <f t="shared" si="17"/>
        <v>371.40592352082365</v>
      </c>
      <c r="L262" s="98"/>
      <c r="M262" s="110">
        <f t="shared" si="20"/>
        <v>3.1198097575749189</v>
      </c>
    </row>
    <row r="263" spans="1:13" s="107" customFormat="1" ht="15" customHeight="1">
      <c r="A263" s="100" t="str">
        <f>VLOOKUP(C263,Abstract!$E$4:$M$62,9,0)</f>
        <v>ACTIVE</v>
      </c>
      <c r="B263" s="95" t="s">
        <v>138</v>
      </c>
      <c r="C263" s="118" t="s">
        <v>30</v>
      </c>
      <c r="D263" s="101" t="s">
        <v>31</v>
      </c>
      <c r="E263" s="99" t="s">
        <v>211</v>
      </c>
      <c r="F263" s="95" t="s">
        <v>212</v>
      </c>
      <c r="G263" s="109">
        <v>0.1</v>
      </c>
      <c r="H263" s="104">
        <f>VLOOKUP($E263,'Stock statement'!$D$2:$P$384,13,)</f>
        <v>1279.5862001575747</v>
      </c>
      <c r="I263" s="105">
        <v>2.5000000000000001E-2</v>
      </c>
      <c r="J263" s="116">
        <v>1.0249999999999999</v>
      </c>
      <c r="K263" s="106">
        <f t="shared" si="17"/>
        <v>134.43652515405518</v>
      </c>
      <c r="L263" s="98"/>
      <c r="M263" s="110">
        <f t="shared" si="20"/>
        <v>1.1292668112940636</v>
      </c>
    </row>
    <row r="264" spans="1:13" s="107" customFormat="1" ht="15" customHeight="1">
      <c r="A264" s="100" t="str">
        <f>VLOOKUP(C264,Abstract!$E$4:$M$62,9,0)</f>
        <v>ACTIVE</v>
      </c>
      <c r="B264" s="95" t="s">
        <v>138</v>
      </c>
      <c r="C264" s="118" t="s">
        <v>30</v>
      </c>
      <c r="D264" s="101" t="s">
        <v>31</v>
      </c>
      <c r="E264" s="99" t="s">
        <v>213</v>
      </c>
      <c r="F264" s="95" t="s">
        <v>214</v>
      </c>
      <c r="G264" s="109">
        <v>0.09</v>
      </c>
      <c r="H264" s="104">
        <f>VLOOKUP($E264,'Stock statement'!$D$2:$P$384,13,)</f>
        <v>674.683130739744</v>
      </c>
      <c r="I264" s="105">
        <v>2.5000000000000001E-2</v>
      </c>
      <c r="J264" s="116">
        <v>1.0249999999999999</v>
      </c>
      <c r="K264" s="106">
        <f t="shared" si="17"/>
        <v>63.795506781009905</v>
      </c>
      <c r="L264" s="98"/>
      <c r="M264" s="110">
        <f t="shared" si="20"/>
        <v>0.53588225696048331</v>
      </c>
    </row>
    <row r="265" spans="1:13" s="107" customFormat="1" ht="15" customHeight="1">
      <c r="A265" s="100" t="str">
        <f>VLOOKUP(C265,Abstract!$E$4:$M$62,9,0)</f>
        <v>ACTIVE</v>
      </c>
      <c r="B265" s="95" t="s">
        <v>138</v>
      </c>
      <c r="C265" s="118" t="s">
        <v>30</v>
      </c>
      <c r="D265" s="101" t="s">
        <v>31</v>
      </c>
      <c r="E265" s="99" t="s">
        <v>215</v>
      </c>
      <c r="F265" s="95" t="s">
        <v>216</v>
      </c>
      <c r="G265" s="109">
        <v>0.09</v>
      </c>
      <c r="H265" s="104">
        <f>VLOOKUP($E265,'Stock statement'!$D$2:$P$384,13,)</f>
        <v>545.51731168806748</v>
      </c>
      <c r="I265" s="105">
        <v>2.5000000000000001E-2</v>
      </c>
      <c r="J265" s="116">
        <v>1.0249999999999999</v>
      </c>
      <c r="K265" s="106">
        <f t="shared" si="17"/>
        <v>51.582071303304822</v>
      </c>
      <c r="L265" s="98"/>
      <c r="M265" s="110">
        <f t="shared" si="20"/>
        <v>0.43328939894776053</v>
      </c>
    </row>
    <row r="266" spans="1:13" s="107" customFormat="1" ht="15" customHeight="1">
      <c r="A266" s="100" t="str">
        <f>VLOOKUP(C266,Abstract!$E$4:$M$62,9,0)</f>
        <v>ACTIVE</v>
      </c>
      <c r="B266" s="95" t="s">
        <v>138</v>
      </c>
      <c r="C266" s="118" t="s">
        <v>30</v>
      </c>
      <c r="D266" s="101" t="s">
        <v>31</v>
      </c>
      <c r="E266" s="99" t="s">
        <v>217</v>
      </c>
      <c r="F266" s="99" t="s">
        <v>218</v>
      </c>
      <c r="G266" s="109">
        <v>0.1</v>
      </c>
      <c r="H266" s="104">
        <f>VLOOKUP($E266,'Stock statement'!$D$2:$P$384,13,)</f>
        <v>910.5767983004796</v>
      </c>
      <c r="I266" s="105">
        <v>2.5000000000000001E-2</v>
      </c>
      <c r="J266" s="116">
        <v>1.0249999999999999</v>
      </c>
      <c r="K266" s="106">
        <f t="shared" si="17"/>
        <v>95.667474871444114</v>
      </c>
      <c r="L266" s="98"/>
      <c r="M266" s="110">
        <f t="shared" si="20"/>
        <v>0.8036067889201306</v>
      </c>
    </row>
    <row r="267" spans="1:13" s="107" customFormat="1" ht="15" customHeight="1">
      <c r="A267" s="100" t="str">
        <f>VLOOKUP(C267,Abstract!$E$4:$M$62,9,0)</f>
        <v>ACTIVE</v>
      </c>
      <c r="B267" s="95" t="s">
        <v>138</v>
      </c>
      <c r="C267" s="118" t="s">
        <v>30</v>
      </c>
      <c r="D267" s="101" t="s">
        <v>31</v>
      </c>
      <c r="E267" s="99" t="s">
        <v>155</v>
      </c>
      <c r="F267" s="95" t="s">
        <v>156</v>
      </c>
      <c r="G267" s="109">
        <v>15</v>
      </c>
      <c r="H267" s="104">
        <f>VLOOKUP($E267,'Stock statement'!$D$2:$P$384,13,)</f>
        <v>68.308211638055738</v>
      </c>
      <c r="I267" s="105">
        <v>2.5000000000000001E-2</v>
      </c>
      <c r="J267" s="116">
        <v>1.0249999999999999</v>
      </c>
      <c r="K267" s="106">
        <f t="shared" si="17"/>
        <v>1076.4947227834843</v>
      </c>
      <c r="L267" s="98"/>
      <c r="M267" s="110">
        <f t="shared" si="20"/>
        <v>9.0425556713812689</v>
      </c>
    </row>
    <row r="268" spans="1:13" s="107" customFormat="1" ht="15" customHeight="1">
      <c r="A268" s="100" t="str">
        <f>VLOOKUP(C268,Abstract!$E$4:$M$62,9,0)</f>
        <v>ACTIVE</v>
      </c>
      <c r="B268" s="95" t="s">
        <v>138</v>
      </c>
      <c r="C268" s="118" t="s">
        <v>30</v>
      </c>
      <c r="D268" s="101" t="s">
        <v>31</v>
      </c>
      <c r="E268" s="99" t="s">
        <v>219</v>
      </c>
      <c r="F268" s="95" t="s">
        <v>220</v>
      </c>
      <c r="G268" s="109">
        <v>2.5000000000000001E-2</v>
      </c>
      <c r="H268" s="104">
        <f>VLOOKUP($E268,'Stock statement'!$D$2:$P$384,13,)</f>
        <v>549.27282042136164</v>
      </c>
      <c r="I268" s="105">
        <v>2.5000000000000001E-2</v>
      </c>
      <c r="J268" s="116">
        <v>1.0249999999999999</v>
      </c>
      <c r="K268" s="106">
        <f t="shared" si="17"/>
        <v>14.426993923879825</v>
      </c>
      <c r="L268" s="98"/>
      <c r="M268" s="110">
        <f t="shared" si="20"/>
        <v>0.12118674896059055</v>
      </c>
    </row>
    <row r="269" spans="1:13" s="107" customFormat="1" ht="15" customHeight="1">
      <c r="A269" s="100" t="str">
        <f>VLOOKUP(C269,Abstract!$E$4:$M$62,9,0)</f>
        <v>ACTIVE</v>
      </c>
      <c r="B269" s="95" t="s">
        <v>138</v>
      </c>
      <c r="C269" s="118" t="s">
        <v>30</v>
      </c>
      <c r="D269" s="101" t="s">
        <v>31</v>
      </c>
      <c r="E269" s="99" t="s">
        <v>221</v>
      </c>
      <c r="F269" s="99" t="s">
        <v>222</v>
      </c>
      <c r="G269" s="109">
        <v>0.1</v>
      </c>
      <c r="H269" s="104">
        <f>VLOOKUP($E269,'Stock statement'!$D$2:$P$384,13,)</f>
        <v>494.13931116123297</v>
      </c>
      <c r="I269" s="105">
        <v>2.5000000000000001E-2</v>
      </c>
      <c r="J269" s="116">
        <v>1.0249999999999999</v>
      </c>
      <c r="K269" s="106">
        <f t="shared" si="17"/>
        <v>51.915511378877035</v>
      </c>
      <c r="L269" s="98"/>
      <c r="M269" s="110">
        <f t="shared" si="20"/>
        <v>0.43609029558256712</v>
      </c>
    </row>
    <row r="270" spans="1:13" s="107" customFormat="1" ht="15" customHeight="1">
      <c r="A270" s="100" t="str">
        <f>VLOOKUP(C270,Abstract!$E$4:$M$62,9,0)</f>
        <v>ACTIVE</v>
      </c>
      <c r="B270" s="95" t="s">
        <v>138</v>
      </c>
      <c r="C270" s="118" t="s">
        <v>30</v>
      </c>
      <c r="D270" s="101" t="s">
        <v>31</v>
      </c>
      <c r="E270" s="99" t="s">
        <v>223</v>
      </c>
      <c r="F270" s="95" t="s">
        <v>224</v>
      </c>
      <c r="G270" s="109">
        <v>0.01</v>
      </c>
      <c r="H270" s="104">
        <f>VLOOKUP($E270,'Stock statement'!$D$2:$P$384,13,)</f>
        <v>661.66658982809031</v>
      </c>
      <c r="I270" s="105">
        <v>2.5000000000000001E-2</v>
      </c>
      <c r="J270" s="116">
        <v>1.0249999999999999</v>
      </c>
      <c r="K270" s="106">
        <f t="shared" si="17"/>
        <v>6.9516346093813723</v>
      </c>
      <c r="L270" s="98"/>
      <c r="M270" s="110">
        <f t="shared" si="20"/>
        <v>5.8393730718803535E-2</v>
      </c>
    </row>
    <row r="271" spans="1:13" s="107" customFormat="1" ht="15" customHeight="1">
      <c r="A271" s="100" t="str">
        <f>VLOOKUP(C271,Abstract!$E$4:$M$62,9,0)</f>
        <v>ACTIVE</v>
      </c>
      <c r="B271" s="95" t="s">
        <v>138</v>
      </c>
      <c r="C271" s="118" t="s">
        <v>30</v>
      </c>
      <c r="D271" s="101" t="s">
        <v>31</v>
      </c>
      <c r="E271" s="99" t="s">
        <v>225</v>
      </c>
      <c r="F271" s="95" t="s">
        <v>226</v>
      </c>
      <c r="G271" s="109">
        <v>6</v>
      </c>
      <c r="H271" s="104">
        <f>VLOOKUP($E271,'Stock statement'!$D$2:$P$384,13,)</f>
        <v>770.99998748629207</v>
      </c>
      <c r="I271" s="105">
        <v>2.5000000000000001E-2</v>
      </c>
      <c r="J271" s="116">
        <v>1.0249999999999999</v>
      </c>
      <c r="K271" s="106">
        <f t="shared" si="17"/>
        <v>4860.1911711167131</v>
      </c>
      <c r="L271" s="98"/>
      <c r="M271" s="110">
        <f t="shared" si="20"/>
        <v>40.825605837380394</v>
      </c>
    </row>
    <row r="272" spans="1:13" s="107" customFormat="1" ht="15" customHeight="1">
      <c r="A272" s="100" t="str">
        <f>VLOOKUP(C272,Abstract!$E$4:$M$62,9,0)</f>
        <v>ACTIVE</v>
      </c>
      <c r="B272" s="95" t="s">
        <v>138</v>
      </c>
      <c r="C272" s="118" t="s">
        <v>30</v>
      </c>
      <c r="D272" s="101" t="s">
        <v>31</v>
      </c>
      <c r="E272" s="99" t="s">
        <v>181</v>
      </c>
      <c r="F272" s="102" t="s">
        <v>182</v>
      </c>
      <c r="G272" s="109">
        <v>12.5</v>
      </c>
      <c r="H272" s="104">
        <f>VLOOKUP($E272,'Stock statement'!$D$2:$P$384,13,)</f>
        <v>17.110276913020375</v>
      </c>
      <c r="I272" s="105">
        <v>2.5000000000000001E-2</v>
      </c>
      <c r="J272" s="116">
        <v>1.0249999999999999</v>
      </c>
      <c r="K272" s="106">
        <f t="shared" si="17"/>
        <v>224.70605852177536</v>
      </c>
      <c r="L272" s="98"/>
      <c r="M272" s="110">
        <f t="shared" si="20"/>
        <v>1.8875308915829132</v>
      </c>
    </row>
    <row r="273" spans="1:13" s="107" customFormat="1" ht="15" customHeight="1">
      <c r="A273" s="100" t="str">
        <f>VLOOKUP(C273,Abstract!$E$4:$M$62,9,0)</f>
        <v>ACTIVE</v>
      </c>
      <c r="B273" s="99" t="s">
        <v>183</v>
      </c>
      <c r="C273" s="118" t="s">
        <v>30</v>
      </c>
      <c r="D273" s="101" t="s">
        <v>31</v>
      </c>
      <c r="E273" s="99" t="s">
        <v>284</v>
      </c>
      <c r="F273" s="95" t="s">
        <v>285</v>
      </c>
      <c r="G273" s="109">
        <v>119.04761904761904</v>
      </c>
      <c r="H273" s="104">
        <f>VLOOKUP($E273,'Stock statement'!$D$2:$P$384,13,)</f>
        <v>20.880311344114645</v>
      </c>
      <c r="I273" s="112">
        <v>6.0000000000000001E-3</v>
      </c>
      <c r="J273" s="113">
        <v>1</v>
      </c>
      <c r="K273" s="106">
        <f t="shared" si="17"/>
        <v>2500.6658585927776</v>
      </c>
      <c r="L273" s="98"/>
      <c r="M273" s="110">
        <f t="shared" si="20"/>
        <v>21.005593212179335</v>
      </c>
    </row>
    <row r="274" spans="1:13" s="107" customFormat="1" ht="15" customHeight="1">
      <c r="A274" s="100" t="str">
        <f>VLOOKUP(C274,Abstract!$E$4:$M$62,9,0)</f>
        <v>ACTIVE</v>
      </c>
      <c r="B274" s="99" t="s">
        <v>183</v>
      </c>
      <c r="C274" s="118" t="s">
        <v>30</v>
      </c>
      <c r="D274" s="101" t="s">
        <v>31</v>
      </c>
      <c r="E274" s="99" t="s">
        <v>278</v>
      </c>
      <c r="F274" s="95" t="s">
        <v>279</v>
      </c>
      <c r="G274" s="109">
        <v>5714.2857142857138</v>
      </c>
      <c r="H274" s="104">
        <f>VLOOKUP($E274,'Stock statement'!$D$2:$P$384,13,)</f>
        <v>5.1071692893281693</v>
      </c>
      <c r="I274" s="112">
        <v>6.0000000000000001E-3</v>
      </c>
      <c r="J274" s="113">
        <v>1</v>
      </c>
      <c r="K274" s="106">
        <f t="shared" si="17"/>
        <v>29358.927457509362</v>
      </c>
      <c r="L274" s="98"/>
      <c r="M274" s="110">
        <f t="shared" si="20"/>
        <v>246.61499064307867</v>
      </c>
    </row>
    <row r="275" spans="1:13" s="107" customFormat="1" ht="15" customHeight="1">
      <c r="A275" s="100" t="str">
        <f>VLOOKUP(C275,Abstract!$E$4:$M$62,9,0)</f>
        <v>ACTIVE</v>
      </c>
      <c r="B275" s="99" t="s">
        <v>183</v>
      </c>
      <c r="C275" s="118" t="s">
        <v>30</v>
      </c>
      <c r="D275" s="101" t="s">
        <v>31</v>
      </c>
      <c r="E275" s="99" t="s">
        <v>248</v>
      </c>
      <c r="F275" s="95" t="s">
        <v>249</v>
      </c>
      <c r="G275" s="109">
        <v>5714.2857142857138</v>
      </c>
      <c r="H275" s="104">
        <f>VLOOKUP($E275,'Stock statement'!$D$2:$P$384,13,)</f>
        <v>3.1661470602783846</v>
      </c>
      <c r="I275" s="112">
        <v>6.0000000000000001E-3</v>
      </c>
      <c r="J275" s="113">
        <v>1</v>
      </c>
      <c r="K275" s="106">
        <f t="shared" si="17"/>
        <v>18200.822529371741</v>
      </c>
      <c r="L275" s="98"/>
      <c r="M275" s="110">
        <f t="shared" si="20"/>
        <v>152.88690924672264</v>
      </c>
    </row>
    <row r="276" spans="1:13" s="107" customFormat="1" ht="15" customHeight="1">
      <c r="A276" s="100" t="str">
        <f>VLOOKUP(C276,Abstract!$E$4:$M$62,9,0)</f>
        <v>ACTIVE</v>
      </c>
      <c r="B276" s="99" t="s">
        <v>183</v>
      </c>
      <c r="C276" s="118" t="s">
        <v>30</v>
      </c>
      <c r="D276" s="101" t="s">
        <v>31</v>
      </c>
      <c r="E276" s="99" t="s">
        <v>286</v>
      </c>
      <c r="F276" s="95" t="s">
        <v>287</v>
      </c>
      <c r="G276" s="109">
        <v>5714.2857142857138</v>
      </c>
      <c r="H276" s="104">
        <f>VLOOKUP($E276,'Stock statement'!$D$2:$P$384,13,)</f>
        <v>1.9422591330559302</v>
      </c>
      <c r="I276" s="105">
        <v>0.02</v>
      </c>
      <c r="J276" s="113">
        <v>1</v>
      </c>
      <c r="K276" s="106">
        <f t="shared" si="17"/>
        <v>11320.596089811706</v>
      </c>
      <c r="L276" s="98"/>
      <c r="M276" s="110">
        <f t="shared" si="20"/>
        <v>95.093007154418345</v>
      </c>
    </row>
    <row r="277" spans="1:13" s="107" customFormat="1" ht="15" customHeight="1">
      <c r="A277" s="100" t="str">
        <f>VLOOKUP(C277,Abstract!$E$4:$M$62,9,0)</f>
        <v>ACTIVE</v>
      </c>
      <c r="B277" s="99" t="s">
        <v>183</v>
      </c>
      <c r="C277" s="118" t="s">
        <v>30</v>
      </c>
      <c r="D277" s="101" t="s">
        <v>31</v>
      </c>
      <c r="E277" s="99" t="s">
        <v>288</v>
      </c>
      <c r="F277" s="95" t="s">
        <v>289</v>
      </c>
      <c r="G277" s="109">
        <v>5714.2857142857138</v>
      </c>
      <c r="H277" s="104">
        <f>VLOOKUP($E277,'Stock statement'!$D$2:$P$384,13,)</f>
        <v>1.4623732698007987</v>
      </c>
      <c r="I277" s="105">
        <v>0.02</v>
      </c>
      <c r="J277" s="113">
        <v>1</v>
      </c>
      <c r="K277" s="106">
        <f t="shared" si="17"/>
        <v>8523.5470582675116</v>
      </c>
      <c r="L277" s="98"/>
      <c r="M277" s="110">
        <f t="shared" si="20"/>
        <v>71.597795289447106</v>
      </c>
    </row>
    <row r="278" spans="1:13" s="107" customFormat="1" ht="15" customHeight="1">
      <c r="A278" s="100" t="str">
        <f>VLOOKUP(C278,Abstract!$E$4:$M$62,9,0)</f>
        <v>ACTIVE</v>
      </c>
      <c r="B278" s="99" t="s">
        <v>183</v>
      </c>
      <c r="C278" s="118" t="s">
        <v>30</v>
      </c>
      <c r="D278" s="101" t="s">
        <v>31</v>
      </c>
      <c r="E278" s="99" t="s">
        <v>191</v>
      </c>
      <c r="F278" s="95" t="s">
        <v>192</v>
      </c>
      <c r="G278" s="109">
        <v>2.9761904761904763</v>
      </c>
      <c r="H278" s="104">
        <f>VLOOKUP($E278,'Stock statement'!$D$2:$P$384,13,)</f>
        <v>44.985440769279101</v>
      </c>
      <c r="I278" s="112">
        <v>2.5000000000000001E-2</v>
      </c>
      <c r="J278" s="113">
        <v>1</v>
      </c>
      <c r="K278" s="106">
        <f t="shared" si="17"/>
        <v>137.23237139437822</v>
      </c>
      <c r="L278" s="98"/>
      <c r="M278" s="110">
        <f t="shared" si="20"/>
        <v>1.1527519197127771</v>
      </c>
    </row>
    <row r="279" spans="1:13" s="107" customFormat="1" ht="15" customHeight="1">
      <c r="A279" s="100" t="str">
        <f>VLOOKUP(C279,Abstract!$E$4:$M$62,9,0)</f>
        <v>ACTIVE</v>
      </c>
      <c r="B279" s="99" t="s">
        <v>183</v>
      </c>
      <c r="C279" s="118" t="s">
        <v>30</v>
      </c>
      <c r="D279" s="101" t="s">
        <v>31</v>
      </c>
      <c r="E279" s="99" t="s">
        <v>275</v>
      </c>
      <c r="F279" s="95" t="s">
        <v>207</v>
      </c>
      <c r="G279" s="109">
        <v>952.38095238095229</v>
      </c>
      <c r="H279" s="104">
        <f>VLOOKUP($E279,'Stock statement'!$D$2:$P$384,13,)</f>
        <v>4.2025763620200998</v>
      </c>
      <c r="I279" s="112">
        <v>0.01</v>
      </c>
      <c r="J279" s="113">
        <v>1</v>
      </c>
      <c r="K279" s="106">
        <f t="shared" si="17"/>
        <v>4042.4782148955242</v>
      </c>
      <c r="L279" s="98"/>
      <c r="M279" s="110">
        <f t="shared" si="20"/>
        <v>33.956817005122403</v>
      </c>
    </row>
    <row r="280" spans="1:13" s="107" customFormat="1" ht="15" customHeight="1">
      <c r="A280" s="100" t="str">
        <f>VLOOKUP(C280,Abstract!$E$4:$M$62,9,0)</f>
        <v>ACTIVE</v>
      </c>
      <c r="B280" s="95" t="s">
        <v>194</v>
      </c>
      <c r="C280" s="118" t="s">
        <v>30</v>
      </c>
      <c r="D280" s="101" t="s">
        <v>31</v>
      </c>
      <c r="E280" s="99" t="s">
        <v>195</v>
      </c>
      <c r="F280" s="95"/>
      <c r="G280" s="109">
        <f>G274</f>
        <v>5714.2857142857138</v>
      </c>
      <c r="H280" s="103">
        <v>0.04</v>
      </c>
      <c r="I280" s="119"/>
      <c r="J280" s="113">
        <v>1</v>
      </c>
      <c r="K280" s="106">
        <f t="shared" si="17"/>
        <v>228.57142857142856</v>
      </c>
      <c r="L280" s="98"/>
      <c r="M280" s="110">
        <f t="shared" si="20"/>
        <v>1.92</v>
      </c>
    </row>
    <row r="281" spans="1:13" s="107" customFormat="1" ht="15" customHeight="1">
      <c r="A281" s="100" t="str">
        <f>VLOOKUP(C281,Abstract!$E$4:$M$62,9,0)</f>
        <v>ACTIVE</v>
      </c>
      <c r="B281" s="95" t="s">
        <v>194</v>
      </c>
      <c r="C281" s="118" t="s">
        <v>30</v>
      </c>
      <c r="D281" s="101" t="s">
        <v>31</v>
      </c>
      <c r="E281" s="99" t="s">
        <v>196</v>
      </c>
      <c r="F281" s="95"/>
      <c r="G281" s="109">
        <f>G280*24</f>
        <v>137142.85714285713</v>
      </c>
      <c r="H281" s="114">
        <v>1.6999999999999999E-3</v>
      </c>
      <c r="I281" s="119"/>
      <c r="J281" s="113">
        <v>1</v>
      </c>
      <c r="K281" s="106">
        <f t="shared" ref="K281" si="21">+G281*H281*(1+I281)*J281</f>
        <v>233.14285714285711</v>
      </c>
      <c r="L281" s="98"/>
      <c r="M281" s="110">
        <f t="shared" si="20"/>
        <v>1.9583999999999999</v>
      </c>
    </row>
    <row r="282" spans="1:13" s="107" customFormat="1" ht="15" customHeight="1">
      <c r="A282" s="100" t="str">
        <f>VLOOKUP(C282,Abstract!$E$4:$M$62,9,0)</f>
        <v>ACTIVE</v>
      </c>
      <c r="B282" s="99" t="s">
        <v>197</v>
      </c>
      <c r="C282" s="118" t="s">
        <v>30</v>
      </c>
      <c r="D282" s="101" t="s">
        <v>31</v>
      </c>
      <c r="E282" s="99" t="s">
        <v>198</v>
      </c>
      <c r="F282" s="95"/>
      <c r="G282" s="109"/>
      <c r="H282" s="104"/>
      <c r="I282" s="100"/>
      <c r="J282" s="113"/>
      <c r="K282" s="106">
        <v>9000</v>
      </c>
      <c r="L282" s="98">
        <f>SUM(K251:K282)</f>
        <v>120024.80943514261</v>
      </c>
      <c r="M282" s="110">
        <f t="shared" si="20"/>
        <v>75.600000000000009</v>
      </c>
    </row>
    <row r="283" spans="1:13" s="107" customFormat="1" ht="15" customHeight="1">
      <c r="A283" s="100" t="str">
        <f>VLOOKUP(C283,Abstract!$E$4:$M$62,9,0)</f>
        <v>No Sales</v>
      </c>
      <c r="B283" s="95" t="s">
        <v>138</v>
      </c>
      <c r="C283" s="117" t="s">
        <v>32</v>
      </c>
      <c r="D283" s="100" t="s">
        <v>33</v>
      </c>
      <c r="E283" s="99" t="s">
        <v>139</v>
      </c>
      <c r="F283" s="102" t="s">
        <v>140</v>
      </c>
      <c r="G283" s="109">
        <v>733.76499999999987</v>
      </c>
      <c r="H283" s="104">
        <f>VLOOKUP($E283,'Stock statement'!$D$2:$P$384,13,)</f>
        <v>0.34</v>
      </c>
      <c r="I283" s="105">
        <v>2.5000000000000001E-2</v>
      </c>
      <c r="J283" s="116">
        <v>1.0249999999999999</v>
      </c>
      <c r="K283" s="106">
        <f t="shared" ref="K283:K312" si="22">+G283*H283*(1+I283)*J283</f>
        <v>262.1100300624999</v>
      </c>
      <c r="L283" s="98"/>
      <c r="M283" s="110">
        <f>K283/$G$305</f>
        <v>1.5097537731599995</v>
      </c>
    </row>
    <row r="284" spans="1:13" s="107" customFormat="1" ht="15" customHeight="1">
      <c r="A284" s="100" t="str">
        <f>VLOOKUP(C284,Abstract!$E$4:$M$62,9,0)</f>
        <v>No Sales</v>
      </c>
      <c r="B284" s="95" t="s">
        <v>138</v>
      </c>
      <c r="C284" s="117" t="s">
        <v>32</v>
      </c>
      <c r="D284" s="100" t="s">
        <v>33</v>
      </c>
      <c r="E284" s="99" t="s">
        <v>141</v>
      </c>
      <c r="F284" s="108" t="s">
        <v>142</v>
      </c>
      <c r="G284" s="109">
        <v>185.7</v>
      </c>
      <c r="H284" s="104">
        <f>VLOOKUP($E284,'Stock statement'!$D$2:$P$384,13,)</f>
        <v>94.278330452007026</v>
      </c>
      <c r="I284" s="105">
        <v>2.5000000000000001E-2</v>
      </c>
      <c r="J284" s="116">
        <v>1.0249999999999999</v>
      </c>
      <c r="K284" s="106">
        <f t="shared" si="22"/>
        <v>18393.80244191267</v>
      </c>
      <c r="L284" s="98"/>
      <c r="M284" s="110">
        <f t="shared" ref="M284:M314" si="23">K284/$G$305</f>
        <v>105.94830206541698</v>
      </c>
    </row>
    <row r="285" spans="1:13" s="107" customFormat="1" ht="15" customHeight="1">
      <c r="A285" s="100" t="str">
        <f>VLOOKUP(C285,Abstract!$E$4:$M$62,9,0)</f>
        <v>No Sales</v>
      </c>
      <c r="B285" s="95" t="s">
        <v>138</v>
      </c>
      <c r="C285" s="117" t="s">
        <v>32</v>
      </c>
      <c r="D285" s="100" t="s">
        <v>33</v>
      </c>
      <c r="E285" s="99" t="s">
        <v>145</v>
      </c>
      <c r="F285" s="102" t="s">
        <v>146</v>
      </c>
      <c r="G285" s="109">
        <v>10</v>
      </c>
      <c r="H285" s="104">
        <f>VLOOKUP($E285,'Stock statement'!$D$2:$P$384,13,)</f>
        <v>151.08681180977209</v>
      </c>
      <c r="I285" s="105">
        <v>2.5000000000000001E-2</v>
      </c>
      <c r="J285" s="116">
        <v>1.0249999999999999</v>
      </c>
      <c r="K285" s="106">
        <f t="shared" si="22"/>
        <v>1587.3558165764177</v>
      </c>
      <c r="L285" s="98"/>
      <c r="M285" s="110">
        <f t="shared" si="23"/>
        <v>9.1431695034801663</v>
      </c>
    </row>
    <row r="286" spans="1:13" s="107" customFormat="1" ht="15" customHeight="1">
      <c r="A286" s="100" t="str">
        <f>VLOOKUP(C286,Abstract!$E$4:$M$62,9,0)</f>
        <v>No Sales</v>
      </c>
      <c r="B286" s="95" t="s">
        <v>138</v>
      </c>
      <c r="C286" s="117" t="s">
        <v>32</v>
      </c>
      <c r="D286" s="100" t="s">
        <v>33</v>
      </c>
      <c r="E286" s="99" t="s">
        <v>149</v>
      </c>
      <c r="F286" s="99" t="s">
        <v>150</v>
      </c>
      <c r="G286" s="109">
        <v>0.125</v>
      </c>
      <c r="H286" s="104">
        <f>VLOOKUP($E286,'Stock statement'!$D$2:$P$384,13,)</f>
        <v>161.56941474217822</v>
      </c>
      <c r="I286" s="105">
        <v>2.5000000000000001E-2</v>
      </c>
      <c r="J286" s="116">
        <v>1.0249999999999999</v>
      </c>
      <c r="K286" s="106">
        <f t="shared" si="22"/>
        <v>21.218608295437623</v>
      </c>
      <c r="L286" s="98"/>
      <c r="M286" s="110">
        <f t="shared" si="23"/>
        <v>0.1222191837817207</v>
      </c>
    </row>
    <row r="287" spans="1:13" s="107" customFormat="1" ht="15" customHeight="1">
      <c r="A287" s="100" t="str">
        <f>VLOOKUP(C287,Abstract!$E$4:$M$62,9,0)</f>
        <v>No Sales</v>
      </c>
      <c r="B287" s="95" t="s">
        <v>138</v>
      </c>
      <c r="C287" s="117" t="s">
        <v>32</v>
      </c>
      <c r="D287" s="100" t="s">
        <v>33</v>
      </c>
      <c r="E287" s="99" t="s">
        <v>151</v>
      </c>
      <c r="F287" s="99" t="s">
        <v>152</v>
      </c>
      <c r="G287" s="109">
        <v>2.5</v>
      </c>
      <c r="H287" s="104">
        <f>VLOOKUP($E287,'Stock statement'!$D$2:$P$384,13,)</f>
        <v>762.38931335604309</v>
      </c>
      <c r="I287" s="105">
        <v>2.5000000000000001E-2</v>
      </c>
      <c r="J287" s="116">
        <v>1.0249999999999999</v>
      </c>
      <c r="K287" s="106">
        <f t="shared" si="22"/>
        <v>2002.4631808617316</v>
      </c>
      <c r="L287" s="98"/>
      <c r="M287" s="110">
        <f t="shared" si="23"/>
        <v>11.534187921763573</v>
      </c>
    </row>
    <row r="288" spans="1:13" s="107" customFormat="1" ht="15" customHeight="1">
      <c r="A288" s="100" t="str">
        <f>VLOOKUP(C288,Abstract!$E$4:$M$62,9,0)</f>
        <v>No Sales</v>
      </c>
      <c r="B288" s="95" t="s">
        <v>138</v>
      </c>
      <c r="C288" s="117" t="s">
        <v>32</v>
      </c>
      <c r="D288" s="100" t="s">
        <v>33</v>
      </c>
      <c r="E288" s="99" t="s">
        <v>157</v>
      </c>
      <c r="F288" s="102" t="s">
        <v>158</v>
      </c>
      <c r="G288" s="109">
        <v>1</v>
      </c>
      <c r="H288" s="104">
        <f>VLOOKUP($E288,'Stock statement'!$D$2:$P$384,13,)</f>
        <v>828.81974703846117</v>
      </c>
      <c r="I288" s="105">
        <v>2.5000000000000001E-2</v>
      </c>
      <c r="J288" s="116">
        <v>1.0249999999999999</v>
      </c>
      <c r="K288" s="106">
        <f t="shared" si="22"/>
        <v>870.77874673228314</v>
      </c>
      <c r="L288" s="98"/>
      <c r="M288" s="110">
        <f t="shared" si="23"/>
        <v>5.0156855811779506</v>
      </c>
    </row>
    <row r="289" spans="1:13" s="107" customFormat="1" ht="15" customHeight="1">
      <c r="A289" s="100" t="str">
        <f>VLOOKUP(C289,Abstract!$E$4:$M$62,9,0)</f>
        <v>No Sales</v>
      </c>
      <c r="B289" s="95" t="s">
        <v>138</v>
      </c>
      <c r="C289" s="117" t="s">
        <v>32</v>
      </c>
      <c r="D289" s="100" t="s">
        <v>33</v>
      </c>
      <c r="E289" s="157">
        <v>115150</v>
      </c>
      <c r="F289" s="99" t="s">
        <v>159</v>
      </c>
      <c r="G289" s="109">
        <v>1</v>
      </c>
      <c r="H289" s="104">
        <f>VLOOKUP($E289,'Stock statement'!$D$2:$P$384,13,)</f>
        <v>456.30699446392703</v>
      </c>
      <c r="I289" s="105">
        <v>2.5000000000000001E-2</v>
      </c>
      <c r="J289" s="116">
        <v>1.0249999999999999</v>
      </c>
      <c r="K289" s="106">
        <f t="shared" ref="K289" si="24">+G289*H289*(1+I289)*J289</f>
        <v>479.40753605866325</v>
      </c>
      <c r="L289" s="98"/>
      <c r="M289" s="110">
        <f t="shared" si="23"/>
        <v>2.7613874076979004</v>
      </c>
    </row>
    <row r="290" spans="1:13" s="107" customFormat="1" ht="15" customHeight="1">
      <c r="A290" s="100" t="str">
        <f>VLOOKUP(C290,Abstract!$E$4:$M$62,9,0)</f>
        <v>No Sales</v>
      </c>
      <c r="B290" s="95" t="s">
        <v>138</v>
      </c>
      <c r="C290" s="117" t="s">
        <v>32</v>
      </c>
      <c r="D290" s="100" t="s">
        <v>33</v>
      </c>
      <c r="E290" s="99" t="s">
        <v>160</v>
      </c>
      <c r="F290" s="108" t="s">
        <v>161</v>
      </c>
      <c r="G290" s="109">
        <v>0.25</v>
      </c>
      <c r="H290" s="104">
        <f>VLOOKUP($E290,'Stock statement'!$D$2:$P$384,13,)</f>
        <v>3313.2387673094586</v>
      </c>
      <c r="I290" s="105">
        <v>2.5000000000000001E-2</v>
      </c>
      <c r="J290" s="116">
        <v>1.0249999999999999</v>
      </c>
      <c r="K290" s="106">
        <f t="shared" si="22"/>
        <v>870.24286997612489</v>
      </c>
      <c r="L290" s="98"/>
      <c r="M290" s="110">
        <f t="shared" si="23"/>
        <v>5.0125989310624792</v>
      </c>
    </row>
    <row r="291" spans="1:13" s="107" customFormat="1" ht="15" customHeight="1">
      <c r="A291" s="100" t="str">
        <f>VLOOKUP(C291,Abstract!$E$4:$M$62,9,0)</f>
        <v>No Sales</v>
      </c>
      <c r="B291" s="95" t="s">
        <v>138</v>
      </c>
      <c r="C291" s="117" t="s">
        <v>32</v>
      </c>
      <c r="D291" s="100" t="s">
        <v>33</v>
      </c>
      <c r="E291" s="99" t="s">
        <v>143</v>
      </c>
      <c r="F291" s="108" t="s">
        <v>144</v>
      </c>
      <c r="G291" s="109">
        <v>5</v>
      </c>
      <c r="H291" s="104">
        <f>VLOOKUP($E291,'Stock statement'!$D$2:$P$384,13,)</f>
        <v>178.57970547017939</v>
      </c>
      <c r="I291" s="105">
        <v>2.5000000000000001E-2</v>
      </c>
      <c r="J291" s="116">
        <v>1.0249999999999999</v>
      </c>
      <c r="K291" s="106">
        <f t="shared" si="22"/>
        <v>938.10151529803602</v>
      </c>
      <c r="L291" s="98"/>
      <c r="M291" s="110">
        <f t="shared" si="23"/>
        <v>5.4034647281166874</v>
      </c>
    </row>
    <row r="292" spans="1:13" s="107" customFormat="1" ht="15" customHeight="1">
      <c r="A292" s="100" t="str">
        <f>VLOOKUP(C292,Abstract!$E$4:$M$62,9,0)</f>
        <v>No Sales</v>
      </c>
      <c r="B292" s="95" t="s">
        <v>138</v>
      </c>
      <c r="C292" s="117" t="s">
        <v>32</v>
      </c>
      <c r="D292" s="100" t="s">
        <v>33</v>
      </c>
      <c r="E292" s="99" t="s">
        <v>166</v>
      </c>
      <c r="F292" s="99" t="s">
        <v>167</v>
      </c>
      <c r="G292" s="109">
        <v>2.5</v>
      </c>
      <c r="H292" s="104">
        <f>VLOOKUP($E292,'Stock statement'!$D$2:$P$384,13,)</f>
        <v>127.15913438761541</v>
      </c>
      <c r="I292" s="105">
        <v>2.5000000000000001E-2</v>
      </c>
      <c r="J292" s="116">
        <v>1.0249999999999999</v>
      </c>
      <c r="K292" s="106">
        <f t="shared" si="22"/>
        <v>333.99141391497102</v>
      </c>
      <c r="L292" s="98"/>
      <c r="M292" s="110">
        <f t="shared" si="23"/>
        <v>1.923790544150233</v>
      </c>
    </row>
    <row r="293" spans="1:13" s="107" customFormat="1" ht="15" customHeight="1">
      <c r="A293" s="100" t="str">
        <f>VLOOKUP(C293,Abstract!$E$4:$M$62,9,0)</f>
        <v>No Sales</v>
      </c>
      <c r="B293" s="95" t="s">
        <v>138</v>
      </c>
      <c r="C293" s="117" t="s">
        <v>32</v>
      </c>
      <c r="D293" s="100" t="s">
        <v>33</v>
      </c>
      <c r="E293" s="99" t="s">
        <v>209</v>
      </c>
      <c r="F293" s="99" t="s">
        <v>210</v>
      </c>
      <c r="G293" s="109">
        <v>20</v>
      </c>
      <c r="H293" s="104">
        <f>VLOOKUP($E293,'Stock statement'!$D$2:$P$384,13,)</f>
        <v>220.67282625366343</v>
      </c>
      <c r="I293" s="105">
        <v>2.5000000000000001E-2</v>
      </c>
      <c r="J293" s="116">
        <v>1.0249999999999999</v>
      </c>
      <c r="K293" s="106">
        <f t="shared" si="22"/>
        <v>4636.8877616551026</v>
      </c>
      <c r="L293" s="98"/>
      <c r="M293" s="110">
        <f t="shared" si="23"/>
        <v>26.708473507133391</v>
      </c>
    </row>
    <row r="294" spans="1:13" s="107" customFormat="1" ht="15" customHeight="1">
      <c r="A294" s="100" t="str">
        <f>VLOOKUP(C294,Abstract!$E$4:$M$62,9,0)</f>
        <v>No Sales</v>
      </c>
      <c r="B294" s="95" t="s">
        <v>138</v>
      </c>
      <c r="C294" s="117" t="s">
        <v>32</v>
      </c>
      <c r="D294" s="100" t="s">
        <v>33</v>
      </c>
      <c r="E294" s="99" t="s">
        <v>153</v>
      </c>
      <c r="F294" s="99" t="s">
        <v>154</v>
      </c>
      <c r="G294" s="109">
        <v>0.75</v>
      </c>
      <c r="H294" s="104">
        <f>VLOOKUP($E294,'Stock statement'!$D$2:$P$384,13,)</f>
        <v>84.206363687840948</v>
      </c>
      <c r="I294" s="105">
        <v>2.5000000000000001E-2</v>
      </c>
      <c r="J294" s="116">
        <v>1.0249999999999999</v>
      </c>
      <c r="K294" s="106">
        <f t="shared" si="22"/>
        <v>66.351983137153411</v>
      </c>
      <c r="L294" s="98"/>
      <c r="M294" s="110">
        <f t="shared" si="23"/>
        <v>0.38218742287000362</v>
      </c>
    </row>
    <row r="295" spans="1:13" s="107" customFormat="1" ht="15" customHeight="1">
      <c r="A295" s="100" t="str">
        <f>VLOOKUP(C295,Abstract!$E$4:$M$62,9,0)</f>
        <v>No Sales</v>
      </c>
      <c r="B295" s="95" t="s">
        <v>138</v>
      </c>
      <c r="C295" s="117" t="s">
        <v>32</v>
      </c>
      <c r="D295" s="100" t="s">
        <v>33</v>
      </c>
      <c r="E295" s="99" t="s">
        <v>147</v>
      </c>
      <c r="F295" s="95" t="s">
        <v>148</v>
      </c>
      <c r="G295" s="109">
        <v>1</v>
      </c>
      <c r="H295" s="104">
        <f>VLOOKUP($E295,'Stock statement'!$D$2:$P$384,13,)</f>
        <v>353.50950483838068</v>
      </c>
      <c r="I295" s="105">
        <v>2.5000000000000001E-2</v>
      </c>
      <c r="J295" s="116">
        <v>1.0249999999999999</v>
      </c>
      <c r="K295" s="106">
        <f t="shared" si="22"/>
        <v>371.40592352082365</v>
      </c>
      <c r="L295" s="98"/>
      <c r="M295" s="110">
        <f t="shared" si="23"/>
        <v>2.1392981194799443</v>
      </c>
    </row>
    <row r="296" spans="1:13" s="107" customFormat="1" ht="15" customHeight="1">
      <c r="A296" s="100" t="str">
        <f>VLOOKUP(C296,Abstract!$E$4:$M$62,9,0)</f>
        <v>No Sales</v>
      </c>
      <c r="B296" s="95" t="s">
        <v>138</v>
      </c>
      <c r="C296" s="117" t="s">
        <v>32</v>
      </c>
      <c r="D296" s="100" t="s">
        <v>33</v>
      </c>
      <c r="E296" s="99" t="s">
        <v>257</v>
      </c>
      <c r="F296" s="99" t="s">
        <v>258</v>
      </c>
      <c r="G296" s="109">
        <v>0.1</v>
      </c>
      <c r="H296" s="104">
        <f>VLOOKUP($E296,'Stock statement'!$D$2:$P$384,13,)</f>
        <v>1031.4407683596341</v>
      </c>
      <c r="I296" s="105">
        <v>2.5000000000000001E-2</v>
      </c>
      <c r="J296" s="116">
        <v>1.0249999999999999</v>
      </c>
      <c r="K296" s="106">
        <f t="shared" si="22"/>
        <v>108.36574572578405</v>
      </c>
      <c r="L296" s="98"/>
      <c r="M296" s="110">
        <f t="shared" si="23"/>
        <v>0.62418669538051608</v>
      </c>
    </row>
    <row r="297" spans="1:13" s="107" customFormat="1" ht="15" customHeight="1">
      <c r="A297" s="100" t="str">
        <f>VLOOKUP(C297,Abstract!$E$4:$M$62,9,0)</f>
        <v>No Sales</v>
      </c>
      <c r="B297" s="95" t="s">
        <v>138</v>
      </c>
      <c r="C297" s="117" t="s">
        <v>32</v>
      </c>
      <c r="D297" s="100" t="s">
        <v>33</v>
      </c>
      <c r="E297" s="99" t="s">
        <v>177</v>
      </c>
      <c r="F297" s="99" t="s">
        <v>178</v>
      </c>
      <c r="G297" s="109">
        <v>0.1</v>
      </c>
      <c r="H297" s="104">
        <f>VLOOKUP($E297,'Stock statement'!$D$2:$P$384,13,)</f>
        <v>195.29212473407105</v>
      </c>
      <c r="I297" s="105">
        <v>2.5000000000000001E-2</v>
      </c>
      <c r="J297" s="116">
        <v>1.0249999999999999</v>
      </c>
      <c r="K297" s="106">
        <f t="shared" si="22"/>
        <v>20.517878854873334</v>
      </c>
      <c r="L297" s="98"/>
      <c r="M297" s="110">
        <f t="shared" si="23"/>
        <v>0.11818298220407041</v>
      </c>
    </row>
    <row r="298" spans="1:13" s="107" customFormat="1" ht="15" customHeight="1">
      <c r="A298" s="100" t="str">
        <f>VLOOKUP(C298,Abstract!$E$4:$M$62,9,0)</f>
        <v>No Sales</v>
      </c>
      <c r="B298" s="95" t="s">
        <v>138</v>
      </c>
      <c r="C298" s="117" t="s">
        <v>32</v>
      </c>
      <c r="D298" s="100" t="s">
        <v>33</v>
      </c>
      <c r="E298" s="99" t="s">
        <v>217</v>
      </c>
      <c r="F298" s="99" t="s">
        <v>218</v>
      </c>
      <c r="G298" s="109">
        <v>0.1</v>
      </c>
      <c r="H298" s="104">
        <f>VLOOKUP($E298,'Stock statement'!$D$2:$P$384,13,)</f>
        <v>910.5767983004796</v>
      </c>
      <c r="I298" s="105">
        <v>2.5000000000000001E-2</v>
      </c>
      <c r="J298" s="116">
        <v>1.0249999999999999</v>
      </c>
      <c r="K298" s="106">
        <f t="shared" si="22"/>
        <v>95.667474871444114</v>
      </c>
      <c r="L298" s="98"/>
      <c r="M298" s="110">
        <f t="shared" si="23"/>
        <v>0.55104465525951807</v>
      </c>
    </row>
    <row r="299" spans="1:13" s="107" customFormat="1" ht="15" customHeight="1">
      <c r="A299" s="100" t="str">
        <f>VLOOKUP(C299,Abstract!$E$4:$M$62,9,0)</f>
        <v>No Sales</v>
      </c>
      <c r="B299" s="95" t="s">
        <v>138</v>
      </c>
      <c r="C299" s="117" t="s">
        <v>32</v>
      </c>
      <c r="D299" s="100" t="s">
        <v>33</v>
      </c>
      <c r="E299" s="99" t="s">
        <v>259</v>
      </c>
      <c r="F299" s="99" t="s">
        <v>260</v>
      </c>
      <c r="G299" s="109">
        <v>0.06</v>
      </c>
      <c r="H299" s="104">
        <f>VLOOKUP($E299,'Stock statement'!$D$2:$P$384,13,)</f>
        <v>894.46244467712404</v>
      </c>
      <c r="I299" s="105">
        <v>2.5000000000000001E-2</v>
      </c>
      <c r="J299" s="116">
        <v>1.0249999999999999</v>
      </c>
      <c r="K299" s="106">
        <f t="shared" si="22"/>
        <v>56.384676356334197</v>
      </c>
      <c r="L299" s="98"/>
      <c r="M299" s="110">
        <f t="shared" si="23"/>
        <v>0.32477573581248498</v>
      </c>
    </row>
    <row r="300" spans="1:13" s="107" customFormat="1" ht="15" customHeight="1">
      <c r="A300" s="100" t="str">
        <f>VLOOKUP(C300,Abstract!$E$4:$M$62,9,0)</f>
        <v>No Sales</v>
      </c>
      <c r="B300" s="95" t="s">
        <v>138</v>
      </c>
      <c r="C300" s="117" t="s">
        <v>32</v>
      </c>
      <c r="D300" s="100" t="s">
        <v>33</v>
      </c>
      <c r="E300" s="99" t="s">
        <v>155</v>
      </c>
      <c r="F300" s="99" t="s">
        <v>156</v>
      </c>
      <c r="G300" s="109">
        <v>15</v>
      </c>
      <c r="H300" s="104">
        <f>VLOOKUP($E300,'Stock statement'!$D$2:$P$384,13,)</f>
        <v>68.308211638055738</v>
      </c>
      <c r="I300" s="105">
        <v>2.5000000000000001E-2</v>
      </c>
      <c r="J300" s="116">
        <v>1.0249999999999999</v>
      </c>
      <c r="K300" s="106">
        <f t="shared" si="22"/>
        <v>1076.4947227834843</v>
      </c>
      <c r="L300" s="98"/>
      <c r="M300" s="110">
        <f t="shared" si="23"/>
        <v>6.2006096032328699</v>
      </c>
    </row>
    <row r="301" spans="1:13" s="107" customFormat="1" ht="15" customHeight="1">
      <c r="A301" s="100" t="str">
        <f>VLOOKUP(C301,Abstract!$E$4:$M$62,9,0)</f>
        <v>No Sales</v>
      </c>
      <c r="B301" s="95" t="s">
        <v>138</v>
      </c>
      <c r="C301" s="117" t="s">
        <v>32</v>
      </c>
      <c r="D301" s="100" t="s">
        <v>33</v>
      </c>
      <c r="E301" s="99" t="s">
        <v>261</v>
      </c>
      <c r="F301" s="95" t="s">
        <v>262</v>
      </c>
      <c r="G301" s="109">
        <v>2.5</v>
      </c>
      <c r="H301" s="104">
        <f>VLOOKUP($E301,'Stock statement'!$D$2:$P$384,13,)</f>
        <v>0</v>
      </c>
      <c r="I301" s="105">
        <v>2.5000000000000001E-2</v>
      </c>
      <c r="J301" s="116">
        <v>1.0249999999999999</v>
      </c>
      <c r="K301" s="106">
        <f t="shared" si="22"/>
        <v>0</v>
      </c>
      <c r="L301" s="98"/>
      <c r="M301" s="110">
        <f t="shared" si="23"/>
        <v>0</v>
      </c>
    </row>
    <row r="302" spans="1:13" s="107" customFormat="1" ht="15" customHeight="1">
      <c r="A302" s="100" t="str">
        <f>VLOOKUP(C302,Abstract!$E$4:$M$62,9,0)</f>
        <v>No Sales</v>
      </c>
      <c r="B302" s="95" t="s">
        <v>138</v>
      </c>
      <c r="C302" s="117" t="s">
        <v>32</v>
      </c>
      <c r="D302" s="100" t="s">
        <v>33</v>
      </c>
      <c r="E302" s="99" t="s">
        <v>263</v>
      </c>
      <c r="F302" s="99" t="s">
        <v>264</v>
      </c>
      <c r="G302" s="109">
        <v>6</v>
      </c>
      <c r="H302" s="104">
        <f>VLOOKUP($E302,'Stock statement'!$D$2:$P$384,13,)</f>
        <v>727.3911741078939</v>
      </c>
      <c r="I302" s="105">
        <v>2.5000000000000001E-2</v>
      </c>
      <c r="J302" s="116">
        <v>1.0249999999999999</v>
      </c>
      <c r="K302" s="106">
        <f t="shared" si="22"/>
        <v>4585.2921137826361</v>
      </c>
      <c r="L302" s="98"/>
      <c r="M302" s="110">
        <f t="shared" si="23"/>
        <v>26.411282575387983</v>
      </c>
    </row>
    <row r="303" spans="1:13" s="107" customFormat="1" ht="15" customHeight="1">
      <c r="A303" s="100" t="str">
        <f>VLOOKUP(C303,Abstract!$E$4:$M$62,9,0)</f>
        <v>No Sales</v>
      </c>
      <c r="B303" s="95" t="s">
        <v>138</v>
      </c>
      <c r="C303" s="117" t="s">
        <v>32</v>
      </c>
      <c r="D303" s="100" t="s">
        <v>33</v>
      </c>
      <c r="E303" s="99" t="s">
        <v>173</v>
      </c>
      <c r="F303" s="95" t="s">
        <v>174</v>
      </c>
      <c r="G303" s="109">
        <v>0.05</v>
      </c>
      <c r="H303" s="104">
        <f>VLOOKUP($E303,'Stock statement'!$D$2:$P$384,13,)</f>
        <v>555.2517156766155</v>
      </c>
      <c r="I303" s="105">
        <v>2.5000000000000001E-2</v>
      </c>
      <c r="J303" s="116">
        <v>1.0249999999999999</v>
      </c>
      <c r="K303" s="106">
        <f t="shared" si="22"/>
        <v>29.168066689137202</v>
      </c>
      <c r="L303" s="98"/>
      <c r="M303" s="110">
        <f t="shared" si="23"/>
        <v>0.16800806412943028</v>
      </c>
    </row>
    <row r="304" spans="1:13" s="107" customFormat="1" ht="15" customHeight="1">
      <c r="A304" s="100" t="str">
        <f>VLOOKUP(C304,Abstract!$E$4:$M$62,9,0)</f>
        <v>No Sales</v>
      </c>
      <c r="B304" s="95" t="s">
        <v>138</v>
      </c>
      <c r="C304" s="117" t="s">
        <v>32</v>
      </c>
      <c r="D304" s="100" t="s">
        <v>33</v>
      </c>
      <c r="E304" s="99" t="s">
        <v>181</v>
      </c>
      <c r="F304" s="102" t="s">
        <v>182</v>
      </c>
      <c r="G304" s="109">
        <v>12.5</v>
      </c>
      <c r="H304" s="104">
        <f>VLOOKUP($E304,'Stock statement'!$D$2:$P$384,13,)</f>
        <v>17.110276913020375</v>
      </c>
      <c r="I304" s="105">
        <v>2.5000000000000001E-2</v>
      </c>
      <c r="J304" s="116">
        <v>1.0249999999999999</v>
      </c>
      <c r="K304" s="106">
        <f t="shared" si="22"/>
        <v>224.70605852177536</v>
      </c>
      <c r="L304" s="98"/>
      <c r="M304" s="110">
        <f t="shared" si="23"/>
        <v>1.2943068970854261</v>
      </c>
    </row>
    <row r="305" spans="1:13" s="107" customFormat="1" ht="15" customHeight="1">
      <c r="A305" s="100" t="str">
        <f>VLOOKUP(C305,Abstract!$E$4:$M$62,9,0)</f>
        <v>No Sales</v>
      </c>
      <c r="B305" s="99" t="s">
        <v>183</v>
      </c>
      <c r="C305" s="117" t="s">
        <v>32</v>
      </c>
      <c r="D305" s="100" t="s">
        <v>33</v>
      </c>
      <c r="E305" s="99" t="s">
        <v>290</v>
      </c>
      <c r="F305" s="99" t="s">
        <v>291</v>
      </c>
      <c r="G305" s="109">
        <v>173.61111111111111</v>
      </c>
      <c r="H305" s="104">
        <f>VLOOKUP($E305,'Stock statement'!$D$2:$P$384,13,)</f>
        <v>24.692365269461074</v>
      </c>
      <c r="I305" s="112">
        <v>6.0000000000000001E-3</v>
      </c>
      <c r="J305" s="113">
        <v>1</v>
      </c>
      <c r="K305" s="106">
        <f t="shared" si="22"/>
        <v>4312.5901842149024</v>
      </c>
      <c r="L305" s="98"/>
      <c r="M305" s="110">
        <f t="shared" si="23"/>
        <v>24.840519461077836</v>
      </c>
    </row>
    <row r="306" spans="1:13" s="107" customFormat="1" ht="15" customHeight="1">
      <c r="A306" s="100" t="str">
        <f>VLOOKUP(C306,Abstract!$E$4:$M$62,9,0)</f>
        <v>No Sales</v>
      </c>
      <c r="B306" s="99" t="s">
        <v>183</v>
      </c>
      <c r="C306" s="117" t="s">
        <v>32</v>
      </c>
      <c r="D306" s="100" t="s">
        <v>33</v>
      </c>
      <c r="E306" s="99" t="s">
        <v>292</v>
      </c>
      <c r="F306" s="99" t="s">
        <v>293</v>
      </c>
      <c r="G306" s="109">
        <v>12500</v>
      </c>
      <c r="H306" s="104">
        <f>VLOOKUP($E306,'Stock statement'!$D$2:$P$384,13,)</f>
        <v>3.1261620977354001</v>
      </c>
      <c r="I306" s="112">
        <v>6.0000000000000001E-3</v>
      </c>
      <c r="J306" s="113">
        <v>1</v>
      </c>
      <c r="K306" s="106">
        <f t="shared" si="22"/>
        <v>39311.48837902266</v>
      </c>
      <c r="L306" s="98"/>
      <c r="M306" s="110">
        <f t="shared" si="23"/>
        <v>226.4341730631705</v>
      </c>
    </row>
    <row r="307" spans="1:13" s="107" customFormat="1" ht="15" customHeight="1">
      <c r="A307" s="100" t="str">
        <f>VLOOKUP(C307,Abstract!$E$4:$M$62,9,0)</f>
        <v>No Sales</v>
      </c>
      <c r="B307" s="99" t="s">
        <v>183</v>
      </c>
      <c r="C307" s="117" t="s">
        <v>32</v>
      </c>
      <c r="D307" s="100" t="s">
        <v>33</v>
      </c>
      <c r="E307" s="99" t="s">
        <v>294</v>
      </c>
      <c r="F307" s="99" t="s">
        <v>295</v>
      </c>
      <c r="G307" s="109">
        <v>12500</v>
      </c>
      <c r="H307" s="104">
        <f>VLOOKUP($E307,'Stock statement'!$D$2:$P$384,13,)</f>
        <v>3.5590061241147728</v>
      </c>
      <c r="I307" s="112">
        <v>6.0000000000000001E-3</v>
      </c>
      <c r="J307" s="113">
        <v>1</v>
      </c>
      <c r="K307" s="106">
        <f t="shared" si="22"/>
        <v>44754.502010743265</v>
      </c>
      <c r="L307" s="98"/>
      <c r="M307" s="110">
        <f t="shared" si="23"/>
        <v>257.78593158188119</v>
      </c>
    </row>
    <row r="308" spans="1:13" s="107" customFormat="1" ht="15" customHeight="1">
      <c r="A308" s="100" t="str">
        <f>VLOOKUP(C308,Abstract!$E$4:$M$62,9,0)</f>
        <v>No Sales</v>
      </c>
      <c r="B308" s="99" t="s">
        <v>183</v>
      </c>
      <c r="C308" s="117" t="s">
        <v>32</v>
      </c>
      <c r="D308" s="100" t="s">
        <v>33</v>
      </c>
      <c r="E308" s="99" t="s">
        <v>296</v>
      </c>
      <c r="F308" s="99" t="s">
        <v>297</v>
      </c>
      <c r="G308" s="109">
        <v>12500</v>
      </c>
      <c r="H308" s="104">
        <f>VLOOKUP($E308,'Stock statement'!$D$2:$P$384,13,)</f>
        <v>1.2029985604933282</v>
      </c>
      <c r="I308" s="105">
        <v>0.02</v>
      </c>
      <c r="J308" s="113">
        <v>1</v>
      </c>
      <c r="K308" s="106">
        <f t="shared" si="22"/>
        <v>15338.231646289936</v>
      </c>
      <c r="L308" s="98"/>
      <c r="M308" s="110">
        <f t="shared" si="23"/>
        <v>88.348214282630025</v>
      </c>
    </row>
    <row r="309" spans="1:13" s="107" customFormat="1" ht="15" customHeight="1">
      <c r="A309" s="100" t="str">
        <f>VLOOKUP(C309,Abstract!$E$4:$M$62,9,0)</f>
        <v>No Sales</v>
      </c>
      <c r="B309" s="99" t="s">
        <v>183</v>
      </c>
      <c r="C309" s="117" t="s">
        <v>32</v>
      </c>
      <c r="D309" s="100" t="s">
        <v>33</v>
      </c>
      <c r="E309" s="99" t="s">
        <v>298</v>
      </c>
      <c r="F309" s="99" t="s">
        <v>299</v>
      </c>
      <c r="G309" s="109">
        <v>12500</v>
      </c>
      <c r="H309" s="104">
        <f>VLOOKUP($E309,'Stock statement'!$D$2:$P$384,13,)</f>
        <v>0.91008493081490049</v>
      </c>
      <c r="I309" s="105">
        <v>0.02</v>
      </c>
      <c r="J309" s="113">
        <v>1</v>
      </c>
      <c r="K309" s="106">
        <f t="shared" si="22"/>
        <v>11603.582867889982</v>
      </c>
      <c r="L309" s="98"/>
      <c r="M309" s="110">
        <f t="shared" si="23"/>
        <v>66.836637319046289</v>
      </c>
    </row>
    <row r="310" spans="1:13" s="107" customFormat="1" ht="15" customHeight="1">
      <c r="A310" s="100" t="str">
        <f>VLOOKUP(C310,Abstract!$E$4:$M$62,9,0)</f>
        <v>No Sales</v>
      </c>
      <c r="B310" s="99" t="s">
        <v>183</v>
      </c>
      <c r="C310" s="117" t="s">
        <v>32</v>
      </c>
      <c r="D310" s="100" t="s">
        <v>33</v>
      </c>
      <c r="E310" s="99" t="s">
        <v>191</v>
      </c>
      <c r="F310" s="95" t="s">
        <v>192</v>
      </c>
      <c r="G310" s="109">
        <v>4.3402777777777777</v>
      </c>
      <c r="H310" s="104">
        <f>VLOOKUP($E310,'Stock statement'!$D$2:$P$384,13,)</f>
        <v>44.985440769279101</v>
      </c>
      <c r="I310" s="112">
        <v>2.5000000000000001E-2</v>
      </c>
      <c r="J310" s="113">
        <v>1</v>
      </c>
      <c r="K310" s="106">
        <f t="shared" si="22"/>
        <v>200.13054161680154</v>
      </c>
      <c r="L310" s="98"/>
      <c r="M310" s="110">
        <f t="shared" si="23"/>
        <v>1.1527519197127769</v>
      </c>
    </row>
    <row r="311" spans="1:13" s="107" customFormat="1" ht="15" customHeight="1">
      <c r="A311" s="100" t="str">
        <f>VLOOKUP(C311,Abstract!$E$4:$M$62,9,0)</f>
        <v>No Sales</v>
      </c>
      <c r="B311" s="99" t="s">
        <v>183</v>
      </c>
      <c r="C311" s="117" t="s">
        <v>32</v>
      </c>
      <c r="D311" s="100" t="s">
        <v>33</v>
      </c>
      <c r="E311" s="99" t="s">
        <v>254</v>
      </c>
      <c r="F311" s="95" t="s">
        <v>255</v>
      </c>
      <c r="G311" s="109">
        <v>2083.3333333333335</v>
      </c>
      <c r="H311" s="104">
        <f>VLOOKUP($E311,'Stock statement'!$D$2:$P$384,13,)</f>
        <v>2.6</v>
      </c>
      <c r="I311" s="112">
        <v>0.01</v>
      </c>
      <c r="J311" s="113">
        <v>1</v>
      </c>
      <c r="K311" s="106">
        <f t="shared" si="22"/>
        <v>5470.8333333333339</v>
      </c>
      <c r="L311" s="98"/>
      <c r="M311" s="110">
        <f t="shared" si="23"/>
        <v>31.512000000000004</v>
      </c>
    </row>
    <row r="312" spans="1:13" s="107" customFormat="1" ht="15" customHeight="1">
      <c r="A312" s="100" t="str">
        <f>VLOOKUP(C312,Abstract!$E$4:$M$62,9,0)</f>
        <v>No Sales</v>
      </c>
      <c r="B312" s="95" t="s">
        <v>194</v>
      </c>
      <c r="C312" s="117" t="s">
        <v>32</v>
      </c>
      <c r="D312" s="100" t="s">
        <v>33</v>
      </c>
      <c r="E312" s="99" t="s">
        <v>195</v>
      </c>
      <c r="F312" s="99"/>
      <c r="G312" s="109">
        <f>G306</f>
        <v>12500</v>
      </c>
      <c r="H312" s="103">
        <v>0.04</v>
      </c>
      <c r="I312" s="119"/>
      <c r="J312" s="113">
        <v>1</v>
      </c>
      <c r="K312" s="106">
        <f t="shared" si="22"/>
        <v>500</v>
      </c>
      <c r="L312" s="98"/>
      <c r="M312" s="110">
        <f t="shared" si="23"/>
        <v>2.88</v>
      </c>
    </row>
    <row r="313" spans="1:13" s="107" customFormat="1" ht="15" customHeight="1">
      <c r="A313" s="100" t="str">
        <f>VLOOKUP(C313,Abstract!$E$4:$M$62,9,0)</f>
        <v>No Sales</v>
      </c>
      <c r="B313" s="95" t="s">
        <v>194</v>
      </c>
      <c r="C313" s="117" t="s">
        <v>32</v>
      </c>
      <c r="D313" s="100" t="s">
        <v>33</v>
      </c>
      <c r="E313" s="99" t="s">
        <v>196</v>
      </c>
      <c r="F313" s="99"/>
      <c r="G313" s="109">
        <f>G312*24</f>
        <v>300000</v>
      </c>
      <c r="H313" s="114">
        <v>1.6999999999999999E-3</v>
      </c>
      <c r="I313" s="119"/>
      <c r="J313" s="113">
        <v>1</v>
      </c>
      <c r="K313" s="106">
        <f t="shared" ref="K313" si="25">+G313*H313*(1+I313)*J313</f>
        <v>510</v>
      </c>
      <c r="L313" s="98"/>
      <c r="M313" s="110">
        <f t="shared" si="23"/>
        <v>2.9375999999999998</v>
      </c>
    </row>
    <row r="314" spans="1:13" s="107" customFormat="1" ht="15" customHeight="1">
      <c r="A314" s="100" t="str">
        <f>VLOOKUP(C314,Abstract!$E$4:$M$62,9,0)</f>
        <v>No Sales</v>
      </c>
      <c r="B314" s="99" t="s">
        <v>197</v>
      </c>
      <c r="C314" s="117" t="s">
        <v>32</v>
      </c>
      <c r="D314" s="100" t="s">
        <v>33</v>
      </c>
      <c r="E314" s="99" t="s">
        <v>198</v>
      </c>
      <c r="F314" s="99"/>
      <c r="G314" s="109"/>
      <c r="H314" s="100"/>
      <c r="I314" s="100"/>
      <c r="J314" s="113"/>
      <c r="K314" s="106">
        <v>9000</v>
      </c>
      <c r="L314" s="98">
        <f>SUM(K283:K314)</f>
        <v>168032.07352869827</v>
      </c>
      <c r="M314" s="110">
        <f t="shared" si="23"/>
        <v>51.839999999999996</v>
      </c>
    </row>
    <row r="315" spans="1:13" s="107" customFormat="1" ht="15" customHeight="1">
      <c r="A315" s="100" t="str">
        <f>VLOOKUP(C315,Abstract!$E$4:$M$62,9,0)</f>
        <v>No Sales</v>
      </c>
      <c r="B315" s="95" t="s">
        <v>138</v>
      </c>
      <c r="C315" s="95" t="s">
        <v>34</v>
      </c>
      <c r="D315" s="101" t="s">
        <v>35</v>
      </c>
      <c r="E315" s="99" t="s">
        <v>139</v>
      </c>
      <c r="F315" s="102" t="s">
        <v>140</v>
      </c>
      <c r="G315" s="109">
        <v>741.16</v>
      </c>
      <c r="H315" s="104">
        <f>VLOOKUP($E315,'Stock statement'!$D$2:$P$384,13,)</f>
        <v>0.34</v>
      </c>
      <c r="I315" s="105">
        <v>2.5000000000000001E-2</v>
      </c>
      <c r="J315" s="116">
        <v>1.0249999999999999</v>
      </c>
      <c r="K315" s="106">
        <f t="shared" ref="K315:K334" si="26">+G315*H315*(1+I315)*J315</f>
        <v>264.75161650000001</v>
      </c>
      <c r="L315" s="98"/>
      <c r="M315" s="110">
        <f>K315/$G$337</f>
        <v>1.52496931104</v>
      </c>
    </row>
    <row r="316" spans="1:13" s="107" customFormat="1" ht="15" customHeight="1">
      <c r="A316" s="100" t="str">
        <f>VLOOKUP(C316,Abstract!$E$4:$M$62,9,0)</f>
        <v>No Sales</v>
      </c>
      <c r="B316" s="95" t="s">
        <v>138</v>
      </c>
      <c r="C316" s="95" t="s">
        <v>34</v>
      </c>
      <c r="D316" s="101" t="s">
        <v>35</v>
      </c>
      <c r="E316" s="99" t="s">
        <v>141</v>
      </c>
      <c r="F316" s="108" t="s">
        <v>142</v>
      </c>
      <c r="G316" s="109">
        <v>185.7</v>
      </c>
      <c r="H316" s="104">
        <f>VLOOKUP($E316,'Stock statement'!$D$2:$P$384,13,)</f>
        <v>94.278330452007026</v>
      </c>
      <c r="I316" s="105">
        <v>2.5000000000000001E-2</v>
      </c>
      <c r="J316" s="116">
        <v>1.0249999999999999</v>
      </c>
      <c r="K316" s="106">
        <f t="shared" si="26"/>
        <v>18393.80244191267</v>
      </c>
      <c r="L316" s="98"/>
      <c r="M316" s="110">
        <f t="shared" ref="M316:M346" si="27">K316/$G$337</f>
        <v>105.94830206541698</v>
      </c>
    </row>
    <row r="317" spans="1:13" s="107" customFormat="1" ht="15" customHeight="1">
      <c r="A317" s="100" t="str">
        <f>VLOOKUP(C317,Abstract!$E$4:$M$62,9,0)</f>
        <v>No Sales</v>
      </c>
      <c r="B317" s="95" t="s">
        <v>138</v>
      </c>
      <c r="C317" s="95" t="s">
        <v>34</v>
      </c>
      <c r="D317" s="101" t="s">
        <v>35</v>
      </c>
      <c r="E317" s="99" t="s">
        <v>145</v>
      </c>
      <c r="F317" s="102" t="s">
        <v>146</v>
      </c>
      <c r="G317" s="109">
        <v>10</v>
      </c>
      <c r="H317" s="104">
        <f>VLOOKUP($E317,'Stock statement'!$D$2:$P$384,13,)</f>
        <v>151.08681180977209</v>
      </c>
      <c r="I317" s="105">
        <v>2.5000000000000001E-2</v>
      </c>
      <c r="J317" s="116">
        <v>1.0249999999999999</v>
      </c>
      <c r="K317" s="106">
        <f t="shared" si="26"/>
        <v>1587.3558165764177</v>
      </c>
      <c r="L317" s="98"/>
      <c r="M317" s="110">
        <f t="shared" si="27"/>
        <v>9.1431695034801663</v>
      </c>
    </row>
    <row r="318" spans="1:13" s="107" customFormat="1" ht="15" customHeight="1">
      <c r="A318" s="100" t="str">
        <f>VLOOKUP(C318,Abstract!$E$4:$M$62,9,0)</f>
        <v>No Sales</v>
      </c>
      <c r="B318" s="95" t="s">
        <v>138</v>
      </c>
      <c r="C318" s="95" t="s">
        <v>34</v>
      </c>
      <c r="D318" s="101" t="s">
        <v>35</v>
      </c>
      <c r="E318" s="99" t="s">
        <v>149</v>
      </c>
      <c r="F318" s="95" t="s">
        <v>150</v>
      </c>
      <c r="G318" s="109">
        <v>0.125</v>
      </c>
      <c r="H318" s="104">
        <f>VLOOKUP($E318,'Stock statement'!$D$2:$P$384,13,)</f>
        <v>161.56941474217822</v>
      </c>
      <c r="I318" s="105">
        <v>2.5000000000000001E-2</v>
      </c>
      <c r="J318" s="116">
        <v>1.0249999999999999</v>
      </c>
      <c r="K318" s="106">
        <f t="shared" si="26"/>
        <v>21.218608295437623</v>
      </c>
      <c r="L318" s="98"/>
      <c r="M318" s="110">
        <f t="shared" si="27"/>
        <v>0.1222191837817207</v>
      </c>
    </row>
    <row r="319" spans="1:13" s="107" customFormat="1" ht="15" customHeight="1">
      <c r="A319" s="100" t="str">
        <f>VLOOKUP(C319,Abstract!$E$4:$M$62,9,0)</f>
        <v>No Sales</v>
      </c>
      <c r="B319" s="95" t="s">
        <v>138</v>
      </c>
      <c r="C319" s="95" t="s">
        <v>34</v>
      </c>
      <c r="D319" s="101" t="s">
        <v>35</v>
      </c>
      <c r="E319" s="99" t="s">
        <v>151</v>
      </c>
      <c r="F319" s="95" t="s">
        <v>152</v>
      </c>
      <c r="G319" s="109">
        <v>2.5</v>
      </c>
      <c r="H319" s="104">
        <f>VLOOKUP($E319,'Stock statement'!$D$2:$P$384,13,)</f>
        <v>762.38931335604309</v>
      </c>
      <c r="I319" s="105">
        <v>2.5000000000000001E-2</v>
      </c>
      <c r="J319" s="116">
        <v>1.0249999999999999</v>
      </c>
      <c r="K319" s="106">
        <f t="shared" si="26"/>
        <v>2002.4631808617316</v>
      </c>
      <c r="L319" s="98"/>
      <c r="M319" s="110">
        <f t="shared" si="27"/>
        <v>11.534187921763573</v>
      </c>
    </row>
    <row r="320" spans="1:13" s="107" customFormat="1" ht="15" customHeight="1">
      <c r="A320" s="100" t="str">
        <f>VLOOKUP(C320,Abstract!$E$4:$M$62,9,0)</f>
        <v>No Sales</v>
      </c>
      <c r="B320" s="95" t="s">
        <v>138</v>
      </c>
      <c r="C320" s="95" t="s">
        <v>34</v>
      </c>
      <c r="D320" s="101" t="s">
        <v>35</v>
      </c>
      <c r="E320" s="99" t="s">
        <v>157</v>
      </c>
      <c r="F320" s="102" t="s">
        <v>158</v>
      </c>
      <c r="G320" s="109">
        <v>1</v>
      </c>
      <c r="H320" s="104">
        <f>VLOOKUP($E320,'Stock statement'!$D$2:$P$384,13,)</f>
        <v>828.81974703846117</v>
      </c>
      <c r="I320" s="105">
        <v>2.5000000000000001E-2</v>
      </c>
      <c r="J320" s="116">
        <v>1.0249999999999999</v>
      </c>
      <c r="K320" s="106">
        <f t="shared" si="26"/>
        <v>870.77874673228314</v>
      </c>
      <c r="L320" s="98"/>
      <c r="M320" s="110">
        <f t="shared" si="27"/>
        <v>5.0156855811779506</v>
      </c>
    </row>
    <row r="321" spans="1:13" s="107" customFormat="1" ht="15" customHeight="1">
      <c r="A321" s="100" t="str">
        <f>VLOOKUP(C321,Abstract!$E$4:$M$62,9,0)</f>
        <v>No Sales</v>
      </c>
      <c r="B321" s="95" t="s">
        <v>138</v>
      </c>
      <c r="C321" s="117" t="s">
        <v>34</v>
      </c>
      <c r="D321" s="101" t="s">
        <v>35</v>
      </c>
      <c r="E321" s="157">
        <v>115150</v>
      </c>
      <c r="F321" s="95" t="s">
        <v>159</v>
      </c>
      <c r="G321" s="109">
        <v>1</v>
      </c>
      <c r="H321" s="104">
        <f>VLOOKUP($E321,'Stock statement'!$D$2:$P$384,13,)</f>
        <v>456.30699446392703</v>
      </c>
      <c r="I321" s="105">
        <v>2.5000000000000001E-2</v>
      </c>
      <c r="J321" s="116">
        <v>1.0249999999999999</v>
      </c>
      <c r="K321" s="106">
        <f t="shared" si="26"/>
        <v>479.40753605866325</v>
      </c>
      <c r="L321" s="98"/>
      <c r="M321" s="110">
        <f t="shared" si="27"/>
        <v>2.7613874076979004</v>
      </c>
    </row>
    <row r="322" spans="1:13" s="107" customFormat="1" ht="15" customHeight="1">
      <c r="A322" s="100" t="str">
        <f>VLOOKUP(C322,Abstract!$E$4:$M$62,9,0)</f>
        <v>No Sales</v>
      </c>
      <c r="B322" s="95" t="s">
        <v>138</v>
      </c>
      <c r="C322" s="95" t="s">
        <v>34</v>
      </c>
      <c r="D322" s="101" t="s">
        <v>35</v>
      </c>
      <c r="E322" s="99" t="s">
        <v>160</v>
      </c>
      <c r="F322" s="108" t="s">
        <v>161</v>
      </c>
      <c r="G322" s="109">
        <v>0.25</v>
      </c>
      <c r="H322" s="104">
        <f>VLOOKUP($E322,'Stock statement'!$D$2:$P$384,13,)</f>
        <v>3313.2387673094586</v>
      </c>
      <c r="I322" s="105">
        <v>2.5000000000000001E-2</v>
      </c>
      <c r="J322" s="116">
        <v>1.0249999999999999</v>
      </c>
      <c r="K322" s="106">
        <f t="shared" si="26"/>
        <v>870.24286997612489</v>
      </c>
      <c r="L322" s="98"/>
      <c r="M322" s="110">
        <f t="shared" si="27"/>
        <v>5.0125989310624792</v>
      </c>
    </row>
    <row r="323" spans="1:13" s="107" customFormat="1" ht="15" customHeight="1">
      <c r="A323" s="100" t="str">
        <f>VLOOKUP(C323,Abstract!$E$4:$M$62,9,0)</f>
        <v>No Sales</v>
      </c>
      <c r="B323" s="95" t="s">
        <v>138</v>
      </c>
      <c r="C323" s="95" t="s">
        <v>34</v>
      </c>
      <c r="D323" s="101" t="s">
        <v>35</v>
      </c>
      <c r="E323" s="99" t="s">
        <v>166</v>
      </c>
      <c r="F323" s="95" t="s">
        <v>167</v>
      </c>
      <c r="G323" s="109">
        <v>2.5</v>
      </c>
      <c r="H323" s="104">
        <f>VLOOKUP($E323,'Stock statement'!$D$2:$P$384,13,)</f>
        <v>127.15913438761541</v>
      </c>
      <c r="I323" s="105">
        <v>2.5000000000000001E-2</v>
      </c>
      <c r="J323" s="116">
        <v>1.0249999999999999</v>
      </c>
      <c r="K323" s="106">
        <f t="shared" si="26"/>
        <v>333.99141391497102</v>
      </c>
      <c r="L323" s="98"/>
      <c r="M323" s="110">
        <f t="shared" si="27"/>
        <v>1.923790544150233</v>
      </c>
    </row>
    <row r="324" spans="1:13" s="107" customFormat="1" ht="15" customHeight="1">
      <c r="A324" s="100" t="str">
        <f>VLOOKUP(C324,Abstract!$E$4:$M$62,9,0)</f>
        <v>No Sales</v>
      </c>
      <c r="B324" s="95" t="s">
        <v>138</v>
      </c>
      <c r="C324" s="95" t="s">
        <v>34</v>
      </c>
      <c r="D324" s="101" t="s">
        <v>35</v>
      </c>
      <c r="E324" s="99" t="s">
        <v>209</v>
      </c>
      <c r="F324" s="99" t="s">
        <v>210</v>
      </c>
      <c r="G324" s="109">
        <v>20</v>
      </c>
      <c r="H324" s="104">
        <f>VLOOKUP($E324,'Stock statement'!$D$2:$P$384,13,)</f>
        <v>220.67282625366343</v>
      </c>
      <c r="I324" s="105">
        <v>2.5000000000000001E-2</v>
      </c>
      <c r="J324" s="116">
        <v>1.0249999999999999</v>
      </c>
      <c r="K324" s="106">
        <f t="shared" si="26"/>
        <v>4636.8877616551026</v>
      </c>
      <c r="L324" s="98"/>
      <c r="M324" s="110">
        <f t="shared" si="27"/>
        <v>26.708473507133391</v>
      </c>
    </row>
    <row r="325" spans="1:13" s="107" customFormat="1" ht="15" customHeight="1">
      <c r="A325" s="100" t="str">
        <f>VLOOKUP(C325,Abstract!$E$4:$M$62,9,0)</f>
        <v>No Sales</v>
      </c>
      <c r="B325" s="95" t="s">
        <v>138</v>
      </c>
      <c r="C325" s="95" t="s">
        <v>34</v>
      </c>
      <c r="D325" s="101" t="s">
        <v>35</v>
      </c>
      <c r="E325" s="99" t="s">
        <v>153</v>
      </c>
      <c r="F325" s="95" t="s">
        <v>154</v>
      </c>
      <c r="G325" s="109">
        <v>0.75</v>
      </c>
      <c r="H325" s="104">
        <f>VLOOKUP($E325,'Stock statement'!$D$2:$P$384,13,)</f>
        <v>84.206363687840948</v>
      </c>
      <c r="I325" s="105">
        <v>2.5000000000000001E-2</v>
      </c>
      <c r="J325" s="116">
        <v>1.0249999999999999</v>
      </c>
      <c r="K325" s="106">
        <f t="shared" si="26"/>
        <v>66.351983137153411</v>
      </c>
      <c r="L325" s="98"/>
      <c r="M325" s="110">
        <f t="shared" si="27"/>
        <v>0.38218742287000362</v>
      </c>
    </row>
    <row r="326" spans="1:13" s="107" customFormat="1" ht="15" customHeight="1">
      <c r="A326" s="100" t="str">
        <f>VLOOKUP(C326,Abstract!$E$4:$M$62,9,0)</f>
        <v>No Sales</v>
      </c>
      <c r="B326" s="95" t="s">
        <v>138</v>
      </c>
      <c r="C326" s="95" t="s">
        <v>34</v>
      </c>
      <c r="D326" s="101" t="s">
        <v>35</v>
      </c>
      <c r="E326" s="99" t="s">
        <v>147</v>
      </c>
      <c r="F326" s="95" t="s">
        <v>148</v>
      </c>
      <c r="G326" s="109">
        <v>1</v>
      </c>
      <c r="H326" s="104">
        <f>VLOOKUP($E326,'Stock statement'!$D$2:$P$384,13,)</f>
        <v>353.50950483838068</v>
      </c>
      <c r="I326" s="105">
        <v>2.5000000000000001E-2</v>
      </c>
      <c r="J326" s="116">
        <v>1.0249999999999999</v>
      </c>
      <c r="K326" s="106">
        <f t="shared" si="26"/>
        <v>371.40592352082365</v>
      </c>
      <c r="L326" s="98"/>
      <c r="M326" s="110">
        <f t="shared" si="27"/>
        <v>2.1392981194799443</v>
      </c>
    </row>
    <row r="327" spans="1:13" s="107" customFormat="1" ht="15" customHeight="1">
      <c r="A327" s="100" t="str">
        <f>VLOOKUP(C327,Abstract!$E$4:$M$62,9,0)</f>
        <v>No Sales</v>
      </c>
      <c r="B327" s="95" t="s">
        <v>138</v>
      </c>
      <c r="C327" s="95" t="s">
        <v>34</v>
      </c>
      <c r="D327" s="101" t="s">
        <v>35</v>
      </c>
      <c r="E327" s="99" t="s">
        <v>211</v>
      </c>
      <c r="F327" s="95" t="s">
        <v>212</v>
      </c>
      <c r="G327" s="109">
        <v>0.1</v>
      </c>
      <c r="H327" s="104">
        <f>VLOOKUP($E327,'Stock statement'!$D$2:$P$384,13,)</f>
        <v>1279.5862001575747</v>
      </c>
      <c r="I327" s="105">
        <v>2.5000000000000001E-2</v>
      </c>
      <c r="J327" s="116">
        <v>1.0249999999999999</v>
      </c>
      <c r="K327" s="106">
        <f t="shared" si="26"/>
        <v>134.43652515405518</v>
      </c>
      <c r="L327" s="98"/>
      <c r="M327" s="110">
        <f t="shared" si="27"/>
        <v>0.77435438488735775</v>
      </c>
    </row>
    <row r="328" spans="1:13" s="107" customFormat="1" ht="15" customHeight="1">
      <c r="A328" s="100" t="str">
        <f>VLOOKUP(C328,Abstract!$E$4:$M$62,9,0)</f>
        <v>No Sales</v>
      </c>
      <c r="B328" s="95" t="s">
        <v>138</v>
      </c>
      <c r="C328" s="95" t="s">
        <v>34</v>
      </c>
      <c r="D328" s="101" t="s">
        <v>35</v>
      </c>
      <c r="E328" s="99" t="s">
        <v>213</v>
      </c>
      <c r="F328" s="95" t="s">
        <v>214</v>
      </c>
      <c r="G328" s="109">
        <v>0.09</v>
      </c>
      <c r="H328" s="104">
        <f>VLOOKUP($E328,'Stock statement'!$D$2:$P$384,13,)</f>
        <v>674.683130739744</v>
      </c>
      <c r="I328" s="105">
        <v>2.5000000000000001E-2</v>
      </c>
      <c r="J328" s="116">
        <v>1.0249999999999999</v>
      </c>
      <c r="K328" s="106">
        <f t="shared" si="26"/>
        <v>63.795506781009905</v>
      </c>
      <c r="L328" s="98"/>
      <c r="M328" s="110">
        <f t="shared" si="27"/>
        <v>0.36746211905861703</v>
      </c>
    </row>
    <row r="329" spans="1:13" s="107" customFormat="1" ht="15" customHeight="1">
      <c r="A329" s="100" t="str">
        <f>VLOOKUP(C329,Abstract!$E$4:$M$62,9,0)</f>
        <v>No Sales</v>
      </c>
      <c r="B329" s="95" t="s">
        <v>138</v>
      </c>
      <c r="C329" s="95" t="s">
        <v>34</v>
      </c>
      <c r="D329" s="101" t="s">
        <v>35</v>
      </c>
      <c r="E329" s="99" t="s">
        <v>215</v>
      </c>
      <c r="F329" s="95" t="s">
        <v>216</v>
      </c>
      <c r="G329" s="109">
        <v>0.09</v>
      </c>
      <c r="H329" s="104">
        <f>VLOOKUP($E329,'Stock statement'!$D$2:$P$384,13,)</f>
        <v>545.51731168806748</v>
      </c>
      <c r="I329" s="105">
        <v>2.5000000000000001E-2</v>
      </c>
      <c r="J329" s="116">
        <v>1.0249999999999999</v>
      </c>
      <c r="K329" s="106">
        <f t="shared" si="26"/>
        <v>51.582071303304822</v>
      </c>
      <c r="L329" s="98"/>
      <c r="M329" s="110">
        <f t="shared" si="27"/>
        <v>0.29711273070703575</v>
      </c>
    </row>
    <row r="330" spans="1:13" s="107" customFormat="1" ht="15" customHeight="1">
      <c r="A330" s="100" t="str">
        <f>VLOOKUP(C330,Abstract!$E$4:$M$62,9,0)</f>
        <v>No Sales</v>
      </c>
      <c r="B330" s="95" t="s">
        <v>138</v>
      </c>
      <c r="C330" s="95" t="s">
        <v>34</v>
      </c>
      <c r="D330" s="101" t="s">
        <v>35</v>
      </c>
      <c r="E330" s="99" t="s">
        <v>217</v>
      </c>
      <c r="F330" s="99" t="s">
        <v>218</v>
      </c>
      <c r="G330" s="109">
        <v>0.1</v>
      </c>
      <c r="H330" s="104">
        <f>VLOOKUP($E330,'Stock statement'!$D$2:$P$384,13,)</f>
        <v>910.5767983004796</v>
      </c>
      <c r="I330" s="105">
        <v>2.5000000000000001E-2</v>
      </c>
      <c r="J330" s="116">
        <v>1.0249999999999999</v>
      </c>
      <c r="K330" s="106">
        <f t="shared" si="26"/>
        <v>95.667474871444114</v>
      </c>
      <c r="L330" s="98"/>
      <c r="M330" s="110">
        <f t="shared" si="27"/>
        <v>0.55104465525951807</v>
      </c>
    </row>
    <row r="331" spans="1:13" s="107" customFormat="1" ht="15" customHeight="1">
      <c r="A331" s="100" t="str">
        <f>VLOOKUP(C331,Abstract!$E$4:$M$62,9,0)</f>
        <v>No Sales</v>
      </c>
      <c r="B331" s="95" t="s">
        <v>138</v>
      </c>
      <c r="C331" s="95" t="s">
        <v>34</v>
      </c>
      <c r="D331" s="101" t="s">
        <v>35</v>
      </c>
      <c r="E331" s="99" t="s">
        <v>155</v>
      </c>
      <c r="F331" s="95" t="s">
        <v>156</v>
      </c>
      <c r="G331" s="109">
        <v>15</v>
      </c>
      <c r="H331" s="104">
        <f>VLOOKUP($E331,'Stock statement'!$D$2:$P$384,13,)</f>
        <v>68.308211638055738</v>
      </c>
      <c r="I331" s="105">
        <v>2.5000000000000001E-2</v>
      </c>
      <c r="J331" s="116">
        <v>1.0249999999999999</v>
      </c>
      <c r="K331" s="106">
        <f t="shared" si="26"/>
        <v>1076.4947227834843</v>
      </c>
      <c r="L331" s="98"/>
      <c r="M331" s="110">
        <f t="shared" si="27"/>
        <v>6.2006096032328699</v>
      </c>
    </row>
    <row r="332" spans="1:13" s="107" customFormat="1" ht="15" customHeight="1">
      <c r="A332" s="100" t="str">
        <f>VLOOKUP(C332,Abstract!$E$4:$M$62,9,0)</f>
        <v>No Sales</v>
      </c>
      <c r="B332" s="95" t="s">
        <v>138</v>
      </c>
      <c r="C332" s="95" t="s">
        <v>34</v>
      </c>
      <c r="D332" s="101" t="s">
        <v>35</v>
      </c>
      <c r="E332" s="99" t="s">
        <v>219</v>
      </c>
      <c r="F332" s="95" t="s">
        <v>220</v>
      </c>
      <c r="G332" s="109">
        <v>2.5000000000000001E-2</v>
      </c>
      <c r="H332" s="104">
        <f>VLOOKUP($E332,'Stock statement'!$D$2:$P$384,13,)</f>
        <v>549.27282042136164</v>
      </c>
      <c r="I332" s="105">
        <v>2.5000000000000001E-2</v>
      </c>
      <c r="J332" s="116">
        <v>1.0249999999999999</v>
      </c>
      <c r="K332" s="106">
        <f t="shared" si="26"/>
        <v>14.426993923879825</v>
      </c>
      <c r="L332" s="98"/>
      <c r="M332" s="110">
        <f t="shared" si="27"/>
        <v>8.309948500154779E-2</v>
      </c>
    </row>
    <row r="333" spans="1:13" s="107" customFormat="1" ht="15" customHeight="1">
      <c r="A333" s="100" t="str">
        <f>VLOOKUP(C333,Abstract!$E$4:$M$62,9,0)</f>
        <v>No Sales</v>
      </c>
      <c r="B333" s="95" t="s">
        <v>138</v>
      </c>
      <c r="C333" s="95" t="s">
        <v>34</v>
      </c>
      <c r="D333" s="101" t="s">
        <v>35</v>
      </c>
      <c r="E333" s="99" t="s">
        <v>221</v>
      </c>
      <c r="F333" s="99" t="s">
        <v>222</v>
      </c>
      <c r="G333" s="109">
        <v>0.1</v>
      </c>
      <c r="H333" s="104">
        <f>VLOOKUP($E333,'Stock statement'!$D$2:$P$384,13,)</f>
        <v>494.13931116123297</v>
      </c>
      <c r="I333" s="105">
        <v>2.5000000000000001E-2</v>
      </c>
      <c r="J333" s="116">
        <v>1.0249999999999999</v>
      </c>
      <c r="K333" s="106">
        <f t="shared" si="26"/>
        <v>51.915511378877035</v>
      </c>
      <c r="L333" s="98"/>
      <c r="M333" s="110">
        <f t="shared" si="27"/>
        <v>0.29903334554233174</v>
      </c>
    </row>
    <row r="334" spans="1:13" s="107" customFormat="1" ht="15" customHeight="1">
      <c r="A334" s="100" t="str">
        <f>VLOOKUP(C334,Abstract!$E$4:$M$62,9,0)</f>
        <v>No Sales</v>
      </c>
      <c r="B334" s="95" t="s">
        <v>138</v>
      </c>
      <c r="C334" s="95" t="s">
        <v>34</v>
      </c>
      <c r="D334" s="101" t="s">
        <v>35</v>
      </c>
      <c r="E334" s="99" t="s">
        <v>223</v>
      </c>
      <c r="F334" s="95" t="s">
        <v>224</v>
      </c>
      <c r="G334" s="109">
        <v>0.01</v>
      </c>
      <c r="H334" s="104">
        <f>VLOOKUP($E334,'Stock statement'!$D$2:$P$384,13,)</f>
        <v>661.66658982809031</v>
      </c>
      <c r="I334" s="105">
        <v>2.5000000000000001E-2</v>
      </c>
      <c r="J334" s="116">
        <v>1.0249999999999999</v>
      </c>
      <c r="K334" s="106">
        <f t="shared" si="26"/>
        <v>6.9516346093813723</v>
      </c>
      <c r="L334" s="98"/>
      <c r="M334" s="110">
        <f t="shared" si="27"/>
        <v>4.0041415350036705E-2</v>
      </c>
    </row>
    <row r="335" spans="1:13" s="107" customFormat="1" ht="15" customHeight="1">
      <c r="A335" s="100" t="str">
        <f>VLOOKUP(C335,Abstract!$E$4:$M$62,9,0)</f>
        <v>No Sales</v>
      </c>
      <c r="B335" s="95" t="s">
        <v>138</v>
      </c>
      <c r="C335" s="95" t="s">
        <v>34</v>
      </c>
      <c r="D335" s="101" t="s">
        <v>35</v>
      </c>
      <c r="E335" s="99" t="s">
        <v>225</v>
      </c>
      <c r="F335" s="95" t="s">
        <v>226</v>
      </c>
      <c r="G335" s="109">
        <v>6</v>
      </c>
      <c r="H335" s="104">
        <f>VLOOKUP($E335,'Stock statement'!$D$2:$P$384,13,)</f>
        <v>770.99998748629207</v>
      </c>
      <c r="I335" s="105">
        <v>2.5000000000000001E-2</v>
      </c>
      <c r="J335" s="116">
        <v>1.0249999999999999</v>
      </c>
      <c r="K335" s="106">
        <f t="shared" ref="K335:K344" si="28">+G335*H335*(1+I335)*J335</f>
        <v>4860.1911711167131</v>
      </c>
      <c r="L335" s="98"/>
      <c r="M335" s="110">
        <f t="shared" si="27"/>
        <v>27.994701145632266</v>
      </c>
    </row>
    <row r="336" spans="1:13" s="107" customFormat="1" ht="15" customHeight="1">
      <c r="A336" s="100" t="str">
        <f>VLOOKUP(C336,Abstract!$E$4:$M$62,9,0)</f>
        <v>No Sales</v>
      </c>
      <c r="B336" s="95" t="s">
        <v>138</v>
      </c>
      <c r="C336" s="95" t="s">
        <v>34</v>
      </c>
      <c r="D336" s="101" t="s">
        <v>35</v>
      </c>
      <c r="E336" s="99" t="s">
        <v>181</v>
      </c>
      <c r="F336" s="102" t="s">
        <v>182</v>
      </c>
      <c r="G336" s="109">
        <v>12.5</v>
      </c>
      <c r="H336" s="104">
        <f>VLOOKUP($E336,'Stock statement'!$D$2:$P$384,13,)</f>
        <v>17.110276913020375</v>
      </c>
      <c r="I336" s="105">
        <v>2.5000000000000001E-2</v>
      </c>
      <c r="J336" s="116">
        <v>1.0249999999999999</v>
      </c>
      <c r="K336" s="106">
        <f t="shared" si="28"/>
        <v>224.70605852177536</v>
      </c>
      <c r="L336" s="98"/>
      <c r="M336" s="110">
        <f t="shared" si="27"/>
        <v>1.2943068970854261</v>
      </c>
    </row>
    <row r="337" spans="1:13" s="107" customFormat="1" ht="15" customHeight="1">
      <c r="A337" s="100" t="str">
        <f>VLOOKUP(C337,Abstract!$E$4:$M$62,9,0)</f>
        <v>No Sales</v>
      </c>
      <c r="B337" s="99" t="s">
        <v>183</v>
      </c>
      <c r="C337" s="95" t="s">
        <v>34</v>
      </c>
      <c r="D337" s="101" t="s">
        <v>35</v>
      </c>
      <c r="E337" s="99" t="s">
        <v>300</v>
      </c>
      <c r="F337" s="95" t="s">
        <v>301</v>
      </c>
      <c r="G337" s="109">
        <v>173.61111111111111</v>
      </c>
      <c r="H337" s="104">
        <f>VLOOKUP($E337,'Stock statement'!$D$2:$P$384,13,)</f>
        <v>24.745652173913044</v>
      </c>
      <c r="I337" s="112">
        <v>6.0000000000000001E-3</v>
      </c>
      <c r="J337" s="113">
        <v>1</v>
      </c>
      <c r="K337" s="106">
        <f t="shared" si="28"/>
        <v>4321.8968900966183</v>
      </c>
      <c r="L337" s="98"/>
      <c r="M337" s="110">
        <f t="shared" si="27"/>
        <v>24.894126086956522</v>
      </c>
    </row>
    <row r="338" spans="1:13" s="107" customFormat="1" ht="15" customHeight="1">
      <c r="A338" s="100" t="str">
        <f>VLOOKUP(C338,Abstract!$E$4:$M$62,9,0)</f>
        <v>No Sales</v>
      </c>
      <c r="B338" s="99" t="s">
        <v>183</v>
      </c>
      <c r="C338" s="95" t="s">
        <v>34</v>
      </c>
      <c r="D338" s="101" t="s">
        <v>35</v>
      </c>
      <c r="E338" s="99" t="s">
        <v>246</v>
      </c>
      <c r="F338" s="95" t="s">
        <v>247</v>
      </c>
      <c r="G338" s="109">
        <v>12500</v>
      </c>
      <c r="H338" s="104">
        <f>VLOOKUP($E338,'Stock statement'!$D$2:$P$384,13,)</f>
        <v>3.4262434039361702</v>
      </c>
      <c r="I338" s="112">
        <v>6.0000000000000001E-3</v>
      </c>
      <c r="J338" s="113">
        <v>1</v>
      </c>
      <c r="K338" s="106">
        <f t="shared" si="28"/>
        <v>43085.010804497346</v>
      </c>
      <c r="L338" s="98"/>
      <c r="M338" s="110">
        <f t="shared" si="27"/>
        <v>248.16966223390472</v>
      </c>
    </row>
    <row r="339" spans="1:13" s="107" customFormat="1" ht="15" customHeight="1">
      <c r="A339" s="100" t="str">
        <f>VLOOKUP(C339,Abstract!$E$4:$M$62,9,0)</f>
        <v>No Sales</v>
      </c>
      <c r="B339" s="99" t="s">
        <v>183</v>
      </c>
      <c r="C339" s="95" t="s">
        <v>34</v>
      </c>
      <c r="D339" s="101" t="s">
        <v>35</v>
      </c>
      <c r="E339" s="99" t="s">
        <v>248</v>
      </c>
      <c r="F339" s="95" t="s">
        <v>249</v>
      </c>
      <c r="G339" s="109">
        <v>12500</v>
      </c>
      <c r="H339" s="104">
        <f>VLOOKUP($E339,'Stock statement'!$D$2:$P$384,13,)</f>
        <v>3.1661470602783846</v>
      </c>
      <c r="I339" s="112">
        <v>6.0000000000000001E-3</v>
      </c>
      <c r="J339" s="113">
        <v>1</v>
      </c>
      <c r="K339" s="106">
        <f t="shared" si="28"/>
        <v>39814.299283000684</v>
      </c>
      <c r="L339" s="98"/>
      <c r="M339" s="110">
        <f t="shared" si="27"/>
        <v>229.33036387008394</v>
      </c>
    </row>
    <row r="340" spans="1:13" s="107" customFormat="1" ht="15" customHeight="1">
      <c r="A340" s="100" t="str">
        <f>VLOOKUP(C340,Abstract!$E$4:$M$62,9,0)</f>
        <v>No Sales</v>
      </c>
      <c r="B340" s="99" t="s">
        <v>183</v>
      </c>
      <c r="C340" s="95" t="s">
        <v>34</v>
      </c>
      <c r="D340" s="101" t="s">
        <v>35</v>
      </c>
      <c r="E340" s="99" t="s">
        <v>302</v>
      </c>
      <c r="F340" s="95" t="s">
        <v>303</v>
      </c>
      <c r="G340" s="109">
        <v>12500</v>
      </c>
      <c r="H340" s="104">
        <f>VLOOKUP($E340,'Stock statement'!$D$2:$P$384,13,)</f>
        <v>1.1774993220645398</v>
      </c>
      <c r="I340" s="105">
        <v>0.02</v>
      </c>
      <c r="J340" s="113">
        <v>1</v>
      </c>
      <c r="K340" s="106">
        <f t="shared" si="28"/>
        <v>15013.116356322882</v>
      </c>
      <c r="L340" s="98"/>
      <c r="M340" s="110">
        <f t="shared" si="27"/>
        <v>86.475550212419805</v>
      </c>
    </row>
    <row r="341" spans="1:13" s="107" customFormat="1" ht="15" customHeight="1">
      <c r="A341" s="100" t="str">
        <f>VLOOKUP(C341,Abstract!$E$4:$M$62,9,0)</f>
        <v>No Sales</v>
      </c>
      <c r="B341" s="99" t="s">
        <v>183</v>
      </c>
      <c r="C341" s="95" t="s">
        <v>34</v>
      </c>
      <c r="D341" s="101" t="s">
        <v>35</v>
      </c>
      <c r="E341" s="99" t="s">
        <v>304</v>
      </c>
      <c r="F341" s="95" t="s">
        <v>305</v>
      </c>
      <c r="G341" s="109">
        <v>12500</v>
      </c>
      <c r="H341" s="104">
        <f>VLOOKUP($E341,'Stock statement'!$D$2:$P$384,13,)</f>
        <v>0.88830889594047491</v>
      </c>
      <c r="I341" s="105">
        <v>0.02</v>
      </c>
      <c r="J341" s="113">
        <v>1</v>
      </c>
      <c r="K341" s="106">
        <f t="shared" si="28"/>
        <v>11325.938423241056</v>
      </c>
      <c r="L341" s="98"/>
      <c r="M341" s="110">
        <f t="shared" si="27"/>
        <v>65.237405317868479</v>
      </c>
    </row>
    <row r="342" spans="1:13" s="107" customFormat="1" ht="15" customHeight="1">
      <c r="A342" s="100" t="str">
        <f>VLOOKUP(C342,Abstract!$E$4:$M$62,9,0)</f>
        <v>No Sales</v>
      </c>
      <c r="B342" s="99" t="s">
        <v>183</v>
      </c>
      <c r="C342" s="95" t="s">
        <v>34</v>
      </c>
      <c r="D342" s="101" t="s">
        <v>35</v>
      </c>
      <c r="E342" s="99" t="s">
        <v>191</v>
      </c>
      <c r="F342" s="95" t="s">
        <v>192</v>
      </c>
      <c r="G342" s="109">
        <v>4.3402777777777777</v>
      </c>
      <c r="H342" s="104">
        <f>VLOOKUP($E342,'Stock statement'!$D$2:$P$384,13,)</f>
        <v>44.985440769279101</v>
      </c>
      <c r="I342" s="112">
        <v>0.02</v>
      </c>
      <c r="J342" s="113">
        <v>1</v>
      </c>
      <c r="K342" s="106">
        <f t="shared" si="28"/>
        <v>199.15429507232935</v>
      </c>
      <c r="L342" s="98"/>
      <c r="M342" s="110">
        <f t="shared" si="27"/>
        <v>1.147128739616617</v>
      </c>
    </row>
    <row r="343" spans="1:13" s="107" customFormat="1" ht="15" customHeight="1">
      <c r="A343" s="100" t="str">
        <f>VLOOKUP(C343,Abstract!$E$4:$M$62,9,0)</f>
        <v>No Sales</v>
      </c>
      <c r="B343" s="99" t="s">
        <v>183</v>
      </c>
      <c r="C343" s="95" t="s">
        <v>34</v>
      </c>
      <c r="D343" s="101" t="s">
        <v>35</v>
      </c>
      <c r="E343" s="99" t="s">
        <v>254</v>
      </c>
      <c r="F343" s="95" t="s">
        <v>255</v>
      </c>
      <c r="G343" s="109">
        <v>2083.3333333333335</v>
      </c>
      <c r="H343" s="104">
        <f>VLOOKUP($E343,'Stock statement'!$D$2:$P$384,13,)</f>
        <v>2.6</v>
      </c>
      <c r="I343" s="112">
        <v>0.01</v>
      </c>
      <c r="J343" s="113">
        <v>1</v>
      </c>
      <c r="K343" s="106">
        <f t="shared" si="28"/>
        <v>5470.8333333333339</v>
      </c>
      <c r="L343" s="98"/>
      <c r="M343" s="110">
        <f t="shared" si="27"/>
        <v>31.512000000000004</v>
      </c>
    </row>
    <row r="344" spans="1:13" s="107" customFormat="1" ht="15" customHeight="1">
      <c r="A344" s="100" t="str">
        <f>VLOOKUP(C344,Abstract!$E$4:$M$62,9,0)</f>
        <v>No Sales</v>
      </c>
      <c r="B344" s="95" t="s">
        <v>194</v>
      </c>
      <c r="C344" s="95" t="s">
        <v>34</v>
      </c>
      <c r="D344" s="101" t="s">
        <v>35</v>
      </c>
      <c r="E344" s="99" t="s">
        <v>195</v>
      </c>
      <c r="F344" s="95"/>
      <c r="G344" s="109">
        <f>G338</f>
        <v>12500</v>
      </c>
      <c r="H344" s="103">
        <v>0.04</v>
      </c>
      <c r="I344" s="120"/>
      <c r="J344" s="113">
        <v>1</v>
      </c>
      <c r="K344" s="106">
        <f t="shared" si="28"/>
        <v>500</v>
      </c>
      <c r="L344" s="98"/>
      <c r="M344" s="110">
        <f t="shared" si="27"/>
        <v>2.88</v>
      </c>
    </row>
    <row r="345" spans="1:13" s="107" customFormat="1" ht="15" customHeight="1">
      <c r="A345" s="100" t="str">
        <f>VLOOKUP(C345,Abstract!$E$4:$M$62,9,0)</f>
        <v>No Sales</v>
      </c>
      <c r="B345" s="95" t="s">
        <v>194</v>
      </c>
      <c r="C345" s="95" t="s">
        <v>34</v>
      </c>
      <c r="D345" s="101" t="s">
        <v>35</v>
      </c>
      <c r="E345" s="99" t="s">
        <v>196</v>
      </c>
      <c r="F345" s="95"/>
      <c r="G345" s="109">
        <f>G344*24</f>
        <v>300000</v>
      </c>
      <c r="H345" s="114">
        <v>1.6999999999999999E-3</v>
      </c>
      <c r="I345" s="120"/>
      <c r="J345" s="113">
        <v>1</v>
      </c>
      <c r="K345" s="106">
        <f t="shared" ref="K345" si="29">+G345*H345*(1+I345)*J345</f>
        <v>510</v>
      </c>
      <c r="L345" s="98"/>
      <c r="M345" s="110">
        <f t="shared" si="27"/>
        <v>2.9375999999999998</v>
      </c>
    </row>
    <row r="346" spans="1:13" s="107" customFormat="1" ht="15" customHeight="1">
      <c r="A346" s="100" t="str">
        <f>VLOOKUP(C346,Abstract!$E$4:$M$62,9,0)</f>
        <v>No Sales</v>
      </c>
      <c r="B346" s="99" t="s">
        <v>197</v>
      </c>
      <c r="C346" s="95" t="s">
        <v>34</v>
      </c>
      <c r="D346" s="101" t="s">
        <v>35</v>
      </c>
      <c r="E346" s="99" t="s">
        <v>198</v>
      </c>
      <c r="F346" s="95"/>
      <c r="G346" s="109"/>
      <c r="H346" s="100"/>
      <c r="I346" s="100"/>
      <c r="J346" s="113"/>
      <c r="K346" s="106">
        <v>9000</v>
      </c>
      <c r="L346" s="98">
        <f>SUM(K315:K346)</f>
        <v>165719.07495514958</v>
      </c>
      <c r="M346" s="110">
        <f t="shared" si="27"/>
        <v>51.839999999999996</v>
      </c>
    </row>
    <row r="347" spans="1:13" s="107" customFormat="1" ht="15" customHeight="1">
      <c r="A347" s="100" t="str">
        <f>VLOOKUP(C347,Abstract!$E$4:$M$62,9,0)</f>
        <v>ACTIVE</v>
      </c>
      <c r="B347" s="95" t="s">
        <v>138</v>
      </c>
      <c r="C347" s="117" t="s">
        <v>36</v>
      </c>
      <c r="D347" s="100" t="s">
        <v>37</v>
      </c>
      <c r="E347" s="99" t="s">
        <v>141</v>
      </c>
      <c r="F347" s="108" t="s">
        <v>142</v>
      </c>
      <c r="G347" s="109">
        <v>157.1</v>
      </c>
      <c r="H347" s="104">
        <f>VLOOKUP($E347,'Stock statement'!$D$2:$P$384,13,)</f>
        <v>94.278330452007026</v>
      </c>
      <c r="I347" s="121">
        <v>2.5000000000000001E-2</v>
      </c>
      <c r="J347" s="116">
        <v>1.0249999999999999</v>
      </c>
      <c r="K347" s="106">
        <f t="shared" ref="K347" si="30">+G347*H347*(1+I347)*J347</f>
        <v>15560.938953282071</v>
      </c>
      <c r="L347" s="98"/>
      <c r="M347" s="110">
        <f>K347/$G$371</f>
        <v>179.26201674180945</v>
      </c>
    </row>
    <row r="348" spans="1:13" s="107" customFormat="1" ht="15" customHeight="1">
      <c r="A348" s="100" t="str">
        <f>VLOOKUP(C348,Abstract!$E$4:$M$62,9,0)</f>
        <v>ACTIVE</v>
      </c>
      <c r="B348" s="95" t="s">
        <v>138</v>
      </c>
      <c r="C348" s="117" t="s">
        <v>36</v>
      </c>
      <c r="D348" s="100" t="s">
        <v>37</v>
      </c>
      <c r="E348" s="99" t="s">
        <v>147</v>
      </c>
      <c r="F348" s="95" t="s">
        <v>148</v>
      </c>
      <c r="G348" s="109">
        <v>1</v>
      </c>
      <c r="H348" s="104">
        <f>VLOOKUP($E348,'Stock statement'!$D$2:$P$384,13,)</f>
        <v>353.50950483838068</v>
      </c>
      <c r="I348" s="121">
        <v>2.5000000000000001E-2</v>
      </c>
      <c r="J348" s="116">
        <v>1.0249999999999999</v>
      </c>
      <c r="K348" s="106">
        <f t="shared" ref="K348:K412" si="31">+G348*H348*(1+I348)*J348</f>
        <v>371.40592352082365</v>
      </c>
      <c r="L348" s="98"/>
      <c r="M348" s="110">
        <f t="shared" ref="M348:M373" si="32">K348/$G$371</f>
        <v>4.2785962389598886</v>
      </c>
    </row>
    <row r="349" spans="1:13" s="107" customFormat="1" ht="15" customHeight="1">
      <c r="A349" s="100" t="str">
        <f>VLOOKUP(C349,Abstract!$E$4:$M$62,9,0)</f>
        <v>ACTIVE</v>
      </c>
      <c r="B349" s="95" t="s">
        <v>138</v>
      </c>
      <c r="C349" s="117" t="s">
        <v>36</v>
      </c>
      <c r="D349" s="100" t="s">
        <v>37</v>
      </c>
      <c r="E349" s="99" t="s">
        <v>306</v>
      </c>
      <c r="F349" s="99" t="s">
        <v>307</v>
      </c>
      <c r="G349" s="109">
        <v>5</v>
      </c>
      <c r="H349" s="104">
        <f>VLOOKUP($E349,'Stock statement'!$D$2:$P$384,13,)</f>
        <v>225.96058764692856</v>
      </c>
      <c r="I349" s="121">
        <v>2.5000000000000001E-2</v>
      </c>
      <c r="J349" s="116">
        <v>1.0249999999999999</v>
      </c>
      <c r="K349" s="106">
        <f t="shared" si="31"/>
        <v>1186.9992119827716</v>
      </c>
      <c r="L349" s="98"/>
      <c r="M349" s="110">
        <f t="shared" si="32"/>
        <v>13.674230922041529</v>
      </c>
    </row>
    <row r="350" spans="1:13" s="107" customFormat="1" ht="15" customHeight="1">
      <c r="A350" s="100" t="str">
        <f>VLOOKUP(C350,Abstract!$E$4:$M$62,9,0)</f>
        <v>ACTIVE</v>
      </c>
      <c r="B350" s="95" t="s">
        <v>138</v>
      </c>
      <c r="C350" s="117" t="s">
        <v>36</v>
      </c>
      <c r="D350" s="100" t="s">
        <v>37</v>
      </c>
      <c r="E350" s="99" t="s">
        <v>308</v>
      </c>
      <c r="F350" s="99" t="s">
        <v>309</v>
      </c>
      <c r="G350" s="109">
        <v>0.01</v>
      </c>
      <c r="H350" s="104">
        <f>VLOOKUP($E350,'Stock statement'!$D$2:$P$384,13,)</f>
        <v>0</v>
      </c>
      <c r="I350" s="121">
        <v>2.5000000000000001E-2</v>
      </c>
      <c r="J350" s="116">
        <v>1.0249999999999999</v>
      </c>
      <c r="K350" s="106">
        <f t="shared" si="31"/>
        <v>0</v>
      </c>
      <c r="L350" s="98"/>
      <c r="M350" s="110">
        <f t="shared" si="32"/>
        <v>0</v>
      </c>
    </row>
    <row r="351" spans="1:13" s="107" customFormat="1" ht="15" customHeight="1">
      <c r="A351" s="100" t="str">
        <f>VLOOKUP(C351,Abstract!$E$4:$M$62,9,0)</f>
        <v>ACTIVE</v>
      </c>
      <c r="B351" s="95" t="s">
        <v>138</v>
      </c>
      <c r="C351" s="117" t="s">
        <v>36</v>
      </c>
      <c r="D351" s="100" t="s">
        <v>37</v>
      </c>
      <c r="E351" s="99" t="s">
        <v>149</v>
      </c>
      <c r="F351" s="99" t="s">
        <v>208</v>
      </c>
      <c r="G351" s="109">
        <v>0.125</v>
      </c>
      <c r="H351" s="104">
        <f>VLOOKUP($E351,'Stock statement'!$D$2:$P$384,13,)</f>
        <v>161.56941474217822</v>
      </c>
      <c r="I351" s="121">
        <v>2.5000000000000001E-2</v>
      </c>
      <c r="J351" s="116">
        <v>1.0249999999999999</v>
      </c>
      <c r="K351" s="106">
        <f t="shared" si="31"/>
        <v>21.218608295437623</v>
      </c>
      <c r="L351" s="98"/>
      <c r="M351" s="110">
        <f t="shared" si="32"/>
        <v>0.24443836756344139</v>
      </c>
    </row>
    <row r="352" spans="1:13" s="107" customFormat="1" ht="15" customHeight="1">
      <c r="A352" s="100" t="str">
        <f>VLOOKUP(C352,Abstract!$E$4:$M$62,9,0)</f>
        <v>ACTIVE</v>
      </c>
      <c r="B352" s="95" t="s">
        <v>138</v>
      </c>
      <c r="C352" s="117" t="s">
        <v>36</v>
      </c>
      <c r="D352" s="100" t="s">
        <v>37</v>
      </c>
      <c r="E352" s="99" t="s">
        <v>151</v>
      </c>
      <c r="F352" s="95" t="s">
        <v>310</v>
      </c>
      <c r="G352" s="109">
        <v>2.5</v>
      </c>
      <c r="H352" s="104">
        <f>VLOOKUP($E352,'Stock statement'!$D$2:$P$384,13,)</f>
        <v>762.38931335604309</v>
      </c>
      <c r="I352" s="121">
        <v>2.5000000000000001E-2</v>
      </c>
      <c r="J352" s="116">
        <v>1.0249999999999999</v>
      </c>
      <c r="K352" s="106">
        <f t="shared" si="31"/>
        <v>2002.4631808617316</v>
      </c>
      <c r="L352" s="98"/>
      <c r="M352" s="110">
        <f t="shared" si="32"/>
        <v>23.068375843527146</v>
      </c>
    </row>
    <row r="353" spans="1:13" s="107" customFormat="1" ht="15" customHeight="1">
      <c r="A353" s="100" t="str">
        <f>VLOOKUP(C353,Abstract!$E$4:$M$62,9,0)</f>
        <v>ACTIVE</v>
      </c>
      <c r="B353" s="95" t="s">
        <v>138</v>
      </c>
      <c r="C353" s="117" t="s">
        <v>36</v>
      </c>
      <c r="D353" s="100" t="s">
        <v>37</v>
      </c>
      <c r="E353" s="99" t="s">
        <v>153</v>
      </c>
      <c r="F353" s="99" t="s">
        <v>154</v>
      </c>
      <c r="G353" s="109">
        <v>0.75</v>
      </c>
      <c r="H353" s="104">
        <f>VLOOKUP($E353,'Stock statement'!$D$2:$P$384,13,)</f>
        <v>84.206363687840948</v>
      </c>
      <c r="I353" s="121">
        <v>2.5000000000000001E-2</v>
      </c>
      <c r="J353" s="116">
        <v>1.0249999999999999</v>
      </c>
      <c r="K353" s="106">
        <f t="shared" si="31"/>
        <v>66.351983137153411</v>
      </c>
      <c r="L353" s="98"/>
      <c r="M353" s="110">
        <f t="shared" si="32"/>
        <v>0.76437484574000725</v>
      </c>
    </row>
    <row r="354" spans="1:13" s="107" customFormat="1" ht="15" customHeight="1">
      <c r="A354" s="100" t="str">
        <f>VLOOKUP(C354,Abstract!$E$4:$M$62,9,0)</f>
        <v>ACTIVE</v>
      </c>
      <c r="B354" s="95" t="s">
        <v>138</v>
      </c>
      <c r="C354" s="117" t="s">
        <v>36</v>
      </c>
      <c r="D354" s="100" t="s">
        <v>37</v>
      </c>
      <c r="E354" s="99" t="s">
        <v>155</v>
      </c>
      <c r="F354" s="99" t="s">
        <v>156</v>
      </c>
      <c r="G354" s="109">
        <v>30</v>
      </c>
      <c r="H354" s="104">
        <f>VLOOKUP($E354,'Stock statement'!$D$2:$P$384,13,)</f>
        <v>68.308211638055738</v>
      </c>
      <c r="I354" s="121">
        <v>2.5000000000000001E-2</v>
      </c>
      <c r="J354" s="116">
        <v>1.0249999999999999</v>
      </c>
      <c r="K354" s="106">
        <f t="shared" si="31"/>
        <v>2152.9894455669687</v>
      </c>
      <c r="L354" s="98"/>
      <c r="M354" s="110">
        <f t="shared" si="32"/>
        <v>24.80243841293148</v>
      </c>
    </row>
    <row r="355" spans="1:13" s="107" customFormat="1" ht="15" customHeight="1">
      <c r="A355" s="100" t="str">
        <f>VLOOKUP(C355,Abstract!$E$4:$M$62,9,0)</f>
        <v>ACTIVE</v>
      </c>
      <c r="B355" s="95" t="s">
        <v>138</v>
      </c>
      <c r="C355" s="117" t="s">
        <v>36</v>
      </c>
      <c r="D355" s="100" t="s">
        <v>37</v>
      </c>
      <c r="E355" s="99" t="s">
        <v>157</v>
      </c>
      <c r="F355" s="102" t="s">
        <v>158</v>
      </c>
      <c r="G355" s="109">
        <v>1</v>
      </c>
      <c r="H355" s="104">
        <f>VLOOKUP($E355,'Stock statement'!$D$2:$P$384,13,)</f>
        <v>828.81974703846117</v>
      </c>
      <c r="I355" s="121">
        <v>2.5000000000000001E-2</v>
      </c>
      <c r="J355" s="116">
        <v>1.0249999999999999</v>
      </c>
      <c r="K355" s="106">
        <f t="shared" si="31"/>
        <v>870.77874673228314</v>
      </c>
      <c r="L355" s="98"/>
      <c r="M355" s="110">
        <f t="shared" si="32"/>
        <v>10.031371162355901</v>
      </c>
    </row>
    <row r="356" spans="1:13" s="107" customFormat="1" ht="15" customHeight="1">
      <c r="A356" s="100" t="str">
        <f>VLOOKUP(C356,Abstract!$E$4:$M$62,9,0)</f>
        <v>ACTIVE</v>
      </c>
      <c r="B356" s="95" t="s">
        <v>138</v>
      </c>
      <c r="C356" s="117" t="s">
        <v>36</v>
      </c>
      <c r="D356" s="100" t="s">
        <v>37</v>
      </c>
      <c r="E356" s="157">
        <v>115150</v>
      </c>
      <c r="F356" s="36" t="s">
        <v>159</v>
      </c>
      <c r="G356" s="109">
        <v>1</v>
      </c>
      <c r="H356" s="104">
        <f>VLOOKUP($E356,'Stock statement'!$D$2:$P$384,13,)</f>
        <v>456.30699446392703</v>
      </c>
      <c r="I356" s="121">
        <v>2.5000000000000001E-2</v>
      </c>
      <c r="J356" s="116">
        <v>1.0249999999999999</v>
      </c>
      <c r="K356" s="106">
        <f t="shared" ref="K356" si="33">+G356*H356*(1+I356)*J356</f>
        <v>479.40753605866325</v>
      </c>
      <c r="L356" s="98"/>
      <c r="M356" s="110">
        <f t="shared" si="32"/>
        <v>5.5227748153958007</v>
      </c>
    </row>
    <row r="357" spans="1:13" s="107" customFormat="1" ht="15" customHeight="1">
      <c r="A357" s="100" t="str">
        <f>VLOOKUP(C357,Abstract!$E$4:$M$62,9,0)</f>
        <v>ACTIVE</v>
      </c>
      <c r="B357" s="95" t="s">
        <v>138</v>
      </c>
      <c r="C357" s="117" t="s">
        <v>36</v>
      </c>
      <c r="D357" s="100" t="s">
        <v>37</v>
      </c>
      <c r="E357" s="99" t="s">
        <v>160</v>
      </c>
      <c r="F357" s="108" t="s">
        <v>161</v>
      </c>
      <c r="G357" s="109">
        <v>0.5</v>
      </c>
      <c r="H357" s="104">
        <f>VLOOKUP($E357,'Stock statement'!$D$2:$P$384,13,)</f>
        <v>3313.2387673094586</v>
      </c>
      <c r="I357" s="121">
        <v>2.5000000000000001E-2</v>
      </c>
      <c r="J357" s="116">
        <v>1.0249999999999999</v>
      </c>
      <c r="K357" s="106">
        <f t="shared" si="31"/>
        <v>1740.4857399522498</v>
      </c>
      <c r="L357" s="98"/>
      <c r="M357" s="110">
        <f t="shared" si="32"/>
        <v>20.050395724249917</v>
      </c>
    </row>
    <row r="358" spans="1:13" s="107" customFormat="1" ht="15" customHeight="1">
      <c r="A358" s="100" t="str">
        <f>VLOOKUP(C358,Abstract!$E$4:$M$62,9,0)</f>
        <v>ACTIVE</v>
      </c>
      <c r="B358" s="95" t="s">
        <v>138</v>
      </c>
      <c r="C358" s="117" t="s">
        <v>36</v>
      </c>
      <c r="D358" s="100" t="s">
        <v>37</v>
      </c>
      <c r="E358" s="99" t="s">
        <v>145</v>
      </c>
      <c r="F358" s="102" t="s">
        <v>146</v>
      </c>
      <c r="G358" s="109">
        <v>10</v>
      </c>
      <c r="H358" s="104">
        <f>VLOOKUP($E358,'Stock statement'!$D$2:$P$384,13,)</f>
        <v>151.08681180977209</v>
      </c>
      <c r="I358" s="121">
        <v>2.5000000000000001E-2</v>
      </c>
      <c r="J358" s="116">
        <v>1.0249999999999999</v>
      </c>
      <c r="K358" s="106">
        <f t="shared" si="31"/>
        <v>1587.3558165764177</v>
      </c>
      <c r="L358" s="98"/>
      <c r="M358" s="110">
        <f t="shared" si="32"/>
        <v>18.286339006960333</v>
      </c>
    </row>
    <row r="359" spans="1:13" s="107" customFormat="1" ht="15" customHeight="1">
      <c r="A359" s="100" t="str">
        <f>VLOOKUP(C359,Abstract!$E$4:$M$62,9,0)</f>
        <v>ACTIVE</v>
      </c>
      <c r="B359" s="95" t="s">
        <v>138</v>
      </c>
      <c r="C359" s="117" t="s">
        <v>36</v>
      </c>
      <c r="D359" s="100" t="s">
        <v>37</v>
      </c>
      <c r="E359" s="99">
        <v>115071</v>
      </c>
      <c r="F359" s="99" t="s">
        <v>311</v>
      </c>
      <c r="G359" s="109">
        <v>0.5</v>
      </c>
      <c r="H359" s="104">
        <f>VLOOKUP($E359,'Stock statement'!$D$2:$P$384,13,)</f>
        <v>195.04600880394028</v>
      </c>
      <c r="I359" s="121">
        <v>2.5000000000000001E-2</v>
      </c>
      <c r="J359" s="116">
        <v>1.0249999999999999</v>
      </c>
      <c r="K359" s="106">
        <f t="shared" si="31"/>
        <v>102.46010649981986</v>
      </c>
      <c r="L359" s="98"/>
      <c r="M359" s="110">
        <f t="shared" si="32"/>
        <v>1.1803404268779247</v>
      </c>
    </row>
    <row r="360" spans="1:13" s="107" customFormat="1" ht="15" customHeight="1">
      <c r="A360" s="100" t="str">
        <f>VLOOKUP(C360,Abstract!$E$4:$M$62,9,0)</f>
        <v>ACTIVE</v>
      </c>
      <c r="B360" s="95" t="s">
        <v>138</v>
      </c>
      <c r="C360" s="117" t="s">
        <v>36</v>
      </c>
      <c r="D360" s="100" t="s">
        <v>37</v>
      </c>
      <c r="E360" s="99" t="s">
        <v>166</v>
      </c>
      <c r="F360" s="99" t="s">
        <v>167</v>
      </c>
      <c r="G360" s="109">
        <v>2.5</v>
      </c>
      <c r="H360" s="104">
        <f>VLOOKUP($E360,'Stock statement'!$D$2:$P$384,13,)</f>
        <v>127.15913438761541</v>
      </c>
      <c r="I360" s="121">
        <v>2.5000000000000001E-2</v>
      </c>
      <c r="J360" s="116">
        <v>1.0249999999999999</v>
      </c>
      <c r="K360" s="106">
        <f t="shared" si="31"/>
        <v>333.99141391497102</v>
      </c>
      <c r="L360" s="98"/>
      <c r="M360" s="110">
        <f t="shared" si="32"/>
        <v>3.847581088300466</v>
      </c>
    </row>
    <row r="361" spans="1:13" s="107" customFormat="1" ht="15" customHeight="1">
      <c r="A361" s="100" t="str">
        <f>VLOOKUP(C361,Abstract!$E$4:$M$62,9,0)</f>
        <v>ACTIVE</v>
      </c>
      <c r="B361" s="95" t="s">
        <v>138</v>
      </c>
      <c r="C361" s="117" t="s">
        <v>36</v>
      </c>
      <c r="D361" s="100" t="s">
        <v>37</v>
      </c>
      <c r="E361" s="99" t="s">
        <v>209</v>
      </c>
      <c r="F361" s="99" t="s">
        <v>210</v>
      </c>
      <c r="G361" s="109">
        <v>30</v>
      </c>
      <c r="H361" s="104">
        <f>VLOOKUP($E361,'Stock statement'!$D$2:$P$384,13,)</f>
        <v>220.67282625366343</v>
      </c>
      <c r="I361" s="121">
        <v>2.5000000000000001E-2</v>
      </c>
      <c r="J361" s="116">
        <v>1.0249999999999999</v>
      </c>
      <c r="K361" s="106">
        <f t="shared" si="31"/>
        <v>6955.3316424826526</v>
      </c>
      <c r="L361" s="98"/>
      <c r="M361" s="110">
        <f t="shared" si="32"/>
        <v>80.125420521400159</v>
      </c>
    </row>
    <row r="362" spans="1:13" s="107" customFormat="1" ht="15" customHeight="1">
      <c r="A362" s="100" t="str">
        <f>VLOOKUP(C362,Abstract!$E$4:$M$62,9,0)</f>
        <v>ACTIVE</v>
      </c>
      <c r="B362" s="95" t="s">
        <v>138</v>
      </c>
      <c r="C362" s="117" t="s">
        <v>36</v>
      </c>
      <c r="D362" s="100" t="s">
        <v>37</v>
      </c>
      <c r="E362" s="99" t="s">
        <v>261</v>
      </c>
      <c r="F362" s="95" t="s">
        <v>262</v>
      </c>
      <c r="G362" s="109">
        <v>2.5</v>
      </c>
      <c r="H362" s="104">
        <f>VLOOKUP($E362,'Stock statement'!$D$2:$P$384,13,)</f>
        <v>0</v>
      </c>
      <c r="I362" s="121">
        <v>2.5000000000000001E-2</v>
      </c>
      <c r="J362" s="116">
        <v>1.0249999999999999</v>
      </c>
      <c r="K362" s="106">
        <f t="shared" si="31"/>
        <v>0</v>
      </c>
      <c r="L362" s="98"/>
      <c r="M362" s="110">
        <f t="shared" si="32"/>
        <v>0</v>
      </c>
    </row>
    <row r="363" spans="1:13" s="107" customFormat="1" ht="15" customHeight="1">
      <c r="A363" s="100" t="str">
        <f>VLOOKUP(C363,Abstract!$E$4:$M$62,9,0)</f>
        <v>ACTIVE</v>
      </c>
      <c r="B363" s="95" t="s">
        <v>138</v>
      </c>
      <c r="C363" s="117" t="s">
        <v>36</v>
      </c>
      <c r="D363" s="100" t="s">
        <v>37</v>
      </c>
      <c r="E363" s="99" t="s">
        <v>259</v>
      </c>
      <c r="F363" s="99" t="s">
        <v>260</v>
      </c>
      <c r="G363" s="109">
        <v>0.03</v>
      </c>
      <c r="H363" s="104">
        <f>VLOOKUP($E363,'Stock statement'!$D$2:$P$384,13,)</f>
        <v>894.46244467712404</v>
      </c>
      <c r="I363" s="121">
        <v>2.5000000000000001E-2</v>
      </c>
      <c r="J363" s="116">
        <v>1.0249999999999999</v>
      </c>
      <c r="K363" s="106">
        <f t="shared" si="31"/>
        <v>28.192338178167098</v>
      </c>
      <c r="L363" s="98"/>
      <c r="M363" s="110">
        <f t="shared" si="32"/>
        <v>0.32477573581248498</v>
      </c>
    </row>
    <row r="364" spans="1:13" s="107" customFormat="1" ht="15" customHeight="1">
      <c r="A364" s="100" t="str">
        <f>VLOOKUP(C364,Abstract!$E$4:$M$62,9,0)</f>
        <v>ACTIVE</v>
      </c>
      <c r="B364" s="95" t="s">
        <v>138</v>
      </c>
      <c r="C364" s="117" t="s">
        <v>36</v>
      </c>
      <c r="D364" s="100" t="s">
        <v>37</v>
      </c>
      <c r="E364" s="99" t="s">
        <v>217</v>
      </c>
      <c r="F364" s="99" t="s">
        <v>218</v>
      </c>
      <c r="G364" s="109">
        <v>0.1</v>
      </c>
      <c r="H364" s="104">
        <f>VLOOKUP($E364,'Stock statement'!$D$2:$P$384,13,)</f>
        <v>910.5767983004796</v>
      </c>
      <c r="I364" s="121">
        <v>2.5000000000000001E-2</v>
      </c>
      <c r="J364" s="116">
        <v>1.0249999999999999</v>
      </c>
      <c r="K364" s="106">
        <f t="shared" si="31"/>
        <v>95.667474871444114</v>
      </c>
      <c r="L364" s="98"/>
      <c r="M364" s="110">
        <f t="shared" si="32"/>
        <v>1.1020893105190361</v>
      </c>
    </row>
    <row r="365" spans="1:13" s="107" customFormat="1" ht="15" customHeight="1">
      <c r="A365" s="100" t="str">
        <f>VLOOKUP(C365,Abstract!$E$4:$M$62,9,0)</f>
        <v>ACTIVE</v>
      </c>
      <c r="B365" s="95" t="s">
        <v>138</v>
      </c>
      <c r="C365" s="117" t="s">
        <v>36</v>
      </c>
      <c r="D365" s="100" t="s">
        <v>37</v>
      </c>
      <c r="E365" s="99" t="s">
        <v>312</v>
      </c>
      <c r="F365" s="99" t="s">
        <v>313</v>
      </c>
      <c r="G365" s="109">
        <v>6</v>
      </c>
      <c r="H365" s="104">
        <f>VLOOKUP($E365,'Stock statement'!$D$2:$P$384,13,)</f>
        <v>1093.6077250082903</v>
      </c>
      <c r="I365" s="121">
        <v>2.5000000000000001E-2</v>
      </c>
      <c r="J365" s="116">
        <v>1.0249999999999999</v>
      </c>
      <c r="K365" s="106">
        <f t="shared" si="31"/>
        <v>6893.8296965210084</v>
      </c>
      <c r="L365" s="98"/>
      <c r="M365" s="110">
        <f t="shared" si="32"/>
        <v>79.416918103922015</v>
      </c>
    </row>
    <row r="366" spans="1:13" s="107" customFormat="1" ht="15" customHeight="1">
      <c r="A366" s="100" t="str">
        <f>VLOOKUP(C366,Abstract!$E$4:$M$62,9,0)</f>
        <v>ACTIVE</v>
      </c>
      <c r="B366" s="95" t="s">
        <v>138</v>
      </c>
      <c r="C366" s="117" t="s">
        <v>36</v>
      </c>
      <c r="D366" s="100" t="s">
        <v>37</v>
      </c>
      <c r="E366" s="99" t="s">
        <v>181</v>
      </c>
      <c r="F366" s="102" t="s">
        <v>182</v>
      </c>
      <c r="G366" s="109">
        <v>12.5</v>
      </c>
      <c r="H366" s="104">
        <f>VLOOKUP($E366,'Stock statement'!$D$2:$P$384,13,)</f>
        <v>17.110276913020375</v>
      </c>
      <c r="I366" s="121">
        <v>2.5000000000000001E-2</v>
      </c>
      <c r="J366" s="116">
        <v>1.0249999999999999</v>
      </c>
      <c r="K366" s="106">
        <f t="shared" si="31"/>
        <v>224.70605852177536</v>
      </c>
      <c r="L366" s="98"/>
      <c r="M366" s="110">
        <f t="shared" si="32"/>
        <v>2.5886137941708522</v>
      </c>
    </row>
    <row r="367" spans="1:13" s="107" customFormat="1" ht="15" customHeight="1">
      <c r="A367" s="100" t="str">
        <f>VLOOKUP(C367,Abstract!$E$4:$M$62,9,0)</f>
        <v>ACTIVE</v>
      </c>
      <c r="B367" s="95" t="s">
        <v>138</v>
      </c>
      <c r="C367" s="117" t="s">
        <v>36</v>
      </c>
      <c r="D367" s="100" t="s">
        <v>37</v>
      </c>
      <c r="E367" s="99" t="s">
        <v>314</v>
      </c>
      <c r="F367" s="99" t="s">
        <v>315</v>
      </c>
      <c r="G367" s="109">
        <v>0.01</v>
      </c>
      <c r="H367" s="104">
        <f>VLOOKUP($E367,'Stock statement'!$D$2:$P$384,13,)</f>
        <v>176.70653542569758</v>
      </c>
      <c r="I367" s="121">
        <v>2.5000000000000001E-2</v>
      </c>
      <c r="J367" s="116">
        <v>1.0249999999999999</v>
      </c>
      <c r="K367" s="106">
        <f t="shared" si="31"/>
        <v>1.856523037816235</v>
      </c>
      <c r="L367" s="98"/>
      <c r="M367" s="110">
        <f t="shared" si="32"/>
        <v>2.1387145395643025E-2</v>
      </c>
    </row>
    <row r="368" spans="1:13" s="107" customFormat="1" ht="15" customHeight="1">
      <c r="A368" s="100" t="str">
        <f>VLOOKUP(C368,Abstract!$E$4:$M$62,9,0)</f>
        <v>ACTIVE</v>
      </c>
      <c r="B368" s="95" t="s">
        <v>138</v>
      </c>
      <c r="C368" s="117" t="s">
        <v>36</v>
      </c>
      <c r="D368" s="100" t="s">
        <v>37</v>
      </c>
      <c r="E368" s="99" t="s">
        <v>139</v>
      </c>
      <c r="F368" s="102" t="s">
        <v>140</v>
      </c>
      <c r="G368" s="109">
        <v>736.69499999999994</v>
      </c>
      <c r="H368" s="104">
        <f>VLOOKUP($E368,'Stock statement'!$D$2:$P$384,13,)</f>
        <v>0.34</v>
      </c>
      <c r="I368" s="121">
        <v>2.5000000000000001E-2</v>
      </c>
      <c r="J368" s="116">
        <v>1.0249999999999999</v>
      </c>
      <c r="K368" s="106">
        <f t="shared" si="31"/>
        <v>263.15666268749999</v>
      </c>
      <c r="L368" s="98"/>
      <c r="M368" s="110">
        <f t="shared" si="32"/>
        <v>3.0315647541599997</v>
      </c>
    </row>
    <row r="369" spans="1:13" s="107" customFormat="1" ht="15" customHeight="1">
      <c r="A369" s="100" t="str">
        <f>VLOOKUP(C369,Abstract!$E$4:$M$62,9,0)</f>
        <v>ACTIVE</v>
      </c>
      <c r="B369" s="95" t="s">
        <v>138</v>
      </c>
      <c r="C369" s="117" t="s">
        <v>36</v>
      </c>
      <c r="D369" s="100" t="s">
        <v>37</v>
      </c>
      <c r="E369" s="99">
        <v>110037</v>
      </c>
      <c r="F369" s="99" t="s">
        <v>316</v>
      </c>
      <c r="G369" s="109">
        <v>0.18</v>
      </c>
      <c r="H369" s="104">
        <f>VLOOKUP($E369,'Stock statement'!$D$2:$P$384,13,)</f>
        <v>204</v>
      </c>
      <c r="I369" s="121">
        <v>2.5000000000000001E-2</v>
      </c>
      <c r="J369" s="116">
        <v>1.0249999999999999</v>
      </c>
      <c r="K369" s="106">
        <f t="shared" ref="K369" si="34">+G369*H369*(1+I369)*J369</f>
        <v>38.578949999999992</v>
      </c>
      <c r="L369" s="98"/>
      <c r="M369" s="110">
        <f t="shared" si="32"/>
        <v>0.44442950399999992</v>
      </c>
    </row>
    <row r="370" spans="1:13" s="107" customFormat="1" ht="15" customHeight="1">
      <c r="A370" s="100" t="str">
        <f>VLOOKUP(C370,Abstract!$E$4:$M$62,9,0)</f>
        <v>ACTIVE</v>
      </c>
      <c r="B370" s="99" t="s">
        <v>183</v>
      </c>
      <c r="C370" s="117" t="s">
        <v>36</v>
      </c>
      <c r="D370" s="100" t="s">
        <v>37</v>
      </c>
      <c r="E370" s="99">
        <v>211671</v>
      </c>
      <c r="F370" s="99" t="s">
        <v>317</v>
      </c>
      <c r="G370" s="109">
        <v>56.16319444444445</v>
      </c>
      <c r="H370" s="104">
        <f>VLOOKUP($E370,'Stock statement'!$D$2:$P$384,13,)</f>
        <v>260.44800541281188</v>
      </c>
      <c r="I370" s="112">
        <v>1.7500000000000002E-2</v>
      </c>
      <c r="J370" s="113">
        <v>1</v>
      </c>
      <c r="K370" s="106">
        <f t="shared" si="31"/>
        <v>14883.574830154155</v>
      </c>
      <c r="L370" s="98"/>
      <c r="M370" s="110">
        <f t="shared" si="32"/>
        <v>171.45878204337586</v>
      </c>
    </row>
    <row r="371" spans="1:13" s="107" customFormat="1" ht="15" customHeight="1">
      <c r="A371" s="100" t="str">
        <f>VLOOKUP(C371,Abstract!$E$4:$M$62,9,0)</f>
        <v>ACTIVE</v>
      </c>
      <c r="B371" s="99" t="s">
        <v>183</v>
      </c>
      <c r="C371" s="117" t="s">
        <v>36</v>
      </c>
      <c r="D371" s="100" t="s">
        <v>37</v>
      </c>
      <c r="E371" s="99">
        <v>211673</v>
      </c>
      <c r="F371" s="99" t="s">
        <v>318</v>
      </c>
      <c r="G371" s="109">
        <v>86.805555555555557</v>
      </c>
      <c r="H371" s="104">
        <f>VLOOKUP($E371,'Stock statement'!$D$2:$P$384,13,)</f>
        <v>36.209969287609546</v>
      </c>
      <c r="I371" s="112">
        <v>6.0000000000000001E-3</v>
      </c>
      <c r="J371" s="113">
        <v>1</v>
      </c>
      <c r="K371" s="106">
        <f t="shared" si="31"/>
        <v>3162.0858596645139</v>
      </c>
      <c r="L371" s="98"/>
      <c r="M371" s="110">
        <f t="shared" si="32"/>
        <v>36.4272291033352</v>
      </c>
    </row>
    <row r="372" spans="1:13" s="107" customFormat="1" ht="15" customHeight="1">
      <c r="A372" s="100" t="str">
        <f>VLOOKUP(C372,Abstract!$E$4:$M$62,9,0)</f>
        <v>ACTIVE</v>
      </c>
      <c r="B372" s="99" t="s">
        <v>183</v>
      </c>
      <c r="C372" s="117" t="s">
        <v>36</v>
      </c>
      <c r="D372" s="100" t="s">
        <v>37</v>
      </c>
      <c r="E372" s="99" t="s">
        <v>191</v>
      </c>
      <c r="F372" s="95" t="s">
        <v>192</v>
      </c>
      <c r="G372" s="109">
        <v>1.7361111111111112</v>
      </c>
      <c r="H372" s="104">
        <f>VLOOKUP($E372,'Stock statement'!$D$2:$P$384,13,)</f>
        <v>44.985440769279101</v>
      </c>
      <c r="I372" s="112">
        <v>0.02</v>
      </c>
      <c r="J372" s="113">
        <v>1</v>
      </c>
      <c r="K372" s="106">
        <f t="shared" si="31"/>
        <v>79.661718028931745</v>
      </c>
      <c r="L372" s="98"/>
      <c r="M372" s="110">
        <f t="shared" si="32"/>
        <v>0.91770299169329372</v>
      </c>
    </row>
    <row r="373" spans="1:13" s="107" customFormat="1" ht="15" customHeight="1">
      <c r="A373" s="100" t="str">
        <f>VLOOKUP(C373,Abstract!$E$4:$M$62,9,0)</f>
        <v>ACTIVE</v>
      </c>
      <c r="B373" s="99" t="s">
        <v>197</v>
      </c>
      <c r="C373" s="117" t="s">
        <v>36</v>
      </c>
      <c r="D373" s="100" t="s">
        <v>37</v>
      </c>
      <c r="E373" s="99" t="s">
        <v>198</v>
      </c>
      <c r="F373" s="99"/>
      <c r="G373" s="109"/>
      <c r="H373" s="104"/>
      <c r="I373" s="100"/>
      <c r="J373" s="113"/>
      <c r="K373" s="106">
        <v>6180</v>
      </c>
      <c r="L373" s="98">
        <f>SUM(K347:K373)</f>
        <v>65283.488420529327</v>
      </c>
      <c r="M373" s="110">
        <f t="shared" si="32"/>
        <v>71.193600000000004</v>
      </c>
    </row>
    <row r="374" spans="1:13" s="107" customFormat="1" ht="15" customHeight="1">
      <c r="A374" s="100" t="str">
        <f>VLOOKUP(C374,Abstract!$E$4:$M$62,9,0)</f>
        <v>No Sales</v>
      </c>
      <c r="B374" s="95" t="s">
        <v>138</v>
      </c>
      <c r="C374" s="117" t="s">
        <v>38</v>
      </c>
      <c r="D374" s="100" t="s">
        <v>39</v>
      </c>
      <c r="E374" s="99" t="s">
        <v>141</v>
      </c>
      <c r="F374" s="108" t="s">
        <v>142</v>
      </c>
      <c r="G374" s="109">
        <v>157.1</v>
      </c>
      <c r="H374" s="104">
        <f>VLOOKUP($E374,'Stock statement'!$D$2:$P$384,13,)</f>
        <v>94.278330452007026</v>
      </c>
      <c r="I374" s="121">
        <v>2.5000000000000001E-2</v>
      </c>
      <c r="J374" s="116">
        <v>1.0249999999999999</v>
      </c>
      <c r="K374" s="106">
        <f t="shared" si="31"/>
        <v>15560.938953282071</v>
      </c>
      <c r="L374" s="98"/>
      <c r="M374" s="110">
        <f>K374/$G$396</f>
        <v>89.631008370904723</v>
      </c>
    </row>
    <row r="375" spans="1:13" s="107" customFormat="1" ht="15" customHeight="1">
      <c r="A375" s="100" t="str">
        <f>VLOOKUP(C375,Abstract!$E$4:$M$62,9,0)</f>
        <v>No Sales</v>
      </c>
      <c r="B375" s="95" t="s">
        <v>138</v>
      </c>
      <c r="C375" s="117" t="s">
        <v>38</v>
      </c>
      <c r="D375" s="100" t="s">
        <v>39</v>
      </c>
      <c r="E375" s="99" t="s">
        <v>147</v>
      </c>
      <c r="F375" s="95" t="s">
        <v>148</v>
      </c>
      <c r="G375" s="109">
        <v>1</v>
      </c>
      <c r="H375" s="104">
        <f>VLOOKUP($E375,'Stock statement'!$D$2:$P$384,13,)</f>
        <v>353.50950483838068</v>
      </c>
      <c r="I375" s="121">
        <v>2.5000000000000001E-2</v>
      </c>
      <c r="J375" s="116">
        <v>1.0249999999999999</v>
      </c>
      <c r="K375" s="106">
        <f t="shared" si="31"/>
        <v>371.40592352082365</v>
      </c>
      <c r="L375" s="98"/>
      <c r="M375" s="110">
        <f t="shared" ref="M375:M405" si="35">K375/$G$396</f>
        <v>2.1392981194799443</v>
      </c>
    </row>
    <row r="376" spans="1:13" s="107" customFormat="1" ht="15" customHeight="1">
      <c r="A376" s="100" t="str">
        <f>VLOOKUP(C376,Abstract!$E$4:$M$62,9,0)</f>
        <v>No Sales</v>
      </c>
      <c r="B376" s="95" t="s">
        <v>138</v>
      </c>
      <c r="C376" s="117" t="s">
        <v>38</v>
      </c>
      <c r="D376" s="100" t="s">
        <v>39</v>
      </c>
      <c r="E376" s="99" t="s">
        <v>306</v>
      </c>
      <c r="F376" s="99" t="s">
        <v>307</v>
      </c>
      <c r="G376" s="109">
        <v>5</v>
      </c>
      <c r="H376" s="104">
        <f>VLOOKUP($E376,'Stock statement'!$D$2:$P$384,13,)</f>
        <v>225.96058764692856</v>
      </c>
      <c r="I376" s="121">
        <v>2.5000000000000001E-2</v>
      </c>
      <c r="J376" s="116">
        <v>1.0249999999999999</v>
      </c>
      <c r="K376" s="106">
        <f t="shared" si="31"/>
        <v>1186.9992119827716</v>
      </c>
      <c r="L376" s="98"/>
      <c r="M376" s="110">
        <f t="shared" si="35"/>
        <v>6.8371154610207645</v>
      </c>
    </row>
    <row r="377" spans="1:13" s="107" customFormat="1" ht="15" customHeight="1">
      <c r="A377" s="100" t="str">
        <f>VLOOKUP(C377,Abstract!$E$4:$M$62,9,0)</f>
        <v>No Sales</v>
      </c>
      <c r="B377" s="95" t="s">
        <v>138</v>
      </c>
      <c r="C377" s="117" t="s">
        <v>38</v>
      </c>
      <c r="D377" s="100" t="s">
        <v>39</v>
      </c>
      <c r="E377" s="99" t="s">
        <v>308</v>
      </c>
      <c r="F377" s="99" t="s">
        <v>309</v>
      </c>
      <c r="G377" s="109">
        <v>0.1</v>
      </c>
      <c r="H377" s="104">
        <f>VLOOKUP($E377,'Stock statement'!$D$2:$P$384,13,)</f>
        <v>0</v>
      </c>
      <c r="I377" s="121">
        <v>2.5000000000000001E-2</v>
      </c>
      <c r="J377" s="116">
        <v>1.0249999999999999</v>
      </c>
      <c r="K377" s="106">
        <f t="shared" si="31"/>
        <v>0</v>
      </c>
      <c r="L377" s="98"/>
      <c r="M377" s="110">
        <f t="shared" si="35"/>
        <v>0</v>
      </c>
    </row>
    <row r="378" spans="1:13" s="107" customFormat="1" ht="15" customHeight="1">
      <c r="A378" s="100" t="str">
        <f>VLOOKUP(C378,Abstract!$E$4:$M$62,9,0)</f>
        <v>No Sales</v>
      </c>
      <c r="B378" s="95" t="s">
        <v>138</v>
      </c>
      <c r="C378" s="117" t="s">
        <v>38</v>
      </c>
      <c r="D378" s="100" t="s">
        <v>39</v>
      </c>
      <c r="E378" s="99" t="s">
        <v>149</v>
      </c>
      <c r="F378" s="99" t="s">
        <v>208</v>
      </c>
      <c r="G378" s="109">
        <v>0.125</v>
      </c>
      <c r="H378" s="104">
        <f>VLOOKUP($E378,'Stock statement'!$D$2:$P$384,13,)</f>
        <v>161.56941474217822</v>
      </c>
      <c r="I378" s="121">
        <v>2.5000000000000001E-2</v>
      </c>
      <c r="J378" s="116">
        <v>1.0249999999999999</v>
      </c>
      <c r="K378" s="106">
        <f t="shared" si="31"/>
        <v>21.218608295437623</v>
      </c>
      <c r="L378" s="98"/>
      <c r="M378" s="110">
        <f t="shared" si="35"/>
        <v>0.1222191837817207</v>
      </c>
    </row>
    <row r="379" spans="1:13" s="107" customFormat="1" ht="15" customHeight="1">
      <c r="A379" s="100" t="str">
        <f>VLOOKUP(C379,Abstract!$E$4:$M$62,9,0)</f>
        <v>No Sales</v>
      </c>
      <c r="B379" s="95" t="s">
        <v>138</v>
      </c>
      <c r="C379" s="117" t="s">
        <v>38</v>
      </c>
      <c r="D379" s="100" t="s">
        <v>39</v>
      </c>
      <c r="E379" s="99" t="s">
        <v>151</v>
      </c>
      <c r="F379" s="99" t="s">
        <v>152</v>
      </c>
      <c r="G379" s="109">
        <v>2.5</v>
      </c>
      <c r="H379" s="104">
        <f>VLOOKUP($E379,'Stock statement'!$D$2:$P$384,13,)</f>
        <v>762.38931335604309</v>
      </c>
      <c r="I379" s="121">
        <v>2.5000000000000001E-2</v>
      </c>
      <c r="J379" s="116">
        <v>1.0249999999999999</v>
      </c>
      <c r="K379" s="106">
        <f t="shared" si="31"/>
        <v>2002.4631808617316</v>
      </c>
      <c r="L379" s="98"/>
      <c r="M379" s="110">
        <f t="shared" si="35"/>
        <v>11.534187921763573</v>
      </c>
    </row>
    <row r="380" spans="1:13" s="107" customFormat="1" ht="15" customHeight="1">
      <c r="A380" s="100" t="str">
        <f>VLOOKUP(C380,Abstract!$E$4:$M$62,9,0)</f>
        <v>No Sales</v>
      </c>
      <c r="B380" s="95" t="s">
        <v>138</v>
      </c>
      <c r="C380" s="117" t="s">
        <v>38</v>
      </c>
      <c r="D380" s="100" t="s">
        <v>39</v>
      </c>
      <c r="E380" s="99" t="s">
        <v>153</v>
      </c>
      <c r="F380" s="99" t="s">
        <v>154</v>
      </c>
      <c r="G380" s="109">
        <v>0.75</v>
      </c>
      <c r="H380" s="104">
        <f>VLOOKUP($E380,'Stock statement'!$D$2:$P$384,13,)</f>
        <v>84.206363687840948</v>
      </c>
      <c r="I380" s="121">
        <v>2.5000000000000001E-2</v>
      </c>
      <c r="J380" s="116">
        <v>1.0249999999999999</v>
      </c>
      <c r="K380" s="106">
        <f t="shared" si="31"/>
        <v>66.351983137153411</v>
      </c>
      <c r="L380" s="98"/>
      <c r="M380" s="110">
        <f t="shared" si="35"/>
        <v>0.38218742287000362</v>
      </c>
    </row>
    <row r="381" spans="1:13" s="107" customFormat="1" ht="15" customHeight="1">
      <c r="A381" s="100" t="str">
        <f>VLOOKUP(C381,Abstract!$E$4:$M$62,9,0)</f>
        <v>No Sales</v>
      </c>
      <c r="B381" s="95" t="s">
        <v>138</v>
      </c>
      <c r="C381" s="117" t="s">
        <v>38</v>
      </c>
      <c r="D381" s="100" t="s">
        <v>39</v>
      </c>
      <c r="E381" s="99" t="s">
        <v>155</v>
      </c>
      <c r="F381" s="99" t="s">
        <v>156</v>
      </c>
      <c r="G381" s="109">
        <v>30</v>
      </c>
      <c r="H381" s="104">
        <f>VLOOKUP($E381,'Stock statement'!$D$2:$P$384,13,)</f>
        <v>68.308211638055738</v>
      </c>
      <c r="I381" s="121">
        <v>2.5000000000000001E-2</v>
      </c>
      <c r="J381" s="116">
        <v>1.0249999999999999</v>
      </c>
      <c r="K381" s="106">
        <f t="shared" si="31"/>
        <v>2152.9894455669687</v>
      </c>
      <c r="L381" s="98"/>
      <c r="M381" s="110">
        <f t="shared" si="35"/>
        <v>12.40121920646574</v>
      </c>
    </row>
    <row r="382" spans="1:13" s="107" customFormat="1" ht="15" customHeight="1">
      <c r="A382" s="100" t="str">
        <f>VLOOKUP(C382,Abstract!$E$4:$M$62,9,0)</f>
        <v>No Sales</v>
      </c>
      <c r="B382" s="95" t="s">
        <v>138</v>
      </c>
      <c r="C382" s="117" t="s">
        <v>38</v>
      </c>
      <c r="D382" s="100" t="s">
        <v>39</v>
      </c>
      <c r="E382" s="99" t="s">
        <v>157</v>
      </c>
      <c r="F382" s="102" t="s">
        <v>158</v>
      </c>
      <c r="G382" s="109">
        <v>1</v>
      </c>
      <c r="H382" s="104">
        <f>VLOOKUP($E382,'Stock statement'!$D$2:$P$384,13,)</f>
        <v>828.81974703846117</v>
      </c>
      <c r="I382" s="121">
        <v>2.5000000000000001E-2</v>
      </c>
      <c r="J382" s="116">
        <v>1.0249999999999999</v>
      </c>
      <c r="K382" s="106">
        <f t="shared" si="31"/>
        <v>870.77874673228314</v>
      </c>
      <c r="L382" s="98"/>
      <c r="M382" s="110">
        <f t="shared" si="35"/>
        <v>5.0156855811779506</v>
      </c>
    </row>
    <row r="383" spans="1:13" s="107" customFormat="1" ht="15" customHeight="1">
      <c r="A383" s="100" t="str">
        <f>VLOOKUP(C383,Abstract!$E$4:$M$62,9,0)</f>
        <v>No Sales</v>
      </c>
      <c r="B383" s="95" t="s">
        <v>138</v>
      </c>
      <c r="C383" s="117" t="s">
        <v>38</v>
      </c>
      <c r="D383" s="100" t="s">
        <v>39</v>
      </c>
      <c r="E383" s="157">
        <v>115150</v>
      </c>
      <c r="F383" s="99" t="s">
        <v>159</v>
      </c>
      <c r="G383" s="109">
        <v>1</v>
      </c>
      <c r="H383" s="104">
        <f>VLOOKUP($E383,'Stock statement'!$D$2:$P$384,13,)</f>
        <v>456.30699446392703</v>
      </c>
      <c r="I383" s="121">
        <v>2.5000000000000001E-2</v>
      </c>
      <c r="J383" s="116">
        <v>1.0249999999999999</v>
      </c>
      <c r="K383" s="106">
        <f t="shared" si="31"/>
        <v>479.40753605866325</v>
      </c>
      <c r="L383" s="98"/>
      <c r="M383" s="110">
        <f t="shared" si="35"/>
        <v>2.7613874076979004</v>
      </c>
    </row>
    <row r="384" spans="1:13" s="107" customFormat="1" ht="15" customHeight="1">
      <c r="A384" s="100" t="str">
        <f>VLOOKUP(C384,Abstract!$E$4:$M$62,9,0)</f>
        <v>No Sales</v>
      </c>
      <c r="B384" s="95" t="s">
        <v>138</v>
      </c>
      <c r="C384" s="117" t="s">
        <v>38</v>
      </c>
      <c r="D384" s="100" t="s">
        <v>39</v>
      </c>
      <c r="E384" s="99" t="s">
        <v>160</v>
      </c>
      <c r="F384" s="108" t="s">
        <v>161</v>
      </c>
      <c r="G384" s="109">
        <v>0.5</v>
      </c>
      <c r="H384" s="104">
        <f>VLOOKUP($E384,'Stock statement'!$D$2:$P$384,13,)</f>
        <v>3313.2387673094586</v>
      </c>
      <c r="I384" s="121">
        <v>2.5000000000000001E-2</v>
      </c>
      <c r="J384" s="116">
        <v>1.0249999999999999</v>
      </c>
      <c r="K384" s="106">
        <f t="shared" si="31"/>
        <v>1740.4857399522498</v>
      </c>
      <c r="L384" s="98"/>
      <c r="M384" s="110">
        <f t="shared" si="35"/>
        <v>10.025197862124958</v>
      </c>
    </row>
    <row r="385" spans="1:13" s="107" customFormat="1" ht="15" customHeight="1">
      <c r="A385" s="100" t="str">
        <f>VLOOKUP(C385,Abstract!$E$4:$M$62,9,0)</f>
        <v>No Sales</v>
      </c>
      <c r="B385" s="95" t="s">
        <v>138</v>
      </c>
      <c r="C385" s="117" t="s">
        <v>38</v>
      </c>
      <c r="D385" s="100" t="s">
        <v>39</v>
      </c>
      <c r="E385" s="99" t="s">
        <v>145</v>
      </c>
      <c r="F385" s="102" t="s">
        <v>146</v>
      </c>
      <c r="G385" s="109">
        <v>10</v>
      </c>
      <c r="H385" s="104">
        <f>VLOOKUP($E385,'Stock statement'!$D$2:$P$384,13,)</f>
        <v>151.08681180977209</v>
      </c>
      <c r="I385" s="121">
        <v>2.5000000000000001E-2</v>
      </c>
      <c r="J385" s="116">
        <v>1.0249999999999999</v>
      </c>
      <c r="K385" s="106">
        <f t="shared" si="31"/>
        <v>1587.3558165764177</v>
      </c>
      <c r="L385" s="98"/>
      <c r="M385" s="110">
        <f t="shared" si="35"/>
        <v>9.1431695034801663</v>
      </c>
    </row>
    <row r="386" spans="1:13" s="107" customFormat="1" ht="15" customHeight="1">
      <c r="A386" s="100" t="str">
        <f>VLOOKUP(C386,Abstract!$E$4:$M$62,9,0)</f>
        <v>No Sales</v>
      </c>
      <c r="B386" s="95" t="s">
        <v>138</v>
      </c>
      <c r="C386" s="117" t="s">
        <v>38</v>
      </c>
      <c r="D386" s="100" t="s">
        <v>39</v>
      </c>
      <c r="E386" s="99">
        <v>115071</v>
      </c>
      <c r="F386" s="99" t="s">
        <v>311</v>
      </c>
      <c r="G386" s="109">
        <v>0.5</v>
      </c>
      <c r="H386" s="104">
        <f>VLOOKUP($E386,'Stock statement'!$D$2:$P$384,13,)</f>
        <v>195.04600880394028</v>
      </c>
      <c r="I386" s="121">
        <v>2.5000000000000001E-2</v>
      </c>
      <c r="J386" s="116">
        <v>1.0249999999999999</v>
      </c>
      <c r="K386" s="106">
        <f t="shared" si="31"/>
        <v>102.46010649981986</v>
      </c>
      <c r="L386" s="98"/>
      <c r="M386" s="110">
        <f t="shared" si="35"/>
        <v>0.59017021343896237</v>
      </c>
    </row>
    <row r="387" spans="1:13" s="107" customFormat="1" ht="15" customHeight="1">
      <c r="A387" s="100" t="str">
        <f>VLOOKUP(C387,Abstract!$E$4:$M$62,9,0)</f>
        <v>No Sales</v>
      </c>
      <c r="B387" s="95" t="s">
        <v>138</v>
      </c>
      <c r="C387" s="117" t="s">
        <v>38</v>
      </c>
      <c r="D387" s="100" t="s">
        <v>39</v>
      </c>
      <c r="E387" s="99" t="s">
        <v>166</v>
      </c>
      <c r="F387" s="99" t="s">
        <v>167</v>
      </c>
      <c r="G387" s="109">
        <v>2.5</v>
      </c>
      <c r="H387" s="104">
        <f>VLOOKUP($E387,'Stock statement'!$D$2:$P$384,13,)</f>
        <v>127.15913438761541</v>
      </c>
      <c r="I387" s="121">
        <v>2.5000000000000001E-2</v>
      </c>
      <c r="J387" s="116">
        <v>1.0249999999999999</v>
      </c>
      <c r="K387" s="106">
        <f t="shared" si="31"/>
        <v>333.99141391497102</v>
      </c>
      <c r="L387" s="98"/>
      <c r="M387" s="110">
        <f t="shared" si="35"/>
        <v>1.923790544150233</v>
      </c>
    </row>
    <row r="388" spans="1:13" s="107" customFormat="1" ht="15" customHeight="1">
      <c r="A388" s="100" t="str">
        <f>VLOOKUP(C388,Abstract!$E$4:$M$62,9,0)</f>
        <v>No Sales</v>
      </c>
      <c r="B388" s="95" t="s">
        <v>138</v>
      </c>
      <c r="C388" s="117" t="s">
        <v>38</v>
      </c>
      <c r="D388" s="100" t="s">
        <v>39</v>
      </c>
      <c r="E388" s="99" t="s">
        <v>209</v>
      </c>
      <c r="F388" s="99" t="s">
        <v>210</v>
      </c>
      <c r="G388" s="109">
        <v>30</v>
      </c>
      <c r="H388" s="104">
        <f>VLOOKUP($E388,'Stock statement'!$D$2:$P$384,13,)</f>
        <v>220.67282625366343</v>
      </c>
      <c r="I388" s="121">
        <v>2.5000000000000001E-2</v>
      </c>
      <c r="J388" s="116">
        <v>1.0249999999999999</v>
      </c>
      <c r="K388" s="106">
        <f t="shared" si="31"/>
        <v>6955.3316424826526</v>
      </c>
      <c r="L388" s="98"/>
      <c r="M388" s="110">
        <f t="shared" si="35"/>
        <v>40.062710260700079</v>
      </c>
    </row>
    <row r="389" spans="1:13" s="107" customFormat="1" ht="15" customHeight="1">
      <c r="A389" s="100" t="str">
        <f>VLOOKUP(C389,Abstract!$E$4:$M$62,9,0)</f>
        <v>No Sales</v>
      </c>
      <c r="B389" s="95" t="s">
        <v>138</v>
      </c>
      <c r="C389" s="117" t="s">
        <v>38</v>
      </c>
      <c r="D389" s="100" t="s">
        <v>39</v>
      </c>
      <c r="E389" s="99" t="s">
        <v>261</v>
      </c>
      <c r="F389" s="95" t="s">
        <v>262</v>
      </c>
      <c r="G389" s="109">
        <v>2.5</v>
      </c>
      <c r="H389" s="104">
        <f>VLOOKUP($E389,'Stock statement'!$D$2:$P$384,13,)</f>
        <v>0</v>
      </c>
      <c r="I389" s="121">
        <v>2.5000000000000001E-2</v>
      </c>
      <c r="J389" s="116">
        <v>1.0249999999999999</v>
      </c>
      <c r="K389" s="106">
        <f t="shared" si="31"/>
        <v>0</v>
      </c>
      <c r="L389" s="98"/>
      <c r="M389" s="110">
        <f t="shared" si="35"/>
        <v>0</v>
      </c>
    </row>
    <row r="390" spans="1:13" s="107" customFormat="1" ht="15" customHeight="1">
      <c r="A390" s="100" t="str">
        <f>VLOOKUP(C390,Abstract!$E$4:$M$62,9,0)</f>
        <v>No Sales</v>
      </c>
      <c r="B390" s="95" t="s">
        <v>138</v>
      </c>
      <c r="C390" s="117" t="s">
        <v>38</v>
      </c>
      <c r="D390" s="100" t="s">
        <v>39</v>
      </c>
      <c r="E390" s="99" t="s">
        <v>259</v>
      </c>
      <c r="F390" s="99" t="s">
        <v>260</v>
      </c>
      <c r="G390" s="109">
        <v>0.03</v>
      </c>
      <c r="H390" s="104">
        <f>VLOOKUP($E390,'Stock statement'!$D$2:$P$384,13,)</f>
        <v>894.46244467712404</v>
      </c>
      <c r="I390" s="121">
        <v>2.5000000000000001E-2</v>
      </c>
      <c r="J390" s="116">
        <v>1.0249999999999999</v>
      </c>
      <c r="K390" s="106">
        <f t="shared" si="31"/>
        <v>28.192338178167098</v>
      </c>
      <c r="L390" s="98"/>
      <c r="M390" s="110">
        <f t="shared" si="35"/>
        <v>0.16238786790624249</v>
      </c>
    </row>
    <row r="391" spans="1:13" s="107" customFormat="1" ht="15" customHeight="1">
      <c r="A391" s="100" t="str">
        <f>VLOOKUP(C391,Abstract!$E$4:$M$62,9,0)</f>
        <v>No Sales</v>
      </c>
      <c r="B391" s="95" t="s">
        <v>138</v>
      </c>
      <c r="C391" s="117" t="s">
        <v>38</v>
      </c>
      <c r="D391" s="100" t="s">
        <v>39</v>
      </c>
      <c r="E391" s="99" t="s">
        <v>217</v>
      </c>
      <c r="F391" s="99" t="s">
        <v>218</v>
      </c>
      <c r="G391" s="109">
        <v>0.1</v>
      </c>
      <c r="H391" s="104">
        <f>VLOOKUP($E391,'Stock statement'!$D$2:$P$384,13,)</f>
        <v>910.5767983004796</v>
      </c>
      <c r="I391" s="121">
        <v>2.5000000000000001E-2</v>
      </c>
      <c r="J391" s="116">
        <v>1.0249999999999999</v>
      </c>
      <c r="K391" s="106">
        <f t="shared" si="31"/>
        <v>95.667474871444114</v>
      </c>
      <c r="L391" s="98"/>
      <c r="M391" s="110">
        <f t="shared" si="35"/>
        <v>0.55104465525951807</v>
      </c>
    </row>
    <row r="392" spans="1:13" s="107" customFormat="1" ht="15" customHeight="1">
      <c r="A392" s="100" t="str">
        <f>VLOOKUP(C392,Abstract!$E$4:$M$62,9,0)</f>
        <v>No Sales</v>
      </c>
      <c r="B392" s="95" t="s">
        <v>138</v>
      </c>
      <c r="C392" s="117" t="s">
        <v>38</v>
      </c>
      <c r="D392" s="100" t="s">
        <v>39</v>
      </c>
      <c r="E392" s="99" t="s">
        <v>312</v>
      </c>
      <c r="F392" s="99" t="s">
        <v>313</v>
      </c>
      <c r="G392" s="109">
        <v>6</v>
      </c>
      <c r="H392" s="104">
        <f>VLOOKUP($E392,'Stock statement'!$D$2:$P$384,13,)</f>
        <v>1093.6077250082903</v>
      </c>
      <c r="I392" s="121">
        <v>2.5000000000000001E-2</v>
      </c>
      <c r="J392" s="116">
        <v>1.0249999999999999</v>
      </c>
      <c r="K392" s="106">
        <f t="shared" si="31"/>
        <v>6893.8296965210084</v>
      </c>
      <c r="L392" s="98"/>
      <c r="M392" s="110">
        <f t="shared" si="35"/>
        <v>39.708459051961007</v>
      </c>
    </row>
    <row r="393" spans="1:13" s="107" customFormat="1" ht="15" customHeight="1">
      <c r="A393" s="100" t="str">
        <f>VLOOKUP(C393,Abstract!$E$4:$M$62,9,0)</f>
        <v>No Sales</v>
      </c>
      <c r="B393" s="95" t="s">
        <v>138</v>
      </c>
      <c r="C393" s="117" t="s">
        <v>38</v>
      </c>
      <c r="D393" s="100" t="s">
        <v>39</v>
      </c>
      <c r="E393" s="99" t="s">
        <v>181</v>
      </c>
      <c r="F393" s="102" t="s">
        <v>182</v>
      </c>
      <c r="G393" s="109">
        <v>12.5</v>
      </c>
      <c r="H393" s="104">
        <f>VLOOKUP($E393,'Stock statement'!$D$2:$P$384,13,)</f>
        <v>17.110276913020375</v>
      </c>
      <c r="I393" s="121">
        <v>2.5000000000000001E-2</v>
      </c>
      <c r="J393" s="116">
        <v>1.0249999999999999</v>
      </c>
      <c r="K393" s="106">
        <f t="shared" si="31"/>
        <v>224.70605852177536</v>
      </c>
      <c r="L393" s="98"/>
      <c r="M393" s="110">
        <f t="shared" si="35"/>
        <v>1.2943068970854261</v>
      </c>
    </row>
    <row r="394" spans="1:13" s="107" customFormat="1" ht="15" customHeight="1">
      <c r="A394" s="100" t="str">
        <f>VLOOKUP(C394,Abstract!$E$4:$M$62,9,0)</f>
        <v>No Sales</v>
      </c>
      <c r="B394" s="95" t="s">
        <v>138</v>
      </c>
      <c r="C394" s="117" t="s">
        <v>38</v>
      </c>
      <c r="D394" s="100" t="s">
        <v>39</v>
      </c>
      <c r="E394" s="99" t="s">
        <v>314</v>
      </c>
      <c r="F394" s="99" t="s">
        <v>315</v>
      </c>
      <c r="G394" s="109">
        <v>0.1</v>
      </c>
      <c r="H394" s="104">
        <f>VLOOKUP($E394,'Stock statement'!$D$2:$P$384,13,)</f>
        <v>176.70653542569758</v>
      </c>
      <c r="I394" s="121">
        <v>2.5000000000000001E-2</v>
      </c>
      <c r="J394" s="116">
        <v>1.0249999999999999</v>
      </c>
      <c r="K394" s="106">
        <f t="shared" si="31"/>
        <v>18.565230378162351</v>
      </c>
      <c r="L394" s="98"/>
      <c r="M394" s="110">
        <f t="shared" si="35"/>
        <v>0.10693572697821514</v>
      </c>
    </row>
    <row r="395" spans="1:13" s="107" customFormat="1" ht="15" customHeight="1">
      <c r="A395" s="100" t="str">
        <f>VLOOKUP(C395,Abstract!$E$4:$M$62,9,0)</f>
        <v>No Sales</v>
      </c>
      <c r="B395" s="95" t="s">
        <v>138</v>
      </c>
      <c r="C395" s="117" t="s">
        <v>38</v>
      </c>
      <c r="D395" s="100" t="s">
        <v>39</v>
      </c>
      <c r="E395" s="99" t="s">
        <v>139</v>
      </c>
      <c r="F395" s="102" t="s">
        <v>140</v>
      </c>
      <c r="G395" s="109">
        <v>736.69499999999994</v>
      </c>
      <c r="H395" s="104">
        <f>VLOOKUP($E395,'Stock statement'!$D$2:$P$384,13,)</f>
        <v>0.34</v>
      </c>
      <c r="I395" s="121">
        <v>2.5000000000000001E-2</v>
      </c>
      <c r="J395" s="116">
        <v>1.0249999999999999</v>
      </c>
      <c r="K395" s="106">
        <f t="shared" si="31"/>
        <v>263.15666268749999</v>
      </c>
      <c r="L395" s="98"/>
      <c r="M395" s="110">
        <f t="shared" si="35"/>
        <v>1.5157823770799999</v>
      </c>
    </row>
    <row r="396" spans="1:13" s="107" customFormat="1" ht="15" customHeight="1">
      <c r="A396" s="100" t="str">
        <f>VLOOKUP(C396,Abstract!$E$4:$M$62,9,0)</f>
        <v>No Sales</v>
      </c>
      <c r="B396" s="99" t="s">
        <v>183</v>
      </c>
      <c r="C396" s="117" t="s">
        <v>38</v>
      </c>
      <c r="D396" s="100" t="s">
        <v>39</v>
      </c>
      <c r="E396" s="99" t="s">
        <v>319</v>
      </c>
      <c r="F396" s="99" t="s">
        <v>320</v>
      </c>
      <c r="G396" s="109">
        <v>173.61111111111111</v>
      </c>
      <c r="H396" s="104">
        <f>VLOOKUP($E396,'Stock statement'!$D$2:$P$384,13,)</f>
        <v>28.495656262647898</v>
      </c>
      <c r="I396" s="112">
        <v>6.0000000000000001E-3</v>
      </c>
      <c r="J396" s="113">
        <v>1</v>
      </c>
      <c r="K396" s="106">
        <f t="shared" si="31"/>
        <v>4976.8455208721844</v>
      </c>
      <c r="L396" s="98"/>
      <c r="M396" s="110">
        <f t="shared" si="35"/>
        <v>28.666630200223782</v>
      </c>
    </row>
    <row r="397" spans="1:13" s="107" customFormat="1" ht="15" customHeight="1">
      <c r="A397" s="100" t="str">
        <f>VLOOKUP(C397,Abstract!$E$4:$M$62,9,0)</f>
        <v>No Sales</v>
      </c>
      <c r="B397" s="99" t="s">
        <v>183</v>
      </c>
      <c r="C397" s="117" t="s">
        <v>38</v>
      </c>
      <c r="D397" s="100" t="s">
        <v>39</v>
      </c>
      <c r="E397" s="99" t="s">
        <v>321</v>
      </c>
      <c r="F397" s="99" t="s">
        <v>322</v>
      </c>
      <c r="G397" s="109">
        <v>12500</v>
      </c>
      <c r="H397" s="104">
        <f>VLOOKUP($E397,'Stock statement'!$D$2:$P$384,13,)</f>
        <v>3.0960075845789552</v>
      </c>
      <c r="I397" s="112">
        <v>6.0000000000000001E-3</v>
      </c>
      <c r="J397" s="113">
        <v>1</v>
      </c>
      <c r="K397" s="106">
        <f t="shared" si="31"/>
        <v>38932.295376080365</v>
      </c>
      <c r="L397" s="98"/>
      <c r="M397" s="110">
        <f t="shared" si="35"/>
        <v>224.25002136622291</v>
      </c>
    </row>
    <row r="398" spans="1:13" s="107" customFormat="1" ht="15" customHeight="1">
      <c r="A398" s="100" t="str">
        <f>VLOOKUP(C398,Abstract!$E$4:$M$62,9,0)</f>
        <v>No Sales</v>
      </c>
      <c r="B398" s="99" t="s">
        <v>183</v>
      </c>
      <c r="C398" s="117" t="s">
        <v>38</v>
      </c>
      <c r="D398" s="100" t="s">
        <v>39</v>
      </c>
      <c r="E398" s="99">
        <v>211679</v>
      </c>
      <c r="F398" s="99" t="s">
        <v>323</v>
      </c>
      <c r="G398" s="109">
        <v>12500</v>
      </c>
      <c r="H398" s="104">
        <f>VLOOKUP($E398,'Stock statement'!$D$2:$P$384,13,)</f>
        <v>3.0514953713819963</v>
      </c>
      <c r="I398" s="112">
        <v>6.0000000000000001E-3</v>
      </c>
      <c r="J398" s="113">
        <v>1</v>
      </c>
      <c r="K398" s="106">
        <f t="shared" si="31"/>
        <v>38372.554295128604</v>
      </c>
      <c r="L398" s="98"/>
      <c r="M398" s="110">
        <f t="shared" si="35"/>
        <v>221.02591273994076</v>
      </c>
    </row>
    <row r="399" spans="1:13" s="107" customFormat="1" ht="15" customHeight="1">
      <c r="A399" s="100" t="str">
        <f>VLOOKUP(C399,Abstract!$E$4:$M$62,9,0)</f>
        <v>No Sales</v>
      </c>
      <c r="B399" s="99" t="s">
        <v>183</v>
      </c>
      <c r="C399" s="117" t="s">
        <v>38</v>
      </c>
      <c r="D399" s="100" t="s">
        <v>39</v>
      </c>
      <c r="E399" s="99" t="s">
        <v>324</v>
      </c>
      <c r="F399" s="99" t="s">
        <v>325</v>
      </c>
      <c r="G399" s="109">
        <v>12500</v>
      </c>
      <c r="H399" s="104">
        <f>VLOOKUP($E399,'Stock statement'!$D$2:$P$384,13,)</f>
        <v>1.1997168865845851</v>
      </c>
      <c r="I399" s="105">
        <v>0.02</v>
      </c>
      <c r="J399" s="113">
        <v>1</v>
      </c>
      <c r="K399" s="106">
        <f t="shared" si="31"/>
        <v>15296.390303953462</v>
      </c>
      <c r="L399" s="98"/>
      <c r="M399" s="110">
        <f t="shared" si="35"/>
        <v>88.107208150771939</v>
      </c>
    </row>
    <row r="400" spans="1:13" s="107" customFormat="1" ht="15" customHeight="1">
      <c r="A400" s="100" t="str">
        <f>VLOOKUP(C400,Abstract!$E$4:$M$62,9,0)</f>
        <v>No Sales</v>
      </c>
      <c r="B400" s="99" t="s">
        <v>183</v>
      </c>
      <c r="C400" s="117" t="s">
        <v>38</v>
      </c>
      <c r="D400" s="100" t="s">
        <v>39</v>
      </c>
      <c r="E400" s="99" t="s">
        <v>326</v>
      </c>
      <c r="F400" s="99" t="s">
        <v>327</v>
      </c>
      <c r="G400" s="109">
        <v>12500</v>
      </c>
      <c r="H400" s="104">
        <f>VLOOKUP($E400,'Stock statement'!$D$2:$P$384,13,)</f>
        <v>1.1997168865845851</v>
      </c>
      <c r="I400" s="105">
        <v>0.02</v>
      </c>
      <c r="J400" s="113">
        <v>1</v>
      </c>
      <c r="K400" s="106">
        <f t="shared" si="31"/>
        <v>15296.390303953462</v>
      </c>
      <c r="L400" s="98"/>
      <c r="M400" s="110">
        <f t="shared" si="35"/>
        <v>88.107208150771939</v>
      </c>
    </row>
    <row r="401" spans="1:13" s="107" customFormat="1" ht="15" customHeight="1">
      <c r="A401" s="100" t="str">
        <f>VLOOKUP(C401,Abstract!$E$4:$M$62,9,0)</f>
        <v>No Sales</v>
      </c>
      <c r="B401" s="99" t="s">
        <v>183</v>
      </c>
      <c r="C401" s="117" t="s">
        <v>38</v>
      </c>
      <c r="D401" s="100" t="s">
        <v>39</v>
      </c>
      <c r="E401" s="99" t="s">
        <v>191</v>
      </c>
      <c r="F401" s="95" t="s">
        <v>192</v>
      </c>
      <c r="G401" s="109">
        <v>4.3402777777777777</v>
      </c>
      <c r="H401" s="104">
        <f>VLOOKUP($E401,'Stock statement'!$D$2:$P$384,13,)</f>
        <v>44.985440769279101</v>
      </c>
      <c r="I401" s="112">
        <v>0.02</v>
      </c>
      <c r="J401" s="113">
        <v>1</v>
      </c>
      <c r="K401" s="106">
        <f t="shared" si="31"/>
        <v>199.15429507232935</v>
      </c>
      <c r="L401" s="98"/>
      <c r="M401" s="110">
        <f t="shared" si="35"/>
        <v>1.147128739616617</v>
      </c>
    </row>
    <row r="402" spans="1:13" s="107" customFormat="1" ht="15" customHeight="1">
      <c r="A402" s="100" t="str">
        <f>VLOOKUP(C402,Abstract!$E$4:$M$62,9,0)</f>
        <v>No Sales</v>
      </c>
      <c r="B402" s="99" t="s">
        <v>183</v>
      </c>
      <c r="C402" s="117" t="s">
        <v>38</v>
      </c>
      <c r="D402" s="100" t="s">
        <v>39</v>
      </c>
      <c r="E402" s="99" t="s">
        <v>254</v>
      </c>
      <c r="F402" s="95" t="s">
        <v>255</v>
      </c>
      <c r="G402" s="109">
        <v>2083.3333333333335</v>
      </c>
      <c r="H402" s="104">
        <f>VLOOKUP($E402,'Stock statement'!$D$2:$P$384,13,)</f>
        <v>2.6</v>
      </c>
      <c r="I402" s="112">
        <v>0.01</v>
      </c>
      <c r="J402" s="113">
        <v>1</v>
      </c>
      <c r="K402" s="106">
        <f t="shared" si="31"/>
        <v>5470.8333333333339</v>
      </c>
      <c r="L402" s="98"/>
      <c r="M402" s="110">
        <f t="shared" si="35"/>
        <v>31.512000000000004</v>
      </c>
    </row>
    <row r="403" spans="1:13" s="107" customFormat="1" ht="15" customHeight="1">
      <c r="A403" s="100" t="str">
        <f>VLOOKUP(C403,Abstract!$E$4:$M$62,9,0)</f>
        <v>No Sales</v>
      </c>
      <c r="B403" s="95" t="s">
        <v>194</v>
      </c>
      <c r="C403" s="117" t="s">
        <v>38</v>
      </c>
      <c r="D403" s="100" t="s">
        <v>39</v>
      </c>
      <c r="E403" s="99" t="s">
        <v>195</v>
      </c>
      <c r="F403" s="99"/>
      <c r="G403" s="109">
        <f>G397</f>
        <v>12500</v>
      </c>
      <c r="H403" s="104">
        <v>0.04</v>
      </c>
      <c r="I403" s="100"/>
      <c r="J403" s="113">
        <v>1</v>
      </c>
      <c r="K403" s="106">
        <f t="shared" si="31"/>
        <v>500</v>
      </c>
      <c r="L403" s="98"/>
      <c r="M403" s="110">
        <f t="shared" si="35"/>
        <v>2.88</v>
      </c>
    </row>
    <row r="404" spans="1:13" s="107" customFormat="1" ht="15" customHeight="1">
      <c r="A404" s="100" t="str">
        <f>VLOOKUP(C404,Abstract!$E$4:$M$62,9,0)</f>
        <v>No Sales</v>
      </c>
      <c r="B404" s="95" t="s">
        <v>194</v>
      </c>
      <c r="C404" s="117" t="s">
        <v>38</v>
      </c>
      <c r="D404" s="100" t="s">
        <v>39</v>
      </c>
      <c r="E404" s="99" t="s">
        <v>196</v>
      </c>
      <c r="F404" s="99"/>
      <c r="G404" s="109">
        <f>G403*24</f>
        <v>300000</v>
      </c>
      <c r="H404" s="114">
        <v>1.6999999999999999E-3</v>
      </c>
      <c r="I404" s="100"/>
      <c r="J404" s="113">
        <v>1</v>
      </c>
      <c r="K404" s="106">
        <f t="shared" si="31"/>
        <v>510</v>
      </c>
      <c r="L404" s="98"/>
      <c r="M404" s="110">
        <f t="shared" si="35"/>
        <v>2.9375999999999998</v>
      </c>
    </row>
    <row r="405" spans="1:13" s="107" customFormat="1" ht="15" customHeight="1">
      <c r="A405" s="100" t="str">
        <f>VLOOKUP(C405,Abstract!$E$4:$M$62,9,0)</f>
        <v>No Sales</v>
      </c>
      <c r="B405" s="99" t="s">
        <v>197</v>
      </c>
      <c r="C405" s="117" t="s">
        <v>38</v>
      </c>
      <c r="D405" s="100" t="s">
        <v>39</v>
      </c>
      <c r="E405" s="99" t="s">
        <v>198</v>
      </c>
      <c r="F405" s="99"/>
      <c r="G405" s="109"/>
      <c r="H405" s="104"/>
      <c r="I405" s="100"/>
      <c r="J405" s="113"/>
      <c r="K405" s="106">
        <v>9000</v>
      </c>
      <c r="L405" s="98">
        <f>SUM(K374:K405)</f>
        <v>169510.75919841582</v>
      </c>
      <c r="M405" s="110">
        <f t="shared" si="35"/>
        <v>51.839999999999996</v>
      </c>
    </row>
    <row r="406" spans="1:13" s="107" customFormat="1" ht="15" customHeight="1">
      <c r="A406" s="100" t="str">
        <f>VLOOKUP(C406,Abstract!$E$4:$M$62,9,0)</f>
        <v>No Sales</v>
      </c>
      <c r="B406" s="95" t="s">
        <v>138</v>
      </c>
      <c r="C406" s="117" t="s">
        <v>40</v>
      </c>
      <c r="D406" s="100" t="s">
        <v>41</v>
      </c>
      <c r="E406" s="99" t="s">
        <v>141</v>
      </c>
      <c r="F406" s="108" t="s">
        <v>142</v>
      </c>
      <c r="G406" s="109">
        <v>157.1</v>
      </c>
      <c r="H406" s="104">
        <f>VLOOKUP($E406,'Stock statement'!$D$2:$P$384,13,)</f>
        <v>94.278330452007026</v>
      </c>
      <c r="I406" s="121">
        <v>2.5000000000000001E-2</v>
      </c>
      <c r="J406" s="116">
        <v>1.0249999999999999</v>
      </c>
      <c r="K406" s="106">
        <f t="shared" si="31"/>
        <v>15560.938953282071</v>
      </c>
      <c r="L406" s="98"/>
      <c r="M406" s="110">
        <f>K406/$G$428</f>
        <v>130.71188720756942</v>
      </c>
    </row>
    <row r="407" spans="1:13" s="107" customFormat="1" ht="15" customHeight="1">
      <c r="A407" s="100" t="str">
        <f>VLOOKUP(C407,Abstract!$E$4:$M$62,9,0)</f>
        <v>No Sales</v>
      </c>
      <c r="B407" s="95" t="s">
        <v>138</v>
      </c>
      <c r="C407" s="117" t="s">
        <v>40</v>
      </c>
      <c r="D407" s="100" t="s">
        <v>41</v>
      </c>
      <c r="E407" s="99" t="s">
        <v>147</v>
      </c>
      <c r="F407" s="95" t="s">
        <v>148</v>
      </c>
      <c r="G407" s="109">
        <v>1</v>
      </c>
      <c r="H407" s="104">
        <f>VLOOKUP($E407,'Stock statement'!$D$2:$P$384,13,)</f>
        <v>353.50950483838068</v>
      </c>
      <c r="I407" s="121">
        <v>2.5000000000000001E-2</v>
      </c>
      <c r="J407" s="116">
        <v>1.0249999999999999</v>
      </c>
      <c r="K407" s="106">
        <f t="shared" si="31"/>
        <v>371.40592352082365</v>
      </c>
      <c r="L407" s="98"/>
      <c r="M407" s="110">
        <f t="shared" ref="M407:M437" si="36">K407/$G$428</f>
        <v>3.1198097575749189</v>
      </c>
    </row>
    <row r="408" spans="1:13" s="107" customFormat="1" ht="15" customHeight="1">
      <c r="A408" s="100" t="str">
        <f>VLOOKUP(C408,Abstract!$E$4:$M$62,9,0)</f>
        <v>No Sales</v>
      </c>
      <c r="B408" s="95" t="s">
        <v>138</v>
      </c>
      <c r="C408" s="117" t="s">
        <v>40</v>
      </c>
      <c r="D408" s="100" t="s">
        <v>41</v>
      </c>
      <c r="E408" s="99" t="s">
        <v>306</v>
      </c>
      <c r="F408" s="99" t="s">
        <v>307</v>
      </c>
      <c r="G408" s="109">
        <v>5</v>
      </c>
      <c r="H408" s="104">
        <f>VLOOKUP($E408,'Stock statement'!$D$2:$P$384,13,)</f>
        <v>225.96058764692856</v>
      </c>
      <c r="I408" s="121">
        <v>2.5000000000000001E-2</v>
      </c>
      <c r="J408" s="116">
        <v>1.0249999999999999</v>
      </c>
      <c r="K408" s="106">
        <f t="shared" si="31"/>
        <v>1186.9992119827716</v>
      </c>
      <c r="L408" s="98"/>
      <c r="M408" s="110">
        <f t="shared" si="36"/>
        <v>9.970793380655282</v>
      </c>
    </row>
    <row r="409" spans="1:13" s="107" customFormat="1" ht="15" customHeight="1">
      <c r="A409" s="100" t="str">
        <f>VLOOKUP(C409,Abstract!$E$4:$M$62,9,0)</f>
        <v>No Sales</v>
      </c>
      <c r="B409" s="95" t="s">
        <v>138</v>
      </c>
      <c r="C409" s="117" t="s">
        <v>40</v>
      </c>
      <c r="D409" s="100" t="s">
        <v>41</v>
      </c>
      <c r="E409" s="99" t="s">
        <v>308</v>
      </c>
      <c r="F409" s="99" t="s">
        <v>309</v>
      </c>
      <c r="G409" s="109">
        <v>0.1</v>
      </c>
      <c r="H409" s="104">
        <f>VLOOKUP($E409,'Stock statement'!$D$2:$P$384,13,)</f>
        <v>0</v>
      </c>
      <c r="I409" s="121">
        <v>2.5000000000000001E-2</v>
      </c>
      <c r="J409" s="116">
        <v>1.0249999999999999</v>
      </c>
      <c r="K409" s="106">
        <f t="shared" si="31"/>
        <v>0</v>
      </c>
      <c r="L409" s="98"/>
      <c r="M409" s="110">
        <f t="shared" si="36"/>
        <v>0</v>
      </c>
    </row>
    <row r="410" spans="1:13" s="107" customFormat="1" ht="15" customHeight="1">
      <c r="A410" s="100" t="str">
        <f>VLOOKUP(C410,Abstract!$E$4:$M$62,9,0)</f>
        <v>No Sales</v>
      </c>
      <c r="B410" s="95" t="s">
        <v>138</v>
      </c>
      <c r="C410" s="117" t="s">
        <v>40</v>
      </c>
      <c r="D410" s="100" t="s">
        <v>41</v>
      </c>
      <c r="E410" s="99" t="s">
        <v>149</v>
      </c>
      <c r="F410" s="99" t="s">
        <v>208</v>
      </c>
      <c r="G410" s="109">
        <v>0.125</v>
      </c>
      <c r="H410" s="104">
        <f>VLOOKUP($E410,'Stock statement'!$D$2:$P$384,13,)</f>
        <v>161.56941474217822</v>
      </c>
      <c r="I410" s="121">
        <v>2.5000000000000001E-2</v>
      </c>
      <c r="J410" s="116">
        <v>1.0249999999999999</v>
      </c>
      <c r="K410" s="106">
        <f t="shared" si="31"/>
        <v>21.218608295437623</v>
      </c>
      <c r="L410" s="98"/>
      <c r="M410" s="110">
        <f t="shared" si="36"/>
        <v>0.17823630968167606</v>
      </c>
    </row>
    <row r="411" spans="1:13" s="107" customFormat="1" ht="15" customHeight="1">
      <c r="A411" s="100" t="str">
        <f>VLOOKUP(C411,Abstract!$E$4:$M$62,9,0)</f>
        <v>No Sales</v>
      </c>
      <c r="B411" s="95" t="s">
        <v>138</v>
      </c>
      <c r="C411" s="117" t="s">
        <v>40</v>
      </c>
      <c r="D411" s="100" t="s">
        <v>41</v>
      </c>
      <c r="E411" s="99" t="s">
        <v>151</v>
      </c>
      <c r="F411" s="99" t="s">
        <v>152</v>
      </c>
      <c r="G411" s="109">
        <v>2.5</v>
      </c>
      <c r="H411" s="104">
        <f>VLOOKUP($E411,'Stock statement'!$D$2:$P$384,13,)</f>
        <v>762.38931335604309</v>
      </c>
      <c r="I411" s="121">
        <v>2.5000000000000001E-2</v>
      </c>
      <c r="J411" s="116">
        <v>1.0249999999999999</v>
      </c>
      <c r="K411" s="106">
        <f t="shared" si="31"/>
        <v>2002.4631808617316</v>
      </c>
      <c r="L411" s="98"/>
      <c r="M411" s="110">
        <f t="shared" si="36"/>
        <v>16.820690719238549</v>
      </c>
    </row>
    <row r="412" spans="1:13" s="107" customFormat="1" ht="15" customHeight="1">
      <c r="A412" s="100" t="str">
        <f>VLOOKUP(C412,Abstract!$E$4:$M$62,9,0)</f>
        <v>No Sales</v>
      </c>
      <c r="B412" s="95" t="s">
        <v>138</v>
      </c>
      <c r="C412" s="117" t="s">
        <v>40</v>
      </c>
      <c r="D412" s="100" t="s">
        <v>41</v>
      </c>
      <c r="E412" s="99" t="s">
        <v>153</v>
      </c>
      <c r="F412" s="99" t="s">
        <v>154</v>
      </c>
      <c r="G412" s="109">
        <v>0.75</v>
      </c>
      <c r="H412" s="104">
        <f>VLOOKUP($E412,'Stock statement'!$D$2:$P$384,13,)</f>
        <v>84.206363687840948</v>
      </c>
      <c r="I412" s="121">
        <v>2.5000000000000001E-2</v>
      </c>
      <c r="J412" s="116">
        <v>1.0249999999999999</v>
      </c>
      <c r="K412" s="106">
        <f t="shared" si="31"/>
        <v>66.351983137153411</v>
      </c>
      <c r="L412" s="98"/>
      <c r="M412" s="110">
        <f t="shared" si="36"/>
        <v>0.5573566583520887</v>
      </c>
    </row>
    <row r="413" spans="1:13" s="107" customFormat="1" ht="15" customHeight="1">
      <c r="A413" s="100" t="str">
        <f>VLOOKUP(C413,Abstract!$E$4:$M$62,9,0)</f>
        <v>No Sales</v>
      </c>
      <c r="B413" s="95" t="s">
        <v>138</v>
      </c>
      <c r="C413" s="117" t="s">
        <v>40</v>
      </c>
      <c r="D413" s="100" t="s">
        <v>41</v>
      </c>
      <c r="E413" s="99" t="s">
        <v>155</v>
      </c>
      <c r="F413" s="99" t="s">
        <v>156</v>
      </c>
      <c r="G413" s="109">
        <v>30</v>
      </c>
      <c r="H413" s="104">
        <f>VLOOKUP($E413,'Stock statement'!$D$2:$P$384,13,)</f>
        <v>68.308211638055738</v>
      </c>
      <c r="I413" s="121">
        <v>2.5000000000000001E-2</v>
      </c>
      <c r="J413" s="116">
        <v>1.0249999999999999</v>
      </c>
      <c r="K413" s="106">
        <f t="shared" ref="K413:K462" si="37">+G413*H413*(1+I413)*J413</f>
        <v>2152.9894455669687</v>
      </c>
      <c r="L413" s="98"/>
      <c r="M413" s="110">
        <f t="shared" si="36"/>
        <v>18.085111342762538</v>
      </c>
    </row>
    <row r="414" spans="1:13" s="107" customFormat="1" ht="15" customHeight="1">
      <c r="A414" s="100" t="str">
        <f>VLOOKUP(C414,Abstract!$E$4:$M$62,9,0)</f>
        <v>No Sales</v>
      </c>
      <c r="B414" s="95" t="s">
        <v>138</v>
      </c>
      <c r="C414" s="117" t="s">
        <v>40</v>
      </c>
      <c r="D414" s="100" t="s">
        <v>41</v>
      </c>
      <c r="E414" s="99" t="s">
        <v>157</v>
      </c>
      <c r="F414" s="102" t="s">
        <v>158</v>
      </c>
      <c r="G414" s="109">
        <v>1</v>
      </c>
      <c r="H414" s="104">
        <f>VLOOKUP($E414,'Stock statement'!$D$2:$P$384,13,)</f>
        <v>828.81974703846117</v>
      </c>
      <c r="I414" s="121">
        <v>2.5000000000000001E-2</v>
      </c>
      <c r="J414" s="116">
        <v>1.0249999999999999</v>
      </c>
      <c r="K414" s="106">
        <f t="shared" si="37"/>
        <v>870.77874673228314</v>
      </c>
      <c r="L414" s="98"/>
      <c r="M414" s="110">
        <f t="shared" si="36"/>
        <v>7.3145414725511788</v>
      </c>
    </row>
    <row r="415" spans="1:13" s="107" customFormat="1" ht="15" customHeight="1">
      <c r="A415" s="100" t="str">
        <f>VLOOKUP(C415,Abstract!$E$4:$M$62,9,0)</f>
        <v>No Sales</v>
      </c>
      <c r="B415" s="95" t="s">
        <v>138</v>
      </c>
      <c r="C415" s="117" t="s">
        <v>40</v>
      </c>
      <c r="D415" s="100" t="s">
        <v>41</v>
      </c>
      <c r="E415" s="157">
        <v>115150</v>
      </c>
      <c r="F415" s="36" t="s">
        <v>159</v>
      </c>
      <c r="G415" s="109">
        <v>1</v>
      </c>
      <c r="H415" s="104">
        <f>VLOOKUP($E415,'Stock statement'!$D$2:$P$384,13,)</f>
        <v>456.30699446392703</v>
      </c>
      <c r="I415" s="121">
        <v>2.5000000000000001E-2</v>
      </c>
      <c r="J415" s="116">
        <v>1.0249999999999999</v>
      </c>
      <c r="K415" s="106">
        <f t="shared" si="37"/>
        <v>479.40753605866325</v>
      </c>
      <c r="L415" s="98"/>
      <c r="M415" s="110">
        <f t="shared" si="36"/>
        <v>4.027023302892772</v>
      </c>
    </row>
    <row r="416" spans="1:13" s="107" customFormat="1" ht="15" customHeight="1">
      <c r="A416" s="100" t="str">
        <f>VLOOKUP(C416,Abstract!$E$4:$M$62,9,0)</f>
        <v>No Sales</v>
      </c>
      <c r="B416" s="95" t="s">
        <v>138</v>
      </c>
      <c r="C416" s="117" t="s">
        <v>40</v>
      </c>
      <c r="D416" s="100" t="s">
        <v>41</v>
      </c>
      <c r="E416" s="99" t="s">
        <v>160</v>
      </c>
      <c r="F416" s="108" t="s">
        <v>161</v>
      </c>
      <c r="G416" s="109">
        <v>0.5</v>
      </c>
      <c r="H416" s="104">
        <f>VLOOKUP($E416,'Stock statement'!$D$2:$P$384,13,)</f>
        <v>3313.2387673094586</v>
      </c>
      <c r="I416" s="121">
        <v>2.5000000000000001E-2</v>
      </c>
      <c r="J416" s="116">
        <v>1.0249999999999999</v>
      </c>
      <c r="K416" s="106">
        <f t="shared" si="37"/>
        <v>1740.4857399522498</v>
      </c>
      <c r="L416" s="98"/>
      <c r="M416" s="110">
        <f t="shared" si="36"/>
        <v>14.6200802155989</v>
      </c>
    </row>
    <row r="417" spans="1:13" s="107" customFormat="1" ht="15" customHeight="1">
      <c r="A417" s="100" t="str">
        <f>VLOOKUP(C417,Abstract!$E$4:$M$62,9,0)</f>
        <v>No Sales</v>
      </c>
      <c r="B417" s="95" t="s">
        <v>138</v>
      </c>
      <c r="C417" s="117" t="s">
        <v>40</v>
      </c>
      <c r="D417" s="100" t="s">
        <v>41</v>
      </c>
      <c r="E417" s="99" t="s">
        <v>145</v>
      </c>
      <c r="F417" s="102" t="s">
        <v>146</v>
      </c>
      <c r="G417" s="109">
        <v>10</v>
      </c>
      <c r="H417" s="104">
        <f>VLOOKUP($E417,'Stock statement'!$D$2:$P$384,13,)</f>
        <v>151.08681180977209</v>
      </c>
      <c r="I417" s="121">
        <v>2.5000000000000001E-2</v>
      </c>
      <c r="J417" s="116">
        <v>1.0249999999999999</v>
      </c>
      <c r="K417" s="106">
        <f t="shared" si="37"/>
        <v>1587.3558165764177</v>
      </c>
      <c r="L417" s="98"/>
      <c r="M417" s="110">
        <f t="shared" si="36"/>
        <v>13.33378885924191</v>
      </c>
    </row>
    <row r="418" spans="1:13" s="107" customFormat="1" ht="15" customHeight="1">
      <c r="A418" s="100" t="str">
        <f>VLOOKUP(C418,Abstract!$E$4:$M$62,9,0)</f>
        <v>No Sales</v>
      </c>
      <c r="B418" s="95" t="s">
        <v>138</v>
      </c>
      <c r="C418" s="117" t="s">
        <v>40</v>
      </c>
      <c r="D418" s="100" t="s">
        <v>41</v>
      </c>
      <c r="E418" s="99">
        <v>115071</v>
      </c>
      <c r="F418" s="99" t="s">
        <v>311</v>
      </c>
      <c r="G418" s="109">
        <v>0.5</v>
      </c>
      <c r="H418" s="104">
        <f>VLOOKUP($E418,'Stock statement'!$D$2:$P$384,13,)</f>
        <v>195.04600880394028</v>
      </c>
      <c r="I418" s="121">
        <v>2.5000000000000001E-2</v>
      </c>
      <c r="J418" s="116">
        <v>1.0249999999999999</v>
      </c>
      <c r="K418" s="106">
        <f t="shared" si="37"/>
        <v>102.46010649981986</v>
      </c>
      <c r="L418" s="98"/>
      <c r="M418" s="110">
        <f t="shared" si="36"/>
        <v>0.86066489459848694</v>
      </c>
    </row>
    <row r="419" spans="1:13" s="107" customFormat="1" ht="15" customHeight="1">
      <c r="A419" s="100" t="str">
        <f>VLOOKUP(C419,Abstract!$E$4:$M$62,9,0)</f>
        <v>No Sales</v>
      </c>
      <c r="B419" s="95" t="s">
        <v>138</v>
      </c>
      <c r="C419" s="117" t="s">
        <v>40</v>
      </c>
      <c r="D419" s="100" t="s">
        <v>41</v>
      </c>
      <c r="E419" s="99" t="s">
        <v>166</v>
      </c>
      <c r="F419" s="99" t="s">
        <v>167</v>
      </c>
      <c r="G419" s="109">
        <v>2.5</v>
      </c>
      <c r="H419" s="104">
        <f>VLOOKUP($E419,'Stock statement'!$D$2:$P$384,13,)</f>
        <v>127.15913438761541</v>
      </c>
      <c r="I419" s="121">
        <v>2.5000000000000001E-2</v>
      </c>
      <c r="J419" s="116">
        <v>1.0249999999999999</v>
      </c>
      <c r="K419" s="106">
        <f t="shared" si="37"/>
        <v>333.99141391497102</v>
      </c>
      <c r="L419" s="98"/>
      <c r="M419" s="110">
        <f t="shared" si="36"/>
        <v>2.805527876885757</v>
      </c>
    </row>
    <row r="420" spans="1:13" s="107" customFormat="1" ht="15" customHeight="1">
      <c r="A420" s="100" t="str">
        <f>VLOOKUP(C420,Abstract!$E$4:$M$62,9,0)</f>
        <v>No Sales</v>
      </c>
      <c r="B420" s="95" t="s">
        <v>138</v>
      </c>
      <c r="C420" s="117" t="s">
        <v>40</v>
      </c>
      <c r="D420" s="100" t="s">
        <v>41</v>
      </c>
      <c r="E420" s="99" t="s">
        <v>209</v>
      </c>
      <c r="F420" s="99" t="s">
        <v>210</v>
      </c>
      <c r="G420" s="109">
        <v>30</v>
      </c>
      <c r="H420" s="104">
        <f>VLOOKUP($E420,'Stock statement'!$D$2:$P$384,13,)</f>
        <v>220.67282625366343</v>
      </c>
      <c r="I420" s="121">
        <v>2.5000000000000001E-2</v>
      </c>
      <c r="J420" s="116">
        <v>1.0249999999999999</v>
      </c>
      <c r="K420" s="106">
        <f t="shared" si="37"/>
        <v>6955.3316424826526</v>
      </c>
      <c r="L420" s="98"/>
      <c r="M420" s="110">
        <f t="shared" si="36"/>
        <v>58.424785796854287</v>
      </c>
    </row>
    <row r="421" spans="1:13" s="107" customFormat="1" ht="15" customHeight="1">
      <c r="A421" s="100" t="str">
        <f>VLOOKUP(C421,Abstract!$E$4:$M$62,9,0)</f>
        <v>No Sales</v>
      </c>
      <c r="B421" s="95" t="s">
        <v>138</v>
      </c>
      <c r="C421" s="117" t="s">
        <v>40</v>
      </c>
      <c r="D421" s="100" t="s">
        <v>41</v>
      </c>
      <c r="E421" s="99" t="s">
        <v>261</v>
      </c>
      <c r="F421" s="95" t="s">
        <v>262</v>
      </c>
      <c r="G421" s="109">
        <v>2.5</v>
      </c>
      <c r="H421" s="104">
        <f>VLOOKUP($E421,'Stock statement'!$D$2:$P$384,13,)</f>
        <v>0</v>
      </c>
      <c r="I421" s="121">
        <v>2.5000000000000001E-2</v>
      </c>
      <c r="J421" s="116">
        <v>1.0249999999999999</v>
      </c>
      <c r="K421" s="106">
        <f t="shared" si="37"/>
        <v>0</v>
      </c>
      <c r="L421" s="98"/>
      <c r="M421" s="110">
        <f t="shared" si="36"/>
        <v>0</v>
      </c>
    </row>
    <row r="422" spans="1:13" s="107" customFormat="1" ht="15" customHeight="1">
      <c r="A422" s="100" t="str">
        <f>VLOOKUP(C422,Abstract!$E$4:$M$62,9,0)</f>
        <v>No Sales</v>
      </c>
      <c r="B422" s="95" t="s">
        <v>138</v>
      </c>
      <c r="C422" s="117" t="s">
        <v>40</v>
      </c>
      <c r="D422" s="100" t="s">
        <v>41</v>
      </c>
      <c r="E422" s="99" t="s">
        <v>259</v>
      </c>
      <c r="F422" s="99" t="s">
        <v>260</v>
      </c>
      <c r="G422" s="109">
        <v>0.03</v>
      </c>
      <c r="H422" s="104">
        <f>VLOOKUP($E422,'Stock statement'!$D$2:$P$384,13,)</f>
        <v>894.46244467712404</v>
      </c>
      <c r="I422" s="121">
        <v>2.5000000000000001E-2</v>
      </c>
      <c r="J422" s="116">
        <v>1.0249999999999999</v>
      </c>
      <c r="K422" s="106">
        <f t="shared" si="37"/>
        <v>28.192338178167098</v>
      </c>
      <c r="L422" s="98"/>
      <c r="M422" s="110">
        <f t="shared" si="36"/>
        <v>0.23681564069660366</v>
      </c>
    </row>
    <row r="423" spans="1:13" s="107" customFormat="1" ht="15" customHeight="1">
      <c r="A423" s="100" t="str">
        <f>VLOOKUP(C423,Abstract!$E$4:$M$62,9,0)</f>
        <v>No Sales</v>
      </c>
      <c r="B423" s="95" t="s">
        <v>138</v>
      </c>
      <c r="C423" s="117" t="s">
        <v>40</v>
      </c>
      <c r="D423" s="100" t="s">
        <v>41</v>
      </c>
      <c r="E423" s="99" t="s">
        <v>217</v>
      </c>
      <c r="F423" s="99" t="s">
        <v>218</v>
      </c>
      <c r="G423" s="109">
        <v>0.1</v>
      </c>
      <c r="H423" s="104">
        <f>VLOOKUP($E423,'Stock statement'!$D$2:$P$384,13,)</f>
        <v>910.5767983004796</v>
      </c>
      <c r="I423" s="121">
        <v>2.5000000000000001E-2</v>
      </c>
      <c r="J423" s="116">
        <v>1.0249999999999999</v>
      </c>
      <c r="K423" s="106">
        <f t="shared" si="37"/>
        <v>95.667474871444114</v>
      </c>
      <c r="L423" s="98"/>
      <c r="M423" s="110">
        <f t="shared" si="36"/>
        <v>0.8036067889201306</v>
      </c>
    </row>
    <row r="424" spans="1:13" s="107" customFormat="1" ht="15" customHeight="1">
      <c r="A424" s="100" t="str">
        <f>VLOOKUP(C424,Abstract!$E$4:$M$62,9,0)</f>
        <v>No Sales</v>
      </c>
      <c r="B424" s="95" t="s">
        <v>138</v>
      </c>
      <c r="C424" s="117" t="s">
        <v>40</v>
      </c>
      <c r="D424" s="100" t="s">
        <v>41</v>
      </c>
      <c r="E424" s="99" t="s">
        <v>312</v>
      </c>
      <c r="F424" s="99" t="s">
        <v>313</v>
      </c>
      <c r="G424" s="109">
        <v>6</v>
      </c>
      <c r="H424" s="104">
        <f>VLOOKUP($E424,'Stock statement'!$D$2:$P$384,13,)</f>
        <v>1093.6077250082903</v>
      </c>
      <c r="I424" s="121">
        <v>2.5000000000000001E-2</v>
      </c>
      <c r="J424" s="116">
        <v>1.0249999999999999</v>
      </c>
      <c r="K424" s="106">
        <f t="shared" si="37"/>
        <v>6893.8296965210084</v>
      </c>
      <c r="L424" s="98"/>
      <c r="M424" s="110">
        <f t="shared" si="36"/>
        <v>57.908169450776477</v>
      </c>
    </row>
    <row r="425" spans="1:13" s="107" customFormat="1" ht="15" customHeight="1">
      <c r="A425" s="100" t="str">
        <f>VLOOKUP(C425,Abstract!$E$4:$M$62,9,0)</f>
        <v>No Sales</v>
      </c>
      <c r="B425" s="95" t="s">
        <v>138</v>
      </c>
      <c r="C425" s="117" t="s">
        <v>40</v>
      </c>
      <c r="D425" s="100" t="s">
        <v>41</v>
      </c>
      <c r="E425" s="99" t="s">
        <v>181</v>
      </c>
      <c r="F425" s="102" t="s">
        <v>182</v>
      </c>
      <c r="G425" s="109">
        <v>12.5</v>
      </c>
      <c r="H425" s="104">
        <f>VLOOKUP($E425,'Stock statement'!$D$2:$P$384,13,)</f>
        <v>17.110276913020375</v>
      </c>
      <c r="I425" s="121">
        <v>2.5000000000000001E-2</v>
      </c>
      <c r="J425" s="116">
        <v>1.0249999999999999</v>
      </c>
      <c r="K425" s="106">
        <f t="shared" si="37"/>
        <v>224.70605852177536</v>
      </c>
      <c r="L425" s="98"/>
      <c r="M425" s="110">
        <f t="shared" si="36"/>
        <v>1.8875308915829132</v>
      </c>
    </row>
    <row r="426" spans="1:13" s="107" customFormat="1" ht="15" customHeight="1">
      <c r="A426" s="100" t="str">
        <f>VLOOKUP(C426,Abstract!$E$4:$M$62,9,0)</f>
        <v>No Sales</v>
      </c>
      <c r="B426" s="95" t="s">
        <v>138</v>
      </c>
      <c r="C426" s="117" t="s">
        <v>40</v>
      </c>
      <c r="D426" s="100" t="s">
        <v>41</v>
      </c>
      <c r="E426" s="99" t="s">
        <v>314</v>
      </c>
      <c r="F426" s="99" t="s">
        <v>315</v>
      </c>
      <c r="G426" s="109">
        <v>0.1</v>
      </c>
      <c r="H426" s="104">
        <f>VLOOKUP($E426,'Stock statement'!$D$2:$P$384,13,)</f>
        <v>176.70653542569758</v>
      </c>
      <c r="I426" s="121">
        <v>2.5000000000000001E-2</v>
      </c>
      <c r="J426" s="116">
        <v>1.0249999999999999</v>
      </c>
      <c r="K426" s="106">
        <f t="shared" si="37"/>
        <v>18.565230378162351</v>
      </c>
      <c r="L426" s="98"/>
      <c r="M426" s="110">
        <f t="shared" si="36"/>
        <v>0.15594793517656377</v>
      </c>
    </row>
    <row r="427" spans="1:13" s="107" customFormat="1" ht="15" customHeight="1">
      <c r="A427" s="100" t="str">
        <f>VLOOKUP(C427,Abstract!$E$4:$M$62,9,0)</f>
        <v>No Sales</v>
      </c>
      <c r="B427" s="95" t="s">
        <v>138</v>
      </c>
      <c r="C427" s="117" t="s">
        <v>40</v>
      </c>
      <c r="D427" s="100" t="s">
        <v>41</v>
      </c>
      <c r="E427" s="99" t="s">
        <v>139</v>
      </c>
      <c r="F427" s="102" t="s">
        <v>140</v>
      </c>
      <c r="G427" s="109">
        <v>736.69499999999994</v>
      </c>
      <c r="H427" s="104">
        <f>VLOOKUP($E427,'Stock statement'!$D$2:$P$384,13,)</f>
        <v>0.34</v>
      </c>
      <c r="I427" s="121">
        <v>2.5000000000000001E-2</v>
      </c>
      <c r="J427" s="116">
        <v>1.0249999999999999</v>
      </c>
      <c r="K427" s="106">
        <f t="shared" si="37"/>
        <v>263.15666268749999</v>
      </c>
      <c r="L427" s="98"/>
      <c r="M427" s="110">
        <f t="shared" si="36"/>
        <v>2.210515966575</v>
      </c>
    </row>
    <row r="428" spans="1:13" s="107" customFormat="1" ht="15" customHeight="1">
      <c r="A428" s="100" t="str">
        <f>VLOOKUP(C428,Abstract!$E$4:$M$62,9,0)</f>
        <v>No Sales</v>
      </c>
      <c r="B428" s="99" t="s">
        <v>183</v>
      </c>
      <c r="C428" s="117" t="s">
        <v>40</v>
      </c>
      <c r="D428" s="100" t="s">
        <v>41</v>
      </c>
      <c r="E428" s="99" t="s">
        <v>328</v>
      </c>
      <c r="F428" s="99" t="s">
        <v>329</v>
      </c>
      <c r="G428" s="109">
        <v>119.04761904761904</v>
      </c>
      <c r="H428" s="104">
        <f>VLOOKUP($E428,'Stock statement'!$D$2:$P$384,13,)</f>
        <v>21.923237394385549</v>
      </c>
      <c r="I428" s="112">
        <v>6.0000000000000001E-3</v>
      </c>
      <c r="J428" s="113">
        <v>1</v>
      </c>
      <c r="K428" s="106">
        <f t="shared" si="37"/>
        <v>2625.5686688990313</v>
      </c>
      <c r="L428" s="98"/>
      <c r="M428" s="110">
        <f t="shared" si="36"/>
        <v>22.054776818751865</v>
      </c>
    </row>
    <row r="429" spans="1:13" s="107" customFormat="1" ht="15" customHeight="1">
      <c r="A429" s="100" t="str">
        <f>VLOOKUP(C429,Abstract!$E$4:$M$62,9,0)</f>
        <v>No Sales</v>
      </c>
      <c r="B429" s="99" t="s">
        <v>183</v>
      </c>
      <c r="C429" s="117" t="s">
        <v>40</v>
      </c>
      <c r="D429" s="100" t="s">
        <v>41</v>
      </c>
      <c r="E429" s="99" t="s">
        <v>330</v>
      </c>
      <c r="F429" s="99" t="s">
        <v>331</v>
      </c>
      <c r="G429" s="109">
        <v>5714.2857142857101</v>
      </c>
      <c r="H429" s="104">
        <f>VLOOKUP($E429,'Stock statement'!$D$2:$P$384,13,)</f>
        <v>3.9657155537658859</v>
      </c>
      <c r="I429" s="112">
        <v>6.0000000000000001E-3</v>
      </c>
      <c r="J429" s="113">
        <v>1</v>
      </c>
      <c r="K429" s="106">
        <f t="shared" si="37"/>
        <v>22797.199126219875</v>
      </c>
      <c r="L429" s="98"/>
      <c r="M429" s="110">
        <f t="shared" si="36"/>
        <v>191.49647266024698</v>
      </c>
    </row>
    <row r="430" spans="1:13" s="107" customFormat="1" ht="15" customHeight="1">
      <c r="A430" s="100" t="str">
        <f>VLOOKUP(C430,Abstract!$E$4:$M$62,9,0)</f>
        <v>No Sales</v>
      </c>
      <c r="B430" s="99" t="s">
        <v>183</v>
      </c>
      <c r="C430" s="117" t="s">
        <v>40</v>
      </c>
      <c r="D430" s="100" t="s">
        <v>41</v>
      </c>
      <c r="E430" s="157">
        <v>211679</v>
      </c>
      <c r="F430" s="99" t="s">
        <v>323</v>
      </c>
      <c r="G430" s="109">
        <v>5714.2857142857138</v>
      </c>
      <c r="H430" s="104">
        <f>VLOOKUP($E430,'Stock statement'!$D$2:$P$384,13,)</f>
        <v>3.0514953713819963</v>
      </c>
      <c r="I430" s="112">
        <v>6.0000000000000001E-3</v>
      </c>
      <c r="J430" s="113">
        <v>1</v>
      </c>
      <c r="K430" s="106">
        <f t="shared" si="37"/>
        <v>17541.739106344503</v>
      </c>
      <c r="L430" s="98"/>
      <c r="M430" s="110">
        <f t="shared" si="36"/>
        <v>147.35060849329383</v>
      </c>
    </row>
    <row r="431" spans="1:13" s="107" customFormat="1" ht="15" customHeight="1">
      <c r="A431" s="100" t="str">
        <f>VLOOKUP(C431,Abstract!$E$4:$M$62,9,0)</f>
        <v>No Sales</v>
      </c>
      <c r="B431" s="99" t="s">
        <v>183</v>
      </c>
      <c r="C431" s="117" t="s">
        <v>40</v>
      </c>
      <c r="D431" s="100" t="s">
        <v>41</v>
      </c>
      <c r="E431" s="99" t="s">
        <v>332</v>
      </c>
      <c r="F431" s="99" t="s">
        <v>333</v>
      </c>
      <c r="G431" s="109">
        <v>5714.2857142857101</v>
      </c>
      <c r="H431" s="104">
        <f>VLOOKUP($E431,'Stock statement'!$D$2:$P$384,13,)</f>
        <v>1.6852</v>
      </c>
      <c r="I431" s="105">
        <v>0.02</v>
      </c>
      <c r="J431" s="113">
        <v>1</v>
      </c>
      <c r="K431" s="106">
        <f t="shared" si="37"/>
        <v>9822.3085714285644</v>
      </c>
      <c r="L431" s="98"/>
      <c r="M431" s="110">
        <f t="shared" si="36"/>
        <v>82.507391999999953</v>
      </c>
    </row>
    <row r="432" spans="1:13" s="107" customFormat="1" ht="15" customHeight="1">
      <c r="A432" s="100" t="str">
        <f>VLOOKUP(C432,Abstract!$E$4:$M$62,9,0)</f>
        <v>No Sales</v>
      </c>
      <c r="B432" s="99" t="s">
        <v>183</v>
      </c>
      <c r="C432" s="117" t="s">
        <v>40</v>
      </c>
      <c r="D432" s="100" t="s">
        <v>41</v>
      </c>
      <c r="E432" s="99" t="s">
        <v>334</v>
      </c>
      <c r="F432" s="99" t="s">
        <v>335</v>
      </c>
      <c r="G432" s="109">
        <v>5714.2857142857138</v>
      </c>
      <c r="H432" s="104">
        <f>VLOOKUP($E432,'Stock statement'!$D$2:$P$384,13,)</f>
        <v>1.6852</v>
      </c>
      <c r="I432" s="105">
        <v>0.02</v>
      </c>
      <c r="J432" s="113">
        <v>1</v>
      </c>
      <c r="K432" s="106">
        <f t="shared" si="37"/>
        <v>9822.3085714285698</v>
      </c>
      <c r="L432" s="98"/>
      <c r="M432" s="110">
        <f t="shared" si="36"/>
        <v>82.507391999999996</v>
      </c>
    </row>
    <row r="433" spans="1:13" s="107" customFormat="1" ht="15" customHeight="1">
      <c r="A433" s="100" t="str">
        <f>VLOOKUP(C433,Abstract!$E$4:$M$62,9,0)</f>
        <v>No Sales</v>
      </c>
      <c r="B433" s="99" t="s">
        <v>183</v>
      </c>
      <c r="C433" s="117" t="s">
        <v>40</v>
      </c>
      <c r="D433" s="100" t="s">
        <v>41</v>
      </c>
      <c r="E433" s="99" t="s">
        <v>191</v>
      </c>
      <c r="F433" s="95" t="s">
        <v>192</v>
      </c>
      <c r="G433" s="109">
        <v>2.9761904761904763</v>
      </c>
      <c r="H433" s="104">
        <f>VLOOKUP($E433,'Stock statement'!$D$2:$P$384,13,)</f>
        <v>44.985440769279101</v>
      </c>
      <c r="I433" s="112">
        <v>0.02</v>
      </c>
      <c r="J433" s="113">
        <v>1</v>
      </c>
      <c r="K433" s="106">
        <f t="shared" si="37"/>
        <v>136.56294519245444</v>
      </c>
      <c r="L433" s="98"/>
      <c r="M433" s="110">
        <f t="shared" si="36"/>
        <v>1.1471287396166174</v>
      </c>
    </row>
    <row r="434" spans="1:13" s="107" customFormat="1" ht="15" customHeight="1">
      <c r="A434" s="100" t="str">
        <f>VLOOKUP(C434,Abstract!$E$4:$M$62,9,0)</f>
        <v>No Sales</v>
      </c>
      <c r="B434" s="99" t="s">
        <v>183</v>
      </c>
      <c r="C434" s="117" t="s">
        <v>40</v>
      </c>
      <c r="D434" s="100" t="s">
        <v>41</v>
      </c>
      <c r="E434" s="99" t="s">
        <v>275</v>
      </c>
      <c r="F434" s="99" t="s">
        <v>207</v>
      </c>
      <c r="G434" s="109">
        <v>952.38095238095229</v>
      </c>
      <c r="H434" s="104">
        <f>VLOOKUP($E434,'Stock statement'!$D$2:$P$384,13,)</f>
        <v>4.2025763620200998</v>
      </c>
      <c r="I434" s="112">
        <v>0.01</v>
      </c>
      <c r="J434" s="113">
        <v>1</v>
      </c>
      <c r="K434" s="106">
        <f t="shared" si="37"/>
        <v>4042.4782148955242</v>
      </c>
      <c r="L434" s="98"/>
      <c r="M434" s="110">
        <f t="shared" si="36"/>
        <v>33.956817005122403</v>
      </c>
    </row>
    <row r="435" spans="1:13" s="107" customFormat="1" ht="15" customHeight="1">
      <c r="A435" s="100" t="str">
        <f>VLOOKUP(C435,Abstract!$E$4:$M$62,9,0)</f>
        <v>No Sales</v>
      </c>
      <c r="B435" s="95" t="s">
        <v>194</v>
      </c>
      <c r="C435" s="117" t="s">
        <v>40</v>
      </c>
      <c r="D435" s="100" t="s">
        <v>41</v>
      </c>
      <c r="E435" s="99" t="s">
        <v>195</v>
      </c>
      <c r="F435" s="99"/>
      <c r="G435" s="109">
        <f>G429</f>
        <v>5714.2857142857101</v>
      </c>
      <c r="H435" s="104">
        <v>0.04</v>
      </c>
      <c r="I435" s="100"/>
      <c r="J435" s="113">
        <v>1</v>
      </c>
      <c r="K435" s="106">
        <f t="shared" si="37"/>
        <v>228.57142857142841</v>
      </c>
      <c r="L435" s="98"/>
      <c r="M435" s="110">
        <f t="shared" si="36"/>
        <v>1.9199999999999988</v>
      </c>
    </row>
    <row r="436" spans="1:13" s="107" customFormat="1" ht="15" customHeight="1">
      <c r="A436" s="100" t="str">
        <f>VLOOKUP(C436,Abstract!$E$4:$M$62,9,0)</f>
        <v>No Sales</v>
      </c>
      <c r="B436" s="95" t="s">
        <v>194</v>
      </c>
      <c r="C436" s="117" t="s">
        <v>40</v>
      </c>
      <c r="D436" s="100" t="s">
        <v>41</v>
      </c>
      <c r="E436" s="99" t="s">
        <v>196</v>
      </c>
      <c r="F436" s="99"/>
      <c r="G436" s="109">
        <f>G435*24</f>
        <v>137142.85714285704</v>
      </c>
      <c r="H436" s="114">
        <v>1.6999999999999999E-3</v>
      </c>
      <c r="I436" s="100"/>
      <c r="J436" s="113">
        <v>1</v>
      </c>
      <c r="K436" s="106">
        <f t="shared" ref="K436" si="38">+G436*H436*(1+I436)*J436</f>
        <v>233.14285714285697</v>
      </c>
      <c r="L436" s="98"/>
      <c r="M436" s="110">
        <f t="shared" si="36"/>
        <v>1.9583999999999988</v>
      </c>
    </row>
    <row r="437" spans="1:13" s="107" customFormat="1" ht="15" customHeight="1">
      <c r="A437" s="100" t="str">
        <f>VLOOKUP(C437,Abstract!$E$4:$M$62,9,0)</f>
        <v>No Sales</v>
      </c>
      <c r="B437" s="99" t="s">
        <v>197</v>
      </c>
      <c r="C437" s="117" t="s">
        <v>40</v>
      </c>
      <c r="D437" s="100" t="s">
        <v>41</v>
      </c>
      <c r="E437" s="99" t="s">
        <v>198</v>
      </c>
      <c r="F437" s="99"/>
      <c r="G437" s="109"/>
      <c r="H437" s="104"/>
      <c r="I437" s="100"/>
      <c r="J437" s="113"/>
      <c r="K437" s="106">
        <v>9000</v>
      </c>
      <c r="L437" s="98">
        <f>SUM(K406:K437)</f>
        <v>117206.17526014491</v>
      </c>
      <c r="M437" s="110">
        <f t="shared" si="36"/>
        <v>75.600000000000009</v>
      </c>
    </row>
    <row r="438" spans="1:13" s="107" customFormat="1" ht="15" customHeight="1">
      <c r="A438" s="100" t="str">
        <f>VLOOKUP(C438,Abstract!$E$4:$M$62,9,0)</f>
        <v>ACTIVE</v>
      </c>
      <c r="B438" s="95" t="s">
        <v>138</v>
      </c>
      <c r="C438" s="100" t="s">
        <v>42</v>
      </c>
      <c r="D438" s="122" t="s">
        <v>43</v>
      </c>
      <c r="E438" s="99" t="s">
        <v>139</v>
      </c>
      <c r="F438" s="102" t="s">
        <v>140</v>
      </c>
      <c r="G438" s="109">
        <v>733.76499999999987</v>
      </c>
      <c r="H438" s="104">
        <f>VLOOKUP($E438,'Stock statement'!$D$2:$P$384,13,)</f>
        <v>0.34</v>
      </c>
      <c r="I438" s="121">
        <v>2.5000000000000001E-2</v>
      </c>
      <c r="J438" s="116">
        <v>1.0249999999999999</v>
      </c>
      <c r="K438" s="106">
        <f t="shared" si="37"/>
        <v>262.1100300624999</v>
      </c>
      <c r="L438" s="98"/>
      <c r="M438" s="110">
        <f>K438/$G$461</f>
        <v>3.019507546319999</v>
      </c>
    </row>
    <row r="439" spans="1:13" s="107" customFormat="1" ht="15" customHeight="1">
      <c r="A439" s="100" t="str">
        <f>VLOOKUP(C439,Abstract!$E$4:$M$62,9,0)</f>
        <v>ACTIVE</v>
      </c>
      <c r="B439" s="95" t="s">
        <v>138</v>
      </c>
      <c r="C439" s="100" t="s">
        <v>42</v>
      </c>
      <c r="D439" s="122" t="s">
        <v>43</v>
      </c>
      <c r="E439" s="99" t="s">
        <v>141</v>
      </c>
      <c r="F439" s="108" t="s">
        <v>142</v>
      </c>
      <c r="G439" s="109">
        <v>185.7</v>
      </c>
      <c r="H439" s="104">
        <f>VLOOKUP($E439,'Stock statement'!$D$2:$P$384,13,)</f>
        <v>94.278330452007026</v>
      </c>
      <c r="I439" s="121">
        <v>2.5000000000000001E-2</v>
      </c>
      <c r="J439" s="116">
        <v>1.0249999999999999</v>
      </c>
      <c r="K439" s="106">
        <f t="shared" si="37"/>
        <v>18393.80244191267</v>
      </c>
      <c r="L439" s="98"/>
      <c r="M439" s="110">
        <f t="shared" ref="M439:M463" si="39">K439/$G$461</f>
        <v>211.89660413083396</v>
      </c>
    </row>
    <row r="440" spans="1:13" s="107" customFormat="1" ht="15" customHeight="1">
      <c r="A440" s="100" t="str">
        <f>VLOOKUP(C440,Abstract!$E$4:$M$62,9,0)</f>
        <v>ACTIVE</v>
      </c>
      <c r="B440" s="95" t="s">
        <v>138</v>
      </c>
      <c r="C440" s="100" t="s">
        <v>42</v>
      </c>
      <c r="D440" s="122" t="s">
        <v>43</v>
      </c>
      <c r="E440" s="99" t="s">
        <v>145</v>
      </c>
      <c r="F440" s="102" t="s">
        <v>146</v>
      </c>
      <c r="G440" s="109">
        <v>10</v>
      </c>
      <c r="H440" s="104">
        <f>VLOOKUP($E440,'Stock statement'!$D$2:$P$384,13,)</f>
        <v>151.08681180977209</v>
      </c>
      <c r="I440" s="121">
        <v>2.5000000000000001E-2</v>
      </c>
      <c r="J440" s="116">
        <v>1.0249999999999999</v>
      </c>
      <c r="K440" s="106">
        <f t="shared" si="37"/>
        <v>1587.3558165764177</v>
      </c>
      <c r="L440" s="98"/>
      <c r="M440" s="110">
        <f t="shared" si="39"/>
        <v>18.286339006960333</v>
      </c>
    </row>
    <row r="441" spans="1:13" s="107" customFormat="1" ht="15" customHeight="1">
      <c r="A441" s="100" t="str">
        <f>VLOOKUP(C441,Abstract!$E$4:$M$62,9,0)</f>
        <v>ACTIVE</v>
      </c>
      <c r="B441" s="95" t="s">
        <v>138</v>
      </c>
      <c r="C441" s="100" t="s">
        <v>42</v>
      </c>
      <c r="D441" s="122" t="s">
        <v>43</v>
      </c>
      <c r="E441" s="99" t="s">
        <v>149</v>
      </c>
      <c r="F441" s="99" t="s">
        <v>150</v>
      </c>
      <c r="G441" s="109">
        <v>0.125</v>
      </c>
      <c r="H441" s="104">
        <f>VLOOKUP($E441,'Stock statement'!$D$2:$P$384,13,)</f>
        <v>161.56941474217822</v>
      </c>
      <c r="I441" s="121">
        <v>2.5000000000000001E-2</v>
      </c>
      <c r="J441" s="116">
        <v>1.0249999999999999</v>
      </c>
      <c r="K441" s="106">
        <f t="shared" si="37"/>
        <v>21.218608295437623</v>
      </c>
      <c r="L441" s="98"/>
      <c r="M441" s="110">
        <f t="shared" si="39"/>
        <v>0.24443836756344139</v>
      </c>
    </row>
    <row r="442" spans="1:13" s="107" customFormat="1" ht="15" customHeight="1">
      <c r="A442" s="100" t="str">
        <f>VLOOKUP(C442,Abstract!$E$4:$M$62,9,0)</f>
        <v>ACTIVE</v>
      </c>
      <c r="B442" s="95" t="s">
        <v>138</v>
      </c>
      <c r="C442" s="100" t="s">
        <v>42</v>
      </c>
      <c r="D442" s="122" t="s">
        <v>43</v>
      </c>
      <c r="E442" s="99" t="s">
        <v>151</v>
      </c>
      <c r="F442" s="99" t="s">
        <v>310</v>
      </c>
      <c r="G442" s="109">
        <v>2.5</v>
      </c>
      <c r="H442" s="104">
        <f>VLOOKUP($E442,'Stock statement'!$D$2:$P$384,13,)</f>
        <v>762.38931335604309</v>
      </c>
      <c r="I442" s="121">
        <v>2.5000000000000001E-2</v>
      </c>
      <c r="J442" s="116">
        <v>1.0249999999999999</v>
      </c>
      <c r="K442" s="106">
        <f t="shared" si="37"/>
        <v>2002.4631808617316</v>
      </c>
      <c r="L442" s="98"/>
      <c r="M442" s="110">
        <f t="shared" si="39"/>
        <v>23.068375843527146</v>
      </c>
    </row>
    <row r="443" spans="1:13" s="107" customFormat="1" ht="15" customHeight="1">
      <c r="A443" s="100" t="str">
        <f>VLOOKUP(C443,Abstract!$E$4:$M$62,9,0)</f>
        <v>ACTIVE</v>
      </c>
      <c r="B443" s="95" t="s">
        <v>138</v>
      </c>
      <c r="C443" s="100" t="s">
        <v>42</v>
      </c>
      <c r="D443" s="122" t="s">
        <v>43</v>
      </c>
      <c r="E443" s="99" t="s">
        <v>157</v>
      </c>
      <c r="F443" s="102" t="s">
        <v>158</v>
      </c>
      <c r="G443" s="109">
        <v>1</v>
      </c>
      <c r="H443" s="104">
        <f>VLOOKUP($E443,'Stock statement'!$D$2:$P$384,13,)</f>
        <v>828.81974703846117</v>
      </c>
      <c r="I443" s="121">
        <v>2.5000000000000001E-2</v>
      </c>
      <c r="J443" s="116">
        <v>1.0249999999999999</v>
      </c>
      <c r="K443" s="106">
        <f t="shared" si="37"/>
        <v>870.77874673228314</v>
      </c>
      <c r="L443" s="98"/>
      <c r="M443" s="110">
        <f t="shared" si="39"/>
        <v>10.031371162355901</v>
      </c>
    </row>
    <row r="444" spans="1:13" s="107" customFormat="1" ht="15" customHeight="1">
      <c r="A444" s="100" t="str">
        <f>VLOOKUP(C444,Abstract!$E$4:$M$62,9,0)</f>
        <v>ACTIVE</v>
      </c>
      <c r="B444" s="95" t="s">
        <v>138</v>
      </c>
      <c r="C444" s="100" t="s">
        <v>42</v>
      </c>
      <c r="D444" s="122" t="s">
        <v>43</v>
      </c>
      <c r="E444" s="157">
        <v>115150</v>
      </c>
      <c r="F444" s="36" t="s">
        <v>159</v>
      </c>
      <c r="G444" s="109">
        <v>1</v>
      </c>
      <c r="H444" s="104">
        <f>VLOOKUP($E444,'Stock statement'!$D$2:$P$384,13,)</f>
        <v>456.30699446392703</v>
      </c>
      <c r="I444" s="121">
        <v>2.5000000000000001E-2</v>
      </c>
      <c r="J444" s="116">
        <v>1.0249999999999999</v>
      </c>
      <c r="K444" s="106">
        <f t="shared" ref="K444" si="40">+G444*H444*(1+I444)*J444</f>
        <v>479.40753605866325</v>
      </c>
      <c r="L444" s="98"/>
      <c r="M444" s="110">
        <f t="shared" si="39"/>
        <v>5.5227748153958007</v>
      </c>
    </row>
    <row r="445" spans="1:13" s="107" customFormat="1" ht="15" customHeight="1">
      <c r="A445" s="100" t="str">
        <f>VLOOKUP(C445,Abstract!$E$4:$M$62,9,0)</f>
        <v>ACTIVE</v>
      </c>
      <c r="B445" s="95" t="s">
        <v>138</v>
      </c>
      <c r="C445" s="100" t="s">
        <v>42</v>
      </c>
      <c r="D445" s="122" t="s">
        <v>43</v>
      </c>
      <c r="E445" s="99" t="s">
        <v>160</v>
      </c>
      <c r="F445" s="108" t="s">
        <v>161</v>
      </c>
      <c r="G445" s="109">
        <v>0.25</v>
      </c>
      <c r="H445" s="104">
        <f>VLOOKUP($E445,'Stock statement'!$D$2:$P$384,13,)</f>
        <v>3313.2387673094586</v>
      </c>
      <c r="I445" s="121">
        <v>2.5000000000000001E-2</v>
      </c>
      <c r="J445" s="116">
        <v>1.0249999999999999</v>
      </c>
      <c r="K445" s="106">
        <f t="shared" si="37"/>
        <v>870.24286997612489</v>
      </c>
      <c r="L445" s="98"/>
      <c r="M445" s="110">
        <f t="shared" si="39"/>
        <v>10.025197862124958</v>
      </c>
    </row>
    <row r="446" spans="1:13" s="107" customFormat="1" ht="15" customHeight="1">
      <c r="A446" s="100" t="str">
        <f>VLOOKUP(C446,Abstract!$E$4:$M$62,9,0)</f>
        <v>ACTIVE</v>
      </c>
      <c r="B446" s="95" t="s">
        <v>138</v>
      </c>
      <c r="C446" s="100" t="s">
        <v>42</v>
      </c>
      <c r="D446" s="122" t="s">
        <v>43</v>
      </c>
      <c r="E446" s="99" t="s">
        <v>143</v>
      </c>
      <c r="F446" s="108" t="s">
        <v>144</v>
      </c>
      <c r="G446" s="109">
        <v>5</v>
      </c>
      <c r="H446" s="104">
        <f>VLOOKUP($E446,'Stock statement'!$D$2:$P$384,13,)</f>
        <v>178.57970547017939</v>
      </c>
      <c r="I446" s="121">
        <v>2.5000000000000001E-2</v>
      </c>
      <c r="J446" s="116">
        <v>1.0249999999999999</v>
      </c>
      <c r="K446" s="106">
        <f t="shared" si="37"/>
        <v>938.10151529803602</v>
      </c>
      <c r="L446" s="98"/>
      <c r="M446" s="110">
        <f t="shared" si="39"/>
        <v>10.806929456233375</v>
      </c>
    </row>
    <row r="447" spans="1:13" s="107" customFormat="1" ht="15" customHeight="1">
      <c r="A447" s="100" t="str">
        <f>VLOOKUP(C447,Abstract!$E$4:$M$62,9,0)</f>
        <v>ACTIVE</v>
      </c>
      <c r="B447" s="95" t="s">
        <v>138</v>
      </c>
      <c r="C447" s="100" t="s">
        <v>42</v>
      </c>
      <c r="D447" s="122" t="s">
        <v>43</v>
      </c>
      <c r="E447" s="99" t="s">
        <v>166</v>
      </c>
      <c r="F447" s="99" t="s">
        <v>167</v>
      </c>
      <c r="G447" s="109">
        <v>2.5</v>
      </c>
      <c r="H447" s="104">
        <f>VLOOKUP($E447,'Stock statement'!$D$2:$P$384,13,)</f>
        <v>127.15913438761541</v>
      </c>
      <c r="I447" s="121">
        <v>2.5000000000000001E-2</v>
      </c>
      <c r="J447" s="116">
        <v>1.0249999999999999</v>
      </c>
      <c r="K447" s="106">
        <f t="shared" si="37"/>
        <v>333.99141391497102</v>
      </c>
      <c r="L447" s="98"/>
      <c r="M447" s="110">
        <f t="shared" si="39"/>
        <v>3.847581088300466</v>
      </c>
    </row>
    <row r="448" spans="1:13" s="107" customFormat="1" ht="15" customHeight="1">
      <c r="A448" s="100" t="str">
        <f>VLOOKUP(C448,Abstract!$E$4:$M$62,9,0)</f>
        <v>ACTIVE</v>
      </c>
      <c r="B448" s="95" t="s">
        <v>138</v>
      </c>
      <c r="C448" s="100" t="s">
        <v>42</v>
      </c>
      <c r="D448" s="122" t="s">
        <v>43</v>
      </c>
      <c r="E448" s="99" t="s">
        <v>209</v>
      </c>
      <c r="F448" s="99" t="s">
        <v>210</v>
      </c>
      <c r="G448" s="109">
        <v>20</v>
      </c>
      <c r="H448" s="104">
        <f>VLOOKUP($E448,'Stock statement'!$D$2:$P$384,13,)</f>
        <v>220.67282625366343</v>
      </c>
      <c r="I448" s="121">
        <v>2.5000000000000001E-2</v>
      </c>
      <c r="J448" s="116">
        <v>1.0249999999999999</v>
      </c>
      <c r="K448" s="106">
        <f t="shared" si="37"/>
        <v>4636.8877616551026</v>
      </c>
      <c r="L448" s="98"/>
      <c r="M448" s="110">
        <f t="shared" si="39"/>
        <v>53.416947014266782</v>
      </c>
    </row>
    <row r="449" spans="1:13" s="107" customFormat="1" ht="15" customHeight="1">
      <c r="A449" s="100" t="str">
        <f>VLOOKUP(C449,Abstract!$E$4:$M$62,9,0)</f>
        <v>ACTIVE</v>
      </c>
      <c r="B449" s="95" t="s">
        <v>138</v>
      </c>
      <c r="C449" s="100" t="s">
        <v>42</v>
      </c>
      <c r="D449" s="122" t="s">
        <v>43</v>
      </c>
      <c r="E449" s="99" t="s">
        <v>153</v>
      </c>
      <c r="F449" s="99" t="s">
        <v>154</v>
      </c>
      <c r="G449" s="109">
        <v>0.75</v>
      </c>
      <c r="H449" s="104">
        <f>VLOOKUP($E449,'Stock statement'!$D$2:$P$384,13,)</f>
        <v>84.206363687840948</v>
      </c>
      <c r="I449" s="121">
        <v>2.5000000000000001E-2</v>
      </c>
      <c r="J449" s="116">
        <v>1.0249999999999999</v>
      </c>
      <c r="K449" s="106">
        <f t="shared" si="37"/>
        <v>66.351983137153411</v>
      </c>
      <c r="L449" s="98"/>
      <c r="M449" s="110">
        <f t="shared" si="39"/>
        <v>0.76437484574000725</v>
      </c>
    </row>
    <row r="450" spans="1:13" s="107" customFormat="1" ht="15" customHeight="1">
      <c r="A450" s="100" t="str">
        <f>VLOOKUP(C450,Abstract!$E$4:$M$62,9,0)</f>
        <v>ACTIVE</v>
      </c>
      <c r="B450" s="95" t="s">
        <v>138</v>
      </c>
      <c r="C450" s="100" t="s">
        <v>42</v>
      </c>
      <c r="D450" s="122" t="s">
        <v>43</v>
      </c>
      <c r="E450" s="99" t="s">
        <v>147</v>
      </c>
      <c r="F450" s="95" t="s">
        <v>148</v>
      </c>
      <c r="G450" s="109">
        <v>1</v>
      </c>
      <c r="H450" s="104">
        <f>VLOOKUP($E450,'Stock statement'!$D$2:$P$384,13,)</f>
        <v>353.50950483838068</v>
      </c>
      <c r="I450" s="121">
        <v>2.5000000000000001E-2</v>
      </c>
      <c r="J450" s="116">
        <v>1.0249999999999999</v>
      </c>
      <c r="K450" s="106">
        <f t="shared" si="37"/>
        <v>371.40592352082365</v>
      </c>
      <c r="L450" s="98"/>
      <c r="M450" s="110">
        <f t="shared" si="39"/>
        <v>4.2785962389598886</v>
      </c>
    </row>
    <row r="451" spans="1:13" s="107" customFormat="1" ht="15" customHeight="1">
      <c r="A451" s="100" t="str">
        <f>VLOOKUP(C451,Abstract!$E$4:$M$62,9,0)</f>
        <v>ACTIVE</v>
      </c>
      <c r="B451" s="95" t="s">
        <v>138</v>
      </c>
      <c r="C451" s="100" t="s">
        <v>42</v>
      </c>
      <c r="D451" s="122" t="s">
        <v>43</v>
      </c>
      <c r="E451" s="99" t="s">
        <v>257</v>
      </c>
      <c r="F451" s="99" t="s">
        <v>258</v>
      </c>
      <c r="G451" s="109">
        <v>0.1</v>
      </c>
      <c r="H451" s="104">
        <f>VLOOKUP($E451,'Stock statement'!$D$2:$P$384,13,)</f>
        <v>1031.4407683596341</v>
      </c>
      <c r="I451" s="121">
        <v>2.5000000000000001E-2</v>
      </c>
      <c r="J451" s="116">
        <v>1.0249999999999999</v>
      </c>
      <c r="K451" s="106">
        <f t="shared" si="37"/>
        <v>108.36574572578405</v>
      </c>
      <c r="L451" s="98"/>
      <c r="M451" s="110">
        <f t="shared" si="39"/>
        <v>1.2483733907610322</v>
      </c>
    </row>
    <row r="452" spans="1:13" s="107" customFormat="1" ht="15" customHeight="1">
      <c r="A452" s="100" t="str">
        <f>VLOOKUP(C452,Abstract!$E$4:$M$62,9,0)</f>
        <v>ACTIVE</v>
      </c>
      <c r="B452" s="95" t="s">
        <v>138</v>
      </c>
      <c r="C452" s="100" t="s">
        <v>42</v>
      </c>
      <c r="D452" s="122" t="s">
        <v>43</v>
      </c>
      <c r="E452" s="99" t="s">
        <v>177</v>
      </c>
      <c r="F452" s="99" t="s">
        <v>178</v>
      </c>
      <c r="G452" s="109">
        <v>0.1</v>
      </c>
      <c r="H452" s="104">
        <f>VLOOKUP($E452,'Stock statement'!$D$2:$P$384,13,)</f>
        <v>195.29212473407105</v>
      </c>
      <c r="I452" s="121">
        <v>2.5000000000000001E-2</v>
      </c>
      <c r="J452" s="116">
        <v>1.0249999999999999</v>
      </c>
      <c r="K452" s="106">
        <f t="shared" si="37"/>
        <v>20.517878854873334</v>
      </c>
      <c r="L452" s="98"/>
      <c r="M452" s="110">
        <f t="shared" si="39"/>
        <v>0.23636596440814081</v>
      </c>
    </row>
    <row r="453" spans="1:13" s="107" customFormat="1" ht="15" customHeight="1">
      <c r="A453" s="100" t="str">
        <f>VLOOKUP(C453,Abstract!$E$4:$M$62,9,0)</f>
        <v>ACTIVE</v>
      </c>
      <c r="B453" s="95" t="s">
        <v>138</v>
      </c>
      <c r="C453" s="100" t="s">
        <v>42</v>
      </c>
      <c r="D453" s="122" t="s">
        <v>43</v>
      </c>
      <c r="E453" s="99" t="s">
        <v>217</v>
      </c>
      <c r="F453" s="99" t="s">
        <v>218</v>
      </c>
      <c r="G453" s="109">
        <v>0.1</v>
      </c>
      <c r="H453" s="104">
        <f>VLOOKUP($E453,'Stock statement'!$D$2:$P$384,13,)</f>
        <v>910.5767983004796</v>
      </c>
      <c r="I453" s="121">
        <v>2.5000000000000001E-2</v>
      </c>
      <c r="J453" s="116">
        <v>1.0249999999999999</v>
      </c>
      <c r="K453" s="106">
        <f t="shared" si="37"/>
        <v>95.667474871444114</v>
      </c>
      <c r="L453" s="98"/>
      <c r="M453" s="110">
        <f t="shared" si="39"/>
        <v>1.1020893105190361</v>
      </c>
    </row>
    <row r="454" spans="1:13" s="107" customFormat="1" ht="15" customHeight="1">
      <c r="A454" s="100" t="str">
        <f>VLOOKUP(C454,Abstract!$E$4:$M$62,9,0)</f>
        <v>ACTIVE</v>
      </c>
      <c r="B454" s="95" t="s">
        <v>138</v>
      </c>
      <c r="C454" s="100" t="s">
        <v>42</v>
      </c>
      <c r="D454" s="122" t="s">
        <v>43</v>
      </c>
      <c r="E454" s="99" t="s">
        <v>259</v>
      </c>
      <c r="F454" s="99" t="s">
        <v>260</v>
      </c>
      <c r="G454" s="109">
        <v>0.06</v>
      </c>
      <c r="H454" s="104">
        <f>VLOOKUP($E454,'Stock statement'!$D$2:$P$384,13,)</f>
        <v>894.46244467712404</v>
      </c>
      <c r="I454" s="121">
        <v>2.5000000000000001E-2</v>
      </c>
      <c r="J454" s="116">
        <v>1.0249999999999999</v>
      </c>
      <c r="K454" s="106">
        <f t="shared" si="37"/>
        <v>56.384676356334197</v>
      </c>
      <c r="L454" s="98"/>
      <c r="M454" s="110">
        <f t="shared" si="39"/>
        <v>0.64955147162496996</v>
      </c>
    </row>
    <row r="455" spans="1:13" s="107" customFormat="1" ht="15" customHeight="1">
      <c r="A455" s="100" t="str">
        <f>VLOOKUP(C455,Abstract!$E$4:$M$62,9,0)</f>
        <v>ACTIVE</v>
      </c>
      <c r="B455" s="95" t="s">
        <v>138</v>
      </c>
      <c r="C455" s="100" t="s">
        <v>42</v>
      </c>
      <c r="D455" s="122" t="s">
        <v>43</v>
      </c>
      <c r="E455" s="99" t="s">
        <v>155</v>
      </c>
      <c r="F455" s="99" t="s">
        <v>156</v>
      </c>
      <c r="G455" s="109">
        <v>15</v>
      </c>
      <c r="H455" s="104">
        <f>VLOOKUP($E455,'Stock statement'!$D$2:$P$384,13,)</f>
        <v>68.308211638055738</v>
      </c>
      <c r="I455" s="121">
        <v>2.5000000000000001E-2</v>
      </c>
      <c r="J455" s="116">
        <v>1.0249999999999999</v>
      </c>
      <c r="K455" s="106">
        <f t="shared" si="37"/>
        <v>1076.4947227834843</v>
      </c>
      <c r="L455" s="98"/>
      <c r="M455" s="110">
        <f t="shared" si="39"/>
        <v>12.40121920646574</v>
      </c>
    </row>
    <row r="456" spans="1:13" s="107" customFormat="1" ht="15" customHeight="1">
      <c r="A456" s="100" t="str">
        <f>VLOOKUP(C456,Abstract!$E$4:$M$62,9,0)</f>
        <v>ACTIVE</v>
      </c>
      <c r="B456" s="95" t="s">
        <v>138</v>
      </c>
      <c r="C456" s="100" t="s">
        <v>42</v>
      </c>
      <c r="D456" s="122" t="s">
        <v>43</v>
      </c>
      <c r="E456" s="99" t="s">
        <v>261</v>
      </c>
      <c r="F456" s="95" t="s">
        <v>262</v>
      </c>
      <c r="G456" s="109">
        <v>2.5</v>
      </c>
      <c r="H456" s="104">
        <f>VLOOKUP($E456,'Stock statement'!$D$2:$P$384,13,)</f>
        <v>0</v>
      </c>
      <c r="I456" s="121">
        <v>2.5000000000000001E-2</v>
      </c>
      <c r="J456" s="116">
        <v>1.0249999999999999</v>
      </c>
      <c r="K456" s="106">
        <f t="shared" si="37"/>
        <v>0</v>
      </c>
      <c r="L456" s="98"/>
      <c r="M456" s="110">
        <f t="shared" si="39"/>
        <v>0</v>
      </c>
    </row>
    <row r="457" spans="1:13" s="107" customFormat="1" ht="15" customHeight="1">
      <c r="A457" s="100" t="str">
        <f>VLOOKUP(C457,Abstract!$E$4:$M$62,9,0)</f>
        <v>ACTIVE</v>
      </c>
      <c r="B457" s="95" t="s">
        <v>138</v>
      </c>
      <c r="C457" s="100" t="s">
        <v>42</v>
      </c>
      <c r="D457" s="122" t="s">
        <v>43</v>
      </c>
      <c r="E457" s="99" t="s">
        <v>263</v>
      </c>
      <c r="F457" s="99" t="s">
        <v>264</v>
      </c>
      <c r="G457" s="109">
        <v>6</v>
      </c>
      <c r="H457" s="104">
        <f>VLOOKUP($E457,'Stock statement'!$D$2:$P$384,13,)</f>
        <v>727.3911741078939</v>
      </c>
      <c r="I457" s="121">
        <v>2.5000000000000001E-2</v>
      </c>
      <c r="J457" s="116">
        <v>1.0249999999999999</v>
      </c>
      <c r="K457" s="106">
        <f t="shared" si="37"/>
        <v>4585.2921137826361</v>
      </c>
      <c r="L457" s="98"/>
      <c r="M457" s="110">
        <f t="shared" si="39"/>
        <v>52.822565150775965</v>
      </c>
    </row>
    <row r="458" spans="1:13" s="107" customFormat="1" ht="15" customHeight="1">
      <c r="A458" s="100" t="str">
        <f>VLOOKUP(C458,Abstract!$E$4:$M$62,9,0)</f>
        <v>ACTIVE</v>
      </c>
      <c r="B458" s="95" t="s">
        <v>138</v>
      </c>
      <c r="C458" s="100" t="s">
        <v>42</v>
      </c>
      <c r="D458" s="122" t="s">
        <v>43</v>
      </c>
      <c r="E458" s="99" t="s">
        <v>173</v>
      </c>
      <c r="F458" s="95" t="s">
        <v>174</v>
      </c>
      <c r="G458" s="109">
        <v>0.05</v>
      </c>
      <c r="H458" s="104">
        <f>VLOOKUP($E458,'Stock statement'!$D$2:$P$384,13,)</f>
        <v>555.2517156766155</v>
      </c>
      <c r="I458" s="121">
        <v>2.5000000000000001E-2</v>
      </c>
      <c r="J458" s="116">
        <v>1.0249999999999999</v>
      </c>
      <c r="K458" s="106">
        <f t="shared" si="37"/>
        <v>29.168066689137202</v>
      </c>
      <c r="L458" s="98"/>
      <c r="M458" s="110">
        <f t="shared" si="39"/>
        <v>0.33601612825886057</v>
      </c>
    </row>
    <row r="459" spans="1:13" s="107" customFormat="1" ht="15" customHeight="1">
      <c r="A459" s="100" t="str">
        <f>VLOOKUP(C459,Abstract!$E$4:$M$62,9,0)</f>
        <v>ACTIVE</v>
      </c>
      <c r="B459" s="95" t="s">
        <v>138</v>
      </c>
      <c r="C459" s="100" t="s">
        <v>42</v>
      </c>
      <c r="D459" s="122" t="s">
        <v>43</v>
      </c>
      <c r="E459" s="99" t="s">
        <v>181</v>
      </c>
      <c r="F459" s="102" t="s">
        <v>182</v>
      </c>
      <c r="G459" s="109">
        <v>12.5</v>
      </c>
      <c r="H459" s="104">
        <f>VLOOKUP($E459,'Stock statement'!$D$2:$P$384,13,)</f>
        <v>17.110276913020375</v>
      </c>
      <c r="I459" s="121">
        <v>2.5000000000000001E-2</v>
      </c>
      <c r="J459" s="116">
        <v>1.0249999999999999</v>
      </c>
      <c r="K459" s="106">
        <f t="shared" si="37"/>
        <v>224.70605852177536</v>
      </c>
      <c r="L459" s="98"/>
      <c r="M459" s="110">
        <f t="shared" si="39"/>
        <v>2.5886137941708522</v>
      </c>
    </row>
    <row r="460" spans="1:13" s="107" customFormat="1" ht="15" customHeight="1">
      <c r="A460" s="100" t="str">
        <f>VLOOKUP(C460,Abstract!$E$4:$M$62,9,0)</f>
        <v>ACTIVE</v>
      </c>
      <c r="B460" s="99" t="s">
        <v>183</v>
      </c>
      <c r="C460" s="100" t="s">
        <v>42</v>
      </c>
      <c r="D460" s="122" t="s">
        <v>43</v>
      </c>
      <c r="E460" s="99">
        <v>211698</v>
      </c>
      <c r="F460" s="99" t="s">
        <v>336</v>
      </c>
      <c r="G460" s="109">
        <f>+G461*0.647</f>
        <v>56.16319444444445</v>
      </c>
      <c r="H460" s="104">
        <f>VLOOKUP($E460,'Stock statement'!$D$2:$P$384,13,)</f>
        <v>234.83326350391158</v>
      </c>
      <c r="I460" s="112">
        <v>1.7500000000000002E-2</v>
      </c>
      <c r="J460" s="113">
        <v>1</v>
      </c>
      <c r="K460" s="106">
        <f t="shared" si="37"/>
        <v>13419.793499397036</v>
      </c>
      <c r="L460" s="98"/>
      <c r="M460" s="110">
        <f t="shared" si="39"/>
        <v>154.59602111305384</v>
      </c>
    </row>
    <row r="461" spans="1:13" s="107" customFormat="1" ht="15" customHeight="1">
      <c r="A461" s="100" t="str">
        <f>VLOOKUP(C461,Abstract!$E$4:$M$62,9,0)</f>
        <v>ACTIVE</v>
      </c>
      <c r="B461" s="99" t="s">
        <v>183</v>
      </c>
      <c r="C461" s="100" t="s">
        <v>42</v>
      </c>
      <c r="D461" s="122" t="s">
        <v>43</v>
      </c>
      <c r="E461" s="99" t="s">
        <v>337</v>
      </c>
      <c r="F461" s="99" t="s">
        <v>338</v>
      </c>
      <c r="G461" s="109">
        <f>1000/(1920*6)*1000</f>
        <v>86.805555555555557</v>
      </c>
      <c r="H461" s="104">
        <f>VLOOKUP($E461,'Stock statement'!$D$2:$P$384,13,)</f>
        <v>42.659819600159089</v>
      </c>
      <c r="I461" s="112">
        <v>6.0000000000000001E-3</v>
      </c>
      <c r="J461" s="113">
        <v>1</v>
      </c>
      <c r="K461" s="106">
        <f t="shared" si="37"/>
        <v>3725.3279963333371</v>
      </c>
      <c r="L461" s="98"/>
      <c r="M461" s="110">
        <f t="shared" si="39"/>
        <v>42.915778517760039</v>
      </c>
    </row>
    <row r="462" spans="1:13" s="107" customFormat="1" ht="15" customHeight="1">
      <c r="A462" s="100" t="str">
        <f>VLOOKUP(C462,Abstract!$E$4:$M$62,9,0)</f>
        <v>ACTIVE</v>
      </c>
      <c r="B462" s="99" t="s">
        <v>183</v>
      </c>
      <c r="C462" s="100" t="s">
        <v>42</v>
      </c>
      <c r="D462" s="122" t="s">
        <v>43</v>
      </c>
      <c r="E462" s="99" t="s">
        <v>191</v>
      </c>
      <c r="F462" s="95" t="s">
        <v>192</v>
      </c>
      <c r="G462" s="109">
        <f>+G461*0.02</f>
        <v>1.7361111111111112</v>
      </c>
      <c r="H462" s="104">
        <f>VLOOKUP($E462,'Stock statement'!$D$2:$P$384,13,)</f>
        <v>44.985440769279101</v>
      </c>
      <c r="I462" s="112">
        <v>0.02</v>
      </c>
      <c r="J462" s="113">
        <v>1</v>
      </c>
      <c r="K462" s="106">
        <f t="shared" si="37"/>
        <v>79.661718028931745</v>
      </c>
      <c r="L462" s="98"/>
      <c r="M462" s="110">
        <f t="shared" si="39"/>
        <v>0.91770299169329372</v>
      </c>
    </row>
    <row r="463" spans="1:13" s="107" customFormat="1" ht="15" customHeight="1">
      <c r="A463" s="100" t="str">
        <f>VLOOKUP(C463,Abstract!$E$4:$M$62,9,0)</f>
        <v>ACTIVE</v>
      </c>
      <c r="B463" s="99" t="s">
        <v>197</v>
      </c>
      <c r="C463" s="100" t="s">
        <v>42</v>
      </c>
      <c r="D463" s="122" t="s">
        <v>43</v>
      </c>
      <c r="E463" s="99" t="s">
        <v>198</v>
      </c>
      <c r="F463" s="99"/>
      <c r="G463" s="109"/>
      <c r="H463" s="104"/>
      <c r="I463" s="123"/>
      <c r="J463" s="113"/>
      <c r="K463" s="106">
        <v>6180</v>
      </c>
      <c r="L463" s="98">
        <f>SUM(K438:K463)</f>
        <v>60435.497779346682</v>
      </c>
      <c r="M463" s="110">
        <f t="shared" si="39"/>
        <v>71.193600000000004</v>
      </c>
    </row>
    <row r="464" spans="1:13" s="107" customFormat="1" ht="15" customHeight="1">
      <c r="A464" s="100" t="str">
        <f>VLOOKUP(C464,Abstract!$E$4:$M$62,9,0)</f>
        <v>No Sales</v>
      </c>
      <c r="B464" s="95" t="s">
        <v>138</v>
      </c>
      <c r="C464" s="124" t="s">
        <v>44</v>
      </c>
      <c r="D464" s="124" t="s">
        <v>45</v>
      </c>
      <c r="E464" s="99" t="s">
        <v>139</v>
      </c>
      <c r="F464" s="102" t="s">
        <v>140</v>
      </c>
      <c r="G464" s="109">
        <v>735.65</v>
      </c>
      <c r="H464" s="104">
        <f>VLOOKUP($E464,'Stock statement'!$D$2:$P$384,13,)</f>
        <v>0.34</v>
      </c>
      <c r="I464" s="121">
        <v>2.5000000000000001E-2</v>
      </c>
      <c r="J464" s="116">
        <v>1.0249999999999999</v>
      </c>
      <c r="K464" s="106">
        <f t="shared" ref="K464:K486" si="41">+G464*H464*(1+I464)*J464</f>
        <v>262.78337562499996</v>
      </c>
      <c r="L464" s="98"/>
      <c r="M464" s="110">
        <f>K464/$G$484</f>
        <v>3.0272644871999996</v>
      </c>
    </row>
    <row r="465" spans="1:13" s="107" customFormat="1" ht="15" customHeight="1">
      <c r="A465" s="100" t="str">
        <f>VLOOKUP(C465,Abstract!$E$4:$M$62,9,0)</f>
        <v>No Sales</v>
      </c>
      <c r="B465" s="95" t="s">
        <v>138</v>
      </c>
      <c r="C465" s="124" t="s">
        <v>44</v>
      </c>
      <c r="D465" s="124" t="s">
        <v>45</v>
      </c>
      <c r="E465" s="99" t="s">
        <v>141</v>
      </c>
      <c r="F465" s="108" t="s">
        <v>142</v>
      </c>
      <c r="G465" s="109">
        <v>185.7</v>
      </c>
      <c r="H465" s="104">
        <f>VLOOKUP($E465,'Stock statement'!$D$2:$P$384,13,)</f>
        <v>94.278330452007026</v>
      </c>
      <c r="I465" s="121">
        <v>2.5000000000000001E-2</v>
      </c>
      <c r="J465" s="116">
        <v>1.0249999999999999</v>
      </c>
      <c r="K465" s="106">
        <f t="shared" si="41"/>
        <v>18393.80244191267</v>
      </c>
      <c r="L465" s="98"/>
      <c r="M465" s="110">
        <f t="shared" ref="M465:M488" si="42">K465/$G$484</f>
        <v>211.89660413083396</v>
      </c>
    </row>
    <row r="466" spans="1:13" s="107" customFormat="1" ht="15" customHeight="1">
      <c r="A466" s="100" t="str">
        <f>VLOOKUP(C466,Abstract!$E$4:$M$62,9,0)</f>
        <v>No Sales</v>
      </c>
      <c r="B466" s="95" t="s">
        <v>138</v>
      </c>
      <c r="C466" s="124" t="s">
        <v>44</v>
      </c>
      <c r="D466" s="124" t="s">
        <v>45</v>
      </c>
      <c r="E466" s="99" t="s">
        <v>145</v>
      </c>
      <c r="F466" s="102" t="s">
        <v>146</v>
      </c>
      <c r="G466" s="109">
        <v>10</v>
      </c>
      <c r="H466" s="104">
        <f>VLOOKUP($E466,'Stock statement'!$D$2:$P$384,13,)</f>
        <v>151.08681180977209</v>
      </c>
      <c r="I466" s="121">
        <v>2.5000000000000001E-2</v>
      </c>
      <c r="J466" s="116">
        <v>1.0249999999999999</v>
      </c>
      <c r="K466" s="106">
        <f t="shared" si="41"/>
        <v>1587.3558165764177</v>
      </c>
      <c r="L466" s="98"/>
      <c r="M466" s="110">
        <f t="shared" si="42"/>
        <v>18.286339006960333</v>
      </c>
    </row>
    <row r="467" spans="1:13" s="107" customFormat="1" ht="15" customHeight="1">
      <c r="A467" s="100" t="str">
        <f>VLOOKUP(C467,Abstract!$E$4:$M$62,9,0)</f>
        <v>No Sales</v>
      </c>
      <c r="B467" s="95" t="s">
        <v>138</v>
      </c>
      <c r="C467" s="124" t="s">
        <v>44</v>
      </c>
      <c r="D467" s="124" t="s">
        <v>45</v>
      </c>
      <c r="E467" s="99" t="s">
        <v>143</v>
      </c>
      <c r="F467" s="108" t="s">
        <v>144</v>
      </c>
      <c r="G467" s="109">
        <v>5</v>
      </c>
      <c r="H467" s="104">
        <f>VLOOKUP($E467,'Stock statement'!$D$2:$P$384,13,)</f>
        <v>178.57970547017939</v>
      </c>
      <c r="I467" s="121">
        <v>2.5000000000000001E-2</v>
      </c>
      <c r="J467" s="116">
        <v>1.0249999999999999</v>
      </c>
      <c r="K467" s="106">
        <f t="shared" si="41"/>
        <v>938.10151529803602</v>
      </c>
      <c r="L467" s="98"/>
      <c r="M467" s="110">
        <f t="shared" si="42"/>
        <v>10.806929456233375</v>
      </c>
    </row>
    <row r="468" spans="1:13" s="107" customFormat="1" ht="15" customHeight="1">
      <c r="A468" s="100" t="str">
        <f>VLOOKUP(C468,Abstract!$E$4:$M$62,9,0)</f>
        <v>No Sales</v>
      </c>
      <c r="B468" s="95" t="s">
        <v>138</v>
      </c>
      <c r="C468" s="124" t="s">
        <v>44</v>
      </c>
      <c r="D468" s="124" t="s">
        <v>45</v>
      </c>
      <c r="E468" s="99" t="s">
        <v>149</v>
      </c>
      <c r="F468" s="99" t="s">
        <v>208</v>
      </c>
      <c r="G468" s="109">
        <v>0.125</v>
      </c>
      <c r="H468" s="104">
        <f>VLOOKUP($E468,'Stock statement'!$D$2:$P$384,13,)</f>
        <v>161.56941474217822</v>
      </c>
      <c r="I468" s="121">
        <v>2.5000000000000001E-2</v>
      </c>
      <c r="J468" s="116">
        <v>1.0249999999999999</v>
      </c>
      <c r="K468" s="106">
        <f t="shared" si="41"/>
        <v>21.218608295437623</v>
      </c>
      <c r="L468" s="98"/>
      <c r="M468" s="110">
        <f t="shared" si="42"/>
        <v>0.24443836756344139</v>
      </c>
    </row>
    <row r="469" spans="1:13" s="107" customFormat="1" ht="15" customHeight="1">
      <c r="A469" s="100" t="str">
        <f>VLOOKUP(C469,Abstract!$E$4:$M$62,9,0)</f>
        <v>No Sales</v>
      </c>
      <c r="B469" s="95" t="s">
        <v>138</v>
      </c>
      <c r="C469" s="124" t="s">
        <v>44</v>
      </c>
      <c r="D469" s="124" t="s">
        <v>45</v>
      </c>
      <c r="E469" s="99" t="s">
        <v>151</v>
      </c>
      <c r="F469" s="99" t="s">
        <v>310</v>
      </c>
      <c r="G469" s="109">
        <v>2.5</v>
      </c>
      <c r="H469" s="104">
        <f>VLOOKUP($E469,'Stock statement'!$D$2:$P$384,13,)</f>
        <v>762.38931335604309</v>
      </c>
      <c r="I469" s="121">
        <v>2.5000000000000001E-2</v>
      </c>
      <c r="J469" s="116">
        <v>1.0249999999999999</v>
      </c>
      <c r="K469" s="106">
        <f t="shared" si="41"/>
        <v>2002.4631808617316</v>
      </c>
      <c r="L469" s="98"/>
      <c r="M469" s="110">
        <f t="shared" si="42"/>
        <v>23.068375843527146</v>
      </c>
    </row>
    <row r="470" spans="1:13" s="107" customFormat="1" ht="15" customHeight="1">
      <c r="A470" s="100" t="str">
        <f>VLOOKUP(C470,Abstract!$E$4:$M$62,9,0)</f>
        <v>No Sales</v>
      </c>
      <c r="B470" s="95" t="s">
        <v>138</v>
      </c>
      <c r="C470" s="124" t="s">
        <v>44</v>
      </c>
      <c r="D470" s="124" t="s">
        <v>45</v>
      </c>
      <c r="E470" s="99" t="s">
        <v>157</v>
      </c>
      <c r="F470" s="102" t="s">
        <v>158</v>
      </c>
      <c r="G470" s="109">
        <v>1</v>
      </c>
      <c r="H470" s="104">
        <f>VLOOKUP($E470,'Stock statement'!$D$2:$P$384,13,)</f>
        <v>828.81974703846117</v>
      </c>
      <c r="I470" s="121">
        <v>2.5000000000000001E-2</v>
      </c>
      <c r="J470" s="116">
        <v>1.0249999999999999</v>
      </c>
      <c r="K470" s="106">
        <f t="shared" si="41"/>
        <v>870.77874673228314</v>
      </c>
      <c r="L470" s="98"/>
      <c r="M470" s="110">
        <f t="shared" si="42"/>
        <v>10.031371162355901</v>
      </c>
    </row>
    <row r="471" spans="1:13" s="107" customFormat="1" ht="15" customHeight="1">
      <c r="A471" s="100" t="str">
        <f>VLOOKUP(C471,Abstract!$E$4:$M$62,9,0)</f>
        <v>No Sales</v>
      </c>
      <c r="B471" s="95" t="s">
        <v>138</v>
      </c>
      <c r="C471" s="124" t="s">
        <v>44</v>
      </c>
      <c r="D471" s="124" t="s">
        <v>45</v>
      </c>
      <c r="E471" s="157">
        <v>115150</v>
      </c>
      <c r="F471" s="95" t="s">
        <v>159</v>
      </c>
      <c r="G471" s="109">
        <v>1</v>
      </c>
      <c r="H471" s="104">
        <f>VLOOKUP($E471,'Stock statement'!$D$2:$P$384,13,)</f>
        <v>456.30699446392703</v>
      </c>
      <c r="I471" s="121">
        <v>2.5000000000000001E-2</v>
      </c>
      <c r="J471" s="116">
        <v>1.0249999999999999</v>
      </c>
      <c r="K471" s="106">
        <f t="shared" ref="K471" si="43">+G471*H471*(1+I471)*J471</f>
        <v>479.40753605866325</v>
      </c>
      <c r="L471" s="98"/>
      <c r="M471" s="110">
        <f t="shared" si="42"/>
        <v>5.5227748153958007</v>
      </c>
    </row>
    <row r="472" spans="1:13" s="107" customFormat="1" ht="15" customHeight="1">
      <c r="A472" s="100" t="str">
        <f>VLOOKUP(C472,Abstract!$E$4:$M$62,9,0)</f>
        <v>No Sales</v>
      </c>
      <c r="B472" s="95" t="s">
        <v>138</v>
      </c>
      <c r="C472" s="124" t="s">
        <v>44</v>
      </c>
      <c r="D472" s="124" t="s">
        <v>45</v>
      </c>
      <c r="E472" s="99" t="s">
        <v>160</v>
      </c>
      <c r="F472" s="108" t="s">
        <v>161</v>
      </c>
      <c r="G472" s="109">
        <v>0.25</v>
      </c>
      <c r="H472" s="104">
        <f>VLOOKUP($E472,'Stock statement'!$D$2:$P$384,13,)</f>
        <v>3313.2387673094586</v>
      </c>
      <c r="I472" s="121">
        <v>2.5000000000000001E-2</v>
      </c>
      <c r="J472" s="116">
        <v>1.0249999999999999</v>
      </c>
      <c r="K472" s="106">
        <f t="shared" si="41"/>
        <v>870.24286997612489</v>
      </c>
      <c r="L472" s="98"/>
      <c r="M472" s="110">
        <f t="shared" si="42"/>
        <v>10.025197862124958</v>
      </c>
    </row>
    <row r="473" spans="1:13" s="107" customFormat="1" ht="15" customHeight="1">
      <c r="A473" s="100" t="str">
        <f>VLOOKUP(C473,Abstract!$E$4:$M$62,9,0)</f>
        <v>No Sales</v>
      </c>
      <c r="B473" s="95" t="s">
        <v>138</v>
      </c>
      <c r="C473" s="124" t="s">
        <v>44</v>
      </c>
      <c r="D473" s="124" t="s">
        <v>45</v>
      </c>
      <c r="E473" s="99" t="s">
        <v>166</v>
      </c>
      <c r="F473" s="99" t="s">
        <v>167</v>
      </c>
      <c r="G473" s="109">
        <v>2.5</v>
      </c>
      <c r="H473" s="104">
        <f>VLOOKUP($E473,'Stock statement'!$D$2:$P$384,13,)</f>
        <v>127.15913438761541</v>
      </c>
      <c r="I473" s="121">
        <v>2.5000000000000001E-2</v>
      </c>
      <c r="J473" s="116">
        <v>1.0249999999999999</v>
      </c>
      <c r="K473" s="106">
        <f t="shared" si="41"/>
        <v>333.99141391497102</v>
      </c>
      <c r="L473" s="98"/>
      <c r="M473" s="110">
        <f t="shared" si="42"/>
        <v>3.847581088300466</v>
      </c>
    </row>
    <row r="474" spans="1:13" s="107" customFormat="1" ht="15" customHeight="1">
      <c r="A474" s="100" t="str">
        <f>VLOOKUP(C474,Abstract!$E$4:$M$62,9,0)</f>
        <v>No Sales</v>
      </c>
      <c r="B474" s="95" t="s">
        <v>138</v>
      </c>
      <c r="C474" s="124" t="s">
        <v>44</v>
      </c>
      <c r="D474" s="124" t="s">
        <v>45</v>
      </c>
      <c r="E474" s="99" t="s">
        <v>209</v>
      </c>
      <c r="F474" s="99" t="s">
        <v>210</v>
      </c>
      <c r="G474" s="109">
        <v>20</v>
      </c>
      <c r="H474" s="104">
        <f>VLOOKUP($E474,'Stock statement'!$D$2:$P$384,13,)</f>
        <v>220.67282625366343</v>
      </c>
      <c r="I474" s="121">
        <v>2.5000000000000001E-2</v>
      </c>
      <c r="J474" s="116">
        <v>1.0249999999999999</v>
      </c>
      <c r="K474" s="106">
        <f t="shared" si="41"/>
        <v>4636.8877616551026</v>
      </c>
      <c r="L474" s="98"/>
      <c r="M474" s="110">
        <f t="shared" si="42"/>
        <v>53.416947014266782</v>
      </c>
    </row>
    <row r="475" spans="1:13" s="107" customFormat="1" ht="15" customHeight="1">
      <c r="A475" s="100" t="str">
        <f>VLOOKUP(C475,Abstract!$E$4:$M$62,9,0)</f>
        <v>No Sales</v>
      </c>
      <c r="B475" s="95" t="s">
        <v>138</v>
      </c>
      <c r="C475" s="124" t="s">
        <v>44</v>
      </c>
      <c r="D475" s="124" t="s">
        <v>45</v>
      </c>
      <c r="E475" s="99" t="s">
        <v>173</v>
      </c>
      <c r="F475" s="95" t="s">
        <v>174</v>
      </c>
      <c r="G475" s="109">
        <v>0.1</v>
      </c>
      <c r="H475" s="104">
        <f>VLOOKUP($E475,'Stock statement'!$D$2:$P$384,13,)</f>
        <v>555.2517156766155</v>
      </c>
      <c r="I475" s="121">
        <v>2.5000000000000001E-2</v>
      </c>
      <c r="J475" s="116">
        <v>1.0249999999999999</v>
      </c>
      <c r="K475" s="106">
        <f t="shared" si="41"/>
        <v>58.336133378274404</v>
      </c>
      <c r="L475" s="98"/>
      <c r="M475" s="110">
        <f t="shared" si="42"/>
        <v>0.67203225651772114</v>
      </c>
    </row>
    <row r="476" spans="1:13" s="107" customFormat="1" ht="15" customHeight="1">
      <c r="A476" s="100" t="str">
        <f>VLOOKUP(C476,Abstract!$E$4:$M$62,9,0)</f>
        <v>No Sales</v>
      </c>
      <c r="B476" s="95" t="s">
        <v>138</v>
      </c>
      <c r="C476" s="124" t="s">
        <v>44</v>
      </c>
      <c r="D476" s="124" t="s">
        <v>45</v>
      </c>
      <c r="E476" s="99" t="s">
        <v>153</v>
      </c>
      <c r="F476" s="99" t="s">
        <v>154</v>
      </c>
      <c r="G476" s="109">
        <v>0.67500000000000004</v>
      </c>
      <c r="H476" s="104">
        <f>VLOOKUP($E476,'Stock statement'!$D$2:$P$384,13,)</f>
        <v>84.206363687840948</v>
      </c>
      <c r="I476" s="121">
        <v>2.5000000000000001E-2</v>
      </c>
      <c r="J476" s="116">
        <v>1.0249999999999999</v>
      </c>
      <c r="K476" s="106">
        <f t="shared" si="41"/>
        <v>59.716784823438076</v>
      </c>
      <c r="L476" s="98"/>
      <c r="M476" s="110">
        <f t="shared" si="42"/>
        <v>0.68793736116600657</v>
      </c>
    </row>
    <row r="477" spans="1:13" s="107" customFormat="1" ht="15" customHeight="1">
      <c r="A477" s="100" t="str">
        <f>VLOOKUP(C477,Abstract!$E$4:$M$62,9,0)</f>
        <v>No Sales</v>
      </c>
      <c r="B477" s="95" t="s">
        <v>138</v>
      </c>
      <c r="C477" s="124" t="s">
        <v>44</v>
      </c>
      <c r="D477" s="124" t="s">
        <v>45</v>
      </c>
      <c r="E477" s="99" t="s">
        <v>147</v>
      </c>
      <c r="F477" s="95" t="s">
        <v>148</v>
      </c>
      <c r="G477" s="109">
        <v>1</v>
      </c>
      <c r="H477" s="104">
        <f>VLOOKUP($E477,'Stock statement'!$D$2:$P$384,13,)</f>
        <v>353.50950483838068</v>
      </c>
      <c r="I477" s="121">
        <v>2.5000000000000001E-2</v>
      </c>
      <c r="J477" s="116">
        <v>1.0249999999999999</v>
      </c>
      <c r="K477" s="106">
        <f t="shared" si="41"/>
        <v>371.40592352082365</v>
      </c>
      <c r="L477" s="98"/>
      <c r="M477" s="110">
        <f t="shared" si="42"/>
        <v>4.2785962389598886</v>
      </c>
    </row>
    <row r="478" spans="1:13" s="107" customFormat="1" ht="15" customHeight="1">
      <c r="A478" s="100" t="str">
        <f>VLOOKUP(C478,Abstract!$E$4:$M$62,9,0)</f>
        <v>No Sales</v>
      </c>
      <c r="B478" s="95" t="s">
        <v>138</v>
      </c>
      <c r="C478" s="124" t="s">
        <v>44</v>
      </c>
      <c r="D478" s="124" t="s">
        <v>45</v>
      </c>
      <c r="E478" s="99" t="s">
        <v>179</v>
      </c>
      <c r="F478" s="102" t="s">
        <v>180</v>
      </c>
      <c r="G478" s="109">
        <v>0.5</v>
      </c>
      <c r="H478" s="104">
        <f>VLOOKUP($E478,'Stock statement'!$D$2:$P$384,13,)</f>
        <v>1036.4956269221443</v>
      </c>
      <c r="I478" s="121">
        <v>2.5000000000000001E-2</v>
      </c>
      <c r="J478" s="116">
        <v>1.0249999999999999</v>
      </c>
      <c r="K478" s="106">
        <f t="shared" si="41"/>
        <v>544.48410901753891</v>
      </c>
      <c r="L478" s="98"/>
      <c r="M478" s="110">
        <f t="shared" si="42"/>
        <v>6.2724569358820483</v>
      </c>
    </row>
    <row r="479" spans="1:13" s="107" customFormat="1" ht="15" customHeight="1">
      <c r="A479" s="100" t="str">
        <f>VLOOKUP(C479,Abstract!$E$4:$M$62,9,0)</f>
        <v>No Sales</v>
      </c>
      <c r="B479" s="95" t="s">
        <v>138</v>
      </c>
      <c r="C479" s="124" t="s">
        <v>44</v>
      </c>
      <c r="D479" s="124" t="s">
        <v>45</v>
      </c>
      <c r="E479" s="99" t="s">
        <v>155</v>
      </c>
      <c r="F479" s="99" t="s">
        <v>156</v>
      </c>
      <c r="G479" s="109">
        <v>15</v>
      </c>
      <c r="H479" s="104">
        <f>VLOOKUP($E479,'Stock statement'!$D$2:$P$384,13,)</f>
        <v>68.308211638055738</v>
      </c>
      <c r="I479" s="121">
        <v>2.5000000000000001E-2</v>
      </c>
      <c r="J479" s="116">
        <v>1.0249999999999999</v>
      </c>
      <c r="K479" s="106">
        <f t="shared" si="41"/>
        <v>1076.4947227834843</v>
      </c>
      <c r="L479" s="98"/>
      <c r="M479" s="110">
        <f t="shared" si="42"/>
        <v>12.40121920646574</v>
      </c>
    </row>
    <row r="480" spans="1:13" s="107" customFormat="1" ht="15" customHeight="1">
      <c r="A480" s="100" t="str">
        <f>VLOOKUP(C480,Abstract!$E$4:$M$62,9,0)</f>
        <v>No Sales</v>
      </c>
      <c r="B480" s="95" t="s">
        <v>138</v>
      </c>
      <c r="C480" s="124" t="s">
        <v>44</v>
      </c>
      <c r="D480" s="124" t="s">
        <v>45</v>
      </c>
      <c r="E480" s="99" t="s">
        <v>339</v>
      </c>
      <c r="F480" s="99" t="s">
        <v>340</v>
      </c>
      <c r="G480" s="109">
        <v>5.85</v>
      </c>
      <c r="H480" s="104">
        <f>VLOOKUP($E480,'Stock statement'!$D$2:$P$384,13,)</f>
        <v>890.49821899777828</v>
      </c>
      <c r="I480" s="121">
        <v>2.5000000000000001E-2</v>
      </c>
      <c r="J480" s="116">
        <v>1.0249999999999999</v>
      </c>
      <c r="K480" s="106">
        <f t="shared" si="41"/>
        <v>5473.1411943070625</v>
      </c>
      <c r="L480" s="98"/>
      <c r="M480" s="110">
        <f t="shared" si="42"/>
        <v>63.050586558417358</v>
      </c>
    </row>
    <row r="481" spans="1:13" s="107" customFormat="1" ht="15" customHeight="1">
      <c r="A481" s="100" t="str">
        <f>VLOOKUP(C481,Abstract!$E$4:$M$62,9,0)</f>
        <v>No Sales</v>
      </c>
      <c r="B481" s="95" t="s">
        <v>138</v>
      </c>
      <c r="C481" s="124" t="s">
        <v>44</v>
      </c>
      <c r="D481" s="124" t="s">
        <v>45</v>
      </c>
      <c r="E481" s="99" t="s">
        <v>341</v>
      </c>
      <c r="F481" s="99" t="s">
        <v>342</v>
      </c>
      <c r="G481" s="109">
        <v>0.65</v>
      </c>
      <c r="H481" s="104">
        <f>VLOOKUP($E481,'Stock statement'!$D$2:$P$384,13,)</f>
        <v>927.16271256930133</v>
      </c>
      <c r="I481" s="121">
        <v>2.5000000000000001E-2</v>
      </c>
      <c r="J481" s="116">
        <v>1.0249999999999999</v>
      </c>
      <c r="K481" s="106">
        <f t="shared" si="41"/>
        <v>633.16521118052935</v>
      </c>
      <c r="L481" s="98"/>
      <c r="M481" s="110">
        <f t="shared" si="42"/>
        <v>7.2940632327996981</v>
      </c>
    </row>
    <row r="482" spans="1:13" s="107" customFormat="1" ht="15" customHeight="1">
      <c r="A482" s="100" t="str">
        <f>VLOOKUP(C482,Abstract!$E$4:$M$62,9,0)</f>
        <v>No Sales</v>
      </c>
      <c r="B482" s="95" t="s">
        <v>138</v>
      </c>
      <c r="C482" s="124" t="s">
        <v>44</v>
      </c>
      <c r="D482" s="124" t="s">
        <v>45</v>
      </c>
      <c r="E482" s="99" t="s">
        <v>181</v>
      </c>
      <c r="F482" s="102" t="s">
        <v>182</v>
      </c>
      <c r="G482" s="109">
        <v>12.5</v>
      </c>
      <c r="H482" s="104">
        <f>VLOOKUP($E482,'Stock statement'!$D$2:$P$384,13,)</f>
        <v>17.110276913020375</v>
      </c>
      <c r="I482" s="121">
        <v>2.5000000000000001E-2</v>
      </c>
      <c r="J482" s="116">
        <v>1.0249999999999999</v>
      </c>
      <c r="K482" s="106">
        <f t="shared" si="41"/>
        <v>224.70605852177536</v>
      </c>
      <c r="L482" s="98"/>
      <c r="M482" s="110">
        <f t="shared" si="42"/>
        <v>2.5886137941708522</v>
      </c>
    </row>
    <row r="483" spans="1:13" s="107" customFormat="1" ht="15" customHeight="1">
      <c r="A483" s="100" t="str">
        <f>VLOOKUP(C483,Abstract!$E$4:$M$62,9,0)</f>
        <v>No Sales</v>
      </c>
      <c r="B483" s="99" t="s">
        <v>183</v>
      </c>
      <c r="C483" s="124" t="s">
        <v>44</v>
      </c>
      <c r="D483" s="124" t="s">
        <v>45</v>
      </c>
      <c r="E483" s="99">
        <v>213506</v>
      </c>
      <c r="F483" s="99" t="s">
        <v>343</v>
      </c>
      <c r="G483" s="109">
        <v>56.16319444444445</v>
      </c>
      <c r="H483" s="104">
        <f>VLOOKUP($E483,'Stock statement'!$D$2:$P$384,13,)</f>
        <v>244</v>
      </c>
      <c r="I483" s="112">
        <v>1.7500000000000002E-2</v>
      </c>
      <c r="J483" s="113">
        <v>1</v>
      </c>
      <c r="K483" s="106">
        <f t="shared" si="41"/>
        <v>13943.636284722224</v>
      </c>
      <c r="L483" s="98"/>
      <c r="M483" s="110">
        <f t="shared" si="42"/>
        <v>160.63069000000002</v>
      </c>
    </row>
    <row r="484" spans="1:13" s="107" customFormat="1" ht="15" customHeight="1">
      <c r="A484" s="100" t="str">
        <f>VLOOKUP(C484,Abstract!$E$4:$M$62,9,0)</f>
        <v>No Sales</v>
      </c>
      <c r="B484" s="99" t="s">
        <v>183</v>
      </c>
      <c r="C484" s="124" t="s">
        <v>44</v>
      </c>
      <c r="D484" s="124" t="s">
        <v>45</v>
      </c>
      <c r="E484" s="99">
        <v>213105</v>
      </c>
      <c r="F484" s="99" t="s">
        <v>344</v>
      </c>
      <c r="G484" s="109">
        <v>86.805555555555557</v>
      </c>
      <c r="H484" s="104">
        <f>VLOOKUP($E484,'Stock statement'!$D$2:$P$384,13,)</f>
        <v>0</v>
      </c>
      <c r="I484" s="112">
        <v>6.0000000000000001E-3</v>
      </c>
      <c r="J484" s="113">
        <v>1</v>
      </c>
      <c r="K484" s="106">
        <f t="shared" si="41"/>
        <v>0</v>
      </c>
      <c r="L484" s="98"/>
      <c r="M484" s="110">
        <f t="shared" si="42"/>
        <v>0</v>
      </c>
    </row>
    <row r="485" spans="1:13" s="107" customFormat="1" ht="15" customHeight="1">
      <c r="A485" s="100" t="str">
        <f>VLOOKUP(C485,Abstract!$E$4:$M$62,9,0)</f>
        <v>No Sales</v>
      </c>
      <c r="B485" s="99" t="s">
        <v>183</v>
      </c>
      <c r="C485" s="124" t="s">
        <v>44</v>
      </c>
      <c r="D485" s="124" t="s">
        <v>45</v>
      </c>
      <c r="E485" s="99">
        <v>213104</v>
      </c>
      <c r="F485" s="99" t="s">
        <v>345</v>
      </c>
      <c r="G485" s="109">
        <f>G484*2</f>
        <v>173.61111111111111</v>
      </c>
      <c r="H485" s="104">
        <f>VLOOKUP($E485,'Stock statement'!$D$2:$P$384,13,)</f>
        <v>0</v>
      </c>
      <c r="I485" s="112">
        <v>6.0000000000000001E-3</v>
      </c>
      <c r="J485" s="113">
        <v>1</v>
      </c>
      <c r="K485" s="106">
        <f t="shared" si="41"/>
        <v>0</v>
      </c>
      <c r="L485" s="98"/>
      <c r="M485" s="110">
        <f t="shared" si="42"/>
        <v>0</v>
      </c>
    </row>
    <row r="486" spans="1:13" s="107" customFormat="1" ht="15" customHeight="1">
      <c r="A486" s="100" t="str">
        <f>VLOOKUP(C486,Abstract!$E$4:$M$62,9,0)</f>
        <v>No Sales</v>
      </c>
      <c r="B486" s="99" t="s">
        <v>183</v>
      </c>
      <c r="C486" s="124" t="s">
        <v>44</v>
      </c>
      <c r="D486" s="124" t="s">
        <v>45</v>
      </c>
      <c r="E486" s="99" t="s">
        <v>191</v>
      </c>
      <c r="F486" s="95" t="s">
        <v>192</v>
      </c>
      <c r="G486" s="109">
        <v>1.5625</v>
      </c>
      <c r="H486" s="104">
        <f>VLOOKUP($E486,'Stock statement'!$D$2:$P$384,13,)</f>
        <v>44.985440769279101</v>
      </c>
      <c r="I486" s="112">
        <v>0.02</v>
      </c>
      <c r="J486" s="113">
        <v>1</v>
      </c>
      <c r="K486" s="106">
        <f t="shared" si="41"/>
        <v>71.695546226038573</v>
      </c>
      <c r="L486" s="98"/>
      <c r="M486" s="110">
        <f t="shared" si="42"/>
        <v>0.8259326925239644</v>
      </c>
    </row>
    <row r="487" spans="1:13" s="107" customFormat="1" ht="15" customHeight="1">
      <c r="A487" s="100" t="str">
        <f>VLOOKUP(C487,Abstract!$E$4:$M$62,9,0)</f>
        <v>No Sales</v>
      </c>
      <c r="B487" s="99" t="s">
        <v>346</v>
      </c>
      <c r="C487" s="124" t="s">
        <v>44</v>
      </c>
      <c r="D487" s="124" t="s">
        <v>45</v>
      </c>
      <c r="E487" s="99" t="s">
        <v>347</v>
      </c>
      <c r="F487" s="99" t="s">
        <v>347</v>
      </c>
      <c r="G487" s="109"/>
      <c r="H487" s="104"/>
      <c r="I487" s="100"/>
      <c r="J487" s="113"/>
      <c r="K487" s="106">
        <f>7050.28472222222-6914</f>
        <v>136.2847222222199</v>
      </c>
      <c r="L487" s="98"/>
      <c r="M487" s="110">
        <f>K487/$G$484</f>
        <v>1.5699999999999732</v>
      </c>
    </row>
    <row r="488" spans="1:13" s="107" customFormat="1" ht="15" customHeight="1">
      <c r="A488" s="100" t="str">
        <f>VLOOKUP(C488,Abstract!$E$4:$M$62,9,0)</f>
        <v>No Sales</v>
      </c>
      <c r="B488" s="99" t="s">
        <v>197</v>
      </c>
      <c r="C488" s="124" t="s">
        <v>44</v>
      </c>
      <c r="D488" s="124" t="s">
        <v>45</v>
      </c>
      <c r="E488" s="99" t="s">
        <v>198</v>
      </c>
      <c r="F488" s="99"/>
      <c r="G488" s="109"/>
      <c r="H488" s="104"/>
      <c r="I488" s="125"/>
      <c r="J488" s="113"/>
      <c r="K488" s="106">
        <v>6180</v>
      </c>
      <c r="L488" s="98">
        <f>SUM(K464:K488)</f>
        <v>59170.099957609847</v>
      </c>
      <c r="M488" s="110">
        <f t="shared" si="42"/>
        <v>71.193600000000004</v>
      </c>
    </row>
    <row r="489" spans="1:13" s="107" customFormat="1" ht="15" customHeight="1">
      <c r="A489" s="100" t="str">
        <f>VLOOKUP(C489,Abstract!$E$4:$M$62,9,0)</f>
        <v>No Sales</v>
      </c>
      <c r="B489" s="95" t="s">
        <v>138</v>
      </c>
      <c r="C489" s="132" t="s">
        <v>48</v>
      </c>
      <c r="D489" s="100" t="s">
        <v>348</v>
      </c>
      <c r="E489" s="99" t="s">
        <v>141</v>
      </c>
      <c r="F489" s="108" t="s">
        <v>142</v>
      </c>
      <c r="G489" s="109">
        <v>185.7</v>
      </c>
      <c r="H489" s="104">
        <f>VLOOKUP($E489,'Stock statement'!$D$2:$P$384,13,)</f>
        <v>94.278330452007026</v>
      </c>
      <c r="I489" s="121">
        <v>2.5000000000000001E-2</v>
      </c>
      <c r="J489" s="116">
        <v>1.0249999999999999</v>
      </c>
      <c r="K489" s="106">
        <f>+G489*H489*(1+I489)*J489</f>
        <v>18393.80244191267</v>
      </c>
      <c r="L489" s="115"/>
      <c r="M489" s="104">
        <f>K489/$G$515</f>
        <v>79.461226549062729</v>
      </c>
    </row>
    <row r="490" spans="1:13" s="107" customFormat="1" ht="15" customHeight="1">
      <c r="A490" s="100" t="str">
        <f>VLOOKUP(C490,Abstract!$E$4:$M$62,9,0)</f>
        <v>No Sales</v>
      </c>
      <c r="B490" s="95" t="s">
        <v>138</v>
      </c>
      <c r="C490" s="132" t="s">
        <v>48</v>
      </c>
      <c r="D490" s="100" t="s">
        <v>348</v>
      </c>
      <c r="E490" s="99" t="s">
        <v>145</v>
      </c>
      <c r="F490" s="102" t="s">
        <v>146</v>
      </c>
      <c r="G490" s="109">
        <v>17.5</v>
      </c>
      <c r="H490" s="104">
        <f>VLOOKUP($E490,'Stock statement'!$D$2:$P$384,13,)</f>
        <v>151.08681180977209</v>
      </c>
      <c r="I490" s="121">
        <v>2.5000000000000001E-2</v>
      </c>
      <c r="J490" s="116">
        <v>1.0249999999999999</v>
      </c>
      <c r="K490" s="106">
        <f t="shared" ref="K490:K516" si="44">+G490*H490*(1+I490)*J490</f>
        <v>2777.8726790087308</v>
      </c>
      <c r="L490" s="115"/>
      <c r="M490" s="104">
        <f t="shared" ref="M490:M518" si="45">K490/$G$515</f>
        <v>12.000409973317716</v>
      </c>
    </row>
    <row r="491" spans="1:13" s="107" customFormat="1" ht="15" customHeight="1">
      <c r="A491" s="100" t="str">
        <f>VLOOKUP(C491,Abstract!$E$4:$M$62,9,0)</f>
        <v>No Sales</v>
      </c>
      <c r="B491" s="95" t="s">
        <v>138</v>
      </c>
      <c r="C491" s="132" t="s">
        <v>48</v>
      </c>
      <c r="D491" s="100" t="s">
        <v>348</v>
      </c>
      <c r="E491" s="99" t="s">
        <v>308</v>
      </c>
      <c r="F491" s="99" t="s">
        <v>309</v>
      </c>
      <c r="G491" s="109">
        <v>1E-3</v>
      </c>
      <c r="H491" s="104">
        <f>VLOOKUP($E491,'Stock statement'!$D$2:$P$384,13,)</f>
        <v>0</v>
      </c>
      <c r="I491" s="121">
        <v>2.5000000000000001E-2</v>
      </c>
      <c r="J491" s="116">
        <v>1.0249999999999999</v>
      </c>
      <c r="K491" s="106">
        <f t="shared" si="44"/>
        <v>0</v>
      </c>
      <c r="L491" s="115"/>
      <c r="M491" s="104">
        <f t="shared" si="45"/>
        <v>0</v>
      </c>
    </row>
    <row r="492" spans="1:13" s="107" customFormat="1" ht="15" customHeight="1">
      <c r="A492" s="100" t="str">
        <f>VLOOKUP(C492,Abstract!$E$4:$M$62,9,0)</f>
        <v>No Sales</v>
      </c>
      <c r="B492" s="95" t="s">
        <v>138</v>
      </c>
      <c r="C492" s="132" t="s">
        <v>48</v>
      </c>
      <c r="D492" s="100" t="s">
        <v>348</v>
      </c>
      <c r="E492" s="99" t="s">
        <v>149</v>
      </c>
      <c r="F492" s="99" t="s">
        <v>150</v>
      </c>
      <c r="G492" s="109">
        <v>0.15</v>
      </c>
      <c r="H492" s="104">
        <f>VLOOKUP($E492,'Stock statement'!$D$2:$P$384,13,)</f>
        <v>161.56941474217822</v>
      </c>
      <c r="I492" s="121">
        <v>2.5000000000000001E-2</v>
      </c>
      <c r="J492" s="116">
        <v>1.0249999999999999</v>
      </c>
      <c r="K492" s="106">
        <f t="shared" si="44"/>
        <v>25.462329954525146</v>
      </c>
      <c r="L492" s="115"/>
      <c r="M492" s="104">
        <f t="shared" si="45"/>
        <v>0.10999726540354862</v>
      </c>
    </row>
    <row r="493" spans="1:13" s="107" customFormat="1" ht="15" customHeight="1">
      <c r="A493" s="100" t="str">
        <f>VLOOKUP(C493,Abstract!$E$4:$M$62,9,0)</f>
        <v>No Sales</v>
      </c>
      <c r="B493" s="95" t="s">
        <v>138</v>
      </c>
      <c r="C493" s="132" t="s">
        <v>48</v>
      </c>
      <c r="D493" s="100" t="s">
        <v>348</v>
      </c>
      <c r="E493" s="99" t="s">
        <v>151</v>
      </c>
      <c r="F493" s="99" t="s">
        <v>310</v>
      </c>
      <c r="G493" s="109">
        <v>2.5</v>
      </c>
      <c r="H493" s="104">
        <f>VLOOKUP($E493,'Stock statement'!$D$2:$P$384,13,)</f>
        <v>762.38931335604309</v>
      </c>
      <c r="I493" s="121">
        <v>2.5000000000000001E-2</v>
      </c>
      <c r="J493" s="116">
        <v>1.0249999999999999</v>
      </c>
      <c r="K493" s="106">
        <f t="shared" si="44"/>
        <v>2002.4631808617316</v>
      </c>
      <c r="L493" s="115"/>
      <c r="M493" s="104">
        <f t="shared" si="45"/>
        <v>8.6506409413226795</v>
      </c>
    </row>
    <row r="494" spans="1:13" s="107" customFormat="1" ht="15" customHeight="1">
      <c r="A494" s="100" t="str">
        <f>VLOOKUP(C494,Abstract!$E$4:$M$62,9,0)</f>
        <v>No Sales</v>
      </c>
      <c r="B494" s="95" t="s">
        <v>138</v>
      </c>
      <c r="C494" s="132" t="s">
        <v>48</v>
      </c>
      <c r="D494" s="100" t="s">
        <v>348</v>
      </c>
      <c r="E494" s="99" t="s">
        <v>153</v>
      </c>
      <c r="F494" s="99" t="s">
        <v>349</v>
      </c>
      <c r="G494" s="109">
        <v>0.75</v>
      </c>
      <c r="H494" s="104">
        <f>VLOOKUP($E494,'Stock statement'!$D$2:$P$384,13,)</f>
        <v>84.206363687840948</v>
      </c>
      <c r="I494" s="121">
        <v>2.5000000000000001E-2</v>
      </c>
      <c r="J494" s="116">
        <v>1.0249999999999999</v>
      </c>
      <c r="K494" s="106">
        <f t="shared" si="44"/>
        <v>66.351983137153411</v>
      </c>
      <c r="L494" s="115"/>
      <c r="M494" s="104">
        <f t="shared" si="45"/>
        <v>0.28664056715250275</v>
      </c>
    </row>
    <row r="495" spans="1:13" s="107" customFormat="1" ht="15" customHeight="1">
      <c r="A495" s="100" t="str">
        <f>VLOOKUP(C495,Abstract!$E$4:$M$62,9,0)</f>
        <v>No Sales</v>
      </c>
      <c r="B495" s="95" t="s">
        <v>138</v>
      </c>
      <c r="C495" s="132" t="s">
        <v>48</v>
      </c>
      <c r="D495" s="100" t="s">
        <v>348</v>
      </c>
      <c r="E495" s="99" t="s">
        <v>155</v>
      </c>
      <c r="F495" s="99" t="s">
        <v>156</v>
      </c>
      <c r="G495" s="109">
        <v>10</v>
      </c>
      <c r="H495" s="104">
        <f>VLOOKUP($E495,'Stock statement'!$D$2:$P$384,13,)</f>
        <v>68.308211638055738</v>
      </c>
      <c r="I495" s="121">
        <v>2.5000000000000001E-2</v>
      </c>
      <c r="J495" s="116">
        <v>1.0249999999999999</v>
      </c>
      <c r="K495" s="106">
        <f t="shared" si="44"/>
        <v>717.66314852232301</v>
      </c>
      <c r="L495" s="115"/>
      <c r="M495" s="104">
        <f t="shared" si="45"/>
        <v>3.1003048016164354</v>
      </c>
    </row>
    <row r="496" spans="1:13" s="107" customFormat="1" ht="15" customHeight="1">
      <c r="A496" s="100" t="str">
        <f>VLOOKUP(C496,Abstract!$E$4:$M$62,9,0)</f>
        <v>No Sales</v>
      </c>
      <c r="B496" s="95" t="s">
        <v>138</v>
      </c>
      <c r="C496" s="132" t="s">
        <v>48</v>
      </c>
      <c r="D496" s="100" t="s">
        <v>348</v>
      </c>
      <c r="E496" s="99" t="s">
        <v>157</v>
      </c>
      <c r="F496" s="102" t="s">
        <v>158</v>
      </c>
      <c r="G496" s="109">
        <f>1.75/2</f>
        <v>0.875</v>
      </c>
      <c r="H496" s="104">
        <f>VLOOKUP($E496,'Stock statement'!$D$2:$P$384,13,)</f>
        <v>828.81974703846117</v>
      </c>
      <c r="I496" s="121">
        <v>2.5000000000000001E-2</v>
      </c>
      <c r="J496" s="116">
        <v>1.0249999999999999</v>
      </c>
      <c r="K496" s="106">
        <f t="shared" si="44"/>
        <v>761.93140339074773</v>
      </c>
      <c r="L496" s="115"/>
      <c r="M496" s="104">
        <f t="shared" si="45"/>
        <v>3.2915436626480301</v>
      </c>
    </row>
    <row r="497" spans="1:13" s="107" customFormat="1" ht="15" customHeight="1">
      <c r="A497" s="100" t="str">
        <f>VLOOKUP(C497,Abstract!$E$4:$M$62,9,0)</f>
        <v>No Sales</v>
      </c>
      <c r="B497" s="95" t="s">
        <v>138</v>
      </c>
      <c r="C497" s="132" t="s">
        <v>48</v>
      </c>
      <c r="D497" s="100" t="s">
        <v>348</v>
      </c>
      <c r="E497" s="157">
        <v>115150</v>
      </c>
      <c r="F497" s="95" t="s">
        <v>159</v>
      </c>
      <c r="G497" s="109">
        <f>1.75/2</f>
        <v>0.875</v>
      </c>
      <c r="H497" s="104">
        <f>VLOOKUP($E497,'Stock statement'!$D$2:$P$384,13,)</f>
        <v>456.30699446392703</v>
      </c>
      <c r="I497" s="121">
        <v>2.5000000000000001E-2</v>
      </c>
      <c r="J497" s="116">
        <v>1.0249999999999999</v>
      </c>
      <c r="K497" s="106">
        <f t="shared" ref="K497" si="46">+G497*H497*(1+I497)*J497</f>
        <v>419.48159405133038</v>
      </c>
      <c r="L497" s="115"/>
      <c r="M497" s="104">
        <f t="shared" si="45"/>
        <v>1.8121604863017471</v>
      </c>
    </row>
    <row r="498" spans="1:13" s="107" customFormat="1" ht="15" customHeight="1">
      <c r="A498" s="100" t="str">
        <f>VLOOKUP(C498,Abstract!$E$4:$M$62,9,0)</f>
        <v>No Sales</v>
      </c>
      <c r="B498" s="95" t="s">
        <v>138</v>
      </c>
      <c r="C498" s="132" t="s">
        <v>48</v>
      </c>
      <c r="D498" s="100" t="s">
        <v>348</v>
      </c>
      <c r="E498" s="99" t="s">
        <v>160</v>
      </c>
      <c r="F498" s="108" t="s">
        <v>161</v>
      </c>
      <c r="G498" s="109">
        <v>0.3</v>
      </c>
      <c r="H498" s="104">
        <f>VLOOKUP($E498,'Stock statement'!$D$2:$P$384,13,)</f>
        <v>3313.2387673094586</v>
      </c>
      <c r="I498" s="121">
        <v>2.5000000000000001E-2</v>
      </c>
      <c r="J498" s="116">
        <v>1.0249999999999999</v>
      </c>
      <c r="K498" s="106">
        <f t="shared" si="44"/>
        <v>1044.2914439713497</v>
      </c>
      <c r="L498" s="115"/>
      <c r="M498" s="104">
        <f t="shared" si="45"/>
        <v>4.5113390379562306</v>
      </c>
    </row>
    <row r="499" spans="1:13" s="107" customFormat="1" ht="15" customHeight="1">
      <c r="A499" s="100" t="str">
        <f>VLOOKUP(C499,Abstract!$E$4:$M$62,9,0)</f>
        <v>No Sales</v>
      </c>
      <c r="B499" s="95" t="s">
        <v>138</v>
      </c>
      <c r="C499" s="132" t="s">
        <v>48</v>
      </c>
      <c r="D499" s="100" t="s">
        <v>348</v>
      </c>
      <c r="E499" s="99" t="s">
        <v>147</v>
      </c>
      <c r="F499" s="95" t="s">
        <v>148</v>
      </c>
      <c r="G499" s="109">
        <v>0.5</v>
      </c>
      <c r="H499" s="104">
        <f>VLOOKUP($E499,'Stock statement'!$D$2:$P$384,13,)</f>
        <v>353.50950483838068</v>
      </c>
      <c r="I499" s="121">
        <v>2.5000000000000001E-2</v>
      </c>
      <c r="J499" s="116">
        <v>1.0249999999999999</v>
      </c>
      <c r="K499" s="106">
        <f t="shared" si="44"/>
        <v>185.70296176041182</v>
      </c>
      <c r="L499" s="115"/>
      <c r="M499" s="104">
        <f t="shared" si="45"/>
        <v>0.802236794804979</v>
      </c>
    </row>
    <row r="500" spans="1:13" s="107" customFormat="1" ht="15" customHeight="1">
      <c r="A500" s="100" t="str">
        <f>VLOOKUP(C500,Abstract!$E$4:$M$62,9,0)</f>
        <v>No Sales</v>
      </c>
      <c r="B500" s="95" t="s">
        <v>138</v>
      </c>
      <c r="C500" s="132" t="s">
        <v>48</v>
      </c>
      <c r="D500" s="100" t="s">
        <v>348</v>
      </c>
      <c r="E500" s="99" t="s">
        <v>223</v>
      </c>
      <c r="F500" s="99" t="s">
        <v>224</v>
      </c>
      <c r="G500" s="109">
        <v>0.12</v>
      </c>
      <c r="H500" s="104">
        <f>VLOOKUP($E500,'Stock statement'!$D$2:$P$384,13,)</f>
        <v>661.66658982809031</v>
      </c>
      <c r="I500" s="121">
        <v>2.5000000000000001E-2</v>
      </c>
      <c r="J500" s="116">
        <v>1.0249999999999999</v>
      </c>
      <c r="K500" s="106">
        <f t="shared" si="44"/>
        <v>83.419615312576468</v>
      </c>
      <c r="L500" s="115"/>
      <c r="M500" s="104">
        <f t="shared" si="45"/>
        <v>0.36037273815033033</v>
      </c>
    </row>
    <row r="501" spans="1:13" s="107" customFormat="1" ht="15" customHeight="1">
      <c r="A501" s="100" t="str">
        <f>VLOOKUP(C501,Abstract!$E$4:$M$62,9,0)</f>
        <v>No Sales</v>
      </c>
      <c r="B501" s="95" t="s">
        <v>138</v>
      </c>
      <c r="C501" s="132" t="s">
        <v>48</v>
      </c>
      <c r="D501" s="100" t="s">
        <v>348</v>
      </c>
      <c r="E501" s="99" t="s">
        <v>162</v>
      </c>
      <c r="F501" s="95" t="s">
        <v>163</v>
      </c>
      <c r="G501" s="109">
        <v>0.112</v>
      </c>
      <c r="H501" s="104">
        <f>VLOOKUP($E501,'Stock statement'!$D$2:$P$384,13,)</f>
        <v>348.44830167161894</v>
      </c>
      <c r="I501" s="121">
        <v>2.5000000000000001E-2</v>
      </c>
      <c r="J501" s="116">
        <v>1.0249999999999999</v>
      </c>
      <c r="K501" s="106">
        <f t="shared" si="44"/>
        <v>41.001911657699395</v>
      </c>
      <c r="L501" s="115"/>
      <c r="M501" s="104">
        <f t="shared" si="45"/>
        <v>0.17712825836126136</v>
      </c>
    </row>
    <row r="502" spans="1:13" s="107" customFormat="1" ht="15" customHeight="1">
      <c r="A502" s="100" t="str">
        <f>VLOOKUP(C502,Abstract!$E$4:$M$62,9,0)</f>
        <v>No Sales</v>
      </c>
      <c r="B502" s="95" t="s">
        <v>138</v>
      </c>
      <c r="C502" s="132" t="s">
        <v>48</v>
      </c>
      <c r="D502" s="100" t="s">
        <v>348</v>
      </c>
      <c r="E502" s="99">
        <v>115071</v>
      </c>
      <c r="F502" s="99" t="s">
        <v>311</v>
      </c>
      <c r="G502" s="109">
        <v>0.6</v>
      </c>
      <c r="H502" s="104">
        <f>VLOOKUP($E502,'Stock statement'!$D$2:$P$384,13,)</f>
        <v>195.04600880394028</v>
      </c>
      <c r="I502" s="121">
        <v>2.5000000000000001E-2</v>
      </c>
      <c r="J502" s="116">
        <v>1.0249999999999999</v>
      </c>
      <c r="K502" s="106">
        <f t="shared" si="44"/>
        <v>122.95212779978382</v>
      </c>
      <c r="L502" s="115"/>
      <c r="M502" s="104">
        <f t="shared" si="45"/>
        <v>0.53115319209506606</v>
      </c>
    </row>
    <row r="503" spans="1:13" s="107" customFormat="1" ht="15" customHeight="1">
      <c r="A503" s="100" t="str">
        <f>VLOOKUP(C503,Abstract!$E$4:$M$62,9,0)</f>
        <v>No Sales</v>
      </c>
      <c r="B503" s="95" t="s">
        <v>138</v>
      </c>
      <c r="C503" s="132" t="s">
        <v>48</v>
      </c>
      <c r="D503" s="100" t="s">
        <v>348</v>
      </c>
      <c r="E503" s="99" t="s">
        <v>350</v>
      </c>
      <c r="F503" s="99" t="s">
        <v>351</v>
      </c>
      <c r="G503" s="109">
        <v>0.248</v>
      </c>
      <c r="H503" s="104">
        <f>VLOOKUP($E503,'Stock statement'!$D$2:$P$384,13,)</f>
        <v>0</v>
      </c>
      <c r="I503" s="121">
        <v>2.5000000000000001E-2</v>
      </c>
      <c r="J503" s="116">
        <v>1.0249999999999999</v>
      </c>
      <c r="K503" s="106">
        <f t="shared" si="44"/>
        <v>0</v>
      </c>
      <c r="L503" s="115"/>
      <c r="M503" s="104">
        <f t="shared" si="45"/>
        <v>0</v>
      </c>
    </row>
    <row r="504" spans="1:13" s="107" customFormat="1" ht="15" customHeight="1">
      <c r="A504" s="100" t="str">
        <f>VLOOKUP(C504,Abstract!$E$4:$M$62,9,0)</f>
        <v>No Sales</v>
      </c>
      <c r="B504" s="95" t="s">
        <v>138</v>
      </c>
      <c r="C504" s="132" t="s">
        <v>48</v>
      </c>
      <c r="D504" s="100" t="s">
        <v>348</v>
      </c>
      <c r="E504" s="99" t="s">
        <v>166</v>
      </c>
      <c r="F504" s="99" t="s">
        <v>167</v>
      </c>
      <c r="G504" s="109">
        <v>2.5</v>
      </c>
      <c r="H504" s="104">
        <f>VLOOKUP($E504,'Stock statement'!$D$2:$P$384,13,)</f>
        <v>127.15913438761541</v>
      </c>
      <c r="I504" s="121">
        <v>2.5000000000000001E-2</v>
      </c>
      <c r="J504" s="116">
        <v>1.0249999999999999</v>
      </c>
      <c r="K504" s="106">
        <f t="shared" si="44"/>
        <v>333.99141391497102</v>
      </c>
      <c r="L504" s="115"/>
      <c r="M504" s="104">
        <f t="shared" si="45"/>
        <v>1.4428429081126748</v>
      </c>
    </row>
    <row r="505" spans="1:13" s="107" customFormat="1" ht="15" customHeight="1">
      <c r="A505" s="100" t="str">
        <f>VLOOKUP(C505,Abstract!$E$4:$M$62,9,0)</f>
        <v>No Sales</v>
      </c>
      <c r="B505" s="95" t="s">
        <v>138</v>
      </c>
      <c r="C505" s="132" t="s">
        <v>48</v>
      </c>
      <c r="D505" s="100" t="s">
        <v>348</v>
      </c>
      <c r="E505" s="99" t="s">
        <v>209</v>
      </c>
      <c r="F505" s="99" t="s">
        <v>210</v>
      </c>
      <c r="G505" s="109">
        <v>20</v>
      </c>
      <c r="H505" s="104">
        <f>VLOOKUP($E505,'Stock statement'!$D$2:$P$384,13,)</f>
        <v>220.67282625366343</v>
      </c>
      <c r="I505" s="121">
        <v>2.5000000000000001E-2</v>
      </c>
      <c r="J505" s="116">
        <v>1.0249999999999999</v>
      </c>
      <c r="K505" s="106">
        <f t="shared" si="44"/>
        <v>4636.8877616551026</v>
      </c>
      <c r="L505" s="115"/>
      <c r="M505" s="104">
        <f t="shared" si="45"/>
        <v>20.031355130350043</v>
      </c>
    </row>
    <row r="506" spans="1:13" s="107" customFormat="1" ht="15" customHeight="1">
      <c r="A506" s="100" t="str">
        <f>VLOOKUP(C506,Abstract!$E$4:$M$62,9,0)</f>
        <v>No Sales</v>
      </c>
      <c r="B506" s="95" t="s">
        <v>138</v>
      </c>
      <c r="C506" s="132" t="s">
        <v>48</v>
      </c>
      <c r="D506" s="100" t="s">
        <v>348</v>
      </c>
      <c r="E506" s="99" t="s">
        <v>352</v>
      </c>
      <c r="F506" s="99" t="s">
        <v>353</v>
      </c>
      <c r="G506" s="109">
        <v>0.01</v>
      </c>
      <c r="H506" s="104">
        <f>VLOOKUP($E506,'Stock statement'!$D$2:$P$384,13,)</f>
        <v>3003.7807644658751</v>
      </c>
      <c r="I506" s="121">
        <v>2.5000000000000001E-2</v>
      </c>
      <c r="J506" s="116">
        <v>1.0249999999999999</v>
      </c>
      <c r="K506" s="106">
        <f t="shared" si="44"/>
        <v>31.558471656669596</v>
      </c>
      <c r="L506" s="115"/>
      <c r="M506" s="104">
        <f t="shared" si="45"/>
        <v>0.13633259755681265</v>
      </c>
    </row>
    <row r="507" spans="1:13" s="107" customFormat="1" ht="15" customHeight="1">
      <c r="A507" s="100" t="str">
        <f>VLOOKUP(C507,Abstract!$E$4:$M$62,9,0)</f>
        <v>No Sales</v>
      </c>
      <c r="B507" s="95" t="s">
        <v>138</v>
      </c>
      <c r="C507" s="132" t="s">
        <v>48</v>
      </c>
      <c r="D507" s="100" t="s">
        <v>348</v>
      </c>
      <c r="E507" s="99" t="s">
        <v>354</v>
      </c>
      <c r="F507" s="99" t="s">
        <v>355</v>
      </c>
      <c r="G507" s="109">
        <v>0.01</v>
      </c>
      <c r="H507" s="104">
        <f>VLOOKUP($E507,'Stock statement'!$D$2:$P$384,13,)</f>
        <v>257.60769230769233</v>
      </c>
      <c r="I507" s="121">
        <v>2.5000000000000001E-2</v>
      </c>
      <c r="J507" s="116">
        <v>1.0249999999999999</v>
      </c>
      <c r="K507" s="106">
        <f t="shared" si="44"/>
        <v>2.7064908173076923</v>
      </c>
      <c r="L507" s="115"/>
      <c r="M507" s="104">
        <f t="shared" si="45"/>
        <v>1.169204033076923E-2</v>
      </c>
    </row>
    <row r="508" spans="1:13" s="107" customFormat="1" ht="15" customHeight="1">
      <c r="A508" s="100" t="str">
        <f>VLOOKUP(C508,Abstract!$E$4:$M$62,9,0)</f>
        <v>No Sales</v>
      </c>
      <c r="B508" s="95" t="s">
        <v>138</v>
      </c>
      <c r="C508" s="132" t="s">
        <v>48</v>
      </c>
      <c r="D508" s="100" t="s">
        <v>348</v>
      </c>
      <c r="E508" s="99" t="s">
        <v>339</v>
      </c>
      <c r="F508" s="99" t="s">
        <v>356</v>
      </c>
      <c r="G508" s="109">
        <v>5.85</v>
      </c>
      <c r="H508" s="104">
        <f>VLOOKUP($E508,'Stock statement'!$D$2:$P$384,13,)</f>
        <v>890.49821899777828</v>
      </c>
      <c r="I508" s="121">
        <v>2.5000000000000001E-2</v>
      </c>
      <c r="J508" s="116">
        <v>1.0249999999999999</v>
      </c>
      <c r="K508" s="106">
        <f t="shared" si="44"/>
        <v>5473.1411943070625</v>
      </c>
      <c r="L508" s="115"/>
      <c r="M508" s="104">
        <f t="shared" si="45"/>
        <v>23.643969959406508</v>
      </c>
    </row>
    <row r="509" spans="1:13" s="107" customFormat="1" ht="15" customHeight="1">
      <c r="A509" s="100" t="str">
        <f>VLOOKUP(C509,Abstract!$E$4:$M$62,9,0)</f>
        <v>No Sales</v>
      </c>
      <c r="B509" s="95" t="s">
        <v>138</v>
      </c>
      <c r="C509" s="132" t="s">
        <v>48</v>
      </c>
      <c r="D509" s="100" t="s">
        <v>348</v>
      </c>
      <c r="E509" s="99" t="s">
        <v>341</v>
      </c>
      <c r="F509" s="99" t="s">
        <v>357</v>
      </c>
      <c r="G509" s="109">
        <v>0.65</v>
      </c>
      <c r="H509" s="104">
        <f>VLOOKUP($E509,'Stock statement'!$D$2:$P$384,13,)</f>
        <v>927.16271256930133</v>
      </c>
      <c r="I509" s="121">
        <v>2.5000000000000001E-2</v>
      </c>
      <c r="J509" s="116">
        <v>1.0249999999999999</v>
      </c>
      <c r="K509" s="106">
        <f t="shared" si="44"/>
        <v>633.16521118052935</v>
      </c>
      <c r="L509" s="115"/>
      <c r="M509" s="104">
        <f t="shared" si="45"/>
        <v>2.7352737122998865</v>
      </c>
    </row>
    <row r="510" spans="1:13" s="107" customFormat="1" ht="15" customHeight="1">
      <c r="A510" s="100" t="str">
        <f>VLOOKUP(C510,Abstract!$E$4:$M$62,9,0)</f>
        <v>No Sales</v>
      </c>
      <c r="B510" s="95" t="s">
        <v>138</v>
      </c>
      <c r="C510" s="132" t="s">
        <v>48</v>
      </c>
      <c r="D510" s="100" t="s">
        <v>348</v>
      </c>
      <c r="E510" s="99" t="s">
        <v>179</v>
      </c>
      <c r="F510" s="102" t="s">
        <v>180</v>
      </c>
      <c r="G510" s="109">
        <v>0.5</v>
      </c>
      <c r="H510" s="104">
        <f>VLOOKUP($E510,'Stock statement'!$D$2:$P$384,13,)</f>
        <v>1036.4956269221443</v>
      </c>
      <c r="I510" s="121">
        <v>2.5000000000000001E-2</v>
      </c>
      <c r="J510" s="116">
        <v>1.0249999999999999</v>
      </c>
      <c r="K510" s="106">
        <f t="shared" si="44"/>
        <v>544.48410901753891</v>
      </c>
      <c r="L510" s="115"/>
      <c r="M510" s="104">
        <f t="shared" si="45"/>
        <v>2.3521713509557678</v>
      </c>
    </row>
    <row r="511" spans="1:13" s="107" customFormat="1" ht="15" customHeight="1">
      <c r="A511" s="100" t="str">
        <f>VLOOKUP(C511,Abstract!$E$4:$M$62,9,0)</f>
        <v>No Sales</v>
      </c>
      <c r="B511" s="95" t="s">
        <v>138</v>
      </c>
      <c r="C511" s="132" t="s">
        <v>48</v>
      </c>
      <c r="D511" s="100" t="s">
        <v>348</v>
      </c>
      <c r="E511" s="99" t="s">
        <v>181</v>
      </c>
      <c r="F511" s="102" t="s">
        <v>182</v>
      </c>
      <c r="G511" s="109">
        <v>10</v>
      </c>
      <c r="H511" s="104">
        <f>VLOOKUP($E511,'Stock statement'!$D$2:$P$384,13,)</f>
        <v>17.110276913020375</v>
      </c>
      <c r="I511" s="121">
        <v>2.5000000000000001E-2</v>
      </c>
      <c r="J511" s="116">
        <v>1.0249999999999999</v>
      </c>
      <c r="K511" s="106">
        <f t="shared" si="44"/>
        <v>179.76484681742028</v>
      </c>
      <c r="L511" s="115"/>
      <c r="M511" s="104">
        <f t="shared" si="45"/>
        <v>0.77658413825125561</v>
      </c>
    </row>
    <row r="512" spans="1:13" s="107" customFormat="1" ht="15" customHeight="1">
      <c r="A512" s="100" t="str">
        <f>VLOOKUP(C512,Abstract!$E$4:$M$62,9,0)</f>
        <v>No Sales</v>
      </c>
      <c r="B512" s="95" t="s">
        <v>138</v>
      </c>
      <c r="C512" s="132" t="s">
        <v>48</v>
      </c>
      <c r="D512" s="100" t="s">
        <v>348</v>
      </c>
      <c r="E512" s="99" t="s">
        <v>139</v>
      </c>
      <c r="F512" s="102" t="s">
        <v>140</v>
      </c>
      <c r="G512" s="109">
        <f>737.7+2.5</f>
        <v>740.2</v>
      </c>
      <c r="H512" s="104">
        <f>VLOOKUP($E512,'Stock statement'!$D$2:$P$384,13,)</f>
        <v>0.34</v>
      </c>
      <c r="I512" s="121">
        <v>2.5000000000000001E-2</v>
      </c>
      <c r="J512" s="116">
        <v>1.0249999999999999</v>
      </c>
      <c r="K512" s="106">
        <f t="shared" si="44"/>
        <v>264.40869249999997</v>
      </c>
      <c r="L512" s="115"/>
      <c r="M512" s="104">
        <f t="shared" si="45"/>
        <v>1.1422455515999999</v>
      </c>
    </row>
    <row r="513" spans="1:13" s="107" customFormat="1" ht="15" customHeight="1">
      <c r="A513" s="100" t="str">
        <f>VLOOKUP(C513,Abstract!$E$4:$M$62,9,0)</f>
        <v>No Sales</v>
      </c>
      <c r="B513" s="95" t="s">
        <v>138</v>
      </c>
      <c r="C513" s="132" t="s">
        <v>48</v>
      </c>
      <c r="D513" s="100" t="s">
        <v>348</v>
      </c>
      <c r="E513" s="99">
        <v>110037</v>
      </c>
      <c r="F513" s="99" t="s">
        <v>316</v>
      </c>
      <c r="G513" s="109">
        <v>0.09</v>
      </c>
      <c r="H513" s="104">
        <f>VLOOKUP($E513,'Stock statement'!$D$2:$P$384,13,)</f>
        <v>204</v>
      </c>
      <c r="I513" s="121">
        <v>2.5000000000000001E-2</v>
      </c>
      <c r="J513" s="116">
        <v>1.0249999999999999</v>
      </c>
      <c r="K513" s="106">
        <f t="shared" si="44"/>
        <v>19.289474999999996</v>
      </c>
      <c r="L513" s="115"/>
      <c r="M513" s="104">
        <f t="shared" si="45"/>
        <v>8.3330531999999971E-2</v>
      </c>
    </row>
    <row r="514" spans="1:13" s="107" customFormat="1" ht="15" customHeight="1">
      <c r="A514" s="100" t="str">
        <f>VLOOKUP(C514,Abstract!$E$4:$M$62,9,0)</f>
        <v>No Sales</v>
      </c>
      <c r="B514" s="99" t="s">
        <v>183</v>
      </c>
      <c r="C514" s="132" t="s">
        <v>48</v>
      </c>
      <c r="D514" s="100" t="s">
        <v>348</v>
      </c>
      <c r="E514" s="99">
        <v>213022</v>
      </c>
      <c r="F514" s="99" t="s">
        <v>358</v>
      </c>
      <c r="G514" s="109">
        <v>56.712962962962962</v>
      </c>
      <c r="H514" s="104">
        <f>VLOOKUP($E514,'Stock statement'!$D$2:$P$384,13,)</f>
        <v>0</v>
      </c>
      <c r="I514" s="121">
        <v>1.7500000000000002E-2</v>
      </c>
      <c r="J514" s="113">
        <v>1</v>
      </c>
      <c r="K514" s="106">
        <f t="shared" si="44"/>
        <v>0</v>
      </c>
      <c r="L514" s="115"/>
      <c r="M514" s="104">
        <f t="shared" si="45"/>
        <v>0</v>
      </c>
    </row>
    <row r="515" spans="1:13" s="107" customFormat="1" ht="15" customHeight="1">
      <c r="A515" s="100" t="str">
        <f>VLOOKUP(C515,Abstract!$E$4:$M$62,9,0)</f>
        <v>No Sales</v>
      </c>
      <c r="B515" s="99" t="s">
        <v>183</v>
      </c>
      <c r="C515" s="132" t="s">
        <v>48</v>
      </c>
      <c r="D515" s="100" t="s">
        <v>348</v>
      </c>
      <c r="E515" s="99">
        <v>212475</v>
      </c>
      <c r="F515" s="99" t="s">
        <v>359</v>
      </c>
      <c r="G515" s="109">
        <f>1000/(720*6)*1000</f>
        <v>231.4814814814815</v>
      </c>
      <c r="H515" s="104">
        <f>VLOOKUP($E515,'Stock statement'!$D$2:$P$384,13,)</f>
        <v>61.52</v>
      </c>
      <c r="I515" s="112">
        <v>6.0000000000000001E-3</v>
      </c>
      <c r="J515" s="113">
        <v>1</v>
      </c>
      <c r="K515" s="106">
        <f t="shared" si="44"/>
        <v>14326.185185185188</v>
      </c>
      <c r="L515" s="115"/>
      <c r="M515" s="104">
        <f t="shared" si="45"/>
        <v>61.889120000000005</v>
      </c>
    </row>
    <row r="516" spans="1:13" s="107" customFormat="1" ht="15" customHeight="1">
      <c r="A516" s="100" t="str">
        <f>VLOOKUP(C516,Abstract!$E$4:$M$62,9,0)</f>
        <v>No Sales</v>
      </c>
      <c r="B516" s="99" t="s">
        <v>183</v>
      </c>
      <c r="C516" s="132" t="s">
        <v>48</v>
      </c>
      <c r="D516" s="100" t="s">
        <v>348</v>
      </c>
      <c r="E516" s="99" t="s">
        <v>191</v>
      </c>
      <c r="F516" s="95" t="s">
        <v>192</v>
      </c>
      <c r="G516" s="109">
        <f>+G515*0.042</f>
        <v>9.7222222222222232</v>
      </c>
      <c r="H516" s="104">
        <f>VLOOKUP($E516,'Stock statement'!$D$2:$P$384,13,)</f>
        <v>44.985440769279101</v>
      </c>
      <c r="I516" s="121">
        <v>0.02</v>
      </c>
      <c r="J516" s="113">
        <v>1</v>
      </c>
      <c r="K516" s="106">
        <f t="shared" si="44"/>
        <v>446.10562096201778</v>
      </c>
      <c r="L516" s="115"/>
      <c r="M516" s="104">
        <f t="shared" si="45"/>
        <v>1.9271762825559167</v>
      </c>
    </row>
    <row r="517" spans="1:13" s="107" customFormat="1" ht="15" customHeight="1">
      <c r="A517" s="100" t="str">
        <f>VLOOKUP(C517,Abstract!$E$4:$M$62,9,0)</f>
        <v>No Sales</v>
      </c>
      <c r="B517" s="99" t="s">
        <v>346</v>
      </c>
      <c r="C517" s="132" t="s">
        <v>48</v>
      </c>
      <c r="D517" s="100" t="s">
        <v>348</v>
      </c>
      <c r="E517" s="99" t="s">
        <v>347</v>
      </c>
      <c r="F517" s="99" t="s">
        <v>347</v>
      </c>
      <c r="G517" s="109"/>
      <c r="H517" s="104"/>
      <c r="I517" s="126"/>
      <c r="J517" s="113"/>
      <c r="K517" s="106">
        <v>2968.75</v>
      </c>
      <c r="L517" s="98"/>
      <c r="M517" s="104">
        <f>K517/$G$515</f>
        <v>12.824999999999999</v>
      </c>
    </row>
    <row r="518" spans="1:13" s="107" customFormat="1" ht="15" customHeight="1">
      <c r="A518" s="100" t="str">
        <f>VLOOKUP(C518,Abstract!$E$4:$M$62,9,0)</f>
        <v>No Sales</v>
      </c>
      <c r="B518" s="99" t="s">
        <v>197</v>
      </c>
      <c r="C518" s="132" t="s">
        <v>48</v>
      </c>
      <c r="D518" s="100" t="s">
        <v>348</v>
      </c>
      <c r="E518" s="99" t="s">
        <v>198</v>
      </c>
      <c r="F518" s="99"/>
      <c r="G518" s="109"/>
      <c r="H518" s="104"/>
      <c r="I518" s="126"/>
      <c r="J518" s="113"/>
      <c r="K518" s="106">
        <v>6180</v>
      </c>
      <c r="L518" s="98">
        <f>SUM(K489:K518)</f>
        <v>62682.835294354838</v>
      </c>
      <c r="M518" s="104">
        <f t="shared" si="45"/>
        <v>26.697599999999998</v>
      </c>
    </row>
    <row r="519" spans="1:13" s="107" customFormat="1" ht="15" customHeight="1">
      <c r="A519" s="100" t="str">
        <f>VLOOKUP(C519,Abstract!$E$4:$M$62,9,0)</f>
        <v>ACTIVE</v>
      </c>
      <c r="B519" s="95" t="s">
        <v>138</v>
      </c>
      <c r="C519" s="132" t="s">
        <v>46</v>
      </c>
      <c r="D519" s="100" t="s">
        <v>360</v>
      </c>
      <c r="E519" s="99" t="s">
        <v>139</v>
      </c>
      <c r="F519" s="102" t="s">
        <v>140</v>
      </c>
      <c r="G519" s="109">
        <v>735.65</v>
      </c>
      <c r="H519" s="104">
        <f>VLOOKUP($E519,'Stock statement'!$D$2:$P$384,13,)</f>
        <v>0.34</v>
      </c>
      <c r="I519" s="121">
        <v>2.5000000000000001E-2</v>
      </c>
      <c r="J519" s="116">
        <v>1.0249999999999999</v>
      </c>
      <c r="K519" s="106">
        <f>+G519*H519*(1+I519)*J519</f>
        <v>262.78337562499996</v>
      </c>
      <c r="L519" s="115"/>
      <c r="M519" s="104">
        <f>K519/$G$539</f>
        <v>1.1352241826999998</v>
      </c>
    </row>
    <row r="520" spans="1:13" s="107" customFormat="1" ht="15" customHeight="1">
      <c r="A520" s="100" t="str">
        <f>VLOOKUP(C520,Abstract!$E$4:$M$62,9,0)</f>
        <v>ACTIVE</v>
      </c>
      <c r="B520" s="95" t="s">
        <v>138</v>
      </c>
      <c r="C520" s="132" t="s">
        <v>46</v>
      </c>
      <c r="D520" s="100" t="s">
        <v>360</v>
      </c>
      <c r="E520" s="99" t="s">
        <v>141</v>
      </c>
      <c r="F520" s="108" t="s">
        <v>142</v>
      </c>
      <c r="G520" s="109">
        <v>185.7</v>
      </c>
      <c r="H520" s="104">
        <f>VLOOKUP($E520,'Stock statement'!$D$2:$P$384,13,)</f>
        <v>94.278330452007026</v>
      </c>
      <c r="I520" s="121">
        <v>2.5000000000000001E-2</v>
      </c>
      <c r="J520" s="116">
        <v>1.0249999999999999</v>
      </c>
      <c r="K520" s="106">
        <f t="shared" ref="K520:K568" si="47">+G520*H520*(1+I520)*J520</f>
        <v>18393.80244191267</v>
      </c>
      <c r="L520" s="115"/>
      <c r="M520" s="104">
        <f t="shared" ref="M520:M542" si="48">K520/$G$539</f>
        <v>79.461226549062729</v>
      </c>
    </row>
    <row r="521" spans="1:13" s="107" customFormat="1" ht="15" customHeight="1">
      <c r="A521" s="100" t="str">
        <f>VLOOKUP(C521,Abstract!$E$4:$M$62,9,0)</f>
        <v>ACTIVE</v>
      </c>
      <c r="B521" s="95" t="s">
        <v>138</v>
      </c>
      <c r="C521" s="132" t="s">
        <v>46</v>
      </c>
      <c r="D521" s="100" t="s">
        <v>360</v>
      </c>
      <c r="E521" s="99" t="s">
        <v>145</v>
      </c>
      <c r="F521" s="102" t="s">
        <v>146</v>
      </c>
      <c r="G521" s="109">
        <v>10</v>
      </c>
      <c r="H521" s="104">
        <f>VLOOKUP($E521,'Stock statement'!$D$2:$P$384,13,)</f>
        <v>151.08681180977209</v>
      </c>
      <c r="I521" s="121">
        <v>2.5000000000000001E-2</v>
      </c>
      <c r="J521" s="116">
        <v>1.0249999999999999</v>
      </c>
      <c r="K521" s="106">
        <f t="shared" si="47"/>
        <v>1587.3558165764177</v>
      </c>
      <c r="L521" s="115"/>
      <c r="M521" s="104">
        <f t="shared" si="48"/>
        <v>6.8573771276101239</v>
      </c>
    </row>
    <row r="522" spans="1:13" s="107" customFormat="1" ht="15" customHeight="1">
      <c r="A522" s="100" t="str">
        <f>VLOOKUP(C522,Abstract!$E$4:$M$62,9,0)</f>
        <v>ACTIVE</v>
      </c>
      <c r="B522" s="95" t="s">
        <v>138</v>
      </c>
      <c r="C522" s="132" t="s">
        <v>46</v>
      </c>
      <c r="D522" s="100" t="s">
        <v>360</v>
      </c>
      <c r="E522" s="99" t="s">
        <v>143</v>
      </c>
      <c r="F522" s="108" t="s">
        <v>144</v>
      </c>
      <c r="G522" s="109">
        <v>5</v>
      </c>
      <c r="H522" s="104">
        <f>VLOOKUP($E522,'Stock statement'!$D$2:$P$384,13,)</f>
        <v>178.57970547017939</v>
      </c>
      <c r="I522" s="121">
        <v>2.5000000000000001E-2</v>
      </c>
      <c r="J522" s="116">
        <v>1.0249999999999999</v>
      </c>
      <c r="K522" s="106">
        <f t="shared" si="47"/>
        <v>938.10151529803602</v>
      </c>
      <c r="L522" s="115"/>
      <c r="M522" s="104">
        <f t="shared" si="48"/>
        <v>4.0525985460875154</v>
      </c>
    </row>
    <row r="523" spans="1:13" s="107" customFormat="1" ht="15" customHeight="1">
      <c r="A523" s="100" t="str">
        <f>VLOOKUP(C523,Abstract!$E$4:$M$62,9,0)</f>
        <v>ACTIVE</v>
      </c>
      <c r="B523" s="95" t="s">
        <v>138</v>
      </c>
      <c r="C523" s="132" t="s">
        <v>46</v>
      </c>
      <c r="D523" s="100" t="s">
        <v>360</v>
      </c>
      <c r="E523" s="99" t="s">
        <v>149</v>
      </c>
      <c r="F523" s="99" t="s">
        <v>150</v>
      </c>
      <c r="G523" s="109">
        <v>0.125</v>
      </c>
      <c r="H523" s="104">
        <f>VLOOKUP($E523,'Stock statement'!$D$2:$P$384,13,)</f>
        <v>161.56941474217822</v>
      </c>
      <c r="I523" s="121">
        <v>2.5000000000000001E-2</v>
      </c>
      <c r="J523" s="116">
        <v>1.0249999999999999</v>
      </c>
      <c r="K523" s="106">
        <f t="shared" si="47"/>
        <v>21.218608295437623</v>
      </c>
      <c r="L523" s="115"/>
      <c r="M523" s="104">
        <f t="shared" si="48"/>
        <v>9.1664387836290523E-2</v>
      </c>
    </row>
    <row r="524" spans="1:13" s="107" customFormat="1" ht="15" customHeight="1">
      <c r="A524" s="100" t="str">
        <f>VLOOKUP(C524,Abstract!$E$4:$M$62,9,0)</f>
        <v>ACTIVE</v>
      </c>
      <c r="B524" s="95" t="s">
        <v>138</v>
      </c>
      <c r="C524" s="132" t="s">
        <v>46</v>
      </c>
      <c r="D524" s="100" t="s">
        <v>360</v>
      </c>
      <c r="E524" s="99" t="s">
        <v>151</v>
      </c>
      <c r="F524" s="99" t="s">
        <v>310</v>
      </c>
      <c r="G524" s="109">
        <v>2.5</v>
      </c>
      <c r="H524" s="104">
        <f>VLOOKUP($E524,'Stock statement'!$D$2:$P$384,13,)</f>
        <v>762.38931335604309</v>
      </c>
      <c r="I524" s="121">
        <v>2.5000000000000001E-2</v>
      </c>
      <c r="J524" s="116">
        <v>1.0249999999999999</v>
      </c>
      <c r="K524" s="106">
        <f t="shared" si="47"/>
        <v>2002.4631808617316</v>
      </c>
      <c r="L524" s="115"/>
      <c r="M524" s="104">
        <f t="shared" si="48"/>
        <v>8.6506409413226795</v>
      </c>
    </row>
    <row r="525" spans="1:13" s="107" customFormat="1" ht="15" customHeight="1">
      <c r="A525" s="100" t="str">
        <f>VLOOKUP(C525,Abstract!$E$4:$M$62,9,0)</f>
        <v>ACTIVE</v>
      </c>
      <c r="B525" s="95" t="s">
        <v>138</v>
      </c>
      <c r="C525" s="132" t="s">
        <v>46</v>
      </c>
      <c r="D525" s="100" t="s">
        <v>360</v>
      </c>
      <c r="E525" s="99" t="s">
        <v>157</v>
      </c>
      <c r="F525" s="102" t="s">
        <v>158</v>
      </c>
      <c r="G525" s="109">
        <v>1</v>
      </c>
      <c r="H525" s="104">
        <f>VLOOKUP($E525,'Stock statement'!$D$2:$P$384,13,)</f>
        <v>828.81974703846117</v>
      </c>
      <c r="I525" s="121">
        <v>2.5000000000000001E-2</v>
      </c>
      <c r="J525" s="116">
        <v>1.0249999999999999</v>
      </c>
      <c r="K525" s="106">
        <f t="shared" si="47"/>
        <v>870.77874673228314</v>
      </c>
      <c r="L525" s="115"/>
      <c r="M525" s="104">
        <f t="shared" si="48"/>
        <v>3.7617641858834627</v>
      </c>
    </row>
    <row r="526" spans="1:13" s="107" customFormat="1" ht="15" customHeight="1">
      <c r="A526" s="100" t="str">
        <f>VLOOKUP(C526,Abstract!$E$4:$M$62,9,0)</f>
        <v>ACTIVE</v>
      </c>
      <c r="B526" s="95" t="s">
        <v>138</v>
      </c>
      <c r="C526" s="132" t="s">
        <v>46</v>
      </c>
      <c r="D526" s="100" t="s">
        <v>360</v>
      </c>
      <c r="E526" s="157">
        <v>115150</v>
      </c>
      <c r="F526" s="95" t="s">
        <v>159</v>
      </c>
      <c r="G526" s="109">
        <v>1</v>
      </c>
      <c r="H526" s="104">
        <f>VLOOKUP($E526,'Stock statement'!$D$2:$P$384,13,)</f>
        <v>456.30699446392703</v>
      </c>
      <c r="I526" s="121">
        <v>2.5000000000000001E-2</v>
      </c>
      <c r="J526" s="116">
        <v>1.0249999999999999</v>
      </c>
      <c r="K526" s="106">
        <f t="shared" ref="K526" si="49">+G526*H526*(1+I526)*J526</f>
        <v>479.40753605866325</v>
      </c>
      <c r="L526" s="115"/>
      <c r="M526" s="104">
        <f t="shared" si="48"/>
        <v>2.0710405557734251</v>
      </c>
    </row>
    <row r="527" spans="1:13" s="107" customFormat="1" ht="15" customHeight="1">
      <c r="A527" s="100" t="str">
        <f>VLOOKUP(C527,Abstract!$E$4:$M$62,9,0)</f>
        <v>ACTIVE</v>
      </c>
      <c r="B527" s="95" t="s">
        <v>138</v>
      </c>
      <c r="C527" s="132" t="s">
        <v>46</v>
      </c>
      <c r="D527" s="100" t="s">
        <v>360</v>
      </c>
      <c r="E527" s="99" t="s">
        <v>160</v>
      </c>
      <c r="F527" s="108" t="s">
        <v>161</v>
      </c>
      <c r="G527" s="109">
        <v>0.25</v>
      </c>
      <c r="H527" s="104">
        <f>VLOOKUP($E527,'Stock statement'!$D$2:$P$384,13,)</f>
        <v>3313.2387673094586</v>
      </c>
      <c r="I527" s="121">
        <v>2.5000000000000001E-2</v>
      </c>
      <c r="J527" s="116">
        <v>1.0249999999999999</v>
      </c>
      <c r="K527" s="106">
        <f t="shared" si="47"/>
        <v>870.24286997612489</v>
      </c>
      <c r="L527" s="115"/>
      <c r="M527" s="104">
        <f t="shared" si="48"/>
        <v>3.7594491982968594</v>
      </c>
    </row>
    <row r="528" spans="1:13" s="107" customFormat="1" ht="15" customHeight="1">
      <c r="A528" s="100" t="str">
        <f>VLOOKUP(C528,Abstract!$E$4:$M$62,9,0)</f>
        <v>ACTIVE</v>
      </c>
      <c r="B528" s="95" t="s">
        <v>138</v>
      </c>
      <c r="C528" s="132" t="s">
        <v>46</v>
      </c>
      <c r="D528" s="100" t="s">
        <v>360</v>
      </c>
      <c r="E528" s="99" t="s">
        <v>166</v>
      </c>
      <c r="F528" s="99" t="s">
        <v>167</v>
      </c>
      <c r="G528" s="109">
        <v>2.5</v>
      </c>
      <c r="H528" s="104">
        <f>VLOOKUP($E528,'Stock statement'!$D$2:$P$384,13,)</f>
        <v>127.15913438761541</v>
      </c>
      <c r="I528" s="121">
        <v>2.5000000000000001E-2</v>
      </c>
      <c r="J528" s="116">
        <v>1.0249999999999999</v>
      </c>
      <c r="K528" s="106">
        <f t="shared" si="47"/>
        <v>333.99141391497102</v>
      </c>
      <c r="L528" s="115"/>
      <c r="M528" s="104">
        <f t="shared" si="48"/>
        <v>1.4428429081126748</v>
      </c>
    </row>
    <row r="529" spans="1:13" s="107" customFormat="1" ht="15" customHeight="1">
      <c r="A529" s="100" t="str">
        <f>VLOOKUP(C529,Abstract!$E$4:$M$62,9,0)</f>
        <v>ACTIVE</v>
      </c>
      <c r="B529" s="95" t="s">
        <v>138</v>
      </c>
      <c r="C529" s="132" t="s">
        <v>46</v>
      </c>
      <c r="D529" s="100" t="s">
        <v>360</v>
      </c>
      <c r="E529" s="99" t="s">
        <v>209</v>
      </c>
      <c r="F529" s="99" t="s">
        <v>210</v>
      </c>
      <c r="G529" s="109">
        <v>20</v>
      </c>
      <c r="H529" s="104">
        <f>VLOOKUP($E529,'Stock statement'!$D$2:$P$384,13,)</f>
        <v>220.67282625366343</v>
      </c>
      <c r="I529" s="121">
        <v>2.5000000000000001E-2</v>
      </c>
      <c r="J529" s="116">
        <v>1.0249999999999999</v>
      </c>
      <c r="K529" s="106">
        <f t="shared" si="47"/>
        <v>4636.8877616551026</v>
      </c>
      <c r="L529" s="115"/>
      <c r="M529" s="104">
        <f t="shared" si="48"/>
        <v>20.031355130350043</v>
      </c>
    </row>
    <row r="530" spans="1:13" s="107" customFormat="1" ht="15" customHeight="1">
      <c r="A530" s="100" t="str">
        <f>VLOOKUP(C530,Abstract!$E$4:$M$62,9,0)</f>
        <v>ACTIVE</v>
      </c>
      <c r="B530" s="95" t="s">
        <v>138</v>
      </c>
      <c r="C530" s="132" t="s">
        <v>46</v>
      </c>
      <c r="D530" s="100" t="s">
        <v>360</v>
      </c>
      <c r="E530" s="99" t="s">
        <v>173</v>
      </c>
      <c r="F530" s="95" t="s">
        <v>174</v>
      </c>
      <c r="G530" s="109">
        <v>0.1</v>
      </c>
      <c r="H530" s="104">
        <f>VLOOKUP($E530,'Stock statement'!$D$2:$P$384,13,)</f>
        <v>555.2517156766155</v>
      </c>
      <c r="I530" s="121">
        <v>2.5000000000000001E-2</v>
      </c>
      <c r="J530" s="116">
        <v>1.0249999999999999</v>
      </c>
      <c r="K530" s="106">
        <f t="shared" si="47"/>
        <v>58.336133378274404</v>
      </c>
      <c r="L530" s="115"/>
      <c r="M530" s="104">
        <f t="shared" si="48"/>
        <v>0.25201209619414539</v>
      </c>
    </row>
    <row r="531" spans="1:13" s="107" customFormat="1" ht="15" customHeight="1">
      <c r="A531" s="100" t="str">
        <f>VLOOKUP(C531,Abstract!$E$4:$M$62,9,0)</f>
        <v>ACTIVE</v>
      </c>
      <c r="B531" s="95" t="s">
        <v>138</v>
      </c>
      <c r="C531" s="132" t="s">
        <v>46</v>
      </c>
      <c r="D531" s="100" t="s">
        <v>360</v>
      </c>
      <c r="E531" s="99" t="s">
        <v>153</v>
      </c>
      <c r="F531" s="99" t="s">
        <v>154</v>
      </c>
      <c r="G531" s="109">
        <v>0.67500000000000004</v>
      </c>
      <c r="H531" s="104">
        <f>VLOOKUP($E531,'Stock statement'!$D$2:$P$384,13,)</f>
        <v>84.206363687840948</v>
      </c>
      <c r="I531" s="121">
        <v>2.5000000000000001E-2</v>
      </c>
      <c r="J531" s="116">
        <v>1.0249999999999999</v>
      </c>
      <c r="K531" s="106">
        <f t="shared" si="47"/>
        <v>59.716784823438076</v>
      </c>
      <c r="L531" s="115"/>
      <c r="M531" s="104">
        <f t="shared" si="48"/>
        <v>0.25797651043725245</v>
      </c>
    </row>
    <row r="532" spans="1:13" s="107" customFormat="1" ht="15" customHeight="1">
      <c r="A532" s="100" t="str">
        <f>VLOOKUP(C532,Abstract!$E$4:$M$62,9,0)</f>
        <v>ACTIVE</v>
      </c>
      <c r="B532" s="95" t="s">
        <v>138</v>
      </c>
      <c r="C532" s="132" t="s">
        <v>46</v>
      </c>
      <c r="D532" s="100" t="s">
        <v>360</v>
      </c>
      <c r="E532" s="99" t="s">
        <v>147</v>
      </c>
      <c r="F532" s="95" t="s">
        <v>148</v>
      </c>
      <c r="G532" s="109">
        <v>1</v>
      </c>
      <c r="H532" s="104">
        <f>VLOOKUP($E532,'Stock statement'!$D$2:$P$384,13,)</f>
        <v>353.50950483838068</v>
      </c>
      <c r="I532" s="121">
        <v>2.5000000000000001E-2</v>
      </c>
      <c r="J532" s="116">
        <v>1.0249999999999999</v>
      </c>
      <c r="K532" s="106">
        <f t="shared" si="47"/>
        <v>371.40592352082365</v>
      </c>
      <c r="L532" s="115"/>
      <c r="M532" s="104">
        <f t="shared" si="48"/>
        <v>1.604473589609958</v>
      </c>
    </row>
    <row r="533" spans="1:13" s="107" customFormat="1" ht="15" customHeight="1">
      <c r="A533" s="100" t="str">
        <f>VLOOKUP(C533,Abstract!$E$4:$M$62,9,0)</f>
        <v>ACTIVE</v>
      </c>
      <c r="B533" s="95" t="s">
        <v>138</v>
      </c>
      <c r="C533" s="132" t="s">
        <v>46</v>
      </c>
      <c r="D533" s="100" t="s">
        <v>360</v>
      </c>
      <c r="E533" s="99" t="s">
        <v>179</v>
      </c>
      <c r="F533" s="102" t="s">
        <v>180</v>
      </c>
      <c r="G533" s="109">
        <v>0.5</v>
      </c>
      <c r="H533" s="104">
        <f>VLOOKUP($E533,'Stock statement'!$D$2:$P$384,13,)</f>
        <v>1036.4956269221443</v>
      </c>
      <c r="I533" s="121">
        <v>2.5000000000000001E-2</v>
      </c>
      <c r="J533" s="116">
        <v>1.0249999999999999</v>
      </c>
      <c r="K533" s="106">
        <f t="shared" si="47"/>
        <v>544.48410901753891</v>
      </c>
      <c r="L533" s="115"/>
      <c r="M533" s="104">
        <f t="shared" si="48"/>
        <v>2.3521713509557678</v>
      </c>
    </row>
    <row r="534" spans="1:13" s="107" customFormat="1" ht="15" customHeight="1">
      <c r="A534" s="100" t="str">
        <f>VLOOKUP(C534,Abstract!$E$4:$M$62,9,0)</f>
        <v>ACTIVE</v>
      </c>
      <c r="B534" s="95" t="s">
        <v>138</v>
      </c>
      <c r="C534" s="132" t="s">
        <v>46</v>
      </c>
      <c r="D534" s="100" t="s">
        <v>360</v>
      </c>
      <c r="E534" s="99" t="s">
        <v>155</v>
      </c>
      <c r="F534" s="99" t="s">
        <v>156</v>
      </c>
      <c r="G534" s="109">
        <v>15</v>
      </c>
      <c r="H534" s="104">
        <f>VLOOKUP($E534,'Stock statement'!$D$2:$P$384,13,)</f>
        <v>68.308211638055738</v>
      </c>
      <c r="I534" s="121">
        <v>2.5000000000000001E-2</v>
      </c>
      <c r="J534" s="116">
        <v>1.0249999999999999</v>
      </c>
      <c r="K534" s="106">
        <f t="shared" si="47"/>
        <v>1076.4947227834843</v>
      </c>
      <c r="L534" s="115"/>
      <c r="M534" s="104">
        <f t="shared" si="48"/>
        <v>4.6504572024246524</v>
      </c>
    </row>
    <row r="535" spans="1:13" s="107" customFormat="1" ht="15" customHeight="1">
      <c r="A535" s="100" t="str">
        <f>VLOOKUP(C535,Abstract!$E$4:$M$62,9,0)</f>
        <v>ACTIVE</v>
      </c>
      <c r="B535" s="95" t="s">
        <v>138</v>
      </c>
      <c r="C535" s="132" t="s">
        <v>46</v>
      </c>
      <c r="D535" s="100" t="s">
        <v>360</v>
      </c>
      <c r="E535" s="99" t="s">
        <v>339</v>
      </c>
      <c r="F535" s="99" t="s">
        <v>340</v>
      </c>
      <c r="G535" s="109">
        <v>5.85</v>
      </c>
      <c r="H535" s="104">
        <f>VLOOKUP($E535,'Stock statement'!$D$2:$P$384,13,)</f>
        <v>890.49821899777828</v>
      </c>
      <c r="I535" s="121">
        <v>2.5000000000000001E-2</v>
      </c>
      <c r="J535" s="116">
        <v>1.0249999999999999</v>
      </c>
      <c r="K535" s="106">
        <f t="shared" si="47"/>
        <v>5473.1411943070625</v>
      </c>
      <c r="L535" s="115"/>
      <c r="M535" s="104">
        <f t="shared" si="48"/>
        <v>23.643969959406508</v>
      </c>
    </row>
    <row r="536" spans="1:13" s="107" customFormat="1" ht="15" customHeight="1">
      <c r="A536" s="100" t="str">
        <f>VLOOKUP(C536,Abstract!$E$4:$M$62,9,0)</f>
        <v>ACTIVE</v>
      </c>
      <c r="B536" s="95" t="s">
        <v>138</v>
      </c>
      <c r="C536" s="132" t="s">
        <v>46</v>
      </c>
      <c r="D536" s="100" t="s">
        <v>360</v>
      </c>
      <c r="E536" s="99" t="s">
        <v>341</v>
      </c>
      <c r="F536" s="99" t="s">
        <v>342</v>
      </c>
      <c r="G536" s="109">
        <v>0.65</v>
      </c>
      <c r="H536" s="104">
        <f>VLOOKUP($E536,'Stock statement'!$D$2:$P$384,13,)</f>
        <v>927.16271256930133</v>
      </c>
      <c r="I536" s="121">
        <v>2.5000000000000001E-2</v>
      </c>
      <c r="J536" s="116">
        <v>1.0249999999999999</v>
      </c>
      <c r="K536" s="106">
        <f t="shared" si="47"/>
        <v>633.16521118052935</v>
      </c>
      <c r="L536" s="115"/>
      <c r="M536" s="104">
        <f t="shared" si="48"/>
        <v>2.7352737122998865</v>
      </c>
    </row>
    <row r="537" spans="1:13" s="107" customFormat="1" ht="15" customHeight="1">
      <c r="A537" s="100" t="str">
        <f>VLOOKUP(C537,Abstract!$E$4:$M$62,9,0)</f>
        <v>ACTIVE</v>
      </c>
      <c r="B537" s="95" t="s">
        <v>138</v>
      </c>
      <c r="C537" s="132" t="s">
        <v>46</v>
      </c>
      <c r="D537" s="100" t="s">
        <v>360</v>
      </c>
      <c r="E537" s="99" t="s">
        <v>181</v>
      </c>
      <c r="F537" s="102" t="s">
        <v>182</v>
      </c>
      <c r="G537" s="109">
        <v>12.5</v>
      </c>
      <c r="H537" s="104">
        <f>VLOOKUP($E537,'Stock statement'!$D$2:$P$384,13,)</f>
        <v>17.110276913020375</v>
      </c>
      <c r="I537" s="121">
        <v>2.5000000000000001E-2</v>
      </c>
      <c r="J537" s="116">
        <v>1.0249999999999999</v>
      </c>
      <c r="K537" s="106">
        <f t="shared" si="47"/>
        <v>224.70605852177536</v>
      </c>
      <c r="L537" s="115"/>
      <c r="M537" s="104">
        <f t="shared" si="48"/>
        <v>0.97073017281406948</v>
      </c>
    </row>
    <row r="538" spans="1:13" s="107" customFormat="1" ht="15" customHeight="1">
      <c r="A538" s="100" t="str">
        <f>VLOOKUP(C538,Abstract!$E$4:$M$62,9,0)</f>
        <v>ACTIVE</v>
      </c>
      <c r="B538" s="99" t="s">
        <v>183</v>
      </c>
      <c r="C538" s="132" t="s">
        <v>46</v>
      </c>
      <c r="D538" s="100" t="s">
        <v>360</v>
      </c>
      <c r="E538" s="99">
        <v>213024</v>
      </c>
      <c r="F538" s="99" t="s">
        <v>361</v>
      </c>
      <c r="G538" s="109">
        <f>(1000/(720*6)*1000)*0.243</f>
        <v>56.25</v>
      </c>
      <c r="H538" s="104">
        <f>VLOOKUP($E538,'Stock statement'!$D$2:$P$384,13,)</f>
        <v>0</v>
      </c>
      <c r="I538" s="121">
        <v>1.7500000000000002E-2</v>
      </c>
      <c r="J538" s="113">
        <v>1</v>
      </c>
      <c r="K538" s="106">
        <f t="shared" si="47"/>
        <v>0</v>
      </c>
      <c r="L538" s="115"/>
      <c r="M538" s="104">
        <f t="shared" si="48"/>
        <v>0</v>
      </c>
    </row>
    <row r="539" spans="1:13" s="107" customFormat="1" ht="15" customHeight="1">
      <c r="A539" s="100" t="str">
        <f>VLOOKUP(C539,Abstract!$E$4:$M$62,9,0)</f>
        <v>ACTIVE</v>
      </c>
      <c r="B539" s="99" t="s">
        <v>183</v>
      </c>
      <c r="C539" s="132" t="s">
        <v>46</v>
      </c>
      <c r="D539" s="100" t="s">
        <v>360</v>
      </c>
      <c r="E539" s="99">
        <v>212473</v>
      </c>
      <c r="F539" s="99" t="s">
        <v>362</v>
      </c>
      <c r="G539" s="109">
        <f>1000/(720*6)*1000</f>
        <v>231.4814814814815</v>
      </c>
      <c r="H539" s="104">
        <f>VLOOKUP($E539,'Stock statement'!$D$2:$P$384,13,)</f>
        <v>61.269734373953241</v>
      </c>
      <c r="I539" s="112">
        <v>6.0000000000000001E-3</v>
      </c>
      <c r="J539" s="113">
        <v>1</v>
      </c>
      <c r="K539" s="106">
        <f t="shared" si="47"/>
        <v>14267.905736156705</v>
      </c>
      <c r="L539" s="115"/>
      <c r="M539" s="104">
        <f t="shared" si="48"/>
        <v>61.637352780196963</v>
      </c>
    </row>
    <row r="540" spans="1:13" s="107" customFormat="1" ht="15" customHeight="1">
      <c r="A540" s="100" t="str">
        <f>VLOOKUP(C540,Abstract!$E$4:$M$62,9,0)</f>
        <v>ACTIVE</v>
      </c>
      <c r="B540" s="99" t="s">
        <v>183</v>
      </c>
      <c r="C540" s="132" t="s">
        <v>46</v>
      </c>
      <c r="D540" s="100" t="s">
        <v>360</v>
      </c>
      <c r="E540" s="99" t="s">
        <v>191</v>
      </c>
      <c r="F540" s="95" t="s">
        <v>192</v>
      </c>
      <c r="G540" s="109">
        <f>+G539*0.02</f>
        <v>4.6296296296296298</v>
      </c>
      <c r="H540" s="104">
        <f>VLOOKUP($E540,'Stock statement'!$D$2:$P$384,13,)</f>
        <v>44.985440769279101</v>
      </c>
      <c r="I540" s="121">
        <v>0.02</v>
      </c>
      <c r="J540" s="113">
        <v>1</v>
      </c>
      <c r="K540" s="106">
        <f t="shared" si="47"/>
        <v>212.43124807715131</v>
      </c>
      <c r="L540" s="115"/>
      <c r="M540" s="104">
        <f t="shared" si="48"/>
        <v>0.91770299169329361</v>
      </c>
    </row>
    <row r="541" spans="1:13" s="107" customFormat="1" ht="15" customHeight="1">
      <c r="A541" s="100" t="str">
        <f>VLOOKUP(C541,Abstract!$E$4:$M$62,9,0)</f>
        <v>ACTIVE</v>
      </c>
      <c r="B541" s="99" t="s">
        <v>346</v>
      </c>
      <c r="C541" s="132" t="s">
        <v>46</v>
      </c>
      <c r="D541" s="100" t="s">
        <v>360</v>
      </c>
      <c r="E541" s="99" t="s">
        <v>347</v>
      </c>
      <c r="F541" s="99" t="s">
        <v>347</v>
      </c>
      <c r="G541" s="109"/>
      <c r="H541" s="104"/>
      <c r="I541" s="121"/>
      <c r="J541" s="113"/>
      <c r="K541" s="106">
        <v>2087.9120879120878</v>
      </c>
      <c r="L541" s="98"/>
      <c r="M541" s="104">
        <f>K541/$G$539</f>
        <v>9.0197802197802197</v>
      </c>
    </row>
    <row r="542" spans="1:13" s="107" customFormat="1" ht="15" customHeight="1">
      <c r="A542" s="100" t="str">
        <f>VLOOKUP(C542,Abstract!$E$4:$M$62,9,0)</f>
        <v>ACTIVE</v>
      </c>
      <c r="B542" s="99" t="s">
        <v>197</v>
      </c>
      <c r="C542" s="132" t="s">
        <v>46</v>
      </c>
      <c r="D542" s="100" t="s">
        <v>360</v>
      </c>
      <c r="E542" s="99" t="s">
        <v>198</v>
      </c>
      <c r="F542" s="99"/>
      <c r="G542" s="109"/>
      <c r="H542" s="104"/>
      <c r="I542" s="121"/>
      <c r="J542" s="113"/>
      <c r="K542" s="106">
        <v>6180</v>
      </c>
      <c r="L542" s="115">
        <f>SUM(K519:K542)</f>
        <v>61586.732476585305</v>
      </c>
      <c r="M542" s="104">
        <f t="shared" si="48"/>
        <v>26.697599999999998</v>
      </c>
    </row>
    <row r="543" spans="1:13" s="107" customFormat="1" ht="15" customHeight="1">
      <c r="A543" s="100" t="str">
        <f>VLOOKUP(C543,Abstract!$E$4:$M$62,9,0)</f>
        <v>No Sales</v>
      </c>
      <c r="B543" s="95" t="s">
        <v>138</v>
      </c>
      <c r="C543" s="132" t="s">
        <v>50</v>
      </c>
      <c r="D543" s="100" t="s">
        <v>363</v>
      </c>
      <c r="E543" s="99" t="s">
        <v>141</v>
      </c>
      <c r="F543" s="108" t="s">
        <v>142</v>
      </c>
      <c r="G543" s="109">
        <v>185.7</v>
      </c>
      <c r="H543" s="104">
        <f>VLOOKUP($E543,'Stock statement'!$D$2:$P$384,13,)</f>
        <v>94.278330452007026</v>
      </c>
      <c r="I543" s="121">
        <v>2.5000000000000001E-2</v>
      </c>
      <c r="J543" s="116">
        <v>1.0249999999999999</v>
      </c>
      <c r="K543" s="106">
        <f t="shared" si="47"/>
        <v>18393.80244191267</v>
      </c>
      <c r="L543" s="115"/>
      <c r="M543" s="104">
        <f>K543/$G$567</f>
        <v>79.461226549062729</v>
      </c>
    </row>
    <row r="544" spans="1:13" s="107" customFormat="1" ht="15" customHeight="1">
      <c r="A544" s="100" t="str">
        <f>VLOOKUP(C544,Abstract!$E$4:$M$62,9,0)</f>
        <v>No Sales</v>
      </c>
      <c r="B544" s="95" t="s">
        <v>138</v>
      </c>
      <c r="C544" s="132" t="s">
        <v>50</v>
      </c>
      <c r="D544" s="100" t="s">
        <v>363</v>
      </c>
      <c r="E544" s="99" t="s">
        <v>145</v>
      </c>
      <c r="F544" s="102" t="s">
        <v>146</v>
      </c>
      <c r="G544" s="109">
        <v>10</v>
      </c>
      <c r="H544" s="104">
        <f>VLOOKUP($E544,'Stock statement'!$D$2:$P$384,13,)</f>
        <v>151.08681180977209</v>
      </c>
      <c r="I544" s="121">
        <v>2.5000000000000001E-2</v>
      </c>
      <c r="J544" s="116">
        <v>1.0249999999999999</v>
      </c>
      <c r="K544" s="106">
        <f t="shared" si="47"/>
        <v>1587.3558165764177</v>
      </c>
      <c r="L544" s="115"/>
      <c r="M544" s="104">
        <f t="shared" ref="M544:M570" si="50">K544/$G$567</f>
        <v>6.8573771276101239</v>
      </c>
    </row>
    <row r="545" spans="1:13" s="107" customFormat="1" ht="15" customHeight="1">
      <c r="A545" s="100" t="str">
        <f>VLOOKUP(C545,Abstract!$E$4:$M$62,9,0)</f>
        <v>No Sales</v>
      </c>
      <c r="B545" s="95" t="s">
        <v>138</v>
      </c>
      <c r="C545" s="132" t="s">
        <v>50</v>
      </c>
      <c r="D545" s="100" t="s">
        <v>363</v>
      </c>
      <c r="E545" s="99" t="s">
        <v>149</v>
      </c>
      <c r="F545" s="99" t="s">
        <v>150</v>
      </c>
      <c r="G545" s="109">
        <v>0.125</v>
      </c>
      <c r="H545" s="104">
        <f>VLOOKUP($E545,'Stock statement'!$D$2:$P$384,13,)</f>
        <v>161.56941474217822</v>
      </c>
      <c r="I545" s="121">
        <v>2.5000000000000001E-2</v>
      </c>
      <c r="J545" s="116">
        <v>1.0249999999999999</v>
      </c>
      <c r="K545" s="106">
        <f t="shared" si="47"/>
        <v>21.218608295437623</v>
      </c>
      <c r="L545" s="115"/>
      <c r="M545" s="104">
        <f t="shared" si="50"/>
        <v>9.1664387836290523E-2</v>
      </c>
    </row>
    <row r="546" spans="1:13" s="107" customFormat="1" ht="15" customHeight="1">
      <c r="A546" s="100" t="str">
        <f>VLOOKUP(C546,Abstract!$E$4:$M$62,9,0)</f>
        <v>No Sales</v>
      </c>
      <c r="B546" s="95" t="s">
        <v>138</v>
      </c>
      <c r="C546" s="132" t="s">
        <v>50</v>
      </c>
      <c r="D546" s="100" t="s">
        <v>363</v>
      </c>
      <c r="E546" s="99" t="s">
        <v>151</v>
      </c>
      <c r="F546" s="99" t="s">
        <v>310</v>
      </c>
      <c r="G546" s="109">
        <v>2.5</v>
      </c>
      <c r="H546" s="104">
        <f>VLOOKUP($E546,'Stock statement'!$D$2:$P$384,13,)</f>
        <v>762.38931335604309</v>
      </c>
      <c r="I546" s="121">
        <v>2.5000000000000001E-2</v>
      </c>
      <c r="J546" s="116">
        <v>1.0249999999999999</v>
      </c>
      <c r="K546" s="106">
        <f t="shared" si="47"/>
        <v>2002.4631808617316</v>
      </c>
      <c r="L546" s="115"/>
      <c r="M546" s="104">
        <f t="shared" si="50"/>
        <v>8.6506409413226795</v>
      </c>
    </row>
    <row r="547" spans="1:13" s="107" customFormat="1" ht="15" customHeight="1">
      <c r="A547" s="100" t="str">
        <f>VLOOKUP(C547,Abstract!$E$4:$M$62,9,0)</f>
        <v>No Sales</v>
      </c>
      <c r="B547" s="95" t="s">
        <v>138</v>
      </c>
      <c r="C547" s="132" t="s">
        <v>50</v>
      </c>
      <c r="D547" s="100" t="s">
        <v>363</v>
      </c>
      <c r="E547" s="99" t="s">
        <v>157</v>
      </c>
      <c r="F547" s="102" t="s">
        <v>158</v>
      </c>
      <c r="G547" s="109">
        <v>1</v>
      </c>
      <c r="H547" s="104">
        <f>VLOOKUP($E547,'Stock statement'!$D$2:$P$384,13,)</f>
        <v>828.81974703846117</v>
      </c>
      <c r="I547" s="121">
        <v>2.5000000000000001E-2</v>
      </c>
      <c r="J547" s="116">
        <v>1.0249999999999999</v>
      </c>
      <c r="K547" s="106">
        <f t="shared" si="47"/>
        <v>870.77874673228314</v>
      </c>
      <c r="L547" s="115"/>
      <c r="M547" s="104">
        <f t="shared" si="50"/>
        <v>3.7617641858834627</v>
      </c>
    </row>
    <row r="548" spans="1:13" s="107" customFormat="1" ht="15" customHeight="1">
      <c r="A548" s="100" t="str">
        <f>VLOOKUP(C548,Abstract!$E$4:$M$62,9,0)</f>
        <v>No Sales</v>
      </c>
      <c r="B548" s="95" t="s">
        <v>138</v>
      </c>
      <c r="C548" s="132" t="s">
        <v>50</v>
      </c>
      <c r="D548" s="100" t="s">
        <v>363</v>
      </c>
      <c r="E548" s="157">
        <v>115150</v>
      </c>
      <c r="F548" s="95" t="s">
        <v>159</v>
      </c>
      <c r="G548" s="109">
        <v>1</v>
      </c>
      <c r="H548" s="104">
        <f>VLOOKUP($E548,'Stock statement'!$D$2:$P$384,13,)</f>
        <v>456.30699446392703</v>
      </c>
      <c r="I548" s="121">
        <v>2.5000000000000001E-2</v>
      </c>
      <c r="J548" s="116">
        <v>1.0249999999999999</v>
      </c>
      <c r="K548" s="106">
        <f t="shared" ref="K548" si="51">+G548*H548*(1+I548)*J548</f>
        <v>479.40753605866325</v>
      </c>
      <c r="L548" s="115"/>
      <c r="M548" s="104">
        <f t="shared" si="50"/>
        <v>2.0710405557734251</v>
      </c>
    </row>
    <row r="549" spans="1:13" s="107" customFormat="1" ht="15" customHeight="1">
      <c r="A549" s="100" t="str">
        <f>VLOOKUP(C549,Abstract!$E$4:$M$62,9,0)</f>
        <v>No Sales</v>
      </c>
      <c r="B549" s="95" t="s">
        <v>138</v>
      </c>
      <c r="C549" s="132" t="s">
        <v>50</v>
      </c>
      <c r="D549" s="100" t="s">
        <v>363</v>
      </c>
      <c r="E549" s="99" t="s">
        <v>160</v>
      </c>
      <c r="F549" s="108" t="s">
        <v>161</v>
      </c>
      <c r="G549" s="109">
        <v>0.25</v>
      </c>
      <c r="H549" s="104">
        <f>VLOOKUP($E549,'Stock statement'!$D$2:$P$384,13,)</f>
        <v>3313.2387673094586</v>
      </c>
      <c r="I549" s="121">
        <v>2.5000000000000001E-2</v>
      </c>
      <c r="J549" s="116">
        <v>1.0249999999999999</v>
      </c>
      <c r="K549" s="106">
        <f t="shared" si="47"/>
        <v>870.24286997612489</v>
      </c>
      <c r="L549" s="115"/>
      <c r="M549" s="104">
        <f t="shared" si="50"/>
        <v>3.7594491982968594</v>
      </c>
    </row>
    <row r="550" spans="1:13" s="107" customFormat="1" ht="15" customHeight="1">
      <c r="A550" s="100" t="str">
        <f>VLOOKUP(C550,Abstract!$E$4:$M$62,9,0)</f>
        <v>No Sales</v>
      </c>
      <c r="B550" s="95" t="s">
        <v>138</v>
      </c>
      <c r="C550" s="132" t="s">
        <v>50</v>
      </c>
      <c r="D550" s="100" t="s">
        <v>363</v>
      </c>
      <c r="E550" s="99" t="s">
        <v>166</v>
      </c>
      <c r="F550" s="99" t="s">
        <v>167</v>
      </c>
      <c r="G550" s="109">
        <v>2.5</v>
      </c>
      <c r="H550" s="104">
        <f>VLOOKUP($E550,'Stock statement'!$D$2:$P$384,13,)</f>
        <v>127.15913438761541</v>
      </c>
      <c r="I550" s="121">
        <v>2.5000000000000001E-2</v>
      </c>
      <c r="J550" s="116">
        <v>1.0249999999999999</v>
      </c>
      <c r="K550" s="106">
        <f t="shared" si="47"/>
        <v>333.99141391497102</v>
      </c>
      <c r="L550" s="115"/>
      <c r="M550" s="104">
        <f t="shared" si="50"/>
        <v>1.4428429081126748</v>
      </c>
    </row>
    <row r="551" spans="1:13" s="107" customFormat="1" ht="15" customHeight="1">
      <c r="A551" s="100" t="str">
        <f>VLOOKUP(C551,Abstract!$E$4:$M$62,9,0)</f>
        <v>No Sales</v>
      </c>
      <c r="B551" s="95" t="s">
        <v>138</v>
      </c>
      <c r="C551" s="132" t="s">
        <v>50</v>
      </c>
      <c r="D551" s="100" t="s">
        <v>363</v>
      </c>
      <c r="E551" s="99" t="s">
        <v>155</v>
      </c>
      <c r="F551" s="99" t="s">
        <v>156</v>
      </c>
      <c r="G551" s="109">
        <v>15</v>
      </c>
      <c r="H551" s="104">
        <f>VLOOKUP($E551,'Stock statement'!$D$2:$P$384,13,)</f>
        <v>68.308211638055738</v>
      </c>
      <c r="I551" s="121">
        <v>2.5000000000000001E-2</v>
      </c>
      <c r="J551" s="116">
        <v>1.0249999999999999</v>
      </c>
      <c r="K551" s="106">
        <f t="shared" si="47"/>
        <v>1076.4947227834843</v>
      </c>
      <c r="L551" s="115"/>
      <c r="M551" s="104">
        <f t="shared" si="50"/>
        <v>4.6504572024246524</v>
      </c>
    </row>
    <row r="552" spans="1:13" s="107" customFormat="1" ht="15" customHeight="1">
      <c r="A552" s="100" t="str">
        <f>VLOOKUP(C552,Abstract!$E$4:$M$62,9,0)</f>
        <v>No Sales</v>
      </c>
      <c r="B552" s="95" t="s">
        <v>138</v>
      </c>
      <c r="C552" s="132" t="s">
        <v>50</v>
      </c>
      <c r="D552" s="100" t="s">
        <v>363</v>
      </c>
      <c r="E552" s="99" t="s">
        <v>209</v>
      </c>
      <c r="F552" s="99" t="s">
        <v>210</v>
      </c>
      <c r="G552" s="109">
        <v>20</v>
      </c>
      <c r="H552" s="104">
        <f>VLOOKUP($E552,'Stock statement'!$D$2:$P$384,13,)</f>
        <v>220.67282625366343</v>
      </c>
      <c r="I552" s="121">
        <v>2.5000000000000001E-2</v>
      </c>
      <c r="J552" s="116">
        <v>1.0249999999999999</v>
      </c>
      <c r="K552" s="106">
        <f t="shared" si="47"/>
        <v>4636.8877616551026</v>
      </c>
      <c r="L552" s="115"/>
      <c r="M552" s="104">
        <f t="shared" si="50"/>
        <v>20.031355130350043</v>
      </c>
    </row>
    <row r="553" spans="1:13" s="107" customFormat="1" ht="15" customHeight="1">
      <c r="A553" s="100" t="str">
        <f>VLOOKUP(C553,Abstract!$E$4:$M$62,9,0)</f>
        <v>No Sales</v>
      </c>
      <c r="B553" s="95" t="s">
        <v>138</v>
      </c>
      <c r="C553" s="132" t="s">
        <v>50</v>
      </c>
      <c r="D553" s="100" t="s">
        <v>363</v>
      </c>
      <c r="E553" s="99" t="s">
        <v>261</v>
      </c>
      <c r="F553" s="95" t="s">
        <v>262</v>
      </c>
      <c r="G553" s="109">
        <v>2.5</v>
      </c>
      <c r="H553" s="104">
        <f>VLOOKUP($E553,'Stock statement'!$D$2:$P$384,13,)</f>
        <v>0</v>
      </c>
      <c r="I553" s="121">
        <v>2.5000000000000001E-2</v>
      </c>
      <c r="J553" s="116">
        <v>1.0249999999999999</v>
      </c>
      <c r="K553" s="106">
        <f t="shared" si="47"/>
        <v>0</v>
      </c>
      <c r="L553" s="115"/>
      <c r="M553" s="104">
        <f t="shared" si="50"/>
        <v>0</v>
      </c>
    </row>
    <row r="554" spans="1:13" s="107" customFormat="1" ht="15" customHeight="1">
      <c r="A554" s="100" t="str">
        <f>VLOOKUP(C554,Abstract!$E$4:$M$62,9,0)</f>
        <v>No Sales</v>
      </c>
      <c r="B554" s="95" t="s">
        <v>138</v>
      </c>
      <c r="C554" s="132" t="s">
        <v>50</v>
      </c>
      <c r="D554" s="100" t="s">
        <v>363</v>
      </c>
      <c r="E554" s="99" t="s">
        <v>175</v>
      </c>
      <c r="F554" s="99" t="s">
        <v>176</v>
      </c>
      <c r="G554" s="109">
        <v>0.1</v>
      </c>
      <c r="H554" s="104">
        <f>VLOOKUP($E554,'Stock statement'!$D$2:$P$384,13,)</f>
        <v>1750.9314909799687</v>
      </c>
      <c r="I554" s="121">
        <v>2.5000000000000001E-2</v>
      </c>
      <c r="J554" s="116">
        <v>1.0249999999999999</v>
      </c>
      <c r="K554" s="106">
        <f t="shared" si="47"/>
        <v>183.95723977108293</v>
      </c>
      <c r="L554" s="115"/>
      <c r="M554" s="104">
        <f t="shared" si="50"/>
        <v>0.79469527581107824</v>
      </c>
    </row>
    <row r="555" spans="1:13" s="107" customFormat="1" ht="15" customHeight="1">
      <c r="A555" s="100" t="str">
        <f>VLOOKUP(C555,Abstract!$E$4:$M$62,9,0)</f>
        <v>No Sales</v>
      </c>
      <c r="B555" s="95" t="s">
        <v>138</v>
      </c>
      <c r="C555" s="132" t="s">
        <v>50</v>
      </c>
      <c r="D555" s="100" t="s">
        <v>363</v>
      </c>
      <c r="E555" s="99" t="s">
        <v>177</v>
      </c>
      <c r="F555" s="99" t="s">
        <v>178</v>
      </c>
      <c r="G555" s="109">
        <v>0.1</v>
      </c>
      <c r="H555" s="104">
        <f>VLOOKUP($E555,'Stock statement'!$D$2:$P$384,13,)</f>
        <v>195.29212473407105</v>
      </c>
      <c r="I555" s="121">
        <v>2.5000000000000001E-2</v>
      </c>
      <c r="J555" s="116">
        <v>1.0249999999999999</v>
      </c>
      <c r="K555" s="106">
        <f t="shared" si="47"/>
        <v>20.517878854873334</v>
      </c>
      <c r="L555" s="115"/>
      <c r="M555" s="104">
        <f t="shared" si="50"/>
        <v>8.8637236653052801E-2</v>
      </c>
    </row>
    <row r="556" spans="1:13" s="107" customFormat="1" ht="15" customHeight="1">
      <c r="A556" s="100" t="str">
        <f>VLOOKUP(C556,Abstract!$E$4:$M$62,9,0)</f>
        <v>No Sales</v>
      </c>
      <c r="B556" s="95" t="s">
        <v>138</v>
      </c>
      <c r="C556" s="132" t="s">
        <v>50</v>
      </c>
      <c r="D556" s="100" t="s">
        <v>363</v>
      </c>
      <c r="E556" s="99" t="s">
        <v>173</v>
      </c>
      <c r="F556" s="95" t="s">
        <v>174</v>
      </c>
      <c r="G556" s="109">
        <v>0.2</v>
      </c>
      <c r="H556" s="104">
        <f>VLOOKUP($E556,'Stock statement'!$D$2:$P$384,13,)</f>
        <v>555.2517156766155</v>
      </c>
      <c r="I556" s="121">
        <v>2.5000000000000001E-2</v>
      </c>
      <c r="J556" s="116">
        <v>1.0249999999999999</v>
      </c>
      <c r="K556" s="106">
        <f t="shared" si="47"/>
        <v>116.67226675654881</v>
      </c>
      <c r="L556" s="115"/>
      <c r="M556" s="104">
        <f t="shared" si="50"/>
        <v>0.50402419238829077</v>
      </c>
    </row>
    <row r="557" spans="1:13" s="107" customFormat="1" ht="15" customHeight="1">
      <c r="A557" s="100" t="str">
        <f>VLOOKUP(C557,Abstract!$E$4:$M$62,9,0)</f>
        <v>No Sales</v>
      </c>
      <c r="B557" s="95" t="s">
        <v>138</v>
      </c>
      <c r="C557" s="132" t="s">
        <v>50</v>
      </c>
      <c r="D557" s="100" t="s">
        <v>363</v>
      </c>
      <c r="E557" s="99">
        <v>114476</v>
      </c>
      <c r="F557" s="99" t="s">
        <v>172</v>
      </c>
      <c r="G557" s="109">
        <v>6</v>
      </c>
      <c r="H557" s="104">
        <f>VLOOKUP($E557,'Stock statement'!$D$2:$P$384,13,)</f>
        <v>739.98731621274567</v>
      </c>
      <c r="I557" s="121">
        <v>2.5000000000000001E-2</v>
      </c>
      <c r="J557" s="116">
        <v>1.0249999999999999</v>
      </c>
      <c r="K557" s="106">
        <f t="shared" si="47"/>
        <v>4664.6950445760949</v>
      </c>
      <c r="L557" s="115"/>
      <c r="M557" s="104">
        <f t="shared" si="50"/>
        <v>20.15148259256873</v>
      </c>
    </row>
    <row r="558" spans="1:13" s="107" customFormat="1" ht="15" customHeight="1">
      <c r="A558" s="100" t="str">
        <f>VLOOKUP(C558,Abstract!$E$4:$M$62,9,0)</f>
        <v>No Sales</v>
      </c>
      <c r="B558" s="95" t="s">
        <v>138</v>
      </c>
      <c r="C558" s="132" t="s">
        <v>50</v>
      </c>
      <c r="D558" s="100" t="s">
        <v>363</v>
      </c>
      <c r="E558" s="99" t="s">
        <v>153</v>
      </c>
      <c r="F558" s="99" t="s">
        <v>364</v>
      </c>
      <c r="G558" s="109">
        <v>0.625</v>
      </c>
      <c r="H558" s="104">
        <f>VLOOKUP($E558,'Stock statement'!$D$2:$P$384,13,)</f>
        <v>84.206363687840948</v>
      </c>
      <c r="I558" s="121">
        <v>2.5000000000000001E-2</v>
      </c>
      <c r="J558" s="116">
        <v>1.0249999999999999</v>
      </c>
      <c r="K558" s="106">
        <f t="shared" si="47"/>
        <v>55.293319280961178</v>
      </c>
      <c r="L558" s="115"/>
      <c r="M558" s="104">
        <f t="shared" si="50"/>
        <v>0.23886713929375228</v>
      </c>
    </row>
    <row r="559" spans="1:13" s="107" customFormat="1" ht="15" customHeight="1">
      <c r="A559" s="100" t="str">
        <f>VLOOKUP(C559,Abstract!$E$4:$M$62,9,0)</f>
        <v>No Sales</v>
      </c>
      <c r="B559" s="95" t="s">
        <v>138</v>
      </c>
      <c r="C559" s="132" t="s">
        <v>50</v>
      </c>
      <c r="D559" s="100" t="s">
        <v>363</v>
      </c>
      <c r="E559" s="99" t="s">
        <v>164</v>
      </c>
      <c r="F559" s="95" t="s">
        <v>165</v>
      </c>
      <c r="G559" s="109">
        <v>3.5000000000000005E-3</v>
      </c>
      <c r="H559" s="104">
        <f>VLOOKUP($E559,'Stock statement'!$D$2:$P$384,13,)</f>
        <v>1939</v>
      </c>
      <c r="I559" s="121">
        <v>2.5000000000000001E-2</v>
      </c>
      <c r="J559" s="116">
        <v>1.0249999999999999</v>
      </c>
      <c r="K559" s="106">
        <f t="shared" si="47"/>
        <v>7.1300665624999997</v>
      </c>
      <c r="L559" s="115"/>
      <c r="M559" s="104">
        <f t="shared" si="50"/>
        <v>3.0801887549999997E-2</v>
      </c>
    </row>
    <row r="560" spans="1:13" s="107" customFormat="1" ht="15" customHeight="1">
      <c r="A560" s="100" t="str">
        <f>VLOOKUP(C560,Abstract!$E$4:$M$62,9,0)</f>
        <v>No Sales</v>
      </c>
      <c r="B560" s="95" t="s">
        <v>138</v>
      </c>
      <c r="C560" s="132" t="s">
        <v>50</v>
      </c>
      <c r="D560" s="100" t="s">
        <v>363</v>
      </c>
      <c r="E560" s="99" t="s">
        <v>162</v>
      </c>
      <c r="F560" s="95" t="s">
        <v>163</v>
      </c>
      <c r="G560" s="109">
        <v>0.04</v>
      </c>
      <c r="H560" s="104">
        <f>VLOOKUP($E560,'Stock statement'!$D$2:$P$384,13,)</f>
        <v>348.44830167161894</v>
      </c>
      <c r="I560" s="121">
        <v>2.5000000000000001E-2</v>
      </c>
      <c r="J560" s="116">
        <v>1.0249999999999999</v>
      </c>
      <c r="K560" s="106">
        <f t="shared" si="47"/>
        <v>14.643539877749783</v>
      </c>
      <c r="L560" s="115"/>
      <c r="M560" s="104">
        <f t="shared" si="50"/>
        <v>6.3260092271879051E-2</v>
      </c>
    </row>
    <row r="561" spans="1:13" s="107" customFormat="1" ht="15" customHeight="1">
      <c r="A561" s="100" t="str">
        <f>VLOOKUP(C561,Abstract!$E$4:$M$62,9,0)</f>
        <v>No Sales</v>
      </c>
      <c r="B561" s="95" t="s">
        <v>138</v>
      </c>
      <c r="C561" s="132" t="s">
        <v>50</v>
      </c>
      <c r="D561" s="100" t="s">
        <v>363</v>
      </c>
      <c r="E561" s="99" t="s">
        <v>143</v>
      </c>
      <c r="F561" s="108" t="s">
        <v>144</v>
      </c>
      <c r="G561" s="109">
        <v>5</v>
      </c>
      <c r="H561" s="104">
        <f>VLOOKUP($E561,'Stock statement'!$D$2:$P$384,13,)</f>
        <v>178.57970547017939</v>
      </c>
      <c r="I561" s="121">
        <v>2.5000000000000001E-2</v>
      </c>
      <c r="J561" s="116">
        <v>1.0249999999999999</v>
      </c>
      <c r="K561" s="106">
        <f t="shared" si="47"/>
        <v>938.10151529803602</v>
      </c>
      <c r="L561" s="115"/>
      <c r="M561" s="104">
        <f t="shared" si="50"/>
        <v>4.0525985460875154</v>
      </c>
    </row>
    <row r="562" spans="1:13" s="107" customFormat="1" ht="15" customHeight="1">
      <c r="A562" s="100" t="str">
        <f>VLOOKUP(C562,Abstract!$E$4:$M$62,9,0)</f>
        <v>No Sales</v>
      </c>
      <c r="B562" s="95" t="s">
        <v>138</v>
      </c>
      <c r="C562" s="132" t="s">
        <v>50</v>
      </c>
      <c r="D562" s="100" t="s">
        <v>363</v>
      </c>
      <c r="E562" s="99" t="s">
        <v>147</v>
      </c>
      <c r="F562" s="95" t="s">
        <v>148</v>
      </c>
      <c r="G562" s="109">
        <v>1</v>
      </c>
      <c r="H562" s="104">
        <f>VLOOKUP($E562,'Stock statement'!$D$2:$P$384,13,)</f>
        <v>353.50950483838068</v>
      </c>
      <c r="I562" s="121">
        <v>2.5000000000000001E-2</v>
      </c>
      <c r="J562" s="116">
        <v>1.0249999999999999</v>
      </c>
      <c r="K562" s="106">
        <f t="shared" si="47"/>
        <v>371.40592352082365</v>
      </c>
      <c r="L562" s="115"/>
      <c r="M562" s="104">
        <f t="shared" si="50"/>
        <v>1.604473589609958</v>
      </c>
    </row>
    <row r="563" spans="1:13" s="107" customFormat="1" ht="15" customHeight="1">
      <c r="A563" s="100" t="str">
        <f>VLOOKUP(C563,Abstract!$E$4:$M$62,9,0)</f>
        <v>No Sales</v>
      </c>
      <c r="B563" s="95" t="s">
        <v>138</v>
      </c>
      <c r="C563" s="132" t="s">
        <v>50</v>
      </c>
      <c r="D563" s="100" t="s">
        <v>363</v>
      </c>
      <c r="E563" s="99" t="s">
        <v>179</v>
      </c>
      <c r="F563" s="102" t="s">
        <v>180</v>
      </c>
      <c r="G563" s="109">
        <v>0.5</v>
      </c>
      <c r="H563" s="104">
        <f>VLOOKUP($E563,'Stock statement'!$D$2:$P$384,13,)</f>
        <v>1036.4956269221443</v>
      </c>
      <c r="I563" s="121">
        <v>2.5000000000000001E-2</v>
      </c>
      <c r="J563" s="116">
        <v>1.0249999999999999</v>
      </c>
      <c r="K563" s="106">
        <f t="shared" si="47"/>
        <v>544.48410901753891</v>
      </c>
      <c r="L563" s="115"/>
      <c r="M563" s="104">
        <f t="shared" si="50"/>
        <v>2.3521713509557678</v>
      </c>
    </row>
    <row r="564" spans="1:13" s="107" customFormat="1" ht="15" customHeight="1">
      <c r="A564" s="100" t="str">
        <f>VLOOKUP(C564,Abstract!$E$4:$M$62,9,0)</f>
        <v>No Sales</v>
      </c>
      <c r="B564" s="95" t="s">
        <v>138</v>
      </c>
      <c r="C564" s="132" t="s">
        <v>50</v>
      </c>
      <c r="D564" s="100" t="s">
        <v>363</v>
      </c>
      <c r="E564" s="99" t="s">
        <v>181</v>
      </c>
      <c r="F564" s="102" t="s">
        <v>182</v>
      </c>
      <c r="G564" s="109">
        <v>12.5</v>
      </c>
      <c r="H564" s="104">
        <f>VLOOKUP($E564,'Stock statement'!$D$2:$P$384,13,)</f>
        <v>17.110276913020375</v>
      </c>
      <c r="I564" s="121">
        <v>2.5000000000000001E-2</v>
      </c>
      <c r="J564" s="116">
        <v>1.0249999999999999</v>
      </c>
      <c r="K564" s="106">
        <f t="shared" si="47"/>
        <v>224.70605852177536</v>
      </c>
      <c r="L564" s="115"/>
      <c r="M564" s="104">
        <f t="shared" si="50"/>
        <v>0.97073017281406948</v>
      </c>
    </row>
    <row r="565" spans="1:13" s="107" customFormat="1" ht="15" customHeight="1">
      <c r="A565" s="100" t="str">
        <f>VLOOKUP(C565,Abstract!$E$4:$M$62,9,0)</f>
        <v>No Sales</v>
      </c>
      <c r="B565" s="95" t="s">
        <v>138</v>
      </c>
      <c r="C565" s="132" t="s">
        <v>50</v>
      </c>
      <c r="D565" s="100" t="s">
        <v>363</v>
      </c>
      <c r="E565" s="99" t="s">
        <v>139</v>
      </c>
      <c r="F565" s="102" t="s">
        <v>140</v>
      </c>
      <c r="G565" s="109">
        <v>733.35199999999998</v>
      </c>
      <c r="H565" s="104">
        <f>VLOOKUP($E565,'Stock statement'!$D$2:$P$384,13,)</f>
        <v>0.34</v>
      </c>
      <c r="I565" s="121">
        <v>2.5000000000000001E-2</v>
      </c>
      <c r="J565" s="116">
        <v>1.0249999999999999</v>
      </c>
      <c r="K565" s="106">
        <f t="shared" si="47"/>
        <v>261.96250129999999</v>
      </c>
      <c r="L565" s="115"/>
      <c r="M565" s="104">
        <f t="shared" si="50"/>
        <v>1.1316780056159998</v>
      </c>
    </row>
    <row r="566" spans="1:13" s="107" customFormat="1" ht="15" customHeight="1">
      <c r="A566" s="100" t="str">
        <f>VLOOKUP(C566,Abstract!$E$4:$M$62,9,0)</f>
        <v>No Sales</v>
      </c>
      <c r="B566" s="99" t="s">
        <v>183</v>
      </c>
      <c r="C566" s="132" t="s">
        <v>50</v>
      </c>
      <c r="D566" s="100" t="s">
        <v>363</v>
      </c>
      <c r="E566" s="99">
        <v>213023</v>
      </c>
      <c r="F566" s="99" t="s">
        <v>365</v>
      </c>
      <c r="G566" s="109">
        <f>(1000/(720*6)*1000)*0.243</f>
        <v>56.25</v>
      </c>
      <c r="H566" s="104">
        <f>VLOOKUP($E566,'Stock statement'!$D$2:$P$384,13,)</f>
        <v>244.04271069695386</v>
      </c>
      <c r="I566" s="121">
        <v>1.7500000000000002E-2</v>
      </c>
      <c r="J566" s="113">
        <v>1</v>
      </c>
      <c r="K566" s="106">
        <f t="shared" si="47"/>
        <v>13967.63202004597</v>
      </c>
      <c r="L566" s="115"/>
      <c r="M566" s="104">
        <f t="shared" si="50"/>
        <v>60.340170326598589</v>
      </c>
    </row>
    <row r="567" spans="1:13" s="107" customFormat="1" ht="15" customHeight="1">
      <c r="A567" s="100" t="str">
        <f>VLOOKUP(C567,Abstract!$E$4:$M$62,9,0)</f>
        <v>No Sales</v>
      </c>
      <c r="B567" s="99" t="s">
        <v>183</v>
      </c>
      <c r="C567" s="132" t="s">
        <v>50</v>
      </c>
      <c r="D567" s="100" t="s">
        <v>363</v>
      </c>
      <c r="E567" s="99">
        <v>212477</v>
      </c>
      <c r="F567" s="99" t="s">
        <v>366</v>
      </c>
      <c r="G567" s="109">
        <f>1000/(720*6)*1000</f>
        <v>231.4814814814815</v>
      </c>
      <c r="H567" s="104">
        <f>VLOOKUP($E567,'Stock statement'!$D$2:$P$384,13,)</f>
        <v>61.52</v>
      </c>
      <c r="I567" s="112">
        <v>6.0000000000000001E-3</v>
      </c>
      <c r="J567" s="113">
        <v>1</v>
      </c>
      <c r="K567" s="106">
        <f t="shared" si="47"/>
        <v>14326.185185185188</v>
      </c>
      <c r="L567" s="115"/>
      <c r="M567" s="104">
        <f t="shared" si="50"/>
        <v>61.889120000000005</v>
      </c>
    </row>
    <row r="568" spans="1:13" s="107" customFormat="1" ht="15" customHeight="1">
      <c r="A568" s="100" t="str">
        <f>VLOOKUP(C568,Abstract!$E$4:$M$62,9,0)</f>
        <v>No Sales</v>
      </c>
      <c r="B568" s="99" t="s">
        <v>183</v>
      </c>
      <c r="C568" s="132" t="s">
        <v>50</v>
      </c>
      <c r="D568" s="100" t="s">
        <v>363</v>
      </c>
      <c r="E568" s="99" t="s">
        <v>191</v>
      </c>
      <c r="F568" s="95" t="s">
        <v>192</v>
      </c>
      <c r="G568" s="109">
        <f>+G567*0.02</f>
        <v>4.6296296296296298</v>
      </c>
      <c r="H568" s="104">
        <f>VLOOKUP($E568,'Stock statement'!$D$2:$P$384,13,)</f>
        <v>44.985440769279101</v>
      </c>
      <c r="I568" s="121">
        <v>0.02</v>
      </c>
      <c r="J568" s="113">
        <v>1</v>
      </c>
      <c r="K568" s="106">
        <f t="shared" si="47"/>
        <v>212.43124807715131</v>
      </c>
      <c r="L568" s="115"/>
      <c r="M568" s="104">
        <f t="shared" si="50"/>
        <v>0.91770299169329361</v>
      </c>
    </row>
    <row r="569" spans="1:13" s="107" customFormat="1" ht="15" customHeight="1">
      <c r="A569" s="100" t="str">
        <f>VLOOKUP(C569,Abstract!$E$4:$M$62,9,0)</f>
        <v>No Sales</v>
      </c>
      <c r="B569" s="99" t="s">
        <v>346</v>
      </c>
      <c r="C569" s="132" t="s">
        <v>50</v>
      </c>
      <c r="D569" s="100" t="s">
        <v>363</v>
      </c>
      <c r="E569" s="99" t="s">
        <v>347</v>
      </c>
      <c r="F569" s="99" t="s">
        <v>347</v>
      </c>
      <c r="G569" s="109"/>
      <c r="H569" s="104"/>
      <c r="I569" s="121"/>
      <c r="J569" s="113"/>
      <c r="K569" s="106">
        <v>2087.9120879120878</v>
      </c>
      <c r="L569" s="98"/>
      <c r="M569" s="104">
        <f>K569/$G$567</f>
        <v>9.0197802197802197</v>
      </c>
    </row>
    <row r="570" spans="1:13" s="107" customFormat="1" ht="15" customHeight="1">
      <c r="A570" s="100" t="str">
        <f>VLOOKUP(C570,Abstract!$E$4:$M$62,9,0)</f>
        <v>No Sales</v>
      </c>
      <c r="B570" s="99" t="s">
        <v>197</v>
      </c>
      <c r="C570" s="132" t="s">
        <v>50</v>
      </c>
      <c r="D570" s="100" t="s">
        <v>363</v>
      </c>
      <c r="E570" s="99" t="s">
        <v>198</v>
      </c>
      <c r="F570" s="99"/>
      <c r="G570" s="109"/>
      <c r="H570" s="104"/>
      <c r="I570" s="121"/>
      <c r="J570" s="113"/>
      <c r="K570" s="106">
        <v>6180</v>
      </c>
      <c r="L570" s="115">
        <f>SUM(K543:K570)</f>
        <v>74450.373103325255</v>
      </c>
      <c r="M570" s="104">
        <f t="shared" si="50"/>
        <v>26.697599999999998</v>
      </c>
    </row>
    <row r="571" spans="1:13" s="107" customFormat="1" ht="15" customHeight="1">
      <c r="A571" s="100" t="str">
        <f>VLOOKUP(C571,Abstract!$E$4:$M$62,9,0)</f>
        <v>No Sales</v>
      </c>
      <c r="B571" s="99" t="s">
        <v>138</v>
      </c>
      <c r="C571" s="101" t="s">
        <v>52</v>
      </c>
      <c r="D571" s="101" t="s">
        <v>53</v>
      </c>
      <c r="E571" s="99" t="s">
        <v>141</v>
      </c>
      <c r="F571" s="108" t="s">
        <v>142</v>
      </c>
      <c r="G571" s="109">
        <v>171.43</v>
      </c>
      <c r="H571" s="104">
        <f>VLOOKUP($E571,'Stock statement'!$D$2:$P$384,13,)</f>
        <v>94.278330452007026</v>
      </c>
      <c r="I571" s="121">
        <v>2.5000000000000001E-2</v>
      </c>
      <c r="J571" s="113">
        <v>1</v>
      </c>
      <c r="K571" s="106">
        <f>+G571*H571*(1+I571)*J571</f>
        <v>16566.187544122255</v>
      </c>
      <c r="L571" s="115"/>
      <c r="M571" s="104">
        <f>K571/$G$587</f>
        <v>333.97434088950467</v>
      </c>
    </row>
    <row r="572" spans="1:13" s="107" customFormat="1" ht="15" customHeight="1">
      <c r="A572" s="100" t="str">
        <f>VLOOKUP(C572,Abstract!$E$4:$M$62,9,0)</f>
        <v>No Sales</v>
      </c>
      <c r="B572" s="99" t="s">
        <v>138</v>
      </c>
      <c r="C572" s="101" t="s">
        <v>52</v>
      </c>
      <c r="D572" s="101" t="s">
        <v>53</v>
      </c>
      <c r="E572" s="99" t="s">
        <v>145</v>
      </c>
      <c r="F572" s="102" t="s">
        <v>146</v>
      </c>
      <c r="G572" s="109">
        <v>5</v>
      </c>
      <c r="H572" s="104">
        <f>VLOOKUP($E572,'Stock statement'!$D$2:$P$384,13,)</f>
        <v>151.08681180977209</v>
      </c>
      <c r="I572" s="121">
        <v>2.5000000000000001E-2</v>
      </c>
      <c r="J572" s="113">
        <v>1</v>
      </c>
      <c r="K572" s="106">
        <f t="shared" ref="K572:K586" si="52">+G572*H572*(1+I572)*J572</f>
        <v>774.31991052508192</v>
      </c>
      <c r="L572" s="115"/>
      <c r="M572" s="104">
        <f t="shared" ref="M572:M591" si="53">K572/$G$587</f>
        <v>15.610289396185653</v>
      </c>
    </row>
    <row r="573" spans="1:13" s="107" customFormat="1" ht="15" customHeight="1">
      <c r="A573" s="100" t="str">
        <f>VLOOKUP(C573,Abstract!$E$4:$M$62,9,0)</f>
        <v>No Sales</v>
      </c>
      <c r="B573" s="99" t="s">
        <v>138</v>
      </c>
      <c r="C573" s="101" t="s">
        <v>52</v>
      </c>
      <c r="D573" s="101" t="s">
        <v>53</v>
      </c>
      <c r="E573" s="99" t="s">
        <v>155</v>
      </c>
      <c r="F573" s="99" t="s">
        <v>156</v>
      </c>
      <c r="G573" s="109">
        <v>15</v>
      </c>
      <c r="H573" s="104">
        <f>VLOOKUP($E573,'Stock statement'!$D$2:$P$384,13,)</f>
        <v>68.308211638055738</v>
      </c>
      <c r="I573" s="121">
        <v>2.5000000000000001E-2</v>
      </c>
      <c r="J573" s="113">
        <v>1</v>
      </c>
      <c r="K573" s="106">
        <f t="shared" si="52"/>
        <v>1050.2387539351068</v>
      </c>
      <c r="L573" s="115"/>
      <c r="M573" s="104">
        <f t="shared" si="53"/>
        <v>21.172813279331756</v>
      </c>
    </row>
    <row r="574" spans="1:13" s="107" customFormat="1" ht="15" customHeight="1">
      <c r="A574" s="100" t="str">
        <f>VLOOKUP(C574,Abstract!$E$4:$M$62,9,0)</f>
        <v>No Sales</v>
      </c>
      <c r="B574" s="99" t="s">
        <v>138</v>
      </c>
      <c r="C574" s="101" t="s">
        <v>52</v>
      </c>
      <c r="D574" s="101" t="s">
        <v>53</v>
      </c>
      <c r="E574" s="99" t="s">
        <v>367</v>
      </c>
      <c r="F574" s="99" t="s">
        <v>368</v>
      </c>
      <c r="G574" s="109">
        <v>5</v>
      </c>
      <c r="H574" s="104">
        <f>VLOOKUP($E574,'Stock statement'!$D$2:$P$384,13,)</f>
        <v>160.1889709567478</v>
      </c>
      <c r="I574" s="121">
        <v>2.5000000000000001E-2</v>
      </c>
      <c r="J574" s="113">
        <v>1</v>
      </c>
      <c r="K574" s="106">
        <f t="shared" si="52"/>
        <v>820.9684761533324</v>
      </c>
      <c r="L574" s="115"/>
      <c r="M574" s="104">
        <f t="shared" si="53"/>
        <v>16.550724479251183</v>
      </c>
    </row>
    <row r="575" spans="1:13" s="107" customFormat="1" ht="15" customHeight="1">
      <c r="A575" s="100" t="str">
        <f>VLOOKUP(C575,Abstract!$E$4:$M$62,9,0)</f>
        <v>No Sales</v>
      </c>
      <c r="B575" s="99" t="s">
        <v>138</v>
      </c>
      <c r="C575" s="101" t="s">
        <v>52</v>
      </c>
      <c r="D575" s="101" t="s">
        <v>53</v>
      </c>
      <c r="E575" s="99" t="s">
        <v>369</v>
      </c>
      <c r="F575" s="99" t="s">
        <v>370</v>
      </c>
      <c r="G575" s="109">
        <v>1</v>
      </c>
      <c r="H575" s="104">
        <f>VLOOKUP($E575,'Stock statement'!$D$2:$P$384,13,)</f>
        <v>425.0933053369933</v>
      </c>
      <c r="I575" s="121">
        <v>2.5000000000000001E-2</v>
      </c>
      <c r="J575" s="113">
        <v>1</v>
      </c>
      <c r="K575" s="106">
        <f t="shared" si="52"/>
        <v>435.72063797041807</v>
      </c>
      <c r="L575" s="115"/>
      <c r="M575" s="104">
        <f t="shared" si="53"/>
        <v>8.7841280614836279</v>
      </c>
    </row>
    <row r="576" spans="1:13" s="107" customFormat="1" ht="15" customHeight="1">
      <c r="A576" s="100" t="str">
        <f>VLOOKUP(C576,Abstract!$E$4:$M$62,9,0)</f>
        <v>No Sales</v>
      </c>
      <c r="B576" s="99" t="s">
        <v>138</v>
      </c>
      <c r="C576" s="101" t="s">
        <v>52</v>
      </c>
      <c r="D576" s="101" t="s">
        <v>53</v>
      </c>
      <c r="E576" s="99" t="s">
        <v>153</v>
      </c>
      <c r="F576" s="99" t="s">
        <v>349</v>
      </c>
      <c r="G576" s="109">
        <v>0.125</v>
      </c>
      <c r="H576" s="104">
        <f>VLOOKUP($E576,'Stock statement'!$D$2:$P$384,13,)</f>
        <v>84.206363687840948</v>
      </c>
      <c r="I576" s="121">
        <v>2.5000000000000001E-2</v>
      </c>
      <c r="J576" s="113">
        <v>1</v>
      </c>
      <c r="K576" s="106">
        <f t="shared" si="52"/>
        <v>10.788940347504621</v>
      </c>
      <c r="L576" s="115"/>
      <c r="M576" s="104">
        <f t="shared" si="53"/>
        <v>0.21750503740569316</v>
      </c>
    </row>
    <row r="577" spans="1:13" s="107" customFormat="1" ht="15" customHeight="1">
      <c r="A577" s="100" t="str">
        <f>VLOOKUP(C577,Abstract!$E$4:$M$62,9,0)</f>
        <v>No Sales</v>
      </c>
      <c r="B577" s="99" t="s">
        <v>138</v>
      </c>
      <c r="C577" s="101" t="s">
        <v>52</v>
      </c>
      <c r="D577" s="101" t="s">
        <v>53</v>
      </c>
      <c r="E577" s="99">
        <v>115071</v>
      </c>
      <c r="F577" s="99" t="s">
        <v>311</v>
      </c>
      <c r="G577" s="109">
        <v>0.5</v>
      </c>
      <c r="H577" s="104">
        <f>VLOOKUP($E577,'Stock statement'!$D$2:$P$384,13,)</f>
        <v>195.04600880394028</v>
      </c>
      <c r="I577" s="121">
        <v>2.5000000000000001E-2</v>
      </c>
      <c r="J577" s="113">
        <v>1</v>
      </c>
      <c r="K577" s="106">
        <f t="shared" si="52"/>
        <v>99.961079512019381</v>
      </c>
      <c r="L577" s="115"/>
      <c r="M577" s="104">
        <f t="shared" si="53"/>
        <v>2.0152153629623109</v>
      </c>
    </row>
    <row r="578" spans="1:13" s="107" customFormat="1" ht="15" customHeight="1">
      <c r="A578" s="100" t="str">
        <f>VLOOKUP(C578,Abstract!$E$4:$M$62,9,0)</f>
        <v>No Sales</v>
      </c>
      <c r="B578" s="99" t="s">
        <v>138</v>
      </c>
      <c r="C578" s="101" t="s">
        <v>52</v>
      </c>
      <c r="D578" s="101" t="s">
        <v>53</v>
      </c>
      <c r="E578" s="99" t="s">
        <v>151</v>
      </c>
      <c r="F578" s="99" t="s">
        <v>152</v>
      </c>
      <c r="G578" s="109">
        <v>0.5</v>
      </c>
      <c r="H578" s="104">
        <f>VLOOKUP($E578,'Stock statement'!$D$2:$P$384,13,)</f>
        <v>762.38931335604309</v>
      </c>
      <c r="I578" s="121">
        <v>2.5000000000000001E-2</v>
      </c>
      <c r="J578" s="113">
        <v>1</v>
      </c>
      <c r="K578" s="106">
        <f t="shared" si="52"/>
        <v>390.72452309497203</v>
      </c>
      <c r="L578" s="115"/>
      <c r="M578" s="104">
        <f t="shared" si="53"/>
        <v>7.8770063855946368</v>
      </c>
    </row>
    <row r="579" spans="1:13" s="107" customFormat="1" ht="15" customHeight="1">
      <c r="A579" s="100" t="str">
        <f>VLOOKUP(C579,Abstract!$E$4:$M$62,9,0)</f>
        <v>No Sales</v>
      </c>
      <c r="B579" s="99" t="s">
        <v>138</v>
      </c>
      <c r="C579" s="101" t="s">
        <v>52</v>
      </c>
      <c r="D579" s="101" t="s">
        <v>53</v>
      </c>
      <c r="E579" s="99" t="s">
        <v>166</v>
      </c>
      <c r="F579" s="99" t="s">
        <v>167</v>
      </c>
      <c r="G579" s="109">
        <v>2.5</v>
      </c>
      <c r="H579" s="104">
        <f>VLOOKUP($E579,'Stock statement'!$D$2:$P$384,13,)</f>
        <v>127.15913438761541</v>
      </c>
      <c r="I579" s="121">
        <v>2.5000000000000001E-2</v>
      </c>
      <c r="J579" s="113">
        <v>1</v>
      </c>
      <c r="K579" s="106">
        <f t="shared" si="52"/>
        <v>325.84528186826446</v>
      </c>
      <c r="L579" s="115"/>
      <c r="M579" s="104">
        <f t="shared" si="53"/>
        <v>6.5690408824642121</v>
      </c>
    </row>
    <row r="580" spans="1:13" s="107" customFormat="1" ht="15" customHeight="1">
      <c r="A580" s="100" t="str">
        <f>VLOOKUP(C580,Abstract!$E$4:$M$62,9,0)</f>
        <v>No Sales</v>
      </c>
      <c r="B580" s="99" t="s">
        <v>138</v>
      </c>
      <c r="C580" s="101" t="s">
        <v>52</v>
      </c>
      <c r="D580" s="101" t="s">
        <v>53</v>
      </c>
      <c r="E580" s="99" t="s">
        <v>371</v>
      </c>
      <c r="F580" s="99" t="s">
        <v>372</v>
      </c>
      <c r="G580" s="109">
        <v>0.01</v>
      </c>
      <c r="H580" s="104">
        <f>VLOOKUP($E580,'Stock statement'!$D$2:$P$384,13,)</f>
        <v>911.16233108656354</v>
      </c>
      <c r="I580" s="121">
        <v>2.5000000000000001E-2</v>
      </c>
      <c r="J580" s="113">
        <v>1</v>
      </c>
      <c r="K580" s="106">
        <f t="shared" si="52"/>
        <v>9.3394138936372748</v>
      </c>
      <c r="L580" s="115"/>
      <c r="M580" s="104">
        <f t="shared" si="53"/>
        <v>0.18828258409572746</v>
      </c>
    </row>
    <row r="581" spans="1:13" s="107" customFormat="1" ht="15" customHeight="1">
      <c r="A581" s="100" t="str">
        <f>VLOOKUP(C581,Abstract!$E$4:$M$62,9,0)</f>
        <v>No Sales</v>
      </c>
      <c r="B581" s="99" t="s">
        <v>138</v>
      </c>
      <c r="C581" s="101" t="s">
        <v>52</v>
      </c>
      <c r="D581" s="101" t="s">
        <v>53</v>
      </c>
      <c r="E581" s="99" t="s">
        <v>373</v>
      </c>
      <c r="F581" s="99" t="s">
        <v>374</v>
      </c>
      <c r="G581" s="109">
        <v>0.01</v>
      </c>
      <c r="H581" s="104">
        <f>VLOOKUP($E581,'Stock statement'!$D$2:$P$384,13,)</f>
        <v>1119.6565156623499</v>
      </c>
      <c r="I581" s="121">
        <v>2.5000000000000001E-2</v>
      </c>
      <c r="J581" s="113">
        <v>1</v>
      </c>
      <c r="K581" s="106">
        <f t="shared" si="52"/>
        <v>11.476479285539087</v>
      </c>
      <c r="L581" s="115"/>
      <c r="M581" s="104">
        <f t="shared" si="53"/>
        <v>0.231365822396468</v>
      </c>
    </row>
    <row r="582" spans="1:13" s="107" customFormat="1" ht="15" customHeight="1">
      <c r="A582" s="100" t="str">
        <f>VLOOKUP(C582,Abstract!$E$4:$M$62,9,0)</f>
        <v>No Sales</v>
      </c>
      <c r="B582" s="99" t="s">
        <v>138</v>
      </c>
      <c r="C582" s="101" t="s">
        <v>52</v>
      </c>
      <c r="D582" s="101" t="s">
        <v>53</v>
      </c>
      <c r="E582" s="99">
        <v>213441</v>
      </c>
      <c r="F582" s="99" t="s">
        <v>375</v>
      </c>
      <c r="G582" s="109">
        <v>0.06</v>
      </c>
      <c r="H582" s="104">
        <f>VLOOKUP($E582,'Stock statement'!$D$2:$P$384,13,)</f>
        <v>0</v>
      </c>
      <c r="I582" s="121">
        <v>2.5000000000000001E-2</v>
      </c>
      <c r="J582" s="113">
        <v>1</v>
      </c>
      <c r="K582" s="106">
        <f t="shared" si="52"/>
        <v>0</v>
      </c>
      <c r="L582" s="115"/>
      <c r="M582" s="104">
        <f t="shared" si="53"/>
        <v>0</v>
      </c>
    </row>
    <row r="583" spans="1:13" s="107" customFormat="1" ht="15" customHeight="1">
      <c r="A583" s="100" t="str">
        <f>VLOOKUP(C583,Abstract!$E$4:$M$62,9,0)</f>
        <v>No Sales</v>
      </c>
      <c r="B583" s="99" t="s">
        <v>138</v>
      </c>
      <c r="C583" s="101" t="s">
        <v>52</v>
      </c>
      <c r="D583" s="101" t="s">
        <v>53</v>
      </c>
      <c r="E583" s="99" t="s">
        <v>376</v>
      </c>
      <c r="F583" s="99" t="s">
        <v>377</v>
      </c>
      <c r="G583" s="109">
        <v>5.94</v>
      </c>
      <c r="H583" s="104">
        <f>VLOOKUP($E583,'Stock statement'!$D$2:$P$384,13,)</f>
        <v>768.48873865639405</v>
      </c>
      <c r="I583" s="121">
        <v>2.5000000000000001E-2</v>
      </c>
      <c r="J583" s="113">
        <v>1</v>
      </c>
      <c r="K583" s="106">
        <f t="shared" si="52"/>
        <v>4678.9436853094558</v>
      </c>
      <c r="L583" s="115"/>
      <c r="M583" s="104">
        <f t="shared" si="53"/>
        <v>94.327504695838627</v>
      </c>
    </row>
    <row r="584" spans="1:13" s="107" customFormat="1" ht="15" customHeight="1">
      <c r="A584" s="100" t="str">
        <f>VLOOKUP(C584,Abstract!$E$4:$M$62,9,0)</f>
        <v>No Sales</v>
      </c>
      <c r="B584" s="99" t="s">
        <v>138</v>
      </c>
      <c r="C584" s="101" t="s">
        <v>52</v>
      </c>
      <c r="D584" s="101" t="s">
        <v>53</v>
      </c>
      <c r="E584" s="99" t="s">
        <v>181</v>
      </c>
      <c r="F584" s="102" t="s">
        <v>182</v>
      </c>
      <c r="G584" s="109">
        <v>15</v>
      </c>
      <c r="H584" s="104">
        <f>VLOOKUP($E584,'Stock statement'!$D$2:$P$384,13,)</f>
        <v>17.110276913020375</v>
      </c>
      <c r="I584" s="121">
        <v>2.5000000000000001E-2</v>
      </c>
      <c r="J584" s="113">
        <v>1</v>
      </c>
      <c r="K584" s="106">
        <f t="shared" si="52"/>
        <v>263.07050753768823</v>
      </c>
      <c r="L584" s="115"/>
      <c r="M584" s="104">
        <f t="shared" si="53"/>
        <v>5.3035014319597948</v>
      </c>
    </row>
    <row r="585" spans="1:13" s="107" customFormat="1" ht="15" customHeight="1">
      <c r="A585" s="100" t="str">
        <f>VLOOKUP(C585,Abstract!$E$4:$M$62,9,0)</f>
        <v>No Sales</v>
      </c>
      <c r="B585" s="99" t="s">
        <v>138</v>
      </c>
      <c r="C585" s="101" t="s">
        <v>52</v>
      </c>
      <c r="D585" s="101" t="s">
        <v>53</v>
      </c>
      <c r="E585" s="99" t="s">
        <v>173</v>
      </c>
      <c r="F585" s="95" t="s">
        <v>174</v>
      </c>
      <c r="G585" s="109">
        <v>0.1</v>
      </c>
      <c r="H585" s="104">
        <f>VLOOKUP($E585,'Stock statement'!$D$2:$P$384,13,)</f>
        <v>555.2517156766155</v>
      </c>
      <c r="I585" s="121">
        <v>2.5000000000000001E-2</v>
      </c>
      <c r="J585" s="113">
        <v>1</v>
      </c>
      <c r="K585" s="106">
        <f t="shared" si="52"/>
        <v>56.913300856853084</v>
      </c>
      <c r="L585" s="115"/>
      <c r="M585" s="104">
        <f t="shared" si="53"/>
        <v>1.1473721452741583</v>
      </c>
    </row>
    <row r="586" spans="1:13" s="107" customFormat="1" ht="15" customHeight="1">
      <c r="A586" s="100" t="str">
        <f>VLOOKUP(C586,Abstract!$E$4:$M$62,9,0)</f>
        <v>No Sales</v>
      </c>
      <c r="B586" s="99" t="s">
        <v>138</v>
      </c>
      <c r="C586" s="101" t="s">
        <v>52</v>
      </c>
      <c r="D586" s="101" t="s">
        <v>53</v>
      </c>
      <c r="E586" s="99" t="s">
        <v>139</v>
      </c>
      <c r="F586" s="102" t="s">
        <v>140</v>
      </c>
      <c r="G586" s="109">
        <v>777.82</v>
      </c>
      <c r="H586" s="104">
        <f>VLOOKUP($E586,'Stock statement'!$D$2:$P$384,13,)</f>
        <v>0.34</v>
      </c>
      <c r="I586" s="121">
        <v>2.5000000000000001E-2</v>
      </c>
      <c r="J586" s="113">
        <v>1</v>
      </c>
      <c r="K586" s="106">
        <f t="shared" si="52"/>
        <v>271.07027000000005</v>
      </c>
      <c r="L586" s="115"/>
      <c r="M586" s="104">
        <f t="shared" si="53"/>
        <v>5.4647766432000013</v>
      </c>
    </row>
    <row r="587" spans="1:13" s="107" customFormat="1" ht="15" customHeight="1">
      <c r="A587" s="100" t="str">
        <f>VLOOKUP(C587,Abstract!$E$4:$M$62,9,0)</f>
        <v>No Sales</v>
      </c>
      <c r="B587" s="99" t="s">
        <v>183</v>
      </c>
      <c r="C587" s="101" t="s">
        <v>52</v>
      </c>
      <c r="D587" s="101" t="s">
        <v>53</v>
      </c>
      <c r="E587" s="99">
        <v>214083</v>
      </c>
      <c r="F587" s="99" t="s">
        <v>378</v>
      </c>
      <c r="G587" s="109">
        <f>1000/(4.2*4800/1000)</f>
        <v>49.603174603174601</v>
      </c>
      <c r="H587" s="104">
        <f>VLOOKUP($E587,'Stock statement'!$D$2:$P$384,13,)</f>
        <v>36.700000000000003</v>
      </c>
      <c r="I587" s="121">
        <v>6.0000000000000001E-3</v>
      </c>
      <c r="J587" s="113">
        <v>1</v>
      </c>
      <c r="K587" s="106">
        <f>+G587*H587*(1+I587)*J587</f>
        <v>1831.359126984127</v>
      </c>
      <c r="L587" s="115"/>
      <c r="M587" s="104">
        <f t="shared" si="53"/>
        <v>36.920200000000001</v>
      </c>
    </row>
    <row r="588" spans="1:13" s="107" customFormat="1" ht="15" customHeight="1">
      <c r="A588" s="100" t="str">
        <f>VLOOKUP(C588,Abstract!$E$4:$M$62,9,0)</f>
        <v>No Sales</v>
      </c>
      <c r="B588" s="99" t="s">
        <v>183</v>
      </c>
      <c r="C588" s="101" t="s">
        <v>52</v>
      </c>
      <c r="D588" s="101" t="s">
        <v>53</v>
      </c>
      <c r="E588" s="99">
        <v>214082</v>
      </c>
      <c r="F588" s="99" t="s">
        <v>379</v>
      </c>
      <c r="G588" s="109">
        <f>+G587*4</f>
        <v>198.4126984126984</v>
      </c>
      <c r="H588" s="104">
        <f>VLOOKUP($E588,'Stock statement'!$D$2:$P$384,13,)</f>
        <v>10.53</v>
      </c>
      <c r="I588" s="121">
        <v>6.0000000000000001E-3</v>
      </c>
      <c r="J588" s="113">
        <v>1</v>
      </c>
      <c r="K588" s="106">
        <f>+G588*H588*(1+I588)*J588</f>
        <v>2101.8214285714284</v>
      </c>
      <c r="L588" s="115"/>
      <c r="M588" s="104">
        <f t="shared" si="53"/>
        <v>42.372720000000001</v>
      </c>
    </row>
    <row r="589" spans="1:13" s="107" customFormat="1" ht="15" customHeight="1">
      <c r="A589" s="100" t="str">
        <f>VLOOKUP(C589,Abstract!$E$4:$M$62,9,0)</f>
        <v>No Sales</v>
      </c>
      <c r="B589" s="99" t="s">
        <v>183</v>
      </c>
      <c r="C589" s="101" t="s">
        <v>52</v>
      </c>
      <c r="D589" s="101" t="s">
        <v>53</v>
      </c>
      <c r="E589" s="99">
        <v>214044</v>
      </c>
      <c r="F589" s="99" t="s">
        <v>380</v>
      </c>
      <c r="G589" s="109">
        <f>+G587*1.189</f>
        <v>58.978174603174601</v>
      </c>
      <c r="H589" s="104">
        <f>VLOOKUP($E589,'Stock statement'!$D$2:$P$384,13,)</f>
        <v>203.08583774247978</v>
      </c>
      <c r="I589" s="121">
        <v>1.7500000000000002E-2</v>
      </c>
      <c r="J589" s="113">
        <v>1</v>
      </c>
      <c r="K589" s="106">
        <f>+G589*H589*(1+I589)*J589</f>
        <v>12187.240557769599</v>
      </c>
      <c r="L589" s="115"/>
      <c r="M589" s="104">
        <f t="shared" si="53"/>
        <v>245.69476964463513</v>
      </c>
    </row>
    <row r="590" spans="1:13" s="107" customFormat="1" ht="15" customHeight="1">
      <c r="A590" s="100" t="str">
        <f>VLOOKUP(C590,Abstract!$E$4:$M$62,9,0)</f>
        <v>No Sales</v>
      </c>
      <c r="B590" s="99" t="s">
        <v>183</v>
      </c>
      <c r="C590" s="101" t="s">
        <v>52</v>
      </c>
      <c r="D590" s="101" t="s">
        <v>53</v>
      </c>
      <c r="E590" s="99" t="s">
        <v>191</v>
      </c>
      <c r="F590" s="95" t="s">
        <v>192</v>
      </c>
      <c r="G590" s="109">
        <f>+G587*0.042</f>
        <v>2.0833333333333335</v>
      </c>
      <c r="H590" s="104">
        <f>VLOOKUP($E590,'Stock statement'!$D$2:$P$384,13,)</f>
        <v>44.985440769279101</v>
      </c>
      <c r="I590" s="121">
        <v>0.02</v>
      </c>
      <c r="J590" s="113">
        <v>1</v>
      </c>
      <c r="K590" s="106">
        <f>+G590*H590*(1+I590)*J590</f>
        <v>95.594061634718102</v>
      </c>
      <c r="L590" s="115"/>
      <c r="M590" s="104">
        <f t="shared" si="53"/>
        <v>1.9271762825559171</v>
      </c>
    </row>
    <row r="591" spans="1:13" s="107" customFormat="1" ht="15" customHeight="1">
      <c r="A591" s="100" t="str">
        <f>VLOOKUP(C591,Abstract!$E$4:$M$62,9,0)</f>
        <v>No Sales</v>
      </c>
      <c r="B591" s="99" t="s">
        <v>197</v>
      </c>
      <c r="C591" s="101" t="s">
        <v>52</v>
      </c>
      <c r="D591" s="101" t="s">
        <v>53</v>
      </c>
      <c r="E591" s="99" t="s">
        <v>198</v>
      </c>
      <c r="F591" s="99"/>
      <c r="G591" s="109"/>
      <c r="H591" s="104"/>
      <c r="I591" s="121"/>
      <c r="J591" s="113"/>
      <c r="K591" s="106">
        <v>6180</v>
      </c>
      <c r="L591" s="98">
        <f>SUM(K571:K591)</f>
        <v>48161.583979372008</v>
      </c>
      <c r="M591" s="104">
        <f t="shared" si="53"/>
        <v>124.58880000000001</v>
      </c>
    </row>
    <row r="592" spans="1:13" s="107" customFormat="1" ht="15" customHeight="1">
      <c r="A592" s="100" t="str">
        <f>VLOOKUP(C592,Abstract!$E$4:$M$62,9,0)</f>
        <v>No Sales</v>
      </c>
      <c r="B592" s="95" t="s">
        <v>138</v>
      </c>
      <c r="C592" s="132" t="s">
        <v>54</v>
      </c>
      <c r="D592" s="100" t="s">
        <v>55</v>
      </c>
      <c r="E592" s="99" t="s">
        <v>141</v>
      </c>
      <c r="F592" s="108" t="s">
        <v>142</v>
      </c>
      <c r="G592" s="109">
        <v>185.7</v>
      </c>
      <c r="H592" s="104">
        <f>VLOOKUP($E592,'Stock statement'!$D$2:$P$384,13,)</f>
        <v>94.278330452007026</v>
      </c>
      <c r="I592" s="127">
        <v>2.5000000000000001E-2</v>
      </c>
      <c r="J592" s="116">
        <v>1.0249999999999999</v>
      </c>
      <c r="K592" s="106">
        <f>+G592*H592*(1+I592)*J592</f>
        <v>18393.80244191267</v>
      </c>
      <c r="L592" s="128"/>
      <c r="M592" s="129">
        <f>K592/$G$618</f>
        <v>211.89660413083396</v>
      </c>
    </row>
    <row r="593" spans="1:13" s="107" customFormat="1" ht="15" customHeight="1">
      <c r="A593" s="100" t="str">
        <f>VLOOKUP(C593,Abstract!$E$4:$M$62,9,0)</f>
        <v>No Sales</v>
      </c>
      <c r="B593" s="95" t="s">
        <v>138</v>
      </c>
      <c r="C593" s="132" t="s">
        <v>54</v>
      </c>
      <c r="D593" s="100" t="s">
        <v>55</v>
      </c>
      <c r="E593" s="99" t="s">
        <v>145</v>
      </c>
      <c r="F593" s="102" t="s">
        <v>146</v>
      </c>
      <c r="G593" s="109">
        <v>17.5</v>
      </c>
      <c r="H593" s="104">
        <f>VLOOKUP($E593,'Stock statement'!$D$2:$P$384,13,)</f>
        <v>151.08681180977209</v>
      </c>
      <c r="I593" s="127">
        <v>2.5000000000000001E-2</v>
      </c>
      <c r="J593" s="116">
        <v>1.0249999999999999</v>
      </c>
      <c r="K593" s="106">
        <f t="shared" ref="K593:K617" si="54">+G593*H593*(1+I593)*J593</f>
        <v>2777.8726790087308</v>
      </c>
      <c r="L593" s="128"/>
      <c r="M593" s="129">
        <f t="shared" ref="M593:M622" si="55">K593/$G$618</f>
        <v>32.001093262180575</v>
      </c>
    </row>
    <row r="594" spans="1:13" s="107" customFormat="1" ht="15" customHeight="1">
      <c r="A594" s="100" t="str">
        <f>VLOOKUP(C594,Abstract!$E$4:$M$62,9,0)</f>
        <v>No Sales</v>
      </c>
      <c r="B594" s="95" t="s">
        <v>138</v>
      </c>
      <c r="C594" s="132" t="s">
        <v>54</v>
      </c>
      <c r="D594" s="100" t="s">
        <v>55</v>
      </c>
      <c r="E594" s="99" t="s">
        <v>308</v>
      </c>
      <c r="F594" s="99" t="s">
        <v>309</v>
      </c>
      <c r="G594" s="109">
        <v>1E-3</v>
      </c>
      <c r="H594" s="104">
        <f>VLOOKUP($E594,'Stock statement'!$D$2:$P$384,13,)</f>
        <v>0</v>
      </c>
      <c r="I594" s="127">
        <v>2.5000000000000001E-2</v>
      </c>
      <c r="J594" s="116">
        <v>1.0249999999999999</v>
      </c>
      <c r="K594" s="106">
        <f t="shared" si="54"/>
        <v>0</v>
      </c>
      <c r="L594" s="128"/>
      <c r="M594" s="129">
        <f t="shared" si="55"/>
        <v>0</v>
      </c>
    </row>
    <row r="595" spans="1:13" s="107" customFormat="1" ht="15" customHeight="1">
      <c r="A595" s="100" t="str">
        <f>VLOOKUP(C595,Abstract!$E$4:$M$62,9,0)</f>
        <v>No Sales</v>
      </c>
      <c r="B595" s="95" t="s">
        <v>138</v>
      </c>
      <c r="C595" s="132" t="s">
        <v>54</v>
      </c>
      <c r="D595" s="100" t="s">
        <v>55</v>
      </c>
      <c r="E595" s="99" t="s">
        <v>149</v>
      </c>
      <c r="F595" s="99" t="s">
        <v>150</v>
      </c>
      <c r="G595" s="109">
        <v>0.15</v>
      </c>
      <c r="H595" s="104">
        <f>VLOOKUP($E595,'Stock statement'!$D$2:$P$384,13,)</f>
        <v>161.56941474217822</v>
      </c>
      <c r="I595" s="127">
        <v>2.5000000000000001E-2</v>
      </c>
      <c r="J595" s="116">
        <v>1.0249999999999999</v>
      </c>
      <c r="K595" s="106">
        <f t="shared" si="54"/>
        <v>25.462329954525146</v>
      </c>
      <c r="L595" s="128"/>
      <c r="M595" s="129">
        <f t="shared" si="55"/>
        <v>0.2933260410761297</v>
      </c>
    </row>
    <row r="596" spans="1:13" s="107" customFormat="1" ht="15" customHeight="1">
      <c r="A596" s="100" t="str">
        <f>VLOOKUP(C596,Abstract!$E$4:$M$62,9,0)</f>
        <v>No Sales</v>
      </c>
      <c r="B596" s="95" t="s">
        <v>138</v>
      </c>
      <c r="C596" s="132" t="s">
        <v>54</v>
      </c>
      <c r="D596" s="100" t="s">
        <v>55</v>
      </c>
      <c r="E596" s="99" t="s">
        <v>151</v>
      </c>
      <c r="F596" s="99" t="s">
        <v>310</v>
      </c>
      <c r="G596" s="109">
        <v>2.5</v>
      </c>
      <c r="H596" s="104">
        <f>VLOOKUP($E596,'Stock statement'!$D$2:$P$384,13,)</f>
        <v>762.38931335604309</v>
      </c>
      <c r="I596" s="127">
        <v>2.5000000000000001E-2</v>
      </c>
      <c r="J596" s="116">
        <v>1.0249999999999999</v>
      </c>
      <c r="K596" s="106">
        <f t="shared" si="54"/>
        <v>2002.4631808617316</v>
      </c>
      <c r="L596" s="128"/>
      <c r="M596" s="129">
        <f t="shared" si="55"/>
        <v>23.068375843527146</v>
      </c>
    </row>
    <row r="597" spans="1:13" s="107" customFormat="1" ht="15" customHeight="1">
      <c r="A597" s="100" t="str">
        <f>VLOOKUP(C597,Abstract!$E$4:$M$62,9,0)</f>
        <v>No Sales</v>
      </c>
      <c r="B597" s="95" t="s">
        <v>138</v>
      </c>
      <c r="C597" s="132" t="s">
        <v>54</v>
      </c>
      <c r="D597" s="100" t="s">
        <v>55</v>
      </c>
      <c r="E597" s="99" t="s">
        <v>153</v>
      </c>
      <c r="F597" s="99" t="s">
        <v>349</v>
      </c>
      <c r="G597" s="109">
        <v>0.75</v>
      </c>
      <c r="H597" s="104">
        <f>VLOOKUP($E597,'Stock statement'!$D$2:$P$384,13,)</f>
        <v>84.206363687840948</v>
      </c>
      <c r="I597" s="127">
        <v>2.5000000000000001E-2</v>
      </c>
      <c r="J597" s="116">
        <v>1.0249999999999999</v>
      </c>
      <c r="K597" s="106">
        <f t="shared" si="54"/>
        <v>66.351983137153411</v>
      </c>
      <c r="L597" s="128"/>
      <c r="M597" s="129">
        <f t="shared" si="55"/>
        <v>0.76437484574000725</v>
      </c>
    </row>
    <row r="598" spans="1:13" s="107" customFormat="1" ht="15" customHeight="1">
      <c r="A598" s="100" t="str">
        <f>VLOOKUP(C598,Abstract!$E$4:$M$62,9,0)</f>
        <v>No Sales</v>
      </c>
      <c r="B598" s="95" t="s">
        <v>138</v>
      </c>
      <c r="C598" s="132" t="s">
        <v>54</v>
      </c>
      <c r="D598" s="100" t="s">
        <v>55</v>
      </c>
      <c r="E598" s="99" t="s">
        <v>155</v>
      </c>
      <c r="F598" s="99" t="s">
        <v>156</v>
      </c>
      <c r="G598" s="109">
        <v>10</v>
      </c>
      <c r="H598" s="104">
        <f>VLOOKUP($E598,'Stock statement'!$D$2:$P$384,13,)</f>
        <v>68.308211638055738</v>
      </c>
      <c r="I598" s="127">
        <v>2.5000000000000001E-2</v>
      </c>
      <c r="J598" s="116">
        <v>1.0249999999999999</v>
      </c>
      <c r="K598" s="106">
        <f t="shared" si="54"/>
        <v>717.66314852232301</v>
      </c>
      <c r="L598" s="128"/>
      <c r="M598" s="129">
        <f t="shared" si="55"/>
        <v>8.2674794709771611</v>
      </c>
    </row>
    <row r="599" spans="1:13" s="107" customFormat="1" ht="15" customHeight="1">
      <c r="A599" s="100" t="str">
        <f>VLOOKUP(C599,Abstract!$E$4:$M$62,9,0)</f>
        <v>No Sales</v>
      </c>
      <c r="B599" s="95" t="s">
        <v>138</v>
      </c>
      <c r="C599" s="132" t="s">
        <v>54</v>
      </c>
      <c r="D599" s="100" t="s">
        <v>55</v>
      </c>
      <c r="E599" s="99" t="s">
        <v>157</v>
      </c>
      <c r="F599" s="102" t="s">
        <v>158</v>
      </c>
      <c r="G599" s="109">
        <v>0.875</v>
      </c>
      <c r="H599" s="104">
        <f>VLOOKUP($E599,'Stock statement'!$D$2:$P$384,13,)</f>
        <v>828.81974703846117</v>
      </c>
      <c r="I599" s="127">
        <v>2.5000000000000001E-2</v>
      </c>
      <c r="J599" s="116">
        <v>1.0249999999999999</v>
      </c>
      <c r="K599" s="106">
        <f t="shared" si="54"/>
        <v>761.93140339074773</v>
      </c>
      <c r="L599" s="128"/>
      <c r="M599" s="129">
        <f t="shared" si="55"/>
        <v>8.7774497670614142</v>
      </c>
    </row>
    <row r="600" spans="1:13" s="107" customFormat="1" ht="15" customHeight="1">
      <c r="A600" s="100" t="str">
        <f>VLOOKUP(C600,Abstract!$E$4:$M$62,9,0)</f>
        <v>No Sales</v>
      </c>
      <c r="B600" s="95" t="s">
        <v>138</v>
      </c>
      <c r="C600" s="132" t="s">
        <v>54</v>
      </c>
      <c r="D600" s="100" t="s">
        <v>55</v>
      </c>
      <c r="E600" s="157">
        <v>115150</v>
      </c>
      <c r="F600" s="99" t="s">
        <v>159</v>
      </c>
      <c r="G600" s="109">
        <v>0.875</v>
      </c>
      <c r="H600" s="104">
        <f>VLOOKUP($E600,'Stock statement'!$D$2:$P$384,13,)</f>
        <v>456.30699446392703</v>
      </c>
      <c r="I600" s="127">
        <v>2.5000000000000001E-2</v>
      </c>
      <c r="J600" s="116">
        <v>1.0249999999999999</v>
      </c>
      <c r="K600" s="106">
        <f>+G600*H600*(1+I600)*J600</f>
        <v>419.48159405133038</v>
      </c>
      <c r="L600" s="128"/>
      <c r="M600" s="129">
        <f t="shared" si="55"/>
        <v>4.8324279634713259</v>
      </c>
    </row>
    <row r="601" spans="1:13" s="107" customFormat="1" ht="15" customHeight="1">
      <c r="A601" s="100" t="str">
        <f>VLOOKUP(C601,Abstract!$E$4:$M$62,9,0)</f>
        <v>No Sales</v>
      </c>
      <c r="B601" s="95" t="s">
        <v>138</v>
      </c>
      <c r="C601" s="132" t="s">
        <v>54</v>
      </c>
      <c r="D601" s="100" t="s">
        <v>55</v>
      </c>
      <c r="E601" s="99" t="s">
        <v>160</v>
      </c>
      <c r="F601" s="108" t="s">
        <v>161</v>
      </c>
      <c r="G601" s="109">
        <v>0.3</v>
      </c>
      <c r="H601" s="104">
        <f>VLOOKUP($E601,'Stock statement'!$D$2:$P$384,13,)</f>
        <v>3313.2387673094586</v>
      </c>
      <c r="I601" s="127">
        <v>2.5000000000000001E-2</v>
      </c>
      <c r="J601" s="116">
        <v>1.0249999999999999</v>
      </c>
      <c r="K601" s="106">
        <f t="shared" si="54"/>
        <v>1044.2914439713497</v>
      </c>
      <c r="L601" s="128"/>
      <c r="M601" s="129">
        <f t="shared" si="55"/>
        <v>12.030237434549949</v>
      </c>
    </row>
    <row r="602" spans="1:13" s="107" customFormat="1" ht="15" customHeight="1">
      <c r="A602" s="100" t="str">
        <f>VLOOKUP(C602,Abstract!$E$4:$M$62,9,0)</f>
        <v>No Sales</v>
      </c>
      <c r="B602" s="95" t="s">
        <v>138</v>
      </c>
      <c r="C602" s="132" t="s">
        <v>54</v>
      </c>
      <c r="D602" s="100" t="s">
        <v>55</v>
      </c>
      <c r="E602" s="99" t="s">
        <v>147</v>
      </c>
      <c r="F602" s="95" t="s">
        <v>148</v>
      </c>
      <c r="G602" s="109">
        <v>0.5</v>
      </c>
      <c r="H602" s="104">
        <f>VLOOKUP($E602,'Stock statement'!$D$2:$P$384,13,)</f>
        <v>353.50950483838068</v>
      </c>
      <c r="I602" s="127">
        <v>2.5000000000000001E-2</v>
      </c>
      <c r="J602" s="116">
        <v>1.0249999999999999</v>
      </c>
      <c r="K602" s="106">
        <f t="shared" si="54"/>
        <v>185.70296176041182</v>
      </c>
      <c r="L602" s="128"/>
      <c r="M602" s="129">
        <f t="shared" si="55"/>
        <v>2.1392981194799443</v>
      </c>
    </row>
    <row r="603" spans="1:13" s="107" customFormat="1" ht="15" customHeight="1">
      <c r="A603" s="100" t="str">
        <f>VLOOKUP(C603,Abstract!$E$4:$M$62,9,0)</f>
        <v>No Sales</v>
      </c>
      <c r="B603" s="95" t="s">
        <v>138</v>
      </c>
      <c r="C603" s="132" t="s">
        <v>54</v>
      </c>
      <c r="D603" s="100" t="s">
        <v>55</v>
      </c>
      <c r="E603" s="99" t="s">
        <v>223</v>
      </c>
      <c r="F603" s="99" t="s">
        <v>224</v>
      </c>
      <c r="G603" s="109">
        <v>0.12</v>
      </c>
      <c r="H603" s="104">
        <f>VLOOKUP($E603,'Stock statement'!$D$2:$P$384,13,)</f>
        <v>661.66658982809031</v>
      </c>
      <c r="I603" s="127">
        <v>2.5000000000000001E-2</v>
      </c>
      <c r="J603" s="116">
        <v>1.0249999999999999</v>
      </c>
      <c r="K603" s="106">
        <f t="shared" si="54"/>
        <v>83.419615312576468</v>
      </c>
      <c r="L603" s="128"/>
      <c r="M603" s="129">
        <f t="shared" si="55"/>
        <v>0.96099396840088092</v>
      </c>
    </row>
    <row r="604" spans="1:13" s="107" customFormat="1" ht="15" customHeight="1">
      <c r="A604" s="100" t="str">
        <f>VLOOKUP(C604,Abstract!$E$4:$M$62,9,0)</f>
        <v>No Sales</v>
      </c>
      <c r="B604" s="95" t="s">
        <v>138</v>
      </c>
      <c r="C604" s="132" t="s">
        <v>54</v>
      </c>
      <c r="D604" s="100" t="s">
        <v>55</v>
      </c>
      <c r="E604" s="99" t="s">
        <v>162</v>
      </c>
      <c r="F604" s="95" t="s">
        <v>163</v>
      </c>
      <c r="G604" s="109">
        <v>0.112</v>
      </c>
      <c r="H604" s="104">
        <f>VLOOKUP($E604,'Stock statement'!$D$2:$P$384,13,)</f>
        <v>348.44830167161894</v>
      </c>
      <c r="I604" s="127">
        <v>2.5000000000000001E-2</v>
      </c>
      <c r="J604" s="116">
        <v>1.0249999999999999</v>
      </c>
      <c r="K604" s="106">
        <f t="shared" si="54"/>
        <v>41.001911657699395</v>
      </c>
      <c r="L604" s="128"/>
      <c r="M604" s="129">
        <f t="shared" si="55"/>
        <v>0.47234202229669703</v>
      </c>
    </row>
    <row r="605" spans="1:13" s="107" customFormat="1" ht="15" customHeight="1">
      <c r="A605" s="100" t="str">
        <f>VLOOKUP(C605,Abstract!$E$4:$M$62,9,0)</f>
        <v>No Sales</v>
      </c>
      <c r="B605" s="95" t="s">
        <v>138</v>
      </c>
      <c r="C605" s="132" t="s">
        <v>54</v>
      </c>
      <c r="D605" s="100" t="s">
        <v>55</v>
      </c>
      <c r="E605" s="99">
        <v>115071</v>
      </c>
      <c r="F605" s="99" t="s">
        <v>311</v>
      </c>
      <c r="G605" s="109">
        <v>0.6</v>
      </c>
      <c r="H605" s="104">
        <f>VLOOKUP($E605,'Stock statement'!$D$2:$P$384,13,)</f>
        <v>195.04600880394028</v>
      </c>
      <c r="I605" s="127">
        <v>2.5000000000000001E-2</v>
      </c>
      <c r="J605" s="116">
        <v>1.0249999999999999</v>
      </c>
      <c r="K605" s="106">
        <f t="shared" si="54"/>
        <v>122.95212779978382</v>
      </c>
      <c r="L605" s="128"/>
      <c r="M605" s="129">
        <f t="shared" si="55"/>
        <v>1.4164085122535097</v>
      </c>
    </row>
    <row r="606" spans="1:13" s="107" customFormat="1" ht="15" customHeight="1">
      <c r="A606" s="100" t="str">
        <f>VLOOKUP(C606,Abstract!$E$4:$M$62,9,0)</f>
        <v>No Sales</v>
      </c>
      <c r="B606" s="95" t="s">
        <v>138</v>
      </c>
      <c r="C606" s="132" t="s">
        <v>54</v>
      </c>
      <c r="D606" s="100" t="s">
        <v>55</v>
      </c>
      <c r="E606" s="99" t="s">
        <v>350</v>
      </c>
      <c r="F606" s="99" t="s">
        <v>351</v>
      </c>
      <c r="G606" s="109">
        <v>0.248</v>
      </c>
      <c r="H606" s="104">
        <f>VLOOKUP($E606,'Stock statement'!$D$2:$P$384,13,)</f>
        <v>0</v>
      </c>
      <c r="I606" s="127">
        <v>2.5000000000000001E-2</v>
      </c>
      <c r="J606" s="116">
        <v>1.0249999999999999</v>
      </c>
      <c r="K606" s="106">
        <f t="shared" si="54"/>
        <v>0</v>
      </c>
      <c r="L606" s="128"/>
      <c r="M606" s="129">
        <f t="shared" si="55"/>
        <v>0</v>
      </c>
    </row>
    <row r="607" spans="1:13" s="107" customFormat="1" ht="15" customHeight="1">
      <c r="A607" s="100" t="str">
        <f>VLOOKUP(C607,Abstract!$E$4:$M$62,9,0)</f>
        <v>No Sales</v>
      </c>
      <c r="B607" s="95" t="s">
        <v>138</v>
      </c>
      <c r="C607" s="132" t="s">
        <v>54</v>
      </c>
      <c r="D607" s="100" t="s">
        <v>55</v>
      </c>
      <c r="E607" s="99" t="s">
        <v>166</v>
      </c>
      <c r="F607" s="99" t="s">
        <v>167</v>
      </c>
      <c r="G607" s="109">
        <v>2.5</v>
      </c>
      <c r="H607" s="104">
        <f>VLOOKUP($E607,'Stock statement'!$D$2:$P$384,13,)</f>
        <v>127.15913438761541</v>
      </c>
      <c r="I607" s="127">
        <v>2.5000000000000001E-2</v>
      </c>
      <c r="J607" s="116">
        <v>1.0249999999999999</v>
      </c>
      <c r="K607" s="106">
        <f t="shared" si="54"/>
        <v>333.99141391497102</v>
      </c>
      <c r="L607" s="128"/>
      <c r="M607" s="129">
        <f t="shared" si="55"/>
        <v>3.847581088300466</v>
      </c>
    </row>
    <row r="608" spans="1:13" s="107" customFormat="1" ht="15" customHeight="1">
      <c r="A608" s="100" t="str">
        <f>VLOOKUP(C608,Abstract!$E$4:$M$62,9,0)</f>
        <v>No Sales</v>
      </c>
      <c r="B608" s="95" t="s">
        <v>138</v>
      </c>
      <c r="C608" s="132" t="s">
        <v>54</v>
      </c>
      <c r="D608" s="100" t="s">
        <v>55</v>
      </c>
      <c r="E608" s="99" t="s">
        <v>209</v>
      </c>
      <c r="F608" s="99" t="s">
        <v>210</v>
      </c>
      <c r="G608" s="109">
        <v>20</v>
      </c>
      <c r="H608" s="104">
        <f>VLOOKUP($E608,'Stock statement'!$D$2:$P$384,13,)</f>
        <v>220.67282625366343</v>
      </c>
      <c r="I608" s="127">
        <v>2.5000000000000001E-2</v>
      </c>
      <c r="J608" s="116">
        <v>1.0249999999999999</v>
      </c>
      <c r="K608" s="106">
        <f t="shared" si="54"/>
        <v>4636.8877616551026</v>
      </c>
      <c r="L608" s="128"/>
      <c r="M608" s="129">
        <f t="shared" si="55"/>
        <v>53.416947014266782</v>
      </c>
    </row>
    <row r="609" spans="1:13" s="107" customFormat="1" ht="15" customHeight="1">
      <c r="A609" s="100" t="str">
        <f>VLOOKUP(C609,Abstract!$E$4:$M$62,9,0)</f>
        <v>No Sales</v>
      </c>
      <c r="B609" s="95" t="s">
        <v>138</v>
      </c>
      <c r="C609" s="132" t="s">
        <v>54</v>
      </c>
      <c r="D609" s="100" t="s">
        <v>55</v>
      </c>
      <c r="E609" s="99" t="s">
        <v>352</v>
      </c>
      <c r="F609" s="99" t="s">
        <v>353</v>
      </c>
      <c r="G609" s="109">
        <v>0.01</v>
      </c>
      <c r="H609" s="104">
        <f>VLOOKUP($E609,'Stock statement'!$D$2:$P$384,13,)</f>
        <v>3003.7807644658751</v>
      </c>
      <c r="I609" s="127">
        <v>2.5000000000000001E-2</v>
      </c>
      <c r="J609" s="116">
        <v>1.0249999999999999</v>
      </c>
      <c r="K609" s="106">
        <f t="shared" si="54"/>
        <v>31.558471656669596</v>
      </c>
      <c r="L609" s="128"/>
      <c r="M609" s="129">
        <f t="shared" si="55"/>
        <v>0.36355359348483374</v>
      </c>
    </row>
    <row r="610" spans="1:13" s="107" customFormat="1" ht="15" customHeight="1">
      <c r="A610" s="100" t="str">
        <f>VLOOKUP(C610,Abstract!$E$4:$M$62,9,0)</f>
        <v>No Sales</v>
      </c>
      <c r="B610" s="95" t="s">
        <v>138</v>
      </c>
      <c r="C610" s="132" t="s">
        <v>54</v>
      </c>
      <c r="D610" s="100" t="s">
        <v>55</v>
      </c>
      <c r="E610" s="99" t="s">
        <v>354</v>
      </c>
      <c r="F610" s="99" t="s">
        <v>355</v>
      </c>
      <c r="G610" s="109">
        <v>0.01</v>
      </c>
      <c r="H610" s="104">
        <f>VLOOKUP($E610,'Stock statement'!$D$2:$P$384,13,)</f>
        <v>257.60769230769233</v>
      </c>
      <c r="I610" s="127">
        <v>2.5000000000000001E-2</v>
      </c>
      <c r="J610" s="116">
        <v>1.0249999999999999</v>
      </c>
      <c r="K610" s="106">
        <f t="shared" si="54"/>
        <v>2.7064908173076923</v>
      </c>
      <c r="L610" s="128"/>
      <c r="M610" s="129">
        <f t="shared" si="55"/>
        <v>3.1178774215384616E-2</v>
      </c>
    </row>
    <row r="611" spans="1:13" s="107" customFormat="1" ht="15" customHeight="1">
      <c r="A611" s="100" t="str">
        <f>VLOOKUP(C611,Abstract!$E$4:$M$62,9,0)</f>
        <v>No Sales</v>
      </c>
      <c r="B611" s="95" t="s">
        <v>138</v>
      </c>
      <c r="C611" s="132" t="s">
        <v>54</v>
      </c>
      <c r="D611" s="100" t="s">
        <v>55</v>
      </c>
      <c r="E611" s="99" t="s">
        <v>339</v>
      </c>
      <c r="F611" s="99" t="s">
        <v>356</v>
      </c>
      <c r="G611" s="109">
        <v>5.85</v>
      </c>
      <c r="H611" s="104">
        <f>VLOOKUP($E611,'Stock statement'!$D$2:$P$384,13,)</f>
        <v>890.49821899777828</v>
      </c>
      <c r="I611" s="127">
        <v>2.5000000000000001E-2</v>
      </c>
      <c r="J611" s="116">
        <v>1.0249999999999999</v>
      </c>
      <c r="K611" s="106">
        <f t="shared" si="54"/>
        <v>5473.1411943070625</v>
      </c>
      <c r="L611" s="128"/>
      <c r="M611" s="129">
        <f t="shared" si="55"/>
        <v>63.050586558417358</v>
      </c>
    </row>
    <row r="612" spans="1:13" s="107" customFormat="1" ht="15" customHeight="1">
      <c r="A612" s="100" t="str">
        <f>VLOOKUP(C612,Abstract!$E$4:$M$62,9,0)</f>
        <v>No Sales</v>
      </c>
      <c r="B612" s="95" t="s">
        <v>138</v>
      </c>
      <c r="C612" s="132" t="s">
        <v>54</v>
      </c>
      <c r="D612" s="100" t="s">
        <v>55</v>
      </c>
      <c r="E612" s="99" t="s">
        <v>341</v>
      </c>
      <c r="F612" s="99" t="s">
        <v>357</v>
      </c>
      <c r="G612" s="109">
        <v>0.65</v>
      </c>
      <c r="H612" s="104">
        <f>VLOOKUP($E612,'Stock statement'!$D$2:$P$384,13,)</f>
        <v>927.16271256930133</v>
      </c>
      <c r="I612" s="127">
        <v>2.5000000000000001E-2</v>
      </c>
      <c r="J612" s="116">
        <v>1.0249999999999999</v>
      </c>
      <c r="K612" s="106">
        <f t="shared" si="54"/>
        <v>633.16521118052935</v>
      </c>
      <c r="L612" s="128"/>
      <c r="M612" s="129">
        <f t="shared" si="55"/>
        <v>7.2940632327996981</v>
      </c>
    </row>
    <row r="613" spans="1:13" s="107" customFormat="1" ht="15" customHeight="1">
      <c r="A613" s="100" t="str">
        <f>VLOOKUP(C613,Abstract!$E$4:$M$62,9,0)</f>
        <v>No Sales</v>
      </c>
      <c r="B613" s="95" t="s">
        <v>138</v>
      </c>
      <c r="C613" s="132" t="s">
        <v>54</v>
      </c>
      <c r="D613" s="100" t="s">
        <v>55</v>
      </c>
      <c r="E613" s="99" t="s">
        <v>179</v>
      </c>
      <c r="F613" s="102" t="s">
        <v>180</v>
      </c>
      <c r="G613" s="109">
        <v>0.5</v>
      </c>
      <c r="H613" s="104">
        <f>VLOOKUP($E613,'Stock statement'!$D$2:$P$384,13,)</f>
        <v>1036.4956269221443</v>
      </c>
      <c r="I613" s="127">
        <v>2.5000000000000001E-2</v>
      </c>
      <c r="J613" s="116">
        <v>1.0249999999999999</v>
      </c>
      <c r="K613" s="106">
        <f t="shared" si="54"/>
        <v>544.48410901753891</v>
      </c>
      <c r="L613" s="128"/>
      <c r="M613" s="129">
        <f t="shared" si="55"/>
        <v>6.2724569358820483</v>
      </c>
    </row>
    <row r="614" spans="1:13" s="107" customFormat="1" ht="15" customHeight="1">
      <c r="A614" s="100" t="str">
        <f>VLOOKUP(C614,Abstract!$E$4:$M$62,9,0)</f>
        <v>No Sales</v>
      </c>
      <c r="B614" s="95" t="s">
        <v>138</v>
      </c>
      <c r="C614" s="132" t="s">
        <v>54</v>
      </c>
      <c r="D614" s="100" t="s">
        <v>55</v>
      </c>
      <c r="E614" s="99" t="s">
        <v>181</v>
      </c>
      <c r="F614" s="102" t="s">
        <v>182</v>
      </c>
      <c r="G614" s="109">
        <v>10</v>
      </c>
      <c r="H614" s="104">
        <f>VLOOKUP($E614,'Stock statement'!$D$2:$P$384,13,)</f>
        <v>17.110276913020375</v>
      </c>
      <c r="I614" s="127">
        <v>2.5000000000000001E-2</v>
      </c>
      <c r="J614" s="116">
        <v>1.0249999999999999</v>
      </c>
      <c r="K614" s="106">
        <f t="shared" si="54"/>
        <v>179.76484681742028</v>
      </c>
      <c r="L614" s="128"/>
      <c r="M614" s="129">
        <f t="shared" si="55"/>
        <v>2.0708910353366816</v>
      </c>
    </row>
    <row r="615" spans="1:13" s="107" customFormat="1" ht="15" customHeight="1">
      <c r="A615" s="100" t="str">
        <f>VLOOKUP(C615,Abstract!$E$4:$M$62,9,0)</f>
        <v>No Sales</v>
      </c>
      <c r="B615" s="95" t="s">
        <v>138</v>
      </c>
      <c r="C615" s="132" t="s">
        <v>54</v>
      </c>
      <c r="D615" s="100" t="s">
        <v>55</v>
      </c>
      <c r="E615" s="99" t="s">
        <v>139</v>
      </c>
      <c r="F615" s="102" t="s">
        <v>140</v>
      </c>
      <c r="G615" s="109">
        <f>737.7+2.5</f>
        <v>740.2</v>
      </c>
      <c r="H615" s="104">
        <f>VLOOKUP($E615,'Stock statement'!$D$2:$P$384,13,)</f>
        <v>0.34</v>
      </c>
      <c r="I615" s="127">
        <v>2.5000000000000001E-2</v>
      </c>
      <c r="J615" s="116">
        <v>1.0249999999999999</v>
      </c>
      <c r="K615" s="106">
        <f t="shared" si="54"/>
        <v>264.40869249999997</v>
      </c>
      <c r="L615" s="128"/>
      <c r="M615" s="129">
        <f t="shared" si="55"/>
        <v>3.0459881375999998</v>
      </c>
    </row>
    <row r="616" spans="1:13" s="107" customFormat="1" ht="15" customHeight="1">
      <c r="A616" s="100" t="str">
        <f>VLOOKUP(C616,Abstract!$E$4:$M$62,9,0)</f>
        <v>No Sales</v>
      </c>
      <c r="B616" s="95" t="s">
        <v>138</v>
      </c>
      <c r="C616" s="132" t="s">
        <v>54</v>
      </c>
      <c r="D616" s="100" t="s">
        <v>55</v>
      </c>
      <c r="E616" s="99">
        <v>110037</v>
      </c>
      <c r="F616" s="99" t="s">
        <v>316</v>
      </c>
      <c r="G616" s="109">
        <v>0.09</v>
      </c>
      <c r="H616" s="104">
        <f>VLOOKUP($E616,'Stock statement'!$D$2:$P$384,13,)</f>
        <v>204</v>
      </c>
      <c r="I616" s="127">
        <v>2.5000000000000001E-2</v>
      </c>
      <c r="J616" s="116">
        <v>1.0249999999999999</v>
      </c>
      <c r="K616" s="106">
        <f t="shared" si="54"/>
        <v>19.289474999999996</v>
      </c>
      <c r="L616" s="128"/>
      <c r="M616" s="129">
        <f t="shared" si="55"/>
        <v>0.22221475199999996</v>
      </c>
    </row>
    <row r="617" spans="1:13" s="107" customFormat="1" ht="15" customHeight="1">
      <c r="A617" s="100" t="str">
        <f>VLOOKUP(C617,Abstract!$E$4:$M$62,9,0)</f>
        <v>No Sales</v>
      </c>
      <c r="B617" s="99" t="s">
        <v>183</v>
      </c>
      <c r="C617" s="132" t="s">
        <v>54</v>
      </c>
      <c r="D617" s="100" t="s">
        <v>55</v>
      </c>
      <c r="E617" s="99">
        <v>214255</v>
      </c>
      <c r="F617" s="99" t="s">
        <v>381</v>
      </c>
      <c r="G617" s="109">
        <f>(1000/(1920*6)*1000)*0.647</f>
        <v>56.16319444444445</v>
      </c>
      <c r="H617" s="104">
        <f>VLOOKUP($E617,'Stock statement'!$D$2:$P$384,13,)</f>
        <v>241.69834568582721</v>
      </c>
      <c r="I617" s="127">
        <v>1.7500000000000002E-2</v>
      </c>
      <c r="J617" s="113">
        <v>1</v>
      </c>
      <c r="K617" s="106">
        <f t="shared" si="54"/>
        <v>13812.105831402605</v>
      </c>
      <c r="L617" s="128"/>
      <c r="M617" s="129">
        <f t="shared" si="55"/>
        <v>159.115459177758</v>
      </c>
    </row>
    <row r="618" spans="1:13" s="107" customFormat="1" ht="15" customHeight="1">
      <c r="A618" s="100" t="str">
        <f>VLOOKUP(C618,Abstract!$E$4:$M$62,9,0)</f>
        <v>No Sales</v>
      </c>
      <c r="B618" s="99" t="s">
        <v>183</v>
      </c>
      <c r="C618" s="132" t="s">
        <v>54</v>
      </c>
      <c r="D618" s="100" t="s">
        <v>55</v>
      </c>
      <c r="E618" s="99">
        <v>214376</v>
      </c>
      <c r="F618" s="99" t="s">
        <v>382</v>
      </c>
      <c r="G618" s="109">
        <f>1000/(1920*6)*1000</f>
        <v>86.805555555555557</v>
      </c>
      <c r="H618" s="104">
        <f>VLOOKUP($E618,'Stock statement'!$D$2:$P$384,13,)</f>
        <v>28.913304861052133</v>
      </c>
      <c r="I618" s="127">
        <v>6.0000000000000001E-3</v>
      </c>
      <c r="J618" s="113">
        <v>1</v>
      </c>
      <c r="K618" s="106">
        <f>+G618*H618*(1+I618)*J618</f>
        <v>2524.8945043592398</v>
      </c>
      <c r="L618" s="128"/>
      <c r="M618" s="129">
        <f t="shared" si="55"/>
        <v>29.086784690218444</v>
      </c>
    </row>
    <row r="619" spans="1:13" s="107" customFormat="1" ht="15" customHeight="1">
      <c r="A619" s="100" t="str">
        <f>VLOOKUP(C619,Abstract!$E$4:$M$62,9,0)</f>
        <v>No Sales</v>
      </c>
      <c r="B619" s="99" t="s">
        <v>183</v>
      </c>
      <c r="C619" s="132" t="s">
        <v>54</v>
      </c>
      <c r="D619" s="100" t="s">
        <v>55</v>
      </c>
      <c r="E619" s="99">
        <v>214377</v>
      </c>
      <c r="F619" s="99" t="s">
        <v>383</v>
      </c>
      <c r="G619" s="109">
        <f>G618*2</f>
        <v>173.61111111111111</v>
      </c>
      <c r="H619" s="104">
        <f>VLOOKUP($E619,'Stock statement'!$D$2:$P$384,13,)</f>
        <v>13.780886797554404</v>
      </c>
      <c r="I619" s="127">
        <v>6.0000000000000001E-3</v>
      </c>
      <c r="J619" s="113">
        <v>1</v>
      </c>
      <c r="K619" s="106">
        <f>+G619*H619*(1+I619)*J619</f>
        <v>2406.8701594339809</v>
      </c>
      <c r="L619" s="128"/>
      <c r="M619" s="129">
        <f t="shared" si="55"/>
        <v>27.727144236679461</v>
      </c>
    </row>
    <row r="620" spans="1:13" s="107" customFormat="1" ht="15" customHeight="1">
      <c r="A620" s="100" t="str">
        <f>VLOOKUP(C620,Abstract!$E$4:$M$62,9,0)</f>
        <v>No Sales</v>
      </c>
      <c r="B620" s="99" t="s">
        <v>183</v>
      </c>
      <c r="C620" s="132" t="s">
        <v>54</v>
      </c>
      <c r="D620" s="100" t="s">
        <v>55</v>
      </c>
      <c r="E620" s="99" t="s">
        <v>191</v>
      </c>
      <c r="F620" s="95" t="s">
        <v>192</v>
      </c>
      <c r="G620" s="109">
        <f>+G618*0.05</f>
        <v>4.3402777777777777</v>
      </c>
      <c r="H620" s="104">
        <f>VLOOKUP($E620,'Stock statement'!$D$2:$P$384,13,)</f>
        <v>44.985440769279101</v>
      </c>
      <c r="I620" s="127">
        <v>0.02</v>
      </c>
      <c r="J620" s="113">
        <v>1</v>
      </c>
      <c r="K620" s="106">
        <f>+G620*H620*(1+I620)*J620</f>
        <v>199.15429507232935</v>
      </c>
      <c r="L620" s="128"/>
      <c r="M620" s="129">
        <f t="shared" si="55"/>
        <v>2.294257479233234</v>
      </c>
    </row>
    <row r="621" spans="1:13" s="107" customFormat="1" ht="15" customHeight="1">
      <c r="A621" s="100" t="str">
        <f>VLOOKUP(C621,Abstract!$E$4:$M$62,9,0)</f>
        <v>No Sales</v>
      </c>
      <c r="B621" s="99" t="s">
        <v>346</v>
      </c>
      <c r="C621" s="132" t="s">
        <v>54</v>
      </c>
      <c r="D621" s="100" t="s">
        <v>55</v>
      </c>
      <c r="E621" s="95" t="s">
        <v>347</v>
      </c>
      <c r="F621" s="99" t="s">
        <v>347</v>
      </c>
      <c r="G621" s="109"/>
      <c r="H621" s="104"/>
      <c r="I621" s="127"/>
      <c r="J621" s="113"/>
      <c r="K621" s="106">
        <v>210</v>
      </c>
      <c r="L621" s="98"/>
      <c r="M621" s="129">
        <f>K621/$G$618</f>
        <v>2.4192</v>
      </c>
    </row>
    <row r="622" spans="1:13" s="107" customFormat="1" ht="15" customHeight="1">
      <c r="A622" s="100" t="str">
        <f>VLOOKUP(C622,Abstract!$E$4:$M$62,9,0)</f>
        <v>No Sales</v>
      </c>
      <c r="B622" s="99" t="s">
        <v>197</v>
      </c>
      <c r="C622" s="132" t="s">
        <v>54</v>
      </c>
      <c r="D622" s="100" t="s">
        <v>55</v>
      </c>
      <c r="E622" s="99" t="s">
        <v>198</v>
      </c>
      <c r="F622" s="99"/>
      <c r="G622" s="109"/>
      <c r="H622" s="104"/>
      <c r="I622" s="127"/>
      <c r="J622" s="113"/>
      <c r="K622" s="106">
        <v>6180</v>
      </c>
      <c r="L622" s="128">
        <f>SUM(K592:K622)</f>
        <v>64094.819278475792</v>
      </c>
      <c r="M622" s="129">
        <f t="shared" si="55"/>
        <v>71.193600000000004</v>
      </c>
    </row>
    <row r="623" spans="1:13" s="107" customFormat="1" ht="15" customHeight="1">
      <c r="A623" s="100" t="str">
        <f>VLOOKUP(C623,Abstract!$E$4:$M$62,9,0)</f>
        <v>No Sales</v>
      </c>
      <c r="B623" s="99" t="s">
        <v>138</v>
      </c>
      <c r="C623" s="133" t="s">
        <v>58</v>
      </c>
      <c r="D623" s="133" t="s">
        <v>384</v>
      </c>
      <c r="E623" s="99" t="s">
        <v>139</v>
      </c>
      <c r="F623" s="102" t="s">
        <v>140</v>
      </c>
      <c r="G623" s="109">
        <v>775.31149999999991</v>
      </c>
      <c r="H623" s="104">
        <f>VLOOKUP($E623,'Stock statement'!$D$2:$P$384,13,)</f>
        <v>0.34</v>
      </c>
      <c r="I623" s="127">
        <v>2.5000000000000001E-2</v>
      </c>
      <c r="J623" s="113">
        <v>1</v>
      </c>
      <c r="K623" s="106">
        <f>+G623*H623*(1+I623)*J623</f>
        <v>270.19605774999997</v>
      </c>
      <c r="L623" s="96"/>
      <c r="M623" s="97">
        <f>K623/$G$639</f>
        <v>5.1877643087999994</v>
      </c>
    </row>
    <row r="624" spans="1:13" s="107" customFormat="1" ht="15" customHeight="1">
      <c r="A624" s="100" t="str">
        <f>VLOOKUP(C624,Abstract!$E$4:$M$62,9,0)</f>
        <v>No Sales</v>
      </c>
      <c r="B624" s="99" t="s">
        <v>138</v>
      </c>
      <c r="C624" s="133" t="s">
        <v>58</v>
      </c>
      <c r="D624" s="133" t="s">
        <v>384</v>
      </c>
      <c r="E624" s="99" t="s">
        <v>141</v>
      </c>
      <c r="F624" s="108" t="s">
        <v>142</v>
      </c>
      <c r="G624" s="109">
        <v>171.4</v>
      </c>
      <c r="H624" s="104">
        <f>VLOOKUP($E624,'Stock statement'!$D$2:$P$384,13,)</f>
        <v>94.278330452007026</v>
      </c>
      <c r="I624" s="127">
        <v>2.5000000000000001E-2</v>
      </c>
      <c r="J624" s="113">
        <v>1</v>
      </c>
      <c r="K624" s="106">
        <f t="shared" ref="K624:K642" si="56">+G624*H624*(1+I624)*J624</f>
        <v>16563.288485460853</v>
      </c>
      <c r="L624" s="96"/>
      <c r="M624" s="97">
        <f t="shared" ref="M624:M643" si="57">K624/$G$639</f>
        <v>318.01513892084836</v>
      </c>
    </row>
    <row r="625" spans="1:13" s="107" customFormat="1" ht="15" customHeight="1">
      <c r="A625" s="100" t="str">
        <f>VLOOKUP(C625,Abstract!$E$4:$M$62,9,0)</f>
        <v>No Sales</v>
      </c>
      <c r="B625" s="99" t="s">
        <v>138</v>
      </c>
      <c r="C625" s="133" t="s">
        <v>58</v>
      </c>
      <c r="D625" s="133" t="s">
        <v>384</v>
      </c>
      <c r="E625" s="99" t="s">
        <v>145</v>
      </c>
      <c r="F625" s="102" t="s">
        <v>146</v>
      </c>
      <c r="G625" s="109">
        <v>7.5</v>
      </c>
      <c r="H625" s="104">
        <f>VLOOKUP($E625,'Stock statement'!$D$2:$P$384,13,)</f>
        <v>151.08681180977209</v>
      </c>
      <c r="I625" s="127">
        <v>2.5000000000000001E-2</v>
      </c>
      <c r="J625" s="113">
        <v>1</v>
      </c>
      <c r="K625" s="106">
        <f t="shared" si="56"/>
        <v>1161.4798657876229</v>
      </c>
      <c r="L625" s="96"/>
      <c r="M625" s="97">
        <f t="shared" si="57"/>
        <v>22.300413423122357</v>
      </c>
    </row>
    <row r="626" spans="1:13" s="107" customFormat="1" ht="15" customHeight="1">
      <c r="A626" s="100" t="str">
        <f>VLOOKUP(C626,Abstract!$E$4:$M$62,9,0)</f>
        <v>No Sales</v>
      </c>
      <c r="B626" s="99" t="s">
        <v>138</v>
      </c>
      <c r="C626" s="133" t="s">
        <v>58</v>
      </c>
      <c r="D626" s="133" t="s">
        <v>384</v>
      </c>
      <c r="E626" s="99" t="s">
        <v>155</v>
      </c>
      <c r="F626" s="99" t="s">
        <v>156</v>
      </c>
      <c r="G626" s="109">
        <v>15</v>
      </c>
      <c r="H626" s="104">
        <f>VLOOKUP($E626,'Stock statement'!$D$2:$P$384,13,)</f>
        <v>68.308211638055738</v>
      </c>
      <c r="I626" s="127">
        <v>2.5000000000000001E-2</v>
      </c>
      <c r="J626" s="113">
        <v>1</v>
      </c>
      <c r="K626" s="106">
        <f t="shared" si="56"/>
        <v>1050.2387539351068</v>
      </c>
      <c r="L626" s="96"/>
      <c r="M626" s="97">
        <f t="shared" si="57"/>
        <v>20.16458407555405</v>
      </c>
    </row>
    <row r="627" spans="1:13" s="107" customFormat="1" ht="15" customHeight="1">
      <c r="A627" s="100" t="str">
        <f>VLOOKUP(C627,Abstract!$E$4:$M$62,9,0)</f>
        <v>No Sales</v>
      </c>
      <c r="B627" s="99" t="s">
        <v>138</v>
      </c>
      <c r="C627" s="133" t="s">
        <v>58</v>
      </c>
      <c r="D627" s="133" t="s">
        <v>384</v>
      </c>
      <c r="E627" s="99" t="s">
        <v>369</v>
      </c>
      <c r="F627" s="99" t="s">
        <v>385</v>
      </c>
      <c r="G627" s="109">
        <v>1</v>
      </c>
      <c r="H627" s="104">
        <f>VLOOKUP($E627,'Stock statement'!$D$2:$P$384,13,)</f>
        <v>425.0933053369933</v>
      </c>
      <c r="I627" s="127">
        <v>2.5000000000000001E-2</v>
      </c>
      <c r="J627" s="113">
        <v>1</v>
      </c>
      <c r="K627" s="106">
        <f t="shared" si="56"/>
        <v>435.72063797041807</v>
      </c>
      <c r="L627" s="96"/>
      <c r="M627" s="97">
        <f t="shared" si="57"/>
        <v>8.3658362490320268</v>
      </c>
    </row>
    <row r="628" spans="1:13" s="107" customFormat="1" ht="15" customHeight="1">
      <c r="A628" s="100" t="str">
        <f>VLOOKUP(C628,Abstract!$E$4:$M$62,9,0)</f>
        <v>No Sales</v>
      </c>
      <c r="B628" s="99" t="s">
        <v>138</v>
      </c>
      <c r="C628" s="133" t="s">
        <v>58</v>
      </c>
      <c r="D628" s="133" t="s">
        <v>384</v>
      </c>
      <c r="E628" s="99" t="s">
        <v>153</v>
      </c>
      <c r="F628" s="99" t="s">
        <v>386</v>
      </c>
      <c r="G628" s="109">
        <v>0.125</v>
      </c>
      <c r="H628" s="104">
        <f>VLOOKUP($E628,'Stock statement'!$D$2:$P$384,13,)</f>
        <v>84.206363687840948</v>
      </c>
      <c r="I628" s="127">
        <v>2.5000000000000001E-2</v>
      </c>
      <c r="J628" s="113">
        <v>1</v>
      </c>
      <c r="K628" s="106">
        <f t="shared" si="56"/>
        <v>10.788940347504621</v>
      </c>
      <c r="L628" s="96"/>
      <c r="M628" s="97">
        <f t="shared" si="57"/>
        <v>0.2071476546720887</v>
      </c>
    </row>
    <row r="629" spans="1:13" s="107" customFormat="1" ht="15" customHeight="1">
      <c r="A629" s="100" t="str">
        <f>VLOOKUP(C629,Abstract!$E$4:$M$62,9,0)</f>
        <v>No Sales</v>
      </c>
      <c r="B629" s="99" t="s">
        <v>138</v>
      </c>
      <c r="C629" s="133" t="s">
        <v>58</v>
      </c>
      <c r="D629" s="133" t="s">
        <v>384</v>
      </c>
      <c r="E629" s="99" t="s">
        <v>164</v>
      </c>
      <c r="F629" s="95" t="s">
        <v>165</v>
      </c>
      <c r="G629" s="109">
        <v>3.4999999999999996E-3</v>
      </c>
      <c r="H629" s="104">
        <f>VLOOKUP($E629,'Stock statement'!$D$2:$P$384,13,)</f>
        <v>1939</v>
      </c>
      <c r="I629" s="127">
        <v>2.5000000000000001E-2</v>
      </c>
      <c r="J629" s="113">
        <v>1</v>
      </c>
      <c r="K629" s="106">
        <f t="shared" si="56"/>
        <v>6.9561624999999987</v>
      </c>
      <c r="L629" s="96"/>
      <c r="M629" s="97">
        <f t="shared" si="57"/>
        <v>0.13355831999999998</v>
      </c>
    </row>
    <row r="630" spans="1:13" s="107" customFormat="1" ht="15" customHeight="1">
      <c r="A630" s="100" t="str">
        <f>VLOOKUP(C630,Abstract!$E$4:$M$62,9,0)</f>
        <v>No Sales</v>
      </c>
      <c r="B630" s="99" t="s">
        <v>138</v>
      </c>
      <c r="C630" s="133" t="s">
        <v>58</v>
      </c>
      <c r="D630" s="133" t="s">
        <v>384</v>
      </c>
      <c r="E630" s="99" t="s">
        <v>162</v>
      </c>
      <c r="F630" s="95" t="s">
        <v>163</v>
      </c>
      <c r="G630" s="109">
        <v>0.04</v>
      </c>
      <c r="H630" s="104">
        <f>VLOOKUP($E630,'Stock statement'!$D$2:$P$384,13,)</f>
        <v>348.44830167161894</v>
      </c>
      <c r="I630" s="127">
        <v>2.5000000000000001E-2</v>
      </c>
      <c r="J630" s="113">
        <v>1</v>
      </c>
      <c r="K630" s="106">
        <f t="shared" si="56"/>
        <v>14.286380368536374</v>
      </c>
      <c r="L630" s="96"/>
      <c r="M630" s="97">
        <f t="shared" si="57"/>
        <v>0.27429850307589837</v>
      </c>
    </row>
    <row r="631" spans="1:13" s="107" customFormat="1" ht="15" customHeight="1">
      <c r="A631" s="100" t="str">
        <f>VLOOKUP(C631,Abstract!$E$4:$M$62,9,0)</f>
        <v>No Sales</v>
      </c>
      <c r="B631" s="99" t="s">
        <v>138</v>
      </c>
      <c r="C631" s="133" t="s">
        <v>58</v>
      </c>
      <c r="D631" s="133" t="s">
        <v>384</v>
      </c>
      <c r="E631" s="99" t="s">
        <v>166</v>
      </c>
      <c r="F631" s="99" t="s">
        <v>167</v>
      </c>
      <c r="G631" s="109">
        <v>2.5</v>
      </c>
      <c r="H631" s="104">
        <f>VLOOKUP($E631,'Stock statement'!$D$2:$P$384,13,)</f>
        <v>127.15913438761541</v>
      </c>
      <c r="I631" s="127">
        <v>2.5000000000000001E-2</v>
      </c>
      <c r="J631" s="113">
        <v>1</v>
      </c>
      <c r="K631" s="106">
        <f t="shared" si="56"/>
        <v>325.84528186826446</v>
      </c>
      <c r="L631" s="96"/>
      <c r="M631" s="97">
        <f t="shared" si="57"/>
        <v>6.2562294118706774</v>
      </c>
    </row>
    <row r="632" spans="1:13" s="107" customFormat="1" ht="15" customHeight="1">
      <c r="A632" s="100" t="str">
        <f>VLOOKUP(C632,Abstract!$E$4:$M$62,9,0)</f>
        <v>No Sales</v>
      </c>
      <c r="B632" s="99" t="s">
        <v>138</v>
      </c>
      <c r="C632" s="133" t="s">
        <v>58</v>
      </c>
      <c r="D632" s="133" t="s">
        <v>384</v>
      </c>
      <c r="E632" s="99" t="s">
        <v>387</v>
      </c>
      <c r="F632" s="99" t="s">
        <v>372</v>
      </c>
      <c r="G632" s="109">
        <v>0.01</v>
      </c>
      <c r="H632" s="104">
        <f>VLOOKUP($E632,'Stock statement'!$D$2:$P$384,13,)</f>
        <v>911.16233108656354</v>
      </c>
      <c r="I632" s="127">
        <v>2.5000000000000001E-2</v>
      </c>
      <c r="J632" s="113">
        <v>1</v>
      </c>
      <c r="K632" s="106">
        <f t="shared" si="56"/>
        <v>9.3394138936372748</v>
      </c>
      <c r="L632" s="96"/>
      <c r="M632" s="97">
        <f t="shared" si="57"/>
        <v>0.17931674675783565</v>
      </c>
    </row>
    <row r="633" spans="1:13" s="107" customFormat="1" ht="15" customHeight="1">
      <c r="A633" s="100" t="str">
        <f>VLOOKUP(C633,Abstract!$E$4:$M$62,9,0)</f>
        <v>No Sales</v>
      </c>
      <c r="B633" s="99" t="s">
        <v>138</v>
      </c>
      <c r="C633" s="133" t="s">
        <v>58</v>
      </c>
      <c r="D633" s="133" t="s">
        <v>384</v>
      </c>
      <c r="E633" s="99" t="s">
        <v>373</v>
      </c>
      <c r="F633" s="99" t="s">
        <v>374</v>
      </c>
      <c r="G633" s="109">
        <v>0.01</v>
      </c>
      <c r="H633" s="104">
        <f>VLOOKUP($E633,'Stock statement'!$D$2:$P$384,13,)</f>
        <v>1119.6565156623499</v>
      </c>
      <c r="I633" s="127">
        <v>2.5000000000000001E-2</v>
      </c>
      <c r="J633" s="113">
        <v>1</v>
      </c>
      <c r="K633" s="106">
        <f t="shared" si="56"/>
        <v>11.476479285539087</v>
      </c>
      <c r="L633" s="96"/>
      <c r="M633" s="97">
        <f t="shared" si="57"/>
        <v>0.22034840228235045</v>
      </c>
    </row>
    <row r="634" spans="1:13" s="107" customFormat="1" ht="15" customHeight="1">
      <c r="A634" s="100" t="str">
        <f>VLOOKUP(C634,Abstract!$E$4:$M$62,9,0)</f>
        <v>No Sales</v>
      </c>
      <c r="B634" s="99" t="s">
        <v>138</v>
      </c>
      <c r="C634" s="133" t="s">
        <v>58</v>
      </c>
      <c r="D634" s="133" t="s">
        <v>384</v>
      </c>
      <c r="E634" s="99" t="s">
        <v>367</v>
      </c>
      <c r="F634" s="99" t="s">
        <v>368</v>
      </c>
      <c r="G634" s="109">
        <v>5</v>
      </c>
      <c r="H634" s="104">
        <f>VLOOKUP($E634,'Stock statement'!$D$2:$P$384,13,)</f>
        <v>160.1889709567478</v>
      </c>
      <c r="I634" s="127">
        <v>2.5000000000000001E-2</v>
      </c>
      <c r="J634" s="113">
        <v>1</v>
      </c>
      <c r="K634" s="106">
        <f t="shared" si="56"/>
        <v>820.9684761533324</v>
      </c>
      <c r="L634" s="96"/>
      <c r="M634" s="97">
        <f t="shared" si="57"/>
        <v>15.762594742143982</v>
      </c>
    </row>
    <row r="635" spans="1:13" s="107" customFormat="1" ht="15" customHeight="1">
      <c r="A635" s="100" t="str">
        <f>VLOOKUP(C635,Abstract!$E$4:$M$62,9,0)</f>
        <v>No Sales</v>
      </c>
      <c r="B635" s="99" t="s">
        <v>138</v>
      </c>
      <c r="C635" s="133" t="s">
        <v>58</v>
      </c>
      <c r="D635" s="133" t="s">
        <v>384</v>
      </c>
      <c r="E635" s="99">
        <v>114476</v>
      </c>
      <c r="F635" s="99" t="s">
        <v>172</v>
      </c>
      <c r="G635" s="109">
        <v>6.5</v>
      </c>
      <c r="H635" s="104">
        <f>VLOOKUP($E635,'Stock statement'!$D$2:$P$384,13,)</f>
        <v>739.98731621274567</v>
      </c>
      <c r="I635" s="127">
        <v>2.5000000000000001E-2</v>
      </c>
      <c r="J635" s="113">
        <v>1</v>
      </c>
      <c r="K635" s="106">
        <f t="shared" si="56"/>
        <v>4930.1654942674177</v>
      </c>
      <c r="L635" s="96"/>
      <c r="M635" s="97">
        <f t="shared" si="57"/>
        <v>94.659177489934422</v>
      </c>
    </row>
    <row r="636" spans="1:13" s="107" customFormat="1" ht="15" customHeight="1">
      <c r="A636" s="100" t="str">
        <f>VLOOKUP(C636,Abstract!$E$4:$M$62,9,0)</f>
        <v>No Sales</v>
      </c>
      <c r="B636" s="99" t="s">
        <v>138</v>
      </c>
      <c r="C636" s="133" t="s">
        <v>58</v>
      </c>
      <c r="D636" s="133" t="s">
        <v>384</v>
      </c>
      <c r="E636" s="99" t="s">
        <v>181</v>
      </c>
      <c r="F636" s="102" t="s">
        <v>182</v>
      </c>
      <c r="G636" s="109">
        <v>15</v>
      </c>
      <c r="H636" s="104">
        <f>VLOOKUP($E636,'Stock statement'!$D$2:$P$384,13,)</f>
        <v>17.110276913020375</v>
      </c>
      <c r="I636" s="127">
        <v>2.5000000000000001E-2</v>
      </c>
      <c r="J636" s="113">
        <v>1</v>
      </c>
      <c r="K636" s="106">
        <f t="shared" si="56"/>
        <v>263.07050753768823</v>
      </c>
      <c r="L636" s="96"/>
      <c r="M636" s="97">
        <f t="shared" si="57"/>
        <v>5.0509537447236141</v>
      </c>
    </row>
    <row r="637" spans="1:13" s="107" customFormat="1" ht="15" customHeight="1">
      <c r="A637" s="100" t="str">
        <f>VLOOKUP(C637,Abstract!$E$4:$M$62,9,0)</f>
        <v>No Sales</v>
      </c>
      <c r="B637" s="99" t="s">
        <v>138</v>
      </c>
      <c r="C637" s="133" t="s">
        <v>58</v>
      </c>
      <c r="D637" s="133" t="s">
        <v>384</v>
      </c>
      <c r="E637" s="99" t="s">
        <v>173</v>
      </c>
      <c r="F637" s="95" t="s">
        <v>174</v>
      </c>
      <c r="G637" s="109">
        <v>0.1</v>
      </c>
      <c r="H637" s="104">
        <f>VLOOKUP($E637,'Stock statement'!$D$2:$P$384,13,)</f>
        <v>555.2517156766155</v>
      </c>
      <c r="I637" s="127">
        <v>2.5000000000000001E-2</v>
      </c>
      <c r="J637" s="113">
        <v>1</v>
      </c>
      <c r="K637" s="106">
        <f t="shared" si="56"/>
        <v>56.913300856853084</v>
      </c>
      <c r="L637" s="96"/>
      <c r="M637" s="97">
        <f t="shared" si="57"/>
        <v>1.0927353764515793</v>
      </c>
    </row>
    <row r="638" spans="1:13" s="107" customFormat="1" ht="15" customHeight="1">
      <c r="A638" s="100" t="str">
        <f>VLOOKUP(C638,Abstract!$E$4:$M$62,9,0)</f>
        <v>No Sales</v>
      </c>
      <c r="B638" s="99" t="s">
        <v>138</v>
      </c>
      <c r="C638" s="133" t="s">
        <v>58</v>
      </c>
      <c r="D638" s="133" t="s">
        <v>384</v>
      </c>
      <c r="E638" s="99" t="s">
        <v>151</v>
      </c>
      <c r="F638" s="99" t="s">
        <v>152</v>
      </c>
      <c r="G638" s="109">
        <v>0.5</v>
      </c>
      <c r="H638" s="104">
        <f>VLOOKUP($E638,'Stock statement'!$D$2:$P$384,13,)</f>
        <v>762.38931335604309</v>
      </c>
      <c r="I638" s="127">
        <v>2.5000000000000001E-2</v>
      </c>
      <c r="J638" s="113">
        <v>1</v>
      </c>
      <c r="K638" s="106">
        <f t="shared" si="56"/>
        <v>390.72452309497203</v>
      </c>
      <c r="L638" s="96"/>
      <c r="M638" s="97">
        <f t="shared" si="57"/>
        <v>7.5019108434234623</v>
      </c>
    </row>
    <row r="639" spans="1:13" s="107" customFormat="1" ht="15" customHeight="1">
      <c r="A639" s="100" t="str">
        <f>VLOOKUP(C639,Abstract!$E$4:$M$62,9,0)</f>
        <v>No Sales</v>
      </c>
      <c r="B639" s="99" t="s">
        <v>183</v>
      </c>
      <c r="C639" s="133" t="s">
        <v>58</v>
      </c>
      <c r="D639" s="133" t="s">
        <v>384</v>
      </c>
      <c r="E639" s="99">
        <v>214021</v>
      </c>
      <c r="F639" s="99" t="s">
        <v>388</v>
      </c>
      <c r="G639" s="109">
        <f>1000/(4*4800/1000)</f>
        <v>52.083333333333336</v>
      </c>
      <c r="H639" s="104">
        <f>VLOOKUP($E639,'Stock statement'!$D$2:$P$384,13,)</f>
        <v>12.806787187506121</v>
      </c>
      <c r="I639" s="127">
        <v>6.0000000000000001E-3</v>
      </c>
      <c r="J639" s="113">
        <v>1</v>
      </c>
      <c r="K639" s="106">
        <f t="shared" si="56"/>
        <v>671.02228701203944</v>
      </c>
      <c r="L639" s="96"/>
      <c r="M639" s="97">
        <f t="shared" si="57"/>
        <v>12.883627910631157</v>
      </c>
    </row>
    <row r="640" spans="1:13" s="107" customFormat="1" ht="15" customHeight="1">
      <c r="A640" s="100" t="str">
        <f>VLOOKUP(C640,Abstract!$E$4:$M$62,9,0)</f>
        <v>No Sales</v>
      </c>
      <c r="B640" s="99" t="s">
        <v>183</v>
      </c>
      <c r="C640" s="133" t="s">
        <v>58</v>
      </c>
      <c r="D640" s="133" t="s">
        <v>384</v>
      </c>
      <c r="E640" s="99">
        <v>214022</v>
      </c>
      <c r="F640" s="99" t="s">
        <v>389</v>
      </c>
      <c r="G640" s="109">
        <f>+G639*4</f>
        <v>208.33333333333334</v>
      </c>
      <c r="H640" s="104">
        <f>VLOOKUP($E640,'Stock statement'!$D$2:$P$384,13,)</f>
        <v>45.180954429098684</v>
      </c>
      <c r="I640" s="127">
        <v>6.0000000000000001E-3</v>
      </c>
      <c r="J640" s="113">
        <v>1</v>
      </c>
      <c r="K640" s="106">
        <f t="shared" si="56"/>
        <v>9469.1750324319328</v>
      </c>
      <c r="L640" s="96"/>
      <c r="M640" s="97">
        <f t="shared" si="57"/>
        <v>181.80816062269309</v>
      </c>
    </row>
    <row r="641" spans="1:13" s="107" customFormat="1" ht="15" customHeight="1">
      <c r="A641" s="100" t="str">
        <f>VLOOKUP(C641,Abstract!$E$4:$M$62,9,0)</f>
        <v>No Sales</v>
      </c>
      <c r="B641" s="99" t="s">
        <v>183</v>
      </c>
      <c r="C641" s="133" t="s">
        <v>58</v>
      </c>
      <c r="D641" s="133" t="s">
        <v>384</v>
      </c>
      <c r="E641" s="99">
        <v>214253</v>
      </c>
      <c r="F641" s="99" t="s">
        <v>390</v>
      </c>
      <c r="G641" s="109">
        <f>+G639*1.189</f>
        <v>61.927083333333336</v>
      </c>
      <c r="H641" s="104">
        <f>VLOOKUP($E641,'Stock statement'!$D$2:$P$384,13,)</f>
        <v>0</v>
      </c>
      <c r="I641" s="127">
        <v>1.7500000000000002E-2</v>
      </c>
      <c r="J641" s="113">
        <v>1</v>
      </c>
      <c r="K641" s="106">
        <f t="shared" si="56"/>
        <v>0</v>
      </c>
      <c r="L641" s="96"/>
      <c r="M641" s="97">
        <f t="shared" si="57"/>
        <v>0</v>
      </c>
    </row>
    <row r="642" spans="1:13" s="107" customFormat="1" ht="15" customHeight="1">
      <c r="A642" s="100" t="str">
        <f>VLOOKUP(C642,Abstract!$E$4:$M$62,9,0)</f>
        <v>No Sales</v>
      </c>
      <c r="B642" s="134" t="s">
        <v>183</v>
      </c>
      <c r="C642" s="133" t="s">
        <v>58</v>
      </c>
      <c r="D642" s="133" t="s">
        <v>384</v>
      </c>
      <c r="E642" s="99" t="s">
        <v>191</v>
      </c>
      <c r="F642" s="95" t="s">
        <v>192</v>
      </c>
      <c r="G642" s="109">
        <f>+G639*0.042</f>
        <v>2.1875000000000004</v>
      </c>
      <c r="H642" s="104">
        <f>VLOOKUP($E642,'Stock statement'!$D$2:$P$384,13,)</f>
        <v>44.985440769279101</v>
      </c>
      <c r="I642" s="127">
        <v>0.02</v>
      </c>
      <c r="J642" s="113">
        <v>1</v>
      </c>
      <c r="K642" s="106">
        <f t="shared" si="56"/>
        <v>100.37376471645402</v>
      </c>
      <c r="L642" s="96"/>
      <c r="M642" s="97">
        <f t="shared" si="57"/>
        <v>1.9271762825559171</v>
      </c>
    </row>
    <row r="643" spans="1:13" s="107" customFormat="1" ht="15" customHeight="1">
      <c r="A643" s="100" t="str">
        <f>VLOOKUP(C643,Abstract!$E$4:$M$62,9,0)</f>
        <v>No Sales</v>
      </c>
      <c r="B643" s="99" t="s">
        <v>197</v>
      </c>
      <c r="C643" s="133" t="s">
        <v>58</v>
      </c>
      <c r="D643" s="133" t="s">
        <v>384</v>
      </c>
      <c r="E643" s="99" t="s">
        <v>198</v>
      </c>
      <c r="F643" s="99"/>
      <c r="G643" s="109"/>
      <c r="H643" s="100"/>
      <c r="I643" s="127"/>
      <c r="J643" s="113"/>
      <c r="K643" s="106">
        <v>6180</v>
      </c>
      <c r="L643" s="98">
        <f>SUM(K623:K643)</f>
        <v>42742.029845238168</v>
      </c>
      <c r="M643" s="97">
        <f t="shared" si="57"/>
        <v>118.65599999999999</v>
      </c>
    </row>
    <row r="644" spans="1:13" s="107" customFormat="1" ht="15" customHeight="1">
      <c r="A644" s="100" t="str">
        <f>VLOOKUP(C644,Abstract!$E$4:$M$62,9,0)</f>
        <v>No Sales</v>
      </c>
      <c r="B644" s="99" t="s">
        <v>138</v>
      </c>
      <c r="C644" s="132" t="s">
        <v>60</v>
      </c>
      <c r="D644" s="100" t="s">
        <v>61</v>
      </c>
      <c r="E644" s="99" t="s">
        <v>141</v>
      </c>
      <c r="F644" s="108" t="s">
        <v>142</v>
      </c>
      <c r="G644" s="109">
        <v>171.43</v>
      </c>
      <c r="H644" s="104">
        <f>VLOOKUP($E644,'Stock statement'!$D$2:$P$384,13,)</f>
        <v>94.278330452007026</v>
      </c>
      <c r="I644" s="127">
        <v>2.5000000000000001E-2</v>
      </c>
      <c r="J644" s="113">
        <v>1</v>
      </c>
      <c r="K644" s="106">
        <f t="shared" ref="K644:K665" si="58">+G644*H644*(1+I644)*J644</f>
        <v>16566.187544122255</v>
      </c>
      <c r="L644" s="96"/>
      <c r="M644" s="97">
        <f>K644/$G$662</f>
        <v>318.07080084714727</v>
      </c>
    </row>
    <row r="645" spans="1:13" s="107" customFormat="1" ht="15" customHeight="1">
      <c r="A645" s="100" t="str">
        <f>VLOOKUP(C645,Abstract!$E$4:$M$62,9,0)</f>
        <v>No Sales</v>
      </c>
      <c r="B645" s="99" t="s">
        <v>138</v>
      </c>
      <c r="C645" s="132" t="s">
        <v>60</v>
      </c>
      <c r="D645" s="100" t="s">
        <v>61</v>
      </c>
      <c r="E645" s="99" t="s">
        <v>145</v>
      </c>
      <c r="F645" s="102" t="s">
        <v>146</v>
      </c>
      <c r="G645" s="109">
        <v>5</v>
      </c>
      <c r="H645" s="104">
        <f>VLOOKUP($E645,'Stock statement'!$D$2:$P$384,13,)</f>
        <v>151.08681180977209</v>
      </c>
      <c r="I645" s="127">
        <v>2.5000000000000001E-2</v>
      </c>
      <c r="J645" s="113">
        <v>1</v>
      </c>
      <c r="K645" s="106">
        <f t="shared" si="58"/>
        <v>774.31991052508192</v>
      </c>
      <c r="L645" s="96"/>
      <c r="M645" s="97">
        <f t="shared" ref="M645:M666" si="59">K645/$G$662</f>
        <v>14.866942282081572</v>
      </c>
    </row>
    <row r="646" spans="1:13" s="107" customFormat="1" ht="15" customHeight="1">
      <c r="A646" s="100" t="str">
        <f>VLOOKUP(C646,Abstract!$E$4:$M$62,9,0)</f>
        <v>No Sales</v>
      </c>
      <c r="B646" s="99" t="s">
        <v>138</v>
      </c>
      <c r="C646" s="132" t="s">
        <v>60</v>
      </c>
      <c r="D646" s="100" t="s">
        <v>61</v>
      </c>
      <c r="E646" s="99" t="s">
        <v>155</v>
      </c>
      <c r="F646" s="99" t="s">
        <v>156</v>
      </c>
      <c r="G646" s="109">
        <v>15</v>
      </c>
      <c r="H646" s="104">
        <f>VLOOKUP($E646,'Stock statement'!$D$2:$P$384,13,)</f>
        <v>68.308211638055738</v>
      </c>
      <c r="I646" s="127">
        <v>2.5000000000000001E-2</v>
      </c>
      <c r="J646" s="113">
        <v>1</v>
      </c>
      <c r="K646" s="106">
        <f t="shared" si="58"/>
        <v>1050.2387539351068</v>
      </c>
      <c r="L646" s="96"/>
      <c r="M646" s="97">
        <f t="shared" si="59"/>
        <v>20.16458407555405</v>
      </c>
    </row>
    <row r="647" spans="1:13" s="107" customFormat="1" ht="15" customHeight="1">
      <c r="A647" s="100" t="str">
        <f>VLOOKUP(C647,Abstract!$E$4:$M$62,9,0)</f>
        <v>No Sales</v>
      </c>
      <c r="B647" s="99" t="s">
        <v>138</v>
      </c>
      <c r="C647" s="132" t="s">
        <v>60</v>
      </c>
      <c r="D647" s="100" t="s">
        <v>61</v>
      </c>
      <c r="E647" s="99" t="s">
        <v>367</v>
      </c>
      <c r="F647" s="99" t="s">
        <v>368</v>
      </c>
      <c r="G647" s="109">
        <v>5</v>
      </c>
      <c r="H647" s="104">
        <f>VLOOKUP($E647,'Stock statement'!$D$2:$P$384,13,)</f>
        <v>160.1889709567478</v>
      </c>
      <c r="I647" s="127">
        <v>2.5000000000000001E-2</v>
      </c>
      <c r="J647" s="113">
        <v>1</v>
      </c>
      <c r="K647" s="106">
        <f t="shared" si="58"/>
        <v>820.9684761533324</v>
      </c>
      <c r="L647" s="96"/>
      <c r="M647" s="97">
        <f t="shared" si="59"/>
        <v>15.762594742143982</v>
      </c>
    </row>
    <row r="648" spans="1:13" s="107" customFormat="1" ht="15" customHeight="1">
      <c r="A648" s="100" t="str">
        <f>VLOOKUP(C648,Abstract!$E$4:$M$62,9,0)</f>
        <v>No Sales</v>
      </c>
      <c r="B648" s="99" t="s">
        <v>138</v>
      </c>
      <c r="C648" s="132" t="s">
        <v>60</v>
      </c>
      <c r="D648" s="100" t="s">
        <v>61</v>
      </c>
      <c r="E648" s="99" t="s">
        <v>369</v>
      </c>
      <c r="F648" s="99" t="s">
        <v>370</v>
      </c>
      <c r="G648" s="109">
        <v>1</v>
      </c>
      <c r="H648" s="104">
        <f>VLOOKUP($E648,'Stock statement'!$D$2:$P$384,13,)</f>
        <v>425.0933053369933</v>
      </c>
      <c r="I648" s="127">
        <v>2.5000000000000001E-2</v>
      </c>
      <c r="J648" s="113">
        <v>1</v>
      </c>
      <c r="K648" s="106">
        <f t="shared" si="58"/>
        <v>435.72063797041807</v>
      </c>
      <c r="L648" s="96"/>
      <c r="M648" s="97">
        <f t="shared" si="59"/>
        <v>8.3658362490320268</v>
      </c>
    </row>
    <row r="649" spans="1:13" s="107" customFormat="1" ht="15" customHeight="1">
      <c r="A649" s="100" t="str">
        <f>VLOOKUP(C649,Abstract!$E$4:$M$62,9,0)</f>
        <v>No Sales</v>
      </c>
      <c r="B649" s="99" t="s">
        <v>138</v>
      </c>
      <c r="C649" s="132" t="s">
        <v>60</v>
      </c>
      <c r="D649" s="100" t="s">
        <v>61</v>
      </c>
      <c r="E649" s="99" t="s">
        <v>153</v>
      </c>
      <c r="F649" s="99" t="s">
        <v>349</v>
      </c>
      <c r="G649" s="109">
        <v>0.125</v>
      </c>
      <c r="H649" s="104">
        <f>VLOOKUP($E649,'Stock statement'!$D$2:$P$384,13,)</f>
        <v>84.206363687840948</v>
      </c>
      <c r="I649" s="127">
        <v>2.5000000000000001E-2</v>
      </c>
      <c r="J649" s="113">
        <v>1</v>
      </c>
      <c r="K649" s="106">
        <f t="shared" si="58"/>
        <v>10.788940347504621</v>
      </c>
      <c r="L649" s="96"/>
      <c r="M649" s="97">
        <f t="shared" si="59"/>
        <v>0.2071476546720887</v>
      </c>
    </row>
    <row r="650" spans="1:13" s="107" customFormat="1" ht="15" customHeight="1">
      <c r="A650" s="100" t="str">
        <f>VLOOKUP(C650,Abstract!$E$4:$M$62,9,0)</f>
        <v>No Sales</v>
      </c>
      <c r="B650" s="99" t="s">
        <v>138</v>
      </c>
      <c r="C650" s="132" t="s">
        <v>60</v>
      </c>
      <c r="D650" s="100" t="s">
        <v>61</v>
      </c>
      <c r="E650" s="99" t="s">
        <v>223</v>
      </c>
      <c r="F650" s="99" t="s">
        <v>391</v>
      </c>
      <c r="G650" s="109">
        <v>0.01</v>
      </c>
      <c r="H650" s="104">
        <f>VLOOKUP($E650,'Stock statement'!$D$2:$P$384,13,)</f>
        <v>661.66658982809031</v>
      </c>
      <c r="I650" s="127">
        <v>2.5000000000000001E-2</v>
      </c>
      <c r="J650" s="113">
        <v>1</v>
      </c>
      <c r="K650" s="106">
        <f t="shared" si="58"/>
        <v>6.782082545737925</v>
      </c>
      <c r="L650" s="96"/>
      <c r="M650" s="97">
        <f t="shared" si="59"/>
        <v>0.13021598487816816</v>
      </c>
    </row>
    <row r="651" spans="1:13" s="107" customFormat="1" ht="15" customHeight="1">
      <c r="A651" s="100" t="str">
        <f>VLOOKUP(C651,Abstract!$E$4:$M$62,9,0)</f>
        <v>No Sales</v>
      </c>
      <c r="B651" s="99" t="s">
        <v>138</v>
      </c>
      <c r="C651" s="132" t="s">
        <v>60</v>
      </c>
      <c r="D651" s="100" t="s">
        <v>61</v>
      </c>
      <c r="E651" s="99" t="s">
        <v>219</v>
      </c>
      <c r="F651" s="99" t="s">
        <v>220</v>
      </c>
      <c r="G651" s="109">
        <v>0.05</v>
      </c>
      <c r="H651" s="104">
        <f>VLOOKUP($E651,'Stock statement'!$D$2:$P$384,13,)</f>
        <v>549.27282042136164</v>
      </c>
      <c r="I651" s="127">
        <v>2.5000000000000001E-2</v>
      </c>
      <c r="J651" s="113">
        <v>1</v>
      </c>
      <c r="K651" s="106">
        <f t="shared" si="58"/>
        <v>28.150232046594784</v>
      </c>
      <c r="L651" s="96"/>
      <c r="M651" s="97">
        <f t="shared" si="59"/>
        <v>0.54048445529461986</v>
      </c>
    </row>
    <row r="652" spans="1:13" s="107" customFormat="1" ht="15" customHeight="1">
      <c r="A652" s="100" t="str">
        <f>VLOOKUP(C652,Abstract!$E$4:$M$62,9,0)</f>
        <v>No Sales</v>
      </c>
      <c r="B652" s="99" t="s">
        <v>138</v>
      </c>
      <c r="C652" s="132" t="s">
        <v>60</v>
      </c>
      <c r="D652" s="100" t="s">
        <v>61</v>
      </c>
      <c r="E652" s="99" t="s">
        <v>166</v>
      </c>
      <c r="F652" s="99" t="s">
        <v>167</v>
      </c>
      <c r="G652" s="109">
        <v>2.5</v>
      </c>
      <c r="H652" s="104">
        <f>VLOOKUP($E652,'Stock statement'!$D$2:$P$384,13,)</f>
        <v>127.15913438761541</v>
      </c>
      <c r="I652" s="127">
        <v>2.5000000000000001E-2</v>
      </c>
      <c r="J652" s="113">
        <v>1</v>
      </c>
      <c r="K652" s="106">
        <f t="shared" si="58"/>
        <v>325.84528186826446</v>
      </c>
      <c r="L652" s="96"/>
      <c r="M652" s="97">
        <f t="shared" si="59"/>
        <v>6.2562294118706774</v>
      </c>
    </row>
    <row r="653" spans="1:13" s="107" customFormat="1" ht="15" customHeight="1">
      <c r="A653" s="100" t="str">
        <f>VLOOKUP(C653,Abstract!$E$4:$M$62,9,0)</f>
        <v>No Sales</v>
      </c>
      <c r="B653" s="99" t="s">
        <v>138</v>
      </c>
      <c r="C653" s="132" t="s">
        <v>60</v>
      </c>
      <c r="D653" s="100" t="s">
        <v>61</v>
      </c>
      <c r="E653" s="99" t="s">
        <v>221</v>
      </c>
      <c r="F653" s="99" t="s">
        <v>222</v>
      </c>
      <c r="G653" s="109">
        <v>0.1</v>
      </c>
      <c r="H653" s="104">
        <f>VLOOKUP($E653,'Stock statement'!$D$2:$P$384,13,)</f>
        <v>494.13931116123297</v>
      </c>
      <c r="I653" s="127">
        <v>2.5000000000000001E-2</v>
      </c>
      <c r="J653" s="113">
        <v>1</v>
      </c>
      <c r="K653" s="106">
        <f t="shared" si="58"/>
        <v>50.649279394026379</v>
      </c>
      <c r="L653" s="96"/>
      <c r="M653" s="97">
        <f t="shared" si="59"/>
        <v>0.97246616436530642</v>
      </c>
    </row>
    <row r="654" spans="1:13" s="107" customFormat="1" ht="15" customHeight="1">
      <c r="A654" s="100" t="str">
        <f>VLOOKUP(C654,Abstract!$E$4:$M$62,9,0)</f>
        <v>No Sales</v>
      </c>
      <c r="B654" s="99" t="s">
        <v>138</v>
      </c>
      <c r="C654" s="132" t="s">
        <v>60</v>
      </c>
      <c r="D654" s="100" t="s">
        <v>61</v>
      </c>
      <c r="E654" s="99" t="s">
        <v>211</v>
      </c>
      <c r="F654" s="99" t="s">
        <v>392</v>
      </c>
      <c r="G654" s="109">
        <v>0.1</v>
      </c>
      <c r="H654" s="104">
        <f>VLOOKUP($E654,'Stock statement'!$D$2:$P$384,13,)</f>
        <v>1279.5862001575747</v>
      </c>
      <c r="I654" s="127">
        <v>2.5000000000000001E-2</v>
      </c>
      <c r="J654" s="113">
        <v>1</v>
      </c>
      <c r="K654" s="106">
        <f t="shared" si="58"/>
        <v>131.15758551615141</v>
      </c>
      <c r="L654" s="96"/>
      <c r="M654" s="97">
        <f t="shared" si="59"/>
        <v>2.518225641910107</v>
      </c>
    </row>
    <row r="655" spans="1:13" s="107" customFormat="1" ht="15" customHeight="1">
      <c r="A655" s="100" t="str">
        <f>VLOOKUP(C655,Abstract!$E$4:$M$62,9,0)</f>
        <v>No Sales</v>
      </c>
      <c r="B655" s="99" t="s">
        <v>138</v>
      </c>
      <c r="C655" s="132" t="s">
        <v>60</v>
      </c>
      <c r="D655" s="100" t="s">
        <v>61</v>
      </c>
      <c r="E655" s="99" t="s">
        <v>393</v>
      </c>
      <c r="F655" s="99" t="s">
        <v>394</v>
      </c>
      <c r="G655" s="109">
        <v>0.1</v>
      </c>
      <c r="H655" s="104">
        <f>VLOOKUP($E655,'Stock statement'!$D$2:$P$384,13,)</f>
        <v>411.25781249999994</v>
      </c>
      <c r="I655" s="127">
        <v>2.5000000000000001E-2</v>
      </c>
      <c r="J655" s="113">
        <v>1</v>
      </c>
      <c r="K655" s="106">
        <f t="shared" si="58"/>
        <v>42.153925781249995</v>
      </c>
      <c r="L655" s="96"/>
      <c r="M655" s="97">
        <f t="shared" si="59"/>
        <v>0.80935537499999988</v>
      </c>
    </row>
    <row r="656" spans="1:13" s="107" customFormat="1" ht="15" customHeight="1">
      <c r="A656" s="100" t="str">
        <f>VLOOKUP(C656,Abstract!$E$4:$M$62,9,0)</f>
        <v>No Sales</v>
      </c>
      <c r="B656" s="99" t="s">
        <v>138</v>
      </c>
      <c r="C656" s="132" t="s">
        <v>60</v>
      </c>
      <c r="D656" s="100" t="s">
        <v>61</v>
      </c>
      <c r="E656" s="99" t="s">
        <v>217</v>
      </c>
      <c r="F656" s="99" t="s">
        <v>218</v>
      </c>
      <c r="G656" s="109">
        <v>0.1</v>
      </c>
      <c r="H656" s="104">
        <f>VLOOKUP($E656,'Stock statement'!$D$2:$P$384,13,)</f>
        <v>910.5767983004796</v>
      </c>
      <c r="I656" s="127">
        <v>2.5000000000000001E-2</v>
      </c>
      <c r="J656" s="113">
        <v>1</v>
      </c>
      <c r="K656" s="106">
        <f t="shared" si="58"/>
        <v>93.334121825799144</v>
      </c>
      <c r="L656" s="96"/>
      <c r="M656" s="97">
        <f t="shared" si="59"/>
        <v>1.7920151390553436</v>
      </c>
    </row>
    <row r="657" spans="1:13" s="107" customFormat="1" ht="15" customHeight="1">
      <c r="A657" s="100" t="str">
        <f>VLOOKUP(C657,Abstract!$E$4:$M$62,9,0)</f>
        <v>No Sales</v>
      </c>
      <c r="B657" s="99" t="s">
        <v>138</v>
      </c>
      <c r="C657" s="132" t="s">
        <v>60</v>
      </c>
      <c r="D657" s="100" t="s">
        <v>61</v>
      </c>
      <c r="E657" s="99" t="s">
        <v>225</v>
      </c>
      <c r="F657" s="99" t="s">
        <v>226</v>
      </c>
      <c r="G657" s="109">
        <v>7</v>
      </c>
      <c r="H657" s="104">
        <f>VLOOKUP($E657,'Stock statement'!$D$2:$P$384,13,)</f>
        <v>770.99998748629207</v>
      </c>
      <c r="I657" s="127">
        <v>2.5000000000000001E-2</v>
      </c>
      <c r="J657" s="113">
        <v>1</v>
      </c>
      <c r="K657" s="106">
        <f t="shared" si="58"/>
        <v>5531.9249102141448</v>
      </c>
      <c r="L657" s="96"/>
      <c r="M657" s="97">
        <f t="shared" si="59"/>
        <v>106.21295827611158</v>
      </c>
    </row>
    <row r="658" spans="1:13" s="107" customFormat="1" ht="15" customHeight="1">
      <c r="A658" s="100" t="str">
        <f>VLOOKUP(C658,Abstract!$E$4:$M$62,9,0)</f>
        <v>No Sales</v>
      </c>
      <c r="B658" s="99" t="s">
        <v>138</v>
      </c>
      <c r="C658" s="132" t="s">
        <v>60</v>
      </c>
      <c r="D658" s="100" t="s">
        <v>61</v>
      </c>
      <c r="E658" s="99" t="s">
        <v>181</v>
      </c>
      <c r="F658" s="102" t="s">
        <v>182</v>
      </c>
      <c r="G658" s="109">
        <v>15</v>
      </c>
      <c r="H658" s="104">
        <f>VLOOKUP($E658,'Stock statement'!$D$2:$P$384,13,)</f>
        <v>17.110276913020375</v>
      </c>
      <c r="I658" s="127">
        <v>2.5000000000000001E-2</v>
      </c>
      <c r="J658" s="113">
        <v>1</v>
      </c>
      <c r="K658" s="106">
        <f t="shared" si="58"/>
        <v>263.07050753768823</v>
      </c>
      <c r="L658" s="96"/>
      <c r="M658" s="97">
        <f t="shared" si="59"/>
        <v>5.0509537447236141</v>
      </c>
    </row>
    <row r="659" spans="1:13" s="107" customFormat="1" ht="15" customHeight="1">
      <c r="A659" s="100" t="str">
        <f>VLOOKUP(C659,Abstract!$E$4:$M$62,9,0)</f>
        <v>No Sales</v>
      </c>
      <c r="B659" s="99" t="s">
        <v>138</v>
      </c>
      <c r="C659" s="132" t="s">
        <v>60</v>
      </c>
      <c r="D659" s="100" t="s">
        <v>61</v>
      </c>
      <c r="E659" s="99" t="s">
        <v>151</v>
      </c>
      <c r="F659" s="99" t="s">
        <v>152</v>
      </c>
      <c r="G659" s="109">
        <v>0.5</v>
      </c>
      <c r="H659" s="104">
        <f>VLOOKUP($E659,'Stock statement'!$D$2:$P$384,13,)</f>
        <v>762.38931335604309</v>
      </c>
      <c r="I659" s="127">
        <v>2.5000000000000001E-2</v>
      </c>
      <c r="J659" s="113">
        <v>1</v>
      </c>
      <c r="K659" s="106">
        <f t="shared" si="58"/>
        <v>390.72452309497203</v>
      </c>
      <c r="L659" s="96"/>
      <c r="M659" s="97">
        <f t="shared" si="59"/>
        <v>7.5019108434234623</v>
      </c>
    </row>
    <row r="660" spans="1:13" s="107" customFormat="1" ht="15" customHeight="1">
      <c r="A660" s="100" t="str">
        <f>VLOOKUP(C660,Abstract!$E$4:$M$62,9,0)</f>
        <v>No Sales</v>
      </c>
      <c r="B660" s="99" t="s">
        <v>138</v>
      </c>
      <c r="C660" s="132" t="s">
        <v>60</v>
      </c>
      <c r="D660" s="100" t="s">
        <v>61</v>
      </c>
      <c r="E660" s="99" t="s">
        <v>173</v>
      </c>
      <c r="F660" s="95" t="s">
        <v>174</v>
      </c>
      <c r="G660" s="109">
        <v>0.1</v>
      </c>
      <c r="H660" s="104">
        <f>VLOOKUP($E660,'Stock statement'!$D$2:$P$384,13,)</f>
        <v>555.2517156766155</v>
      </c>
      <c r="I660" s="127">
        <v>2.5000000000000001E-2</v>
      </c>
      <c r="J660" s="113">
        <v>1</v>
      </c>
      <c r="K660" s="106">
        <f t="shared" si="58"/>
        <v>56.913300856853084</v>
      </c>
      <c r="L660" s="96"/>
      <c r="M660" s="97">
        <f t="shared" si="59"/>
        <v>1.0927353764515793</v>
      </c>
    </row>
    <row r="661" spans="1:13" s="107" customFormat="1" ht="15" customHeight="1">
      <c r="A661" s="100" t="str">
        <f>VLOOKUP(C661,Abstract!$E$4:$M$62,9,0)</f>
        <v>No Sales</v>
      </c>
      <c r="B661" s="99" t="s">
        <v>138</v>
      </c>
      <c r="C661" s="132" t="s">
        <v>60</v>
      </c>
      <c r="D661" s="100" t="s">
        <v>61</v>
      </c>
      <c r="E661" s="99" t="s">
        <v>139</v>
      </c>
      <c r="F661" s="102" t="s">
        <v>140</v>
      </c>
      <c r="G661" s="109">
        <v>776.88</v>
      </c>
      <c r="H661" s="104">
        <f>VLOOKUP($E661,'Stock statement'!$D$2:$P$384,13,)</f>
        <v>0.34</v>
      </c>
      <c r="I661" s="127">
        <v>2.5000000000000001E-2</v>
      </c>
      <c r="J661" s="113">
        <v>1</v>
      </c>
      <c r="K661" s="106">
        <f t="shared" si="58"/>
        <v>270.74268000000001</v>
      </c>
      <c r="L661" s="96"/>
      <c r="M661" s="97">
        <f t="shared" si="59"/>
        <v>5.1982594559999997</v>
      </c>
    </row>
    <row r="662" spans="1:13" s="107" customFormat="1" ht="15" customHeight="1">
      <c r="A662" s="100" t="str">
        <f>VLOOKUP(C662,Abstract!$E$4:$M$62,9,0)</f>
        <v>No Sales</v>
      </c>
      <c r="B662" s="99" t="s">
        <v>183</v>
      </c>
      <c r="C662" s="132" t="s">
        <v>60</v>
      </c>
      <c r="D662" s="100" t="s">
        <v>61</v>
      </c>
      <c r="E662" s="99">
        <v>213874</v>
      </c>
      <c r="F662" s="99" t="s">
        <v>395</v>
      </c>
      <c r="G662" s="109">
        <f>1000/(4*4800/1000)</f>
        <v>52.083333333333336</v>
      </c>
      <c r="H662" s="104">
        <f>VLOOKUP($E662,'Stock statement'!$D$2:$P$384,13,)</f>
        <v>37.307564192415263</v>
      </c>
      <c r="I662" s="127">
        <v>6.0000000000000001E-3</v>
      </c>
      <c r="J662" s="113">
        <v>1</v>
      </c>
      <c r="K662" s="106">
        <f t="shared" si="58"/>
        <v>1954.7609154984248</v>
      </c>
      <c r="L662" s="96"/>
      <c r="M662" s="97">
        <f t="shared" si="59"/>
        <v>37.531409577569754</v>
      </c>
    </row>
    <row r="663" spans="1:13" s="107" customFormat="1" ht="15" customHeight="1">
      <c r="A663" s="100" t="str">
        <f>VLOOKUP(C663,Abstract!$E$4:$M$62,9,0)</f>
        <v>No Sales</v>
      </c>
      <c r="B663" s="99" t="s">
        <v>183</v>
      </c>
      <c r="C663" s="132" t="s">
        <v>60</v>
      </c>
      <c r="D663" s="100" t="s">
        <v>61</v>
      </c>
      <c r="E663" s="99">
        <v>213873</v>
      </c>
      <c r="F663" s="99" t="s">
        <v>396</v>
      </c>
      <c r="G663" s="109">
        <f>+G662*4</f>
        <v>208.33333333333334</v>
      </c>
      <c r="H663" s="104">
        <f>VLOOKUP($E663,'Stock statement'!$D$2:$P$384,13,)</f>
        <v>10.653997879872099</v>
      </c>
      <c r="I663" s="127">
        <v>6.0000000000000001E-3</v>
      </c>
      <c r="J663" s="113">
        <v>1</v>
      </c>
      <c r="K663" s="106">
        <f t="shared" si="58"/>
        <v>2232.9003889898609</v>
      </c>
      <c r="L663" s="96"/>
      <c r="M663" s="97">
        <f t="shared" si="59"/>
        <v>42.871687468605323</v>
      </c>
    </row>
    <row r="664" spans="1:13" s="107" customFormat="1" ht="15" customHeight="1">
      <c r="A664" s="100" t="str">
        <f>VLOOKUP(C664,Abstract!$E$4:$M$62,9,0)</f>
        <v>No Sales</v>
      </c>
      <c r="B664" s="99" t="s">
        <v>183</v>
      </c>
      <c r="C664" s="132" t="s">
        <v>60</v>
      </c>
      <c r="D664" s="100" t="s">
        <v>61</v>
      </c>
      <c r="E664" s="99">
        <v>214391</v>
      </c>
      <c r="F664" s="99" t="s">
        <v>397</v>
      </c>
      <c r="G664" s="109">
        <f>+G662*1.189</f>
        <v>61.927083333333336</v>
      </c>
      <c r="H664" s="104">
        <f>VLOOKUP($E664,'Stock statement'!$D$2:$P$384,13,)</f>
        <v>0</v>
      </c>
      <c r="I664" s="127">
        <v>1.7500000000000002E-2</v>
      </c>
      <c r="J664" s="113">
        <v>1</v>
      </c>
      <c r="K664" s="106">
        <f t="shared" si="58"/>
        <v>0</v>
      </c>
      <c r="L664" s="96"/>
      <c r="M664" s="97">
        <f t="shared" si="59"/>
        <v>0</v>
      </c>
    </row>
    <row r="665" spans="1:13" s="107" customFormat="1" ht="15" customHeight="1">
      <c r="A665" s="100" t="str">
        <f>VLOOKUP(C665,Abstract!$E$4:$M$62,9,0)</f>
        <v>No Sales</v>
      </c>
      <c r="B665" s="134" t="s">
        <v>183</v>
      </c>
      <c r="C665" s="132" t="s">
        <v>60</v>
      </c>
      <c r="D665" s="100" t="s">
        <v>61</v>
      </c>
      <c r="E665" s="99" t="s">
        <v>191</v>
      </c>
      <c r="F665" s="95" t="s">
        <v>192</v>
      </c>
      <c r="G665" s="109">
        <f>+G662*0.042</f>
        <v>2.1875000000000004</v>
      </c>
      <c r="H665" s="104">
        <f>VLOOKUP($E665,'Stock statement'!$D$2:$P$384,13,)</f>
        <v>44.985440769279101</v>
      </c>
      <c r="I665" s="127">
        <v>0.02</v>
      </c>
      <c r="J665" s="113">
        <v>1</v>
      </c>
      <c r="K665" s="106">
        <f t="shared" si="58"/>
        <v>100.37376471645402</v>
      </c>
      <c r="L665" s="96"/>
      <c r="M665" s="97">
        <f t="shared" si="59"/>
        <v>1.9271762825559171</v>
      </c>
    </row>
    <row r="666" spans="1:13" s="107" customFormat="1" ht="15" customHeight="1">
      <c r="A666" s="100" t="str">
        <f>VLOOKUP(C666,Abstract!$E$4:$M$62,9,0)</f>
        <v>No Sales</v>
      </c>
      <c r="B666" s="99" t="s">
        <v>197</v>
      </c>
      <c r="C666" s="132" t="s">
        <v>60</v>
      </c>
      <c r="D666" s="100" t="s">
        <v>61</v>
      </c>
      <c r="E666" s="99" t="s">
        <v>198</v>
      </c>
      <c r="F666" s="99"/>
      <c r="G666" s="109"/>
      <c r="H666" s="100"/>
      <c r="I666" s="127"/>
      <c r="J666" s="113"/>
      <c r="K666" s="106">
        <v>6180</v>
      </c>
      <c r="L666" s="98">
        <f>SUM(K644:K666)</f>
        <v>37317.707762939914</v>
      </c>
      <c r="M666" s="97">
        <f t="shared" si="59"/>
        <v>118.65599999999999</v>
      </c>
    </row>
    <row r="667" spans="1:13" s="107" customFormat="1" ht="15" customHeight="1">
      <c r="A667" s="100" t="str">
        <f>VLOOKUP(C667,Abstract!$E$4:$M$62,9,0)</f>
        <v>No Sales</v>
      </c>
      <c r="B667" s="99" t="s">
        <v>138</v>
      </c>
      <c r="C667" s="133" t="s">
        <v>56</v>
      </c>
      <c r="D667" s="133" t="s">
        <v>398</v>
      </c>
      <c r="E667" s="99" t="s">
        <v>141</v>
      </c>
      <c r="F667" s="108" t="s">
        <v>142</v>
      </c>
      <c r="G667" s="109">
        <v>171.43</v>
      </c>
      <c r="H667" s="104">
        <f>VLOOKUP($E667,'Stock statement'!$D$2:$P$384,13,)</f>
        <v>94.278330452007026</v>
      </c>
      <c r="I667" s="127">
        <v>2.5000000000000001E-2</v>
      </c>
      <c r="J667" s="113">
        <v>1</v>
      </c>
      <c r="K667" s="106">
        <f>+G667*H667*(1+I667)*J667</f>
        <v>16566.187544122255</v>
      </c>
      <c r="L667" s="115"/>
      <c r="M667" s="104">
        <f>K667/$G$682</f>
        <v>318.07080084714727</v>
      </c>
    </row>
    <row r="668" spans="1:13" s="107" customFormat="1" ht="15" customHeight="1">
      <c r="A668" s="100" t="str">
        <f>VLOOKUP(C668,Abstract!$E$4:$M$62,9,0)</f>
        <v>No Sales</v>
      </c>
      <c r="B668" s="99" t="s">
        <v>138</v>
      </c>
      <c r="C668" s="133" t="s">
        <v>56</v>
      </c>
      <c r="D668" s="133" t="s">
        <v>398</v>
      </c>
      <c r="E668" s="99" t="s">
        <v>145</v>
      </c>
      <c r="F668" s="102" t="s">
        <v>146</v>
      </c>
      <c r="G668" s="109">
        <v>5</v>
      </c>
      <c r="H668" s="104">
        <f>VLOOKUP($E668,'Stock statement'!$D$2:$P$384,13,)</f>
        <v>151.08681180977209</v>
      </c>
      <c r="I668" s="127">
        <v>2.5000000000000001E-2</v>
      </c>
      <c r="J668" s="113">
        <v>1</v>
      </c>
      <c r="K668" s="106">
        <f t="shared" ref="K668:K681" si="60">+G668*H668*(1+I668)*J668</f>
        <v>774.31991052508192</v>
      </c>
      <c r="L668" s="115"/>
      <c r="M668" s="104">
        <f t="shared" ref="M668:M686" si="61">K668/$G$682</f>
        <v>14.866942282081572</v>
      </c>
    </row>
    <row r="669" spans="1:13" s="107" customFormat="1" ht="15" customHeight="1">
      <c r="A669" s="100" t="str">
        <f>VLOOKUP(C669,Abstract!$E$4:$M$62,9,0)</f>
        <v>No Sales</v>
      </c>
      <c r="B669" s="99" t="s">
        <v>138</v>
      </c>
      <c r="C669" s="133" t="s">
        <v>56</v>
      </c>
      <c r="D669" s="133" t="s">
        <v>398</v>
      </c>
      <c r="E669" s="99" t="s">
        <v>155</v>
      </c>
      <c r="F669" s="99" t="s">
        <v>156</v>
      </c>
      <c r="G669" s="109">
        <v>15</v>
      </c>
      <c r="H669" s="104">
        <f>VLOOKUP($E669,'Stock statement'!$D$2:$P$384,13,)</f>
        <v>68.308211638055738</v>
      </c>
      <c r="I669" s="127">
        <v>2.5000000000000001E-2</v>
      </c>
      <c r="J669" s="113">
        <v>1</v>
      </c>
      <c r="K669" s="106">
        <f t="shared" si="60"/>
        <v>1050.2387539351068</v>
      </c>
      <c r="L669" s="115"/>
      <c r="M669" s="104">
        <f t="shared" si="61"/>
        <v>20.16458407555405</v>
      </c>
    </row>
    <row r="670" spans="1:13" s="107" customFormat="1" ht="15" customHeight="1">
      <c r="A670" s="100" t="str">
        <f>VLOOKUP(C670,Abstract!$E$4:$M$62,9,0)</f>
        <v>No Sales</v>
      </c>
      <c r="B670" s="99" t="s">
        <v>138</v>
      </c>
      <c r="C670" s="133" t="s">
        <v>56</v>
      </c>
      <c r="D670" s="133" t="s">
        <v>398</v>
      </c>
      <c r="E670" s="99" t="s">
        <v>367</v>
      </c>
      <c r="F670" s="99" t="s">
        <v>368</v>
      </c>
      <c r="G670" s="109">
        <v>5</v>
      </c>
      <c r="H670" s="104">
        <f>VLOOKUP($E670,'Stock statement'!$D$2:$P$384,13,)</f>
        <v>160.1889709567478</v>
      </c>
      <c r="I670" s="127">
        <v>2.5000000000000001E-2</v>
      </c>
      <c r="J670" s="113">
        <v>1</v>
      </c>
      <c r="K670" s="106">
        <f t="shared" si="60"/>
        <v>820.9684761533324</v>
      </c>
      <c r="L670" s="115"/>
      <c r="M670" s="104">
        <f t="shared" si="61"/>
        <v>15.762594742143982</v>
      </c>
    </row>
    <row r="671" spans="1:13" s="107" customFormat="1" ht="15" customHeight="1">
      <c r="A671" s="100" t="str">
        <f>VLOOKUP(C671,Abstract!$E$4:$M$62,9,0)</f>
        <v>No Sales</v>
      </c>
      <c r="B671" s="99" t="s">
        <v>138</v>
      </c>
      <c r="C671" s="133" t="s">
        <v>56</v>
      </c>
      <c r="D671" s="133" t="s">
        <v>398</v>
      </c>
      <c r="E671" s="99" t="s">
        <v>369</v>
      </c>
      <c r="F671" s="99" t="s">
        <v>370</v>
      </c>
      <c r="G671" s="109">
        <v>1</v>
      </c>
      <c r="H671" s="104">
        <f>VLOOKUP($E671,'Stock statement'!$D$2:$P$384,13,)</f>
        <v>425.0933053369933</v>
      </c>
      <c r="I671" s="127">
        <v>2.5000000000000001E-2</v>
      </c>
      <c r="J671" s="113">
        <v>1</v>
      </c>
      <c r="K671" s="106">
        <f t="shared" si="60"/>
        <v>435.72063797041807</v>
      </c>
      <c r="L671" s="115"/>
      <c r="M671" s="104">
        <f t="shared" si="61"/>
        <v>8.3658362490320268</v>
      </c>
    </row>
    <row r="672" spans="1:13" s="107" customFormat="1" ht="15" customHeight="1">
      <c r="A672" s="100" t="str">
        <f>VLOOKUP(C672,Abstract!$E$4:$M$62,9,0)</f>
        <v>No Sales</v>
      </c>
      <c r="B672" s="99" t="s">
        <v>138</v>
      </c>
      <c r="C672" s="133" t="s">
        <v>56</v>
      </c>
      <c r="D672" s="133" t="s">
        <v>398</v>
      </c>
      <c r="E672" s="99" t="s">
        <v>153</v>
      </c>
      <c r="F672" s="99" t="s">
        <v>349</v>
      </c>
      <c r="G672" s="109">
        <v>0.125</v>
      </c>
      <c r="H672" s="104">
        <f>VLOOKUP($E672,'Stock statement'!$D$2:$P$384,13,)</f>
        <v>84.206363687840948</v>
      </c>
      <c r="I672" s="127">
        <v>2.5000000000000001E-2</v>
      </c>
      <c r="J672" s="113">
        <v>1</v>
      </c>
      <c r="K672" s="106">
        <f t="shared" si="60"/>
        <v>10.788940347504621</v>
      </c>
      <c r="L672" s="115"/>
      <c r="M672" s="104">
        <f t="shared" si="61"/>
        <v>0.2071476546720887</v>
      </c>
    </row>
    <row r="673" spans="1:13" s="107" customFormat="1" ht="15" customHeight="1">
      <c r="A673" s="100" t="str">
        <f>VLOOKUP(C673,Abstract!$E$4:$M$62,9,0)</f>
        <v>No Sales</v>
      </c>
      <c r="B673" s="99" t="s">
        <v>138</v>
      </c>
      <c r="C673" s="133" t="s">
        <v>56</v>
      </c>
      <c r="D673" s="133" t="s">
        <v>398</v>
      </c>
      <c r="E673" s="99">
        <v>115071</v>
      </c>
      <c r="F673" s="99" t="s">
        <v>311</v>
      </c>
      <c r="G673" s="109">
        <v>0.5</v>
      </c>
      <c r="H673" s="104">
        <f>VLOOKUP($E673,'Stock statement'!$D$2:$P$384,13,)</f>
        <v>195.04600880394028</v>
      </c>
      <c r="I673" s="127">
        <v>2.5000000000000001E-2</v>
      </c>
      <c r="J673" s="113">
        <v>1</v>
      </c>
      <c r="K673" s="106">
        <f t="shared" si="60"/>
        <v>99.961079512019381</v>
      </c>
      <c r="L673" s="115"/>
      <c r="M673" s="104">
        <f t="shared" si="61"/>
        <v>1.919252726630772</v>
      </c>
    </row>
    <row r="674" spans="1:13" s="107" customFormat="1" ht="15" customHeight="1">
      <c r="A674" s="100" t="str">
        <f>VLOOKUP(C674,Abstract!$E$4:$M$62,9,0)</f>
        <v>No Sales</v>
      </c>
      <c r="B674" s="99" t="s">
        <v>138</v>
      </c>
      <c r="C674" s="133" t="s">
        <v>56</v>
      </c>
      <c r="D674" s="133" t="s">
        <v>398</v>
      </c>
      <c r="E674" s="99" t="s">
        <v>151</v>
      </c>
      <c r="F674" s="99" t="s">
        <v>152</v>
      </c>
      <c r="G674" s="109">
        <v>0.5</v>
      </c>
      <c r="H674" s="104">
        <f>VLOOKUP($E674,'Stock statement'!$D$2:$P$384,13,)</f>
        <v>762.38931335604309</v>
      </c>
      <c r="I674" s="127">
        <v>2.5000000000000001E-2</v>
      </c>
      <c r="J674" s="113">
        <v>1</v>
      </c>
      <c r="K674" s="106">
        <f t="shared" si="60"/>
        <v>390.72452309497203</v>
      </c>
      <c r="L674" s="115"/>
      <c r="M674" s="104">
        <f t="shared" si="61"/>
        <v>7.5019108434234623</v>
      </c>
    </row>
    <row r="675" spans="1:13" s="107" customFormat="1" ht="15" customHeight="1">
      <c r="A675" s="100" t="str">
        <f>VLOOKUP(C675,Abstract!$E$4:$M$62,9,0)</f>
        <v>No Sales</v>
      </c>
      <c r="B675" s="99" t="s">
        <v>138</v>
      </c>
      <c r="C675" s="133" t="s">
        <v>56</v>
      </c>
      <c r="D675" s="133" t="s">
        <v>398</v>
      </c>
      <c r="E675" s="99" t="s">
        <v>166</v>
      </c>
      <c r="F675" s="99" t="s">
        <v>167</v>
      </c>
      <c r="G675" s="109">
        <v>2.5</v>
      </c>
      <c r="H675" s="104">
        <f>VLOOKUP($E675,'Stock statement'!$D$2:$P$384,13,)</f>
        <v>127.15913438761541</v>
      </c>
      <c r="I675" s="127">
        <v>2.5000000000000001E-2</v>
      </c>
      <c r="J675" s="113">
        <v>1</v>
      </c>
      <c r="K675" s="106">
        <f t="shared" si="60"/>
        <v>325.84528186826446</v>
      </c>
      <c r="L675" s="115"/>
      <c r="M675" s="104">
        <f t="shared" si="61"/>
        <v>6.2562294118706774</v>
      </c>
    </row>
    <row r="676" spans="1:13" s="107" customFormat="1" ht="15" customHeight="1">
      <c r="A676" s="100" t="str">
        <f>VLOOKUP(C676,Abstract!$E$4:$M$62,9,0)</f>
        <v>No Sales</v>
      </c>
      <c r="B676" s="99" t="s">
        <v>138</v>
      </c>
      <c r="C676" s="133" t="s">
        <v>56</v>
      </c>
      <c r="D676" s="133" t="s">
        <v>398</v>
      </c>
      <c r="E676" s="99" t="s">
        <v>371</v>
      </c>
      <c r="F676" s="99" t="s">
        <v>372</v>
      </c>
      <c r="G676" s="109">
        <v>0.01</v>
      </c>
      <c r="H676" s="104">
        <f>VLOOKUP($E676,'Stock statement'!$D$2:$P$384,13,)</f>
        <v>911.16233108656354</v>
      </c>
      <c r="I676" s="127">
        <v>2.5000000000000001E-2</v>
      </c>
      <c r="J676" s="113">
        <v>1</v>
      </c>
      <c r="K676" s="106">
        <f t="shared" si="60"/>
        <v>9.3394138936372748</v>
      </c>
      <c r="L676" s="115"/>
      <c r="M676" s="104">
        <f t="shared" si="61"/>
        <v>0.17931674675783565</v>
      </c>
    </row>
    <row r="677" spans="1:13" s="107" customFormat="1" ht="15" customHeight="1">
      <c r="A677" s="100" t="str">
        <f>VLOOKUP(C677,Abstract!$E$4:$M$62,9,0)</f>
        <v>No Sales</v>
      </c>
      <c r="B677" s="99" t="s">
        <v>138</v>
      </c>
      <c r="C677" s="133" t="s">
        <v>56</v>
      </c>
      <c r="D677" s="133" t="s">
        <v>398</v>
      </c>
      <c r="E677" s="99" t="s">
        <v>373</v>
      </c>
      <c r="F677" s="99" t="s">
        <v>374</v>
      </c>
      <c r="G677" s="109">
        <v>0.01</v>
      </c>
      <c r="H677" s="104">
        <f>VLOOKUP($E677,'Stock statement'!$D$2:$P$384,13,)</f>
        <v>1119.6565156623499</v>
      </c>
      <c r="I677" s="127">
        <v>2.5000000000000001E-2</v>
      </c>
      <c r="J677" s="113">
        <v>1</v>
      </c>
      <c r="K677" s="106">
        <f t="shared" si="60"/>
        <v>11.476479285539087</v>
      </c>
      <c r="L677" s="115"/>
      <c r="M677" s="104">
        <f t="shared" si="61"/>
        <v>0.22034840228235045</v>
      </c>
    </row>
    <row r="678" spans="1:13" s="107" customFormat="1" ht="15" customHeight="1">
      <c r="A678" s="100" t="str">
        <f>VLOOKUP(C678,Abstract!$E$4:$M$62,9,0)</f>
        <v>No Sales</v>
      </c>
      <c r="B678" s="99" t="s">
        <v>138</v>
      </c>
      <c r="C678" s="133" t="s">
        <v>56</v>
      </c>
      <c r="D678" s="133" t="s">
        <v>398</v>
      </c>
      <c r="E678" s="99" t="s">
        <v>376</v>
      </c>
      <c r="F678" s="99" t="s">
        <v>377</v>
      </c>
      <c r="G678" s="109">
        <v>6</v>
      </c>
      <c r="H678" s="104">
        <f>VLOOKUP($E678,'Stock statement'!$D$2:$P$384,13,)</f>
        <v>768.48873865639405</v>
      </c>
      <c r="I678" s="127">
        <v>2.5000000000000001E-2</v>
      </c>
      <c r="J678" s="113">
        <v>1</v>
      </c>
      <c r="K678" s="106">
        <f t="shared" si="60"/>
        <v>4726.2057427368227</v>
      </c>
      <c r="L678" s="115"/>
      <c r="M678" s="104">
        <f t="shared" si="61"/>
        <v>90.743150260546997</v>
      </c>
    </row>
    <row r="679" spans="1:13" s="107" customFormat="1" ht="15" customHeight="1">
      <c r="A679" s="100" t="str">
        <f>VLOOKUP(C679,Abstract!$E$4:$M$62,9,0)</f>
        <v>No Sales</v>
      </c>
      <c r="B679" s="99" t="s">
        <v>138</v>
      </c>
      <c r="C679" s="133" t="s">
        <v>56</v>
      </c>
      <c r="D679" s="133" t="s">
        <v>398</v>
      </c>
      <c r="E679" s="99" t="s">
        <v>181</v>
      </c>
      <c r="F679" s="102" t="s">
        <v>182</v>
      </c>
      <c r="G679" s="109">
        <v>15</v>
      </c>
      <c r="H679" s="104">
        <f>VLOOKUP($E679,'Stock statement'!$D$2:$P$384,13,)</f>
        <v>17.110276913020375</v>
      </c>
      <c r="I679" s="127">
        <v>2.5000000000000001E-2</v>
      </c>
      <c r="J679" s="113">
        <v>1</v>
      </c>
      <c r="K679" s="106">
        <f t="shared" si="60"/>
        <v>263.07050753768823</v>
      </c>
      <c r="L679" s="115"/>
      <c r="M679" s="104">
        <f t="shared" si="61"/>
        <v>5.0509537447236141</v>
      </c>
    </row>
    <row r="680" spans="1:13" s="107" customFormat="1" ht="15" customHeight="1">
      <c r="A680" s="100" t="str">
        <f>VLOOKUP(C680,Abstract!$E$4:$M$62,9,0)</f>
        <v>No Sales</v>
      </c>
      <c r="B680" s="99" t="s">
        <v>138</v>
      </c>
      <c r="C680" s="133" t="s">
        <v>56</v>
      </c>
      <c r="D680" s="133" t="s">
        <v>398</v>
      </c>
      <c r="E680" s="99" t="s">
        <v>173</v>
      </c>
      <c r="F680" s="95" t="s">
        <v>174</v>
      </c>
      <c r="G680" s="109">
        <v>0.1</v>
      </c>
      <c r="H680" s="104">
        <f>VLOOKUP($E680,'Stock statement'!$D$2:$P$384,13,)</f>
        <v>555.2517156766155</v>
      </c>
      <c r="I680" s="127">
        <v>2.5000000000000001E-2</v>
      </c>
      <c r="J680" s="113">
        <v>1</v>
      </c>
      <c r="K680" s="106">
        <f t="shared" si="60"/>
        <v>56.913300856853084</v>
      </c>
      <c r="L680" s="115"/>
      <c r="M680" s="104">
        <f t="shared" si="61"/>
        <v>1.0927353764515793</v>
      </c>
    </row>
    <row r="681" spans="1:13" s="107" customFormat="1" ht="15" customHeight="1">
      <c r="A681" s="100" t="str">
        <f>VLOOKUP(C681,Abstract!$E$4:$M$62,9,0)</f>
        <v>No Sales</v>
      </c>
      <c r="B681" s="99" t="s">
        <v>138</v>
      </c>
      <c r="C681" s="133" t="s">
        <v>56</v>
      </c>
      <c r="D681" s="133" t="s">
        <v>398</v>
      </c>
      <c r="E681" s="99" t="s">
        <v>139</v>
      </c>
      <c r="F681" s="102" t="s">
        <v>140</v>
      </c>
      <c r="G681" s="109">
        <v>777.82</v>
      </c>
      <c r="H681" s="104">
        <f>VLOOKUP($E681,'Stock statement'!$D$2:$P$384,13,)</f>
        <v>0.34</v>
      </c>
      <c r="I681" s="127">
        <v>2.5000000000000001E-2</v>
      </c>
      <c r="J681" s="113">
        <v>1</v>
      </c>
      <c r="K681" s="106">
        <f t="shared" si="60"/>
        <v>271.07027000000005</v>
      </c>
      <c r="L681" s="115"/>
      <c r="M681" s="104">
        <f t="shared" si="61"/>
        <v>5.2045491840000011</v>
      </c>
    </row>
    <row r="682" spans="1:13" s="107" customFormat="1" ht="15" customHeight="1">
      <c r="A682" s="100" t="str">
        <f>VLOOKUP(C682,Abstract!$E$4:$M$62,9,0)</f>
        <v>No Sales</v>
      </c>
      <c r="B682" s="99" t="s">
        <v>183</v>
      </c>
      <c r="C682" s="133" t="s">
        <v>56</v>
      </c>
      <c r="D682" s="133" t="s">
        <v>398</v>
      </c>
      <c r="E682" s="99">
        <v>213863</v>
      </c>
      <c r="F682" s="99" t="s">
        <v>399</v>
      </c>
      <c r="G682" s="109">
        <f>1000/(4*4800/1000)</f>
        <v>52.083333333333336</v>
      </c>
      <c r="H682" s="104">
        <f>VLOOKUP($E682,'Stock statement'!$D$2:$P$384,13,)</f>
        <v>43.279506290912984</v>
      </c>
      <c r="I682" s="127">
        <v>6.0000000000000001E-3</v>
      </c>
      <c r="J682" s="113">
        <v>1</v>
      </c>
      <c r="K682" s="106">
        <f>+G682*H682*(1+I682)*J682</f>
        <v>2267.6657983676287</v>
      </c>
      <c r="L682" s="115"/>
      <c r="M682" s="104">
        <f t="shared" si="61"/>
        <v>43.539183328658467</v>
      </c>
    </row>
    <row r="683" spans="1:13" s="107" customFormat="1" ht="15" customHeight="1">
      <c r="A683" s="100" t="str">
        <f>VLOOKUP(C683,Abstract!$E$4:$M$62,9,0)</f>
        <v>No Sales</v>
      </c>
      <c r="B683" s="99" t="s">
        <v>183</v>
      </c>
      <c r="C683" s="133" t="s">
        <v>56</v>
      </c>
      <c r="D683" s="133" t="s">
        <v>398</v>
      </c>
      <c r="E683" s="99">
        <v>213864</v>
      </c>
      <c r="F683" s="99" t="s">
        <v>400</v>
      </c>
      <c r="G683" s="109">
        <f>+G682*4</f>
        <v>208.33333333333334</v>
      </c>
      <c r="H683" s="104">
        <f>VLOOKUP($E683,'Stock statement'!$D$2:$P$384,13,)</f>
        <v>12.233942272695826</v>
      </c>
      <c r="I683" s="127">
        <v>6.0000000000000001E-3</v>
      </c>
      <c r="J683" s="113">
        <v>1</v>
      </c>
      <c r="K683" s="106">
        <f>+G683*H683*(1+I683)*J683</f>
        <v>2564.0304013191671</v>
      </c>
      <c r="L683" s="115"/>
      <c r="M683" s="104">
        <f t="shared" si="61"/>
        <v>49.229383705328004</v>
      </c>
    </row>
    <row r="684" spans="1:13" s="107" customFormat="1" ht="15" customHeight="1">
      <c r="A684" s="100" t="str">
        <f>VLOOKUP(C684,Abstract!$E$4:$M$62,9,0)</f>
        <v>No Sales</v>
      </c>
      <c r="B684" s="99" t="s">
        <v>183</v>
      </c>
      <c r="C684" s="133" t="s">
        <v>56</v>
      </c>
      <c r="D684" s="133" t="s">
        <v>398</v>
      </c>
      <c r="E684" s="99">
        <v>214252</v>
      </c>
      <c r="F684" s="99" t="s">
        <v>401</v>
      </c>
      <c r="G684" s="109">
        <f>+G682*1.189</f>
        <v>61.927083333333336</v>
      </c>
      <c r="H684" s="104">
        <f>VLOOKUP($E684,'Stock statement'!$D$2:$P$384,13,)</f>
        <v>0</v>
      </c>
      <c r="I684" s="127">
        <v>1.7500000000000002E-2</v>
      </c>
      <c r="J684" s="113">
        <v>1</v>
      </c>
      <c r="K684" s="106">
        <f>+G684*H684*(1+I684)*J684</f>
        <v>0</v>
      </c>
      <c r="L684" s="115"/>
      <c r="M684" s="104">
        <f t="shared" si="61"/>
        <v>0</v>
      </c>
    </row>
    <row r="685" spans="1:13" s="107" customFormat="1" ht="15" customHeight="1">
      <c r="A685" s="100" t="str">
        <f>VLOOKUP(C685,Abstract!$E$4:$M$62,9,0)</f>
        <v>No Sales</v>
      </c>
      <c r="B685" s="99" t="s">
        <v>183</v>
      </c>
      <c r="C685" s="133" t="s">
        <v>56</v>
      </c>
      <c r="D685" s="133" t="s">
        <v>398</v>
      </c>
      <c r="E685" s="99" t="s">
        <v>191</v>
      </c>
      <c r="F685" s="95" t="s">
        <v>192</v>
      </c>
      <c r="G685" s="109">
        <f>+G682*0.042</f>
        <v>2.1875000000000004</v>
      </c>
      <c r="H685" s="104">
        <f>VLOOKUP($E685,'Stock statement'!$D$2:$P$384,13,)</f>
        <v>44.985440769279101</v>
      </c>
      <c r="I685" s="127">
        <v>0.02</v>
      </c>
      <c r="J685" s="113">
        <v>1</v>
      </c>
      <c r="K685" s="106">
        <f>+G685*H685*(1+I685)*J685</f>
        <v>100.37376471645402</v>
      </c>
      <c r="L685" s="115"/>
      <c r="M685" s="104">
        <f t="shared" si="61"/>
        <v>1.9271762825559171</v>
      </c>
    </row>
    <row r="686" spans="1:13" s="107" customFormat="1" ht="15" customHeight="1">
      <c r="A686" s="100" t="str">
        <f>VLOOKUP(C686,Abstract!$E$4:$M$62,9,0)</f>
        <v>No Sales</v>
      </c>
      <c r="B686" s="99" t="s">
        <v>197</v>
      </c>
      <c r="C686" s="133" t="s">
        <v>56</v>
      </c>
      <c r="D686" s="133" t="s">
        <v>398</v>
      </c>
      <c r="E686" s="99" t="s">
        <v>198</v>
      </c>
      <c r="F686" s="99"/>
      <c r="G686" s="109"/>
      <c r="H686" s="104"/>
      <c r="I686" s="127"/>
      <c r="J686" s="113"/>
      <c r="K686" s="106">
        <v>6180</v>
      </c>
      <c r="L686" s="115">
        <f>SUM(K667:K686)</f>
        <v>36924.900826242752</v>
      </c>
      <c r="M686" s="104">
        <f t="shared" si="61"/>
        <v>118.65599999999999</v>
      </c>
    </row>
    <row r="687" spans="1:13" s="107" customFormat="1" ht="15" customHeight="1">
      <c r="A687" s="100" t="str">
        <f>VLOOKUP(C687,Abstract!$E$4:$M$62,9,0)</f>
        <v>No Sales</v>
      </c>
      <c r="B687" s="95" t="s">
        <v>138</v>
      </c>
      <c r="C687" s="132" t="s">
        <v>62</v>
      </c>
      <c r="D687" s="100" t="s">
        <v>63</v>
      </c>
      <c r="E687" s="99" t="s">
        <v>139</v>
      </c>
      <c r="F687" s="102" t="s">
        <v>140</v>
      </c>
      <c r="G687" s="109">
        <v>735.65</v>
      </c>
      <c r="H687" s="104">
        <f>VLOOKUP($E687,'Stock statement'!$D$2:$P$384,13,)</f>
        <v>0.34</v>
      </c>
      <c r="I687" s="127">
        <v>2.5000000000000001E-2</v>
      </c>
      <c r="J687" s="116">
        <v>1.0249999999999999</v>
      </c>
      <c r="K687" s="106">
        <f>+G687*H687*(1+I687)*J687</f>
        <v>262.78337562499996</v>
      </c>
      <c r="L687" s="128"/>
      <c r="M687" s="129">
        <f>K687/$G$707</f>
        <v>3.0272644871999996</v>
      </c>
    </row>
    <row r="688" spans="1:13" s="107" customFormat="1" ht="15" customHeight="1">
      <c r="A688" s="100" t="str">
        <f>VLOOKUP(C688,Abstract!$E$4:$M$62,9,0)</f>
        <v>No Sales</v>
      </c>
      <c r="B688" s="95" t="s">
        <v>138</v>
      </c>
      <c r="C688" s="132" t="s">
        <v>62</v>
      </c>
      <c r="D688" s="100" t="s">
        <v>63</v>
      </c>
      <c r="E688" s="99" t="s">
        <v>141</v>
      </c>
      <c r="F688" s="108" t="s">
        <v>142</v>
      </c>
      <c r="G688" s="109">
        <v>185.7</v>
      </c>
      <c r="H688" s="104">
        <f>VLOOKUP($E688,'Stock statement'!$D$2:$P$384,13,)</f>
        <v>94.278330452007026</v>
      </c>
      <c r="I688" s="127">
        <v>2.5000000000000001E-2</v>
      </c>
      <c r="J688" s="116">
        <v>1.0249999999999999</v>
      </c>
      <c r="K688" s="106">
        <f t="shared" ref="K688:K708" si="62">+G688*H688*(1+I688)*J688</f>
        <v>18393.80244191267</v>
      </c>
      <c r="L688" s="128"/>
      <c r="M688" s="129">
        <f t="shared" ref="M688:M709" si="63">K688/$G$707</f>
        <v>211.89660413083396</v>
      </c>
    </row>
    <row r="689" spans="1:13" s="107" customFormat="1" ht="15" customHeight="1">
      <c r="A689" s="100" t="str">
        <f>VLOOKUP(C689,Abstract!$E$4:$M$62,9,0)</f>
        <v>No Sales</v>
      </c>
      <c r="B689" s="95" t="s">
        <v>138</v>
      </c>
      <c r="C689" s="132" t="s">
        <v>62</v>
      </c>
      <c r="D689" s="100" t="s">
        <v>63</v>
      </c>
      <c r="E689" s="99" t="s">
        <v>145</v>
      </c>
      <c r="F689" s="102" t="s">
        <v>146</v>
      </c>
      <c r="G689" s="109">
        <v>10</v>
      </c>
      <c r="H689" s="104">
        <f>VLOOKUP($E689,'Stock statement'!$D$2:$P$384,13,)</f>
        <v>151.08681180977209</v>
      </c>
      <c r="I689" s="127">
        <v>2.5000000000000001E-2</v>
      </c>
      <c r="J689" s="116">
        <v>1.0249999999999999</v>
      </c>
      <c r="K689" s="106">
        <f t="shared" si="62"/>
        <v>1587.3558165764177</v>
      </c>
      <c r="L689" s="128"/>
      <c r="M689" s="129">
        <f t="shared" si="63"/>
        <v>18.286339006960333</v>
      </c>
    </row>
    <row r="690" spans="1:13" s="107" customFormat="1" ht="15" customHeight="1">
      <c r="A690" s="100" t="str">
        <f>VLOOKUP(C690,Abstract!$E$4:$M$62,9,0)</f>
        <v>No Sales</v>
      </c>
      <c r="B690" s="95" t="s">
        <v>138</v>
      </c>
      <c r="C690" s="132" t="s">
        <v>62</v>
      </c>
      <c r="D690" s="100" t="s">
        <v>63</v>
      </c>
      <c r="E690" s="99" t="s">
        <v>143</v>
      </c>
      <c r="F690" s="108" t="s">
        <v>144</v>
      </c>
      <c r="G690" s="109">
        <v>5</v>
      </c>
      <c r="H690" s="104">
        <f>VLOOKUP($E690,'Stock statement'!$D$2:$P$384,13,)</f>
        <v>178.57970547017939</v>
      </c>
      <c r="I690" s="127">
        <v>2.5000000000000001E-2</v>
      </c>
      <c r="J690" s="116">
        <v>1.0249999999999999</v>
      </c>
      <c r="K690" s="106">
        <f t="shared" si="62"/>
        <v>938.10151529803602</v>
      </c>
      <c r="L690" s="128"/>
      <c r="M690" s="129">
        <f t="shared" si="63"/>
        <v>10.806929456233375</v>
      </c>
    </row>
    <row r="691" spans="1:13" s="107" customFormat="1" ht="15" customHeight="1">
      <c r="A691" s="100" t="str">
        <f>VLOOKUP(C691,Abstract!$E$4:$M$62,9,0)</f>
        <v>No Sales</v>
      </c>
      <c r="B691" s="95" t="s">
        <v>138</v>
      </c>
      <c r="C691" s="132" t="s">
        <v>62</v>
      </c>
      <c r="D691" s="100" t="s">
        <v>63</v>
      </c>
      <c r="E691" s="99" t="s">
        <v>149</v>
      </c>
      <c r="F691" s="99" t="s">
        <v>150</v>
      </c>
      <c r="G691" s="109">
        <v>0.125</v>
      </c>
      <c r="H691" s="104">
        <f>VLOOKUP($E691,'Stock statement'!$D$2:$P$384,13,)</f>
        <v>161.56941474217822</v>
      </c>
      <c r="I691" s="127">
        <v>2.5000000000000001E-2</v>
      </c>
      <c r="J691" s="116">
        <v>1.0249999999999999</v>
      </c>
      <c r="K691" s="106">
        <f t="shared" si="62"/>
        <v>21.218608295437623</v>
      </c>
      <c r="L691" s="128"/>
      <c r="M691" s="129">
        <f t="shared" si="63"/>
        <v>0.24443836756344139</v>
      </c>
    </row>
    <row r="692" spans="1:13" s="107" customFormat="1" ht="15" customHeight="1">
      <c r="A692" s="100" t="str">
        <f>VLOOKUP(C692,Abstract!$E$4:$M$62,9,0)</f>
        <v>No Sales</v>
      </c>
      <c r="B692" s="95" t="s">
        <v>138</v>
      </c>
      <c r="C692" s="132" t="s">
        <v>62</v>
      </c>
      <c r="D692" s="100" t="s">
        <v>63</v>
      </c>
      <c r="E692" s="99" t="s">
        <v>151</v>
      </c>
      <c r="F692" s="99" t="s">
        <v>310</v>
      </c>
      <c r="G692" s="109">
        <v>2.5</v>
      </c>
      <c r="H692" s="104">
        <f>VLOOKUP($E692,'Stock statement'!$D$2:$P$384,13,)</f>
        <v>762.38931335604309</v>
      </c>
      <c r="I692" s="127">
        <v>2.5000000000000001E-2</v>
      </c>
      <c r="J692" s="116">
        <v>1.0249999999999999</v>
      </c>
      <c r="K692" s="106">
        <f t="shared" si="62"/>
        <v>2002.4631808617316</v>
      </c>
      <c r="L692" s="128"/>
      <c r="M692" s="129">
        <f t="shared" si="63"/>
        <v>23.068375843527146</v>
      </c>
    </row>
    <row r="693" spans="1:13" s="107" customFormat="1" ht="15" customHeight="1">
      <c r="A693" s="100" t="str">
        <f>VLOOKUP(C693,Abstract!$E$4:$M$62,9,0)</f>
        <v>No Sales</v>
      </c>
      <c r="B693" s="95" t="s">
        <v>138</v>
      </c>
      <c r="C693" s="132" t="s">
        <v>62</v>
      </c>
      <c r="D693" s="100" t="s">
        <v>63</v>
      </c>
      <c r="E693" s="99" t="s">
        <v>157</v>
      </c>
      <c r="F693" s="102" t="s">
        <v>158</v>
      </c>
      <c r="G693" s="109">
        <v>1</v>
      </c>
      <c r="H693" s="104">
        <f>VLOOKUP($E693,'Stock statement'!$D$2:$P$384,13,)</f>
        <v>828.81974703846117</v>
      </c>
      <c r="I693" s="127">
        <v>2.5000000000000001E-2</v>
      </c>
      <c r="J693" s="116">
        <v>1.0249999999999999</v>
      </c>
      <c r="K693" s="106">
        <f t="shared" si="62"/>
        <v>870.77874673228314</v>
      </c>
      <c r="L693" s="128"/>
      <c r="M693" s="129">
        <f t="shared" si="63"/>
        <v>10.031371162355901</v>
      </c>
    </row>
    <row r="694" spans="1:13" s="107" customFormat="1" ht="15" customHeight="1">
      <c r="A694" s="100" t="str">
        <f>VLOOKUP(C694,Abstract!$E$4:$M$62,9,0)</f>
        <v>No Sales</v>
      </c>
      <c r="B694" s="95" t="s">
        <v>138</v>
      </c>
      <c r="C694" s="132" t="s">
        <v>62</v>
      </c>
      <c r="D694" s="100" t="s">
        <v>63</v>
      </c>
      <c r="E694" s="157">
        <v>115150</v>
      </c>
      <c r="F694" s="99" t="s">
        <v>159</v>
      </c>
      <c r="G694" s="109">
        <v>1</v>
      </c>
      <c r="H694" s="104">
        <f>VLOOKUP($E694,'Stock statement'!$D$2:$P$384,13,)</f>
        <v>456.30699446392703</v>
      </c>
      <c r="I694" s="127">
        <v>2.5000000000000001E-2</v>
      </c>
      <c r="J694" s="116">
        <v>1.0249999999999999</v>
      </c>
      <c r="K694" s="106">
        <f>+G694*H694*(1+I694)*J694</f>
        <v>479.40753605866325</v>
      </c>
      <c r="L694" s="128"/>
      <c r="M694" s="129">
        <f t="shared" si="63"/>
        <v>5.5227748153958007</v>
      </c>
    </row>
    <row r="695" spans="1:13" s="107" customFormat="1" ht="15" customHeight="1">
      <c r="A695" s="100" t="str">
        <f>VLOOKUP(C695,Abstract!$E$4:$M$62,9,0)</f>
        <v>No Sales</v>
      </c>
      <c r="B695" s="95" t="s">
        <v>138</v>
      </c>
      <c r="C695" s="132" t="s">
        <v>62</v>
      </c>
      <c r="D695" s="100" t="s">
        <v>63</v>
      </c>
      <c r="E695" s="99" t="s">
        <v>160</v>
      </c>
      <c r="F695" s="108" t="s">
        <v>161</v>
      </c>
      <c r="G695" s="109">
        <v>0.25</v>
      </c>
      <c r="H695" s="104">
        <f>VLOOKUP($E695,'Stock statement'!$D$2:$P$384,13,)</f>
        <v>3313.2387673094586</v>
      </c>
      <c r="I695" s="127">
        <v>2.5000000000000001E-2</v>
      </c>
      <c r="J695" s="116">
        <v>1.0249999999999999</v>
      </c>
      <c r="K695" s="106">
        <f t="shared" si="62"/>
        <v>870.24286997612489</v>
      </c>
      <c r="L695" s="128"/>
      <c r="M695" s="129">
        <f t="shared" si="63"/>
        <v>10.025197862124958</v>
      </c>
    </row>
    <row r="696" spans="1:13" s="107" customFormat="1" ht="15" customHeight="1">
      <c r="A696" s="100" t="str">
        <f>VLOOKUP(C696,Abstract!$E$4:$M$62,9,0)</f>
        <v>No Sales</v>
      </c>
      <c r="B696" s="95" t="s">
        <v>138</v>
      </c>
      <c r="C696" s="132" t="s">
        <v>62</v>
      </c>
      <c r="D696" s="100" t="s">
        <v>63</v>
      </c>
      <c r="E696" s="99" t="s">
        <v>166</v>
      </c>
      <c r="F696" s="99" t="s">
        <v>167</v>
      </c>
      <c r="G696" s="109">
        <v>2.5</v>
      </c>
      <c r="H696" s="104">
        <f>VLOOKUP($E696,'Stock statement'!$D$2:$P$384,13,)</f>
        <v>127.15913438761541</v>
      </c>
      <c r="I696" s="127">
        <v>2.5000000000000001E-2</v>
      </c>
      <c r="J696" s="116">
        <v>1.0249999999999999</v>
      </c>
      <c r="K696" s="106">
        <f t="shared" si="62"/>
        <v>333.99141391497102</v>
      </c>
      <c r="L696" s="128"/>
      <c r="M696" s="129">
        <f t="shared" si="63"/>
        <v>3.847581088300466</v>
      </c>
    </row>
    <row r="697" spans="1:13" s="107" customFormat="1" ht="15" customHeight="1">
      <c r="A697" s="100" t="str">
        <f>VLOOKUP(C697,Abstract!$E$4:$M$62,9,0)</f>
        <v>No Sales</v>
      </c>
      <c r="B697" s="95" t="s">
        <v>138</v>
      </c>
      <c r="C697" s="132" t="s">
        <v>62</v>
      </c>
      <c r="D697" s="100" t="s">
        <v>63</v>
      </c>
      <c r="E697" s="99" t="s">
        <v>209</v>
      </c>
      <c r="F697" s="99" t="s">
        <v>210</v>
      </c>
      <c r="G697" s="109">
        <v>20</v>
      </c>
      <c r="H697" s="104">
        <f>VLOOKUP($E697,'Stock statement'!$D$2:$P$384,13,)</f>
        <v>220.67282625366343</v>
      </c>
      <c r="I697" s="127">
        <v>2.5000000000000001E-2</v>
      </c>
      <c r="J697" s="116">
        <v>1.0249999999999999</v>
      </c>
      <c r="K697" s="106">
        <f t="shared" si="62"/>
        <v>4636.8877616551026</v>
      </c>
      <c r="L697" s="128"/>
      <c r="M697" s="129">
        <f t="shared" si="63"/>
        <v>53.416947014266782</v>
      </c>
    </row>
    <row r="698" spans="1:13" s="107" customFormat="1" ht="15" customHeight="1">
      <c r="A698" s="100" t="str">
        <f>VLOOKUP(C698,Abstract!$E$4:$M$62,9,0)</f>
        <v>No Sales</v>
      </c>
      <c r="B698" s="95" t="s">
        <v>138</v>
      </c>
      <c r="C698" s="132" t="s">
        <v>62</v>
      </c>
      <c r="D698" s="100" t="s">
        <v>63</v>
      </c>
      <c r="E698" s="99" t="s">
        <v>173</v>
      </c>
      <c r="F698" s="95" t="s">
        <v>174</v>
      </c>
      <c r="G698" s="109">
        <v>0.1</v>
      </c>
      <c r="H698" s="104">
        <f>VLOOKUP($E698,'Stock statement'!$D$2:$P$384,13,)</f>
        <v>555.2517156766155</v>
      </c>
      <c r="I698" s="127">
        <v>2.5000000000000001E-2</v>
      </c>
      <c r="J698" s="116">
        <v>1.0249999999999999</v>
      </c>
      <c r="K698" s="106">
        <f t="shared" si="62"/>
        <v>58.336133378274404</v>
      </c>
      <c r="L698" s="128"/>
      <c r="M698" s="129">
        <f t="shared" si="63"/>
        <v>0.67203225651772114</v>
      </c>
    </row>
    <row r="699" spans="1:13" s="107" customFormat="1" ht="15" customHeight="1">
      <c r="A699" s="100" t="str">
        <f>VLOOKUP(C699,Abstract!$E$4:$M$62,9,0)</f>
        <v>No Sales</v>
      </c>
      <c r="B699" s="95" t="s">
        <v>138</v>
      </c>
      <c r="C699" s="132" t="s">
        <v>62</v>
      </c>
      <c r="D699" s="100" t="s">
        <v>63</v>
      </c>
      <c r="E699" s="99" t="s">
        <v>153</v>
      </c>
      <c r="F699" s="99" t="s">
        <v>154</v>
      </c>
      <c r="G699" s="109">
        <v>0.67500000000000004</v>
      </c>
      <c r="H699" s="104">
        <f>VLOOKUP($E699,'Stock statement'!$D$2:$P$384,13,)</f>
        <v>84.206363687840948</v>
      </c>
      <c r="I699" s="127">
        <v>2.5000000000000001E-2</v>
      </c>
      <c r="J699" s="116">
        <v>1.0249999999999999</v>
      </c>
      <c r="K699" s="106">
        <f t="shared" si="62"/>
        <v>59.716784823438076</v>
      </c>
      <c r="L699" s="128"/>
      <c r="M699" s="129">
        <f t="shared" si="63"/>
        <v>0.68793736116600657</v>
      </c>
    </row>
    <row r="700" spans="1:13" s="107" customFormat="1" ht="15" customHeight="1">
      <c r="A700" s="100" t="str">
        <f>VLOOKUP(C700,Abstract!$E$4:$M$62,9,0)</f>
        <v>No Sales</v>
      </c>
      <c r="B700" s="95" t="s">
        <v>138</v>
      </c>
      <c r="C700" s="132" t="s">
        <v>62</v>
      </c>
      <c r="D700" s="100" t="s">
        <v>63</v>
      </c>
      <c r="E700" s="99" t="s">
        <v>147</v>
      </c>
      <c r="F700" s="95" t="s">
        <v>148</v>
      </c>
      <c r="G700" s="109">
        <v>1</v>
      </c>
      <c r="H700" s="104">
        <f>VLOOKUP($E700,'Stock statement'!$D$2:$P$384,13,)</f>
        <v>353.50950483838068</v>
      </c>
      <c r="I700" s="127">
        <v>2.5000000000000001E-2</v>
      </c>
      <c r="J700" s="116">
        <v>1.0249999999999999</v>
      </c>
      <c r="K700" s="106">
        <f t="shared" si="62"/>
        <v>371.40592352082365</v>
      </c>
      <c r="L700" s="128"/>
      <c r="M700" s="129">
        <f t="shared" si="63"/>
        <v>4.2785962389598886</v>
      </c>
    </row>
    <row r="701" spans="1:13" s="107" customFormat="1" ht="15" customHeight="1">
      <c r="A701" s="100" t="str">
        <f>VLOOKUP(C701,Abstract!$E$4:$M$62,9,0)</f>
        <v>No Sales</v>
      </c>
      <c r="B701" s="95" t="s">
        <v>138</v>
      </c>
      <c r="C701" s="132" t="s">
        <v>62</v>
      </c>
      <c r="D701" s="100" t="s">
        <v>63</v>
      </c>
      <c r="E701" s="99" t="s">
        <v>179</v>
      </c>
      <c r="F701" s="102" t="s">
        <v>180</v>
      </c>
      <c r="G701" s="109">
        <v>0.5</v>
      </c>
      <c r="H701" s="104">
        <f>VLOOKUP($E701,'Stock statement'!$D$2:$P$384,13,)</f>
        <v>1036.4956269221443</v>
      </c>
      <c r="I701" s="127">
        <v>2.5000000000000001E-2</v>
      </c>
      <c r="J701" s="116">
        <v>1.0249999999999999</v>
      </c>
      <c r="K701" s="106">
        <f t="shared" si="62"/>
        <v>544.48410901753891</v>
      </c>
      <c r="L701" s="128"/>
      <c r="M701" s="129">
        <f t="shared" si="63"/>
        <v>6.2724569358820483</v>
      </c>
    </row>
    <row r="702" spans="1:13" s="107" customFormat="1" ht="15" customHeight="1">
      <c r="A702" s="100" t="str">
        <f>VLOOKUP(C702,Abstract!$E$4:$M$62,9,0)</f>
        <v>No Sales</v>
      </c>
      <c r="B702" s="95" t="s">
        <v>138</v>
      </c>
      <c r="C702" s="132" t="s">
        <v>62</v>
      </c>
      <c r="D702" s="100" t="s">
        <v>63</v>
      </c>
      <c r="E702" s="99" t="s">
        <v>155</v>
      </c>
      <c r="F702" s="99" t="s">
        <v>156</v>
      </c>
      <c r="G702" s="109">
        <v>15</v>
      </c>
      <c r="H702" s="104">
        <f>VLOOKUP($E702,'Stock statement'!$D$2:$P$384,13,)</f>
        <v>68.308211638055738</v>
      </c>
      <c r="I702" s="127">
        <v>2.5000000000000001E-2</v>
      </c>
      <c r="J702" s="116">
        <v>1.0249999999999999</v>
      </c>
      <c r="K702" s="106">
        <f t="shared" si="62"/>
        <v>1076.4947227834843</v>
      </c>
      <c r="L702" s="128"/>
      <c r="M702" s="129">
        <f t="shared" si="63"/>
        <v>12.40121920646574</v>
      </c>
    </row>
    <row r="703" spans="1:13" s="107" customFormat="1" ht="15" customHeight="1">
      <c r="A703" s="100" t="str">
        <f>VLOOKUP(C703,Abstract!$E$4:$M$62,9,0)</f>
        <v>No Sales</v>
      </c>
      <c r="B703" s="95" t="s">
        <v>138</v>
      </c>
      <c r="C703" s="132" t="s">
        <v>62</v>
      </c>
      <c r="D703" s="100" t="s">
        <v>63</v>
      </c>
      <c r="E703" s="99" t="s">
        <v>339</v>
      </c>
      <c r="F703" s="99" t="s">
        <v>340</v>
      </c>
      <c r="G703" s="109">
        <v>5.85</v>
      </c>
      <c r="H703" s="104">
        <f>VLOOKUP($E703,'Stock statement'!$D$2:$P$384,13,)</f>
        <v>890.49821899777828</v>
      </c>
      <c r="I703" s="127">
        <v>2.5000000000000001E-2</v>
      </c>
      <c r="J703" s="116">
        <v>1.0249999999999999</v>
      </c>
      <c r="K703" s="106">
        <f t="shared" si="62"/>
        <v>5473.1411943070625</v>
      </c>
      <c r="L703" s="128"/>
      <c r="M703" s="129">
        <f t="shared" si="63"/>
        <v>63.050586558417358</v>
      </c>
    </row>
    <row r="704" spans="1:13" s="107" customFormat="1" ht="15" customHeight="1">
      <c r="A704" s="100" t="str">
        <f>VLOOKUP(C704,Abstract!$E$4:$M$62,9,0)</f>
        <v>No Sales</v>
      </c>
      <c r="B704" s="95" t="s">
        <v>138</v>
      </c>
      <c r="C704" s="132" t="s">
        <v>62</v>
      </c>
      <c r="D704" s="100" t="s">
        <v>63</v>
      </c>
      <c r="E704" s="99" t="s">
        <v>341</v>
      </c>
      <c r="F704" s="99" t="s">
        <v>342</v>
      </c>
      <c r="G704" s="109">
        <v>0.65</v>
      </c>
      <c r="H704" s="104">
        <f>VLOOKUP($E704,'Stock statement'!$D$2:$P$384,13,)</f>
        <v>927.16271256930133</v>
      </c>
      <c r="I704" s="127">
        <v>2.5000000000000001E-2</v>
      </c>
      <c r="J704" s="116">
        <v>1.0249999999999999</v>
      </c>
      <c r="K704" s="106">
        <f t="shared" si="62"/>
        <v>633.16521118052935</v>
      </c>
      <c r="L704" s="128"/>
      <c r="M704" s="129">
        <f t="shared" si="63"/>
        <v>7.2940632327996981</v>
      </c>
    </row>
    <row r="705" spans="1:13" s="107" customFormat="1" ht="15" customHeight="1">
      <c r="A705" s="100" t="str">
        <f>VLOOKUP(C705,Abstract!$E$4:$M$62,9,0)</f>
        <v>No Sales</v>
      </c>
      <c r="B705" s="95" t="s">
        <v>138</v>
      </c>
      <c r="C705" s="132" t="s">
        <v>62</v>
      </c>
      <c r="D705" s="100" t="s">
        <v>63</v>
      </c>
      <c r="E705" s="99" t="s">
        <v>181</v>
      </c>
      <c r="F705" s="102" t="s">
        <v>182</v>
      </c>
      <c r="G705" s="109">
        <v>12.5</v>
      </c>
      <c r="H705" s="104">
        <f>VLOOKUP($E705,'Stock statement'!$D$2:$P$384,13,)</f>
        <v>17.110276913020375</v>
      </c>
      <c r="I705" s="127">
        <v>2.5000000000000001E-2</v>
      </c>
      <c r="J705" s="116">
        <v>1.0249999999999999</v>
      </c>
      <c r="K705" s="106">
        <f t="shared" si="62"/>
        <v>224.70605852177536</v>
      </c>
      <c r="L705" s="128"/>
      <c r="M705" s="129">
        <f t="shared" si="63"/>
        <v>2.5886137941708522</v>
      </c>
    </row>
    <row r="706" spans="1:13" s="107" customFormat="1" ht="15" customHeight="1">
      <c r="A706" s="100" t="str">
        <f>VLOOKUP(C706,Abstract!$E$4:$M$62,9,0)</f>
        <v>No Sales</v>
      </c>
      <c r="B706" s="99" t="s">
        <v>183</v>
      </c>
      <c r="C706" s="132" t="s">
        <v>62</v>
      </c>
      <c r="D706" s="100" t="s">
        <v>63</v>
      </c>
      <c r="E706" s="99">
        <v>214258</v>
      </c>
      <c r="F706" s="99" t="s">
        <v>402</v>
      </c>
      <c r="G706" s="109">
        <f>(1000/(720*6)*1000)*0.243</f>
        <v>56.25</v>
      </c>
      <c r="H706" s="104">
        <f>VLOOKUP($E706,'Stock statement'!$D$2:$P$384,13,)</f>
        <v>240.93516000703059</v>
      </c>
      <c r="I706" s="127">
        <v>1.7500000000000002E-2</v>
      </c>
      <c r="J706" s="113">
        <v>1</v>
      </c>
      <c r="K706" s="106">
        <f t="shared" si="62"/>
        <v>13789.773298527392</v>
      </c>
      <c r="L706" s="128"/>
      <c r="M706" s="129">
        <f t="shared" si="63"/>
        <v>158.85818839903555</v>
      </c>
    </row>
    <row r="707" spans="1:13" s="107" customFormat="1" ht="15" customHeight="1">
      <c r="A707" s="100" t="str">
        <f>VLOOKUP(C707,Abstract!$E$4:$M$62,9,0)</f>
        <v>No Sales</v>
      </c>
      <c r="B707" s="99" t="s">
        <v>183</v>
      </c>
      <c r="C707" s="132" t="s">
        <v>62</v>
      </c>
      <c r="D707" s="100" t="s">
        <v>63</v>
      </c>
      <c r="E707" s="99">
        <v>214379</v>
      </c>
      <c r="F707" s="99" t="s">
        <v>403</v>
      </c>
      <c r="G707" s="109">
        <f>1000/(1920*6)*1000</f>
        <v>86.805555555555557</v>
      </c>
      <c r="H707" s="104">
        <f>VLOOKUP($E707,'Stock statement'!$D$2:$P$384,13,)</f>
        <v>40.879116117850955</v>
      </c>
      <c r="I707" s="127">
        <v>6.0000000000000001E-3</v>
      </c>
      <c r="J707" s="113">
        <v>1</v>
      </c>
      <c r="K707" s="106">
        <f t="shared" si="62"/>
        <v>3569.8255915414984</v>
      </c>
      <c r="L707" s="128"/>
      <c r="M707" s="129">
        <f t="shared" si="63"/>
        <v>41.124390814558062</v>
      </c>
    </row>
    <row r="708" spans="1:13" s="107" customFormat="1" ht="15" customHeight="1">
      <c r="A708" s="100" t="str">
        <f>VLOOKUP(C708,Abstract!$E$4:$M$62,9,0)</f>
        <v>No Sales</v>
      </c>
      <c r="B708" s="99" t="s">
        <v>183</v>
      </c>
      <c r="C708" s="132" t="s">
        <v>62</v>
      </c>
      <c r="D708" s="100" t="s">
        <v>63</v>
      </c>
      <c r="E708" s="99" t="s">
        <v>191</v>
      </c>
      <c r="F708" s="95" t="s">
        <v>192</v>
      </c>
      <c r="G708" s="109">
        <f>+G707*0.02</f>
        <v>1.7361111111111112</v>
      </c>
      <c r="H708" s="104">
        <f>VLOOKUP($E708,'Stock statement'!$D$2:$P$384,13,)</f>
        <v>44.985440769279101</v>
      </c>
      <c r="I708" s="127">
        <v>0.02</v>
      </c>
      <c r="J708" s="113">
        <v>1</v>
      </c>
      <c r="K708" s="106">
        <f t="shared" si="62"/>
        <v>79.661718028931745</v>
      </c>
      <c r="L708" s="128"/>
      <c r="M708" s="129">
        <f t="shared" si="63"/>
        <v>0.91770299169329372</v>
      </c>
    </row>
    <row r="709" spans="1:13" s="107" customFormat="1" ht="15" customHeight="1">
      <c r="A709" s="100" t="str">
        <f>VLOOKUP(C709,Abstract!$E$4:$M$62,9,0)</f>
        <v>No Sales</v>
      </c>
      <c r="B709" s="99" t="s">
        <v>197</v>
      </c>
      <c r="C709" s="132" t="s">
        <v>62</v>
      </c>
      <c r="D709" s="100" t="s">
        <v>63</v>
      </c>
      <c r="E709" s="99" t="s">
        <v>198</v>
      </c>
      <c r="F709" s="99"/>
      <c r="G709" s="109"/>
      <c r="H709" s="104"/>
      <c r="I709" s="127"/>
      <c r="J709" s="113"/>
      <c r="K709" s="106">
        <v>6180</v>
      </c>
      <c r="L709" s="128">
        <f>SUM(K687:K709)</f>
        <v>62457.744012537187</v>
      </c>
      <c r="M709" s="129">
        <f t="shared" si="63"/>
        <v>71.193600000000004</v>
      </c>
    </row>
    <row r="710" spans="1:13" s="107" customFormat="1" ht="15" customHeight="1">
      <c r="A710" s="100" t="str">
        <f>VLOOKUP(C710,Abstract!$E$4:$M$62,9,0)</f>
        <v>No Sales</v>
      </c>
      <c r="B710" s="95" t="s">
        <v>138</v>
      </c>
      <c r="C710" s="132" t="s">
        <v>64</v>
      </c>
      <c r="D710" s="100" t="s">
        <v>404</v>
      </c>
      <c r="E710" s="99" t="s">
        <v>141</v>
      </c>
      <c r="F710" s="108" t="s">
        <v>142</v>
      </c>
      <c r="G710" s="109">
        <v>185.7</v>
      </c>
      <c r="H710" s="104">
        <f>VLOOKUP($E710,'Stock statement'!$D$2:$P$384,13,)</f>
        <v>94.278330452007026</v>
      </c>
      <c r="I710" s="127">
        <v>2.5000000000000001E-2</v>
      </c>
      <c r="J710" s="116">
        <v>1.0249999999999999</v>
      </c>
      <c r="K710" s="106">
        <f t="shared" ref="K710:K735" si="64">+G710*H710*(1+I710)*J710</f>
        <v>18393.80244191267</v>
      </c>
      <c r="L710" s="128"/>
      <c r="M710" s="129">
        <f>K710/$G$734</f>
        <v>211.89660413083396</v>
      </c>
    </row>
    <row r="711" spans="1:13" s="107" customFormat="1" ht="15" customHeight="1">
      <c r="A711" s="100" t="str">
        <f>VLOOKUP(C711,Abstract!$E$4:$M$62,9,0)</f>
        <v>No Sales</v>
      </c>
      <c r="B711" s="95" t="s">
        <v>138</v>
      </c>
      <c r="C711" s="132" t="s">
        <v>64</v>
      </c>
      <c r="D711" s="100" t="s">
        <v>404</v>
      </c>
      <c r="E711" s="99" t="s">
        <v>145</v>
      </c>
      <c r="F711" s="102" t="s">
        <v>146</v>
      </c>
      <c r="G711" s="109">
        <v>10</v>
      </c>
      <c r="H711" s="104">
        <f>VLOOKUP($E711,'Stock statement'!$D$2:$P$384,13,)</f>
        <v>151.08681180977209</v>
      </c>
      <c r="I711" s="127">
        <v>2.5000000000000001E-2</v>
      </c>
      <c r="J711" s="116">
        <v>1.0249999999999999</v>
      </c>
      <c r="K711" s="106">
        <f t="shared" si="64"/>
        <v>1587.3558165764177</v>
      </c>
      <c r="L711" s="128"/>
      <c r="M711" s="129">
        <f t="shared" ref="M711:M736" si="65">K711/$G$734</f>
        <v>18.286339006960333</v>
      </c>
    </row>
    <row r="712" spans="1:13" s="107" customFormat="1" ht="15" customHeight="1">
      <c r="A712" s="100" t="str">
        <f>VLOOKUP(C712,Abstract!$E$4:$M$62,9,0)</f>
        <v>No Sales</v>
      </c>
      <c r="B712" s="95" t="s">
        <v>138</v>
      </c>
      <c r="C712" s="132" t="s">
        <v>64</v>
      </c>
      <c r="D712" s="100" t="s">
        <v>404</v>
      </c>
      <c r="E712" s="99" t="s">
        <v>149</v>
      </c>
      <c r="F712" s="99" t="s">
        <v>150</v>
      </c>
      <c r="G712" s="109">
        <v>0.125</v>
      </c>
      <c r="H712" s="104">
        <f>VLOOKUP($E712,'Stock statement'!$D$2:$P$384,13,)</f>
        <v>161.56941474217822</v>
      </c>
      <c r="I712" s="127">
        <v>2.5000000000000001E-2</v>
      </c>
      <c r="J712" s="116">
        <v>1.0249999999999999</v>
      </c>
      <c r="K712" s="106">
        <f t="shared" si="64"/>
        <v>21.218608295437623</v>
      </c>
      <c r="L712" s="128"/>
      <c r="M712" s="129">
        <f t="shared" si="65"/>
        <v>0.24443836756344139</v>
      </c>
    </row>
    <row r="713" spans="1:13" s="107" customFormat="1" ht="15" customHeight="1">
      <c r="A713" s="100" t="str">
        <f>VLOOKUP(C713,Abstract!$E$4:$M$62,9,0)</f>
        <v>No Sales</v>
      </c>
      <c r="B713" s="95" t="s">
        <v>138</v>
      </c>
      <c r="C713" s="132" t="s">
        <v>64</v>
      </c>
      <c r="D713" s="100" t="s">
        <v>404</v>
      </c>
      <c r="E713" s="99" t="s">
        <v>151</v>
      </c>
      <c r="F713" s="99" t="s">
        <v>310</v>
      </c>
      <c r="G713" s="109">
        <v>2.5</v>
      </c>
      <c r="H713" s="104">
        <f>VLOOKUP($E713,'Stock statement'!$D$2:$P$384,13,)</f>
        <v>762.38931335604309</v>
      </c>
      <c r="I713" s="127">
        <v>2.5000000000000001E-2</v>
      </c>
      <c r="J713" s="116">
        <v>1.0249999999999999</v>
      </c>
      <c r="K713" s="106">
        <f t="shared" si="64"/>
        <v>2002.4631808617316</v>
      </c>
      <c r="L713" s="128"/>
      <c r="M713" s="129">
        <f t="shared" si="65"/>
        <v>23.068375843527146</v>
      </c>
    </row>
    <row r="714" spans="1:13" s="107" customFormat="1" ht="15" customHeight="1">
      <c r="A714" s="100" t="str">
        <f>VLOOKUP(C714,Abstract!$E$4:$M$62,9,0)</f>
        <v>No Sales</v>
      </c>
      <c r="B714" s="95" t="s">
        <v>138</v>
      </c>
      <c r="C714" s="132" t="s">
        <v>64</v>
      </c>
      <c r="D714" s="100" t="s">
        <v>404</v>
      </c>
      <c r="E714" s="99" t="s">
        <v>157</v>
      </c>
      <c r="F714" s="102" t="s">
        <v>158</v>
      </c>
      <c r="G714" s="109">
        <v>1</v>
      </c>
      <c r="H714" s="104">
        <f>VLOOKUP($E714,'Stock statement'!$D$2:$P$384,13,)</f>
        <v>828.81974703846117</v>
      </c>
      <c r="I714" s="127">
        <v>2.5000000000000001E-2</v>
      </c>
      <c r="J714" s="116">
        <v>1.0249999999999999</v>
      </c>
      <c r="K714" s="106">
        <f t="shared" si="64"/>
        <v>870.77874673228314</v>
      </c>
      <c r="L714" s="128"/>
      <c r="M714" s="129">
        <f t="shared" si="65"/>
        <v>10.031371162355901</v>
      </c>
    </row>
    <row r="715" spans="1:13" s="107" customFormat="1" ht="15" customHeight="1">
      <c r="A715" s="100" t="str">
        <f>VLOOKUP(C715,Abstract!$E$4:$M$62,9,0)</f>
        <v>No Sales</v>
      </c>
      <c r="B715" s="95" t="s">
        <v>138</v>
      </c>
      <c r="C715" s="132" t="s">
        <v>64</v>
      </c>
      <c r="D715" s="100" t="s">
        <v>404</v>
      </c>
      <c r="E715" s="157">
        <v>115150</v>
      </c>
      <c r="F715" s="99" t="s">
        <v>159</v>
      </c>
      <c r="G715" s="109">
        <v>1</v>
      </c>
      <c r="H715" s="104">
        <f>VLOOKUP($E715,'Stock statement'!$D$2:$P$384,13,)</f>
        <v>456.30699446392703</v>
      </c>
      <c r="I715" s="127">
        <v>2.5000000000000001E-2</v>
      </c>
      <c r="J715" s="116">
        <v>1.0249999999999999</v>
      </c>
      <c r="K715" s="106">
        <f>+G715*H715*(1+I715)*J715</f>
        <v>479.40753605866325</v>
      </c>
      <c r="L715" s="128"/>
      <c r="M715" s="129">
        <f t="shared" si="65"/>
        <v>5.5227748153958007</v>
      </c>
    </row>
    <row r="716" spans="1:13" s="107" customFormat="1" ht="15" customHeight="1">
      <c r="A716" s="100" t="str">
        <f>VLOOKUP(C716,Abstract!$E$4:$M$62,9,0)</f>
        <v>No Sales</v>
      </c>
      <c r="B716" s="95" t="s">
        <v>138</v>
      </c>
      <c r="C716" s="132" t="s">
        <v>64</v>
      </c>
      <c r="D716" s="100" t="s">
        <v>404</v>
      </c>
      <c r="E716" s="99" t="s">
        <v>160</v>
      </c>
      <c r="F716" s="108" t="s">
        <v>161</v>
      </c>
      <c r="G716" s="109">
        <v>0.25</v>
      </c>
      <c r="H716" s="104">
        <f>VLOOKUP($E716,'Stock statement'!$D$2:$P$384,13,)</f>
        <v>3313.2387673094586</v>
      </c>
      <c r="I716" s="127">
        <v>2.5000000000000001E-2</v>
      </c>
      <c r="J716" s="116">
        <v>1.0249999999999999</v>
      </c>
      <c r="K716" s="106">
        <f t="shared" si="64"/>
        <v>870.24286997612489</v>
      </c>
      <c r="L716" s="128"/>
      <c r="M716" s="129">
        <f t="shared" si="65"/>
        <v>10.025197862124958</v>
      </c>
    </row>
    <row r="717" spans="1:13" s="107" customFormat="1" ht="15" customHeight="1">
      <c r="A717" s="100" t="str">
        <f>VLOOKUP(C717,Abstract!$E$4:$M$62,9,0)</f>
        <v>No Sales</v>
      </c>
      <c r="B717" s="95" t="s">
        <v>138</v>
      </c>
      <c r="C717" s="132" t="s">
        <v>64</v>
      </c>
      <c r="D717" s="100" t="s">
        <v>404</v>
      </c>
      <c r="E717" s="99" t="s">
        <v>166</v>
      </c>
      <c r="F717" s="99" t="s">
        <v>167</v>
      </c>
      <c r="G717" s="109">
        <v>2.5</v>
      </c>
      <c r="H717" s="104">
        <f>VLOOKUP($E717,'Stock statement'!$D$2:$P$384,13,)</f>
        <v>127.15913438761541</v>
      </c>
      <c r="I717" s="127">
        <v>2.5000000000000001E-2</v>
      </c>
      <c r="J717" s="116">
        <v>1.0249999999999999</v>
      </c>
      <c r="K717" s="106">
        <f t="shared" si="64"/>
        <v>333.99141391497102</v>
      </c>
      <c r="L717" s="128"/>
      <c r="M717" s="129">
        <f t="shared" si="65"/>
        <v>3.847581088300466</v>
      </c>
    </row>
    <row r="718" spans="1:13" s="107" customFormat="1" ht="15" customHeight="1">
      <c r="A718" s="100" t="str">
        <f>VLOOKUP(C718,Abstract!$E$4:$M$62,9,0)</f>
        <v>No Sales</v>
      </c>
      <c r="B718" s="95" t="s">
        <v>138</v>
      </c>
      <c r="C718" s="132" t="s">
        <v>64</v>
      </c>
      <c r="D718" s="100" t="s">
        <v>404</v>
      </c>
      <c r="E718" s="99" t="s">
        <v>155</v>
      </c>
      <c r="F718" s="99" t="s">
        <v>156</v>
      </c>
      <c r="G718" s="109">
        <v>15</v>
      </c>
      <c r="H718" s="104">
        <f>VLOOKUP($E718,'Stock statement'!$D$2:$P$384,13,)</f>
        <v>68.308211638055738</v>
      </c>
      <c r="I718" s="127">
        <v>2.5000000000000001E-2</v>
      </c>
      <c r="J718" s="116">
        <v>1.0249999999999999</v>
      </c>
      <c r="K718" s="106">
        <f t="shared" si="64"/>
        <v>1076.4947227834843</v>
      </c>
      <c r="L718" s="128"/>
      <c r="M718" s="129">
        <f t="shared" si="65"/>
        <v>12.40121920646574</v>
      </c>
    </row>
    <row r="719" spans="1:13" s="107" customFormat="1" ht="15" customHeight="1">
      <c r="A719" s="100" t="str">
        <f>VLOOKUP(C719,Abstract!$E$4:$M$62,9,0)</f>
        <v>No Sales</v>
      </c>
      <c r="B719" s="95" t="s">
        <v>138</v>
      </c>
      <c r="C719" s="132" t="s">
        <v>64</v>
      </c>
      <c r="D719" s="100" t="s">
        <v>404</v>
      </c>
      <c r="E719" s="99" t="s">
        <v>209</v>
      </c>
      <c r="F719" s="99" t="s">
        <v>210</v>
      </c>
      <c r="G719" s="109">
        <v>20</v>
      </c>
      <c r="H719" s="104">
        <f>VLOOKUP($E719,'Stock statement'!$D$2:$P$384,13,)</f>
        <v>220.67282625366343</v>
      </c>
      <c r="I719" s="127">
        <v>2.5000000000000001E-2</v>
      </c>
      <c r="J719" s="116">
        <v>1.0249999999999999</v>
      </c>
      <c r="K719" s="106">
        <f t="shared" si="64"/>
        <v>4636.8877616551026</v>
      </c>
      <c r="L719" s="128"/>
      <c r="M719" s="129">
        <f t="shared" si="65"/>
        <v>53.416947014266782</v>
      </c>
    </row>
    <row r="720" spans="1:13" s="107" customFormat="1" ht="15" customHeight="1">
      <c r="A720" s="100" t="str">
        <f>VLOOKUP(C720,Abstract!$E$4:$M$62,9,0)</f>
        <v>No Sales</v>
      </c>
      <c r="B720" s="95" t="s">
        <v>138</v>
      </c>
      <c r="C720" s="132" t="s">
        <v>64</v>
      </c>
      <c r="D720" s="100" t="s">
        <v>404</v>
      </c>
      <c r="E720" s="99" t="s">
        <v>261</v>
      </c>
      <c r="F720" s="95" t="s">
        <v>262</v>
      </c>
      <c r="G720" s="109">
        <v>2.5</v>
      </c>
      <c r="H720" s="104">
        <f>VLOOKUP($E720,'Stock statement'!$D$2:$P$384,13,)</f>
        <v>0</v>
      </c>
      <c r="I720" s="127">
        <v>2.5000000000000001E-2</v>
      </c>
      <c r="J720" s="116">
        <v>1.0249999999999999</v>
      </c>
      <c r="K720" s="106">
        <f t="shared" si="64"/>
        <v>0</v>
      </c>
      <c r="L720" s="128"/>
      <c r="M720" s="129">
        <f t="shared" si="65"/>
        <v>0</v>
      </c>
    </row>
    <row r="721" spans="1:13" s="107" customFormat="1" ht="15" customHeight="1">
      <c r="A721" s="100" t="str">
        <f>VLOOKUP(C721,Abstract!$E$4:$M$62,9,0)</f>
        <v>No Sales</v>
      </c>
      <c r="B721" s="95" t="s">
        <v>138</v>
      </c>
      <c r="C721" s="132" t="s">
        <v>64</v>
      </c>
      <c r="D721" s="100" t="s">
        <v>404</v>
      </c>
      <c r="E721" s="99" t="s">
        <v>175</v>
      </c>
      <c r="F721" s="99" t="s">
        <v>176</v>
      </c>
      <c r="G721" s="109">
        <v>0.1</v>
      </c>
      <c r="H721" s="104">
        <f>VLOOKUP($E721,'Stock statement'!$D$2:$P$384,13,)</f>
        <v>1750.9314909799687</v>
      </c>
      <c r="I721" s="127">
        <v>2.5000000000000001E-2</v>
      </c>
      <c r="J721" s="116">
        <v>1.0249999999999999</v>
      </c>
      <c r="K721" s="106">
        <f t="shared" si="64"/>
        <v>183.95723977108293</v>
      </c>
      <c r="L721" s="128"/>
      <c r="M721" s="129">
        <f t="shared" si="65"/>
        <v>2.1191874021628752</v>
      </c>
    </row>
    <row r="722" spans="1:13" s="107" customFormat="1" ht="15" customHeight="1">
      <c r="A722" s="100" t="str">
        <f>VLOOKUP(C722,Abstract!$E$4:$M$62,9,0)</f>
        <v>No Sales</v>
      </c>
      <c r="B722" s="95" t="s">
        <v>138</v>
      </c>
      <c r="C722" s="132" t="s">
        <v>64</v>
      </c>
      <c r="D722" s="100" t="s">
        <v>404</v>
      </c>
      <c r="E722" s="99" t="s">
        <v>177</v>
      </c>
      <c r="F722" s="99" t="s">
        <v>178</v>
      </c>
      <c r="G722" s="109">
        <v>0.1</v>
      </c>
      <c r="H722" s="104">
        <f>VLOOKUP($E722,'Stock statement'!$D$2:$P$384,13,)</f>
        <v>195.29212473407105</v>
      </c>
      <c r="I722" s="127">
        <v>2.5000000000000001E-2</v>
      </c>
      <c r="J722" s="116">
        <v>1.0249999999999999</v>
      </c>
      <c r="K722" s="106">
        <f t="shared" si="64"/>
        <v>20.517878854873334</v>
      </c>
      <c r="L722" s="128"/>
      <c r="M722" s="129">
        <f t="shared" si="65"/>
        <v>0.23636596440814081</v>
      </c>
    </row>
    <row r="723" spans="1:13" s="107" customFormat="1" ht="15" customHeight="1">
      <c r="A723" s="100" t="str">
        <f>VLOOKUP(C723,Abstract!$E$4:$M$62,9,0)</f>
        <v>No Sales</v>
      </c>
      <c r="B723" s="95" t="s">
        <v>138</v>
      </c>
      <c r="C723" s="132" t="s">
        <v>64</v>
      </c>
      <c r="D723" s="100" t="s">
        <v>404</v>
      </c>
      <c r="E723" s="99" t="s">
        <v>173</v>
      </c>
      <c r="F723" s="95" t="s">
        <v>174</v>
      </c>
      <c r="G723" s="109">
        <v>0.2</v>
      </c>
      <c r="H723" s="104">
        <f>VLOOKUP($E723,'Stock statement'!$D$2:$P$384,13,)</f>
        <v>555.2517156766155</v>
      </c>
      <c r="I723" s="127">
        <v>2.5000000000000001E-2</v>
      </c>
      <c r="J723" s="116">
        <v>1.0249999999999999</v>
      </c>
      <c r="K723" s="106">
        <f t="shared" si="64"/>
        <v>116.67226675654881</v>
      </c>
      <c r="L723" s="128"/>
      <c r="M723" s="129">
        <f t="shared" si="65"/>
        <v>1.3440645130354423</v>
      </c>
    </row>
    <row r="724" spans="1:13" s="107" customFormat="1" ht="15" customHeight="1">
      <c r="A724" s="100" t="str">
        <f>VLOOKUP(C724,Abstract!$E$4:$M$62,9,0)</f>
        <v>No Sales</v>
      </c>
      <c r="B724" s="95" t="s">
        <v>138</v>
      </c>
      <c r="C724" s="132" t="s">
        <v>64</v>
      </c>
      <c r="D724" s="100" t="s">
        <v>404</v>
      </c>
      <c r="E724" s="99">
        <v>114476</v>
      </c>
      <c r="F724" s="99" t="s">
        <v>172</v>
      </c>
      <c r="G724" s="109">
        <v>6</v>
      </c>
      <c r="H724" s="104">
        <f>VLOOKUP($E724,'Stock statement'!$D$2:$P$384,13,)</f>
        <v>739.98731621274567</v>
      </c>
      <c r="I724" s="127">
        <v>2.5000000000000001E-2</v>
      </c>
      <c r="J724" s="116">
        <v>1.0249999999999999</v>
      </c>
      <c r="K724" s="106">
        <f t="shared" si="64"/>
        <v>4664.6950445760949</v>
      </c>
      <c r="L724" s="128"/>
      <c r="M724" s="129">
        <f t="shared" si="65"/>
        <v>53.737286913516613</v>
      </c>
    </row>
    <row r="725" spans="1:13" s="107" customFormat="1" ht="15" customHeight="1">
      <c r="A725" s="100" t="str">
        <f>VLOOKUP(C725,Abstract!$E$4:$M$62,9,0)</f>
        <v>No Sales</v>
      </c>
      <c r="B725" s="95" t="s">
        <v>138</v>
      </c>
      <c r="C725" s="132" t="s">
        <v>64</v>
      </c>
      <c r="D725" s="100" t="s">
        <v>404</v>
      </c>
      <c r="E725" s="99" t="s">
        <v>153</v>
      </c>
      <c r="F725" s="99" t="s">
        <v>364</v>
      </c>
      <c r="G725" s="109">
        <v>0.625</v>
      </c>
      <c r="H725" s="104">
        <f>VLOOKUP($E725,'Stock statement'!$D$2:$P$384,13,)</f>
        <v>84.206363687840948</v>
      </c>
      <c r="I725" s="127">
        <v>2.5000000000000001E-2</v>
      </c>
      <c r="J725" s="116">
        <v>1.0249999999999999</v>
      </c>
      <c r="K725" s="106">
        <f t="shared" si="64"/>
        <v>55.293319280961178</v>
      </c>
      <c r="L725" s="128"/>
      <c r="M725" s="129">
        <f t="shared" si="65"/>
        <v>0.63697903811667278</v>
      </c>
    </row>
    <row r="726" spans="1:13" s="107" customFormat="1" ht="15" customHeight="1">
      <c r="A726" s="100" t="str">
        <f>VLOOKUP(C726,Abstract!$E$4:$M$62,9,0)</f>
        <v>No Sales</v>
      </c>
      <c r="B726" s="95" t="s">
        <v>138</v>
      </c>
      <c r="C726" s="132" t="s">
        <v>64</v>
      </c>
      <c r="D726" s="100" t="s">
        <v>404</v>
      </c>
      <c r="E726" s="99" t="s">
        <v>164</v>
      </c>
      <c r="F726" s="95" t="s">
        <v>165</v>
      </c>
      <c r="G726" s="109">
        <v>3.5000000000000005E-3</v>
      </c>
      <c r="H726" s="104">
        <f>VLOOKUP($E726,'Stock statement'!$D$2:$P$384,13,)</f>
        <v>1939</v>
      </c>
      <c r="I726" s="127">
        <v>2.5000000000000001E-2</v>
      </c>
      <c r="J726" s="116">
        <v>1.0249999999999999</v>
      </c>
      <c r="K726" s="106">
        <f t="shared" si="64"/>
        <v>7.1300665624999997</v>
      </c>
      <c r="L726" s="128"/>
      <c r="M726" s="129">
        <f t="shared" si="65"/>
        <v>8.2138366800000001E-2</v>
      </c>
    </row>
    <row r="727" spans="1:13" s="107" customFormat="1" ht="15" customHeight="1">
      <c r="A727" s="100" t="str">
        <f>VLOOKUP(C727,Abstract!$E$4:$M$62,9,0)</f>
        <v>No Sales</v>
      </c>
      <c r="B727" s="95" t="s">
        <v>138</v>
      </c>
      <c r="C727" s="132" t="s">
        <v>64</v>
      </c>
      <c r="D727" s="100" t="s">
        <v>404</v>
      </c>
      <c r="E727" s="99" t="s">
        <v>162</v>
      </c>
      <c r="F727" s="95" t="s">
        <v>163</v>
      </c>
      <c r="G727" s="109">
        <v>0.04</v>
      </c>
      <c r="H727" s="104">
        <f>VLOOKUP($E727,'Stock statement'!$D$2:$P$384,13,)</f>
        <v>348.44830167161894</v>
      </c>
      <c r="I727" s="127">
        <v>2.5000000000000001E-2</v>
      </c>
      <c r="J727" s="116">
        <v>1.0249999999999999</v>
      </c>
      <c r="K727" s="106">
        <f t="shared" si="64"/>
        <v>14.643539877749783</v>
      </c>
      <c r="L727" s="128"/>
      <c r="M727" s="129">
        <f t="shared" si="65"/>
        <v>0.16869357939167751</v>
      </c>
    </row>
    <row r="728" spans="1:13" s="107" customFormat="1" ht="15" customHeight="1">
      <c r="A728" s="100" t="str">
        <f>VLOOKUP(C728,Abstract!$E$4:$M$62,9,0)</f>
        <v>No Sales</v>
      </c>
      <c r="B728" s="95" t="s">
        <v>138</v>
      </c>
      <c r="C728" s="132" t="s">
        <v>64</v>
      </c>
      <c r="D728" s="100" t="s">
        <v>404</v>
      </c>
      <c r="E728" s="99" t="s">
        <v>143</v>
      </c>
      <c r="F728" s="108" t="s">
        <v>144</v>
      </c>
      <c r="G728" s="109">
        <v>5</v>
      </c>
      <c r="H728" s="104">
        <f>VLOOKUP($E728,'Stock statement'!$D$2:$P$384,13,)</f>
        <v>178.57970547017939</v>
      </c>
      <c r="I728" s="127">
        <v>2.5000000000000001E-2</v>
      </c>
      <c r="J728" s="116">
        <v>1.0249999999999999</v>
      </c>
      <c r="K728" s="106">
        <f t="shared" si="64"/>
        <v>938.10151529803602</v>
      </c>
      <c r="L728" s="128"/>
      <c r="M728" s="129">
        <f t="shared" si="65"/>
        <v>10.806929456233375</v>
      </c>
    </row>
    <row r="729" spans="1:13" s="107" customFormat="1" ht="15" customHeight="1">
      <c r="A729" s="100" t="str">
        <f>VLOOKUP(C729,Abstract!$E$4:$M$62,9,0)</f>
        <v>No Sales</v>
      </c>
      <c r="B729" s="95" t="s">
        <v>138</v>
      </c>
      <c r="C729" s="132" t="s">
        <v>64</v>
      </c>
      <c r="D729" s="100" t="s">
        <v>404</v>
      </c>
      <c r="E729" s="99" t="s">
        <v>147</v>
      </c>
      <c r="F729" s="95" t="s">
        <v>148</v>
      </c>
      <c r="G729" s="109">
        <v>1</v>
      </c>
      <c r="H729" s="104">
        <f>VLOOKUP($E729,'Stock statement'!$D$2:$P$384,13,)</f>
        <v>353.50950483838068</v>
      </c>
      <c r="I729" s="127">
        <v>2.5000000000000001E-2</v>
      </c>
      <c r="J729" s="116">
        <v>1.0249999999999999</v>
      </c>
      <c r="K729" s="106">
        <f t="shared" si="64"/>
        <v>371.40592352082365</v>
      </c>
      <c r="L729" s="128"/>
      <c r="M729" s="129">
        <f t="shared" si="65"/>
        <v>4.2785962389598886</v>
      </c>
    </row>
    <row r="730" spans="1:13" s="107" customFormat="1" ht="15" customHeight="1">
      <c r="A730" s="100" t="str">
        <f>VLOOKUP(C730,Abstract!$E$4:$M$62,9,0)</f>
        <v>No Sales</v>
      </c>
      <c r="B730" s="95" t="s">
        <v>138</v>
      </c>
      <c r="C730" s="132" t="s">
        <v>64</v>
      </c>
      <c r="D730" s="100" t="s">
        <v>404</v>
      </c>
      <c r="E730" s="99" t="s">
        <v>179</v>
      </c>
      <c r="F730" s="102" t="s">
        <v>180</v>
      </c>
      <c r="G730" s="109">
        <v>0.5</v>
      </c>
      <c r="H730" s="104">
        <f>VLOOKUP($E730,'Stock statement'!$D$2:$P$384,13,)</f>
        <v>1036.4956269221443</v>
      </c>
      <c r="I730" s="127">
        <v>2.5000000000000001E-2</v>
      </c>
      <c r="J730" s="116">
        <v>1.0249999999999999</v>
      </c>
      <c r="K730" s="106">
        <f t="shared" si="64"/>
        <v>544.48410901753891</v>
      </c>
      <c r="L730" s="128"/>
      <c r="M730" s="129">
        <f t="shared" si="65"/>
        <v>6.2724569358820483</v>
      </c>
    </row>
    <row r="731" spans="1:13" s="107" customFormat="1" ht="15" customHeight="1">
      <c r="A731" s="100" t="str">
        <f>VLOOKUP(C731,Abstract!$E$4:$M$62,9,0)</f>
        <v>No Sales</v>
      </c>
      <c r="B731" s="95" t="s">
        <v>138</v>
      </c>
      <c r="C731" s="132" t="s">
        <v>64</v>
      </c>
      <c r="D731" s="100" t="s">
        <v>404</v>
      </c>
      <c r="E731" s="99" t="s">
        <v>181</v>
      </c>
      <c r="F731" s="102" t="s">
        <v>182</v>
      </c>
      <c r="G731" s="109">
        <v>12.5</v>
      </c>
      <c r="H731" s="104">
        <f>VLOOKUP($E731,'Stock statement'!$D$2:$P$384,13,)</f>
        <v>17.110276913020375</v>
      </c>
      <c r="I731" s="127">
        <v>2.5000000000000001E-2</v>
      </c>
      <c r="J731" s="116">
        <v>1.0249999999999999</v>
      </c>
      <c r="K731" s="106">
        <f t="shared" si="64"/>
        <v>224.70605852177536</v>
      </c>
      <c r="L731" s="128"/>
      <c r="M731" s="129">
        <f t="shared" si="65"/>
        <v>2.5886137941708522</v>
      </c>
    </row>
    <row r="732" spans="1:13" s="107" customFormat="1" ht="15" customHeight="1">
      <c r="A732" s="100" t="str">
        <f>VLOOKUP(C732,Abstract!$E$4:$M$62,9,0)</f>
        <v>No Sales</v>
      </c>
      <c r="B732" s="95" t="s">
        <v>138</v>
      </c>
      <c r="C732" s="132" t="s">
        <v>64</v>
      </c>
      <c r="D732" s="100" t="s">
        <v>404</v>
      </c>
      <c r="E732" s="99" t="s">
        <v>139</v>
      </c>
      <c r="F732" s="102" t="s">
        <v>140</v>
      </c>
      <c r="G732" s="109">
        <v>733.35199999999998</v>
      </c>
      <c r="H732" s="104">
        <f>VLOOKUP($E732,'Stock statement'!$D$2:$P$384,13,)</f>
        <v>0.34</v>
      </c>
      <c r="I732" s="127">
        <v>2.5000000000000001E-2</v>
      </c>
      <c r="J732" s="116">
        <v>1.0249999999999999</v>
      </c>
      <c r="K732" s="106">
        <f t="shared" si="64"/>
        <v>261.96250129999999</v>
      </c>
      <c r="L732" s="128"/>
      <c r="M732" s="129">
        <f t="shared" si="65"/>
        <v>3.0178080149759996</v>
      </c>
    </row>
    <row r="733" spans="1:13" s="107" customFormat="1" ht="15" customHeight="1">
      <c r="A733" s="100" t="str">
        <f>VLOOKUP(C733,Abstract!$E$4:$M$62,9,0)</f>
        <v>No Sales</v>
      </c>
      <c r="B733" s="99" t="s">
        <v>183</v>
      </c>
      <c r="C733" s="132" t="s">
        <v>64</v>
      </c>
      <c r="D733" s="100" t="s">
        <v>404</v>
      </c>
      <c r="E733" s="99">
        <v>214256</v>
      </c>
      <c r="F733" s="99" t="s">
        <v>405</v>
      </c>
      <c r="G733" s="109">
        <f>(1000/(720*6)*1000)*0.243</f>
        <v>56.25</v>
      </c>
      <c r="H733" s="104">
        <f>VLOOKUP($E733,'Stock statement'!$D$2:$P$384,13,)</f>
        <v>236.45632218812293</v>
      </c>
      <c r="I733" s="127">
        <v>1.7500000000000002E-2</v>
      </c>
      <c r="J733" s="113">
        <v>1</v>
      </c>
      <c r="K733" s="106">
        <f t="shared" si="64"/>
        <v>13533.429815235848</v>
      </c>
      <c r="L733" s="128"/>
      <c r="M733" s="129">
        <f t="shared" si="65"/>
        <v>155.90511147151696</v>
      </c>
    </row>
    <row r="734" spans="1:13" s="107" customFormat="1" ht="15" customHeight="1">
      <c r="A734" s="100" t="str">
        <f>VLOOKUP(C734,Abstract!$E$4:$M$62,9,0)</f>
        <v>No Sales</v>
      </c>
      <c r="B734" s="99" t="s">
        <v>183</v>
      </c>
      <c r="C734" s="132" t="s">
        <v>64</v>
      </c>
      <c r="D734" s="100" t="s">
        <v>404</v>
      </c>
      <c r="E734" s="99">
        <v>214378</v>
      </c>
      <c r="F734" s="99" t="s">
        <v>406</v>
      </c>
      <c r="G734" s="109">
        <f>1000/(1920*6)*1000</f>
        <v>86.805555555555557</v>
      </c>
      <c r="H734" s="104">
        <f>VLOOKUP($E734,'Stock statement'!$D$2:$P$384,13,)</f>
        <v>40.951267360929606</v>
      </c>
      <c r="I734" s="127">
        <v>6.0000000000000001E-3</v>
      </c>
      <c r="J734" s="113">
        <v>1</v>
      </c>
      <c r="K734" s="106">
        <f t="shared" si="64"/>
        <v>3576.1262990534015</v>
      </c>
      <c r="L734" s="128"/>
      <c r="M734" s="129">
        <f t="shared" si="65"/>
        <v>41.196974965095187</v>
      </c>
    </row>
    <row r="735" spans="1:13" s="107" customFormat="1" ht="15" customHeight="1">
      <c r="A735" s="100" t="str">
        <f>VLOOKUP(C735,Abstract!$E$4:$M$62,9,0)</f>
        <v>No Sales</v>
      </c>
      <c r="B735" s="99" t="s">
        <v>183</v>
      </c>
      <c r="C735" s="132" t="s">
        <v>64</v>
      </c>
      <c r="D735" s="100" t="s">
        <v>404</v>
      </c>
      <c r="E735" s="99" t="s">
        <v>191</v>
      </c>
      <c r="F735" s="95" t="s">
        <v>192</v>
      </c>
      <c r="G735" s="109">
        <f>+G734*0.02</f>
        <v>1.7361111111111112</v>
      </c>
      <c r="H735" s="104">
        <f>VLOOKUP($E735,'Stock statement'!$D$2:$P$384,13,)</f>
        <v>44.985440769279101</v>
      </c>
      <c r="I735" s="127">
        <v>0.02</v>
      </c>
      <c r="J735" s="113">
        <v>1</v>
      </c>
      <c r="K735" s="106">
        <f t="shared" si="64"/>
        <v>79.661718028931745</v>
      </c>
      <c r="L735" s="128"/>
      <c r="M735" s="129">
        <f t="shared" si="65"/>
        <v>0.91770299169329372</v>
      </c>
    </row>
    <row r="736" spans="1:13" s="107" customFormat="1" ht="15" customHeight="1">
      <c r="A736" s="100" t="str">
        <f>VLOOKUP(C736,Abstract!$E$4:$M$62,9,0)</f>
        <v>No Sales</v>
      </c>
      <c r="B736" s="99" t="s">
        <v>197</v>
      </c>
      <c r="C736" s="132" t="s">
        <v>64</v>
      </c>
      <c r="D736" s="100" t="s">
        <v>404</v>
      </c>
      <c r="E736" s="99" t="s">
        <v>198</v>
      </c>
      <c r="F736" s="99"/>
      <c r="G736" s="109"/>
      <c r="H736" s="104"/>
      <c r="I736" s="127"/>
      <c r="J736" s="113"/>
      <c r="K736" s="106">
        <v>6180</v>
      </c>
      <c r="L736" s="128">
        <f>SUM(K710:K736)</f>
        <v>61045.430394423041</v>
      </c>
      <c r="M736" s="129">
        <f t="shared" si="65"/>
        <v>71.193600000000004</v>
      </c>
    </row>
    <row r="737" spans="1:13" s="107" customFormat="1" ht="15" customHeight="1">
      <c r="A737" s="100" t="str">
        <f>VLOOKUP(C737,Abstract!$E$4:$M$62,9,0)</f>
        <v>No Sales</v>
      </c>
      <c r="B737" s="95" t="s">
        <v>138</v>
      </c>
      <c r="C737" s="132" t="s">
        <v>66</v>
      </c>
      <c r="D737" s="100" t="s">
        <v>407</v>
      </c>
      <c r="E737" s="99" t="s">
        <v>141</v>
      </c>
      <c r="F737" s="108" t="s">
        <v>142</v>
      </c>
      <c r="G737" s="109">
        <v>185.7</v>
      </c>
      <c r="H737" s="104">
        <f>VLOOKUP($E737,'Stock statement'!$D$2:$P$384,13,)</f>
        <v>94.278330452007026</v>
      </c>
      <c r="I737" s="127">
        <v>2.5000000000000001E-2</v>
      </c>
      <c r="J737" s="116">
        <v>1.0249999999999999</v>
      </c>
      <c r="K737" s="106">
        <f>+G737*H737*(1+I737)*J737</f>
        <v>18393.80244191267</v>
      </c>
      <c r="L737" s="128"/>
      <c r="M737" s="129">
        <f>K737/$G$761</f>
        <v>92.70476430723987</v>
      </c>
    </row>
    <row r="738" spans="1:13" s="107" customFormat="1" ht="15" customHeight="1">
      <c r="A738" s="100" t="str">
        <f>VLOOKUP(C738,Abstract!$E$4:$M$62,9,0)</f>
        <v>No Sales</v>
      </c>
      <c r="B738" s="95" t="s">
        <v>138</v>
      </c>
      <c r="C738" s="132" t="s">
        <v>66</v>
      </c>
      <c r="D738" s="100" t="s">
        <v>407</v>
      </c>
      <c r="E738" s="99" t="s">
        <v>145</v>
      </c>
      <c r="F738" s="102" t="s">
        <v>146</v>
      </c>
      <c r="G738" s="109">
        <v>10</v>
      </c>
      <c r="H738" s="104">
        <f>VLOOKUP($E738,'Stock statement'!$D$2:$P$384,13,)</f>
        <v>151.08681180977209</v>
      </c>
      <c r="I738" s="127">
        <v>2.5000000000000001E-2</v>
      </c>
      <c r="J738" s="116">
        <v>1.0249999999999999</v>
      </c>
      <c r="K738" s="106">
        <f t="shared" ref="K738:K768" si="66">+G738*H738*(1+I738)*J738</f>
        <v>1587.3558165764177</v>
      </c>
      <c r="L738" s="128"/>
      <c r="M738" s="129">
        <f t="shared" ref="M738:M769" si="67">K738/$G$761</f>
        <v>8.0002733155451455</v>
      </c>
    </row>
    <row r="739" spans="1:13" s="107" customFormat="1" ht="15" customHeight="1">
      <c r="A739" s="100" t="str">
        <f>VLOOKUP(C739,Abstract!$E$4:$M$62,9,0)</f>
        <v>No Sales</v>
      </c>
      <c r="B739" s="95" t="s">
        <v>138</v>
      </c>
      <c r="C739" s="132" t="s">
        <v>66</v>
      </c>
      <c r="D739" s="100" t="s">
        <v>407</v>
      </c>
      <c r="E739" s="99" t="s">
        <v>149</v>
      </c>
      <c r="F739" s="99" t="s">
        <v>150</v>
      </c>
      <c r="G739" s="109">
        <v>0.125</v>
      </c>
      <c r="H739" s="104">
        <f>VLOOKUP($E739,'Stock statement'!$D$2:$P$384,13,)</f>
        <v>161.56941474217822</v>
      </c>
      <c r="I739" s="127">
        <v>2.5000000000000001E-2</v>
      </c>
      <c r="J739" s="116">
        <v>1.0249999999999999</v>
      </c>
      <c r="K739" s="106">
        <f t="shared" si="66"/>
        <v>21.218608295437623</v>
      </c>
      <c r="L739" s="128"/>
      <c r="M739" s="129">
        <f t="shared" si="67"/>
        <v>0.10694178580900562</v>
      </c>
    </row>
    <row r="740" spans="1:13" s="107" customFormat="1" ht="15" customHeight="1">
      <c r="A740" s="100" t="str">
        <f>VLOOKUP(C740,Abstract!$E$4:$M$62,9,0)</f>
        <v>No Sales</v>
      </c>
      <c r="B740" s="95" t="s">
        <v>138</v>
      </c>
      <c r="C740" s="132" t="s">
        <v>66</v>
      </c>
      <c r="D740" s="100" t="s">
        <v>407</v>
      </c>
      <c r="E740" s="99" t="s">
        <v>151</v>
      </c>
      <c r="F740" s="99" t="s">
        <v>152</v>
      </c>
      <c r="G740" s="109">
        <v>2.5</v>
      </c>
      <c r="H740" s="104">
        <f>VLOOKUP($E740,'Stock statement'!$D$2:$P$384,13,)</f>
        <v>762.38931335604309</v>
      </c>
      <c r="I740" s="127">
        <v>2.5000000000000001E-2</v>
      </c>
      <c r="J740" s="116">
        <v>1.0249999999999999</v>
      </c>
      <c r="K740" s="106">
        <f t="shared" si="66"/>
        <v>2002.4631808617316</v>
      </c>
      <c r="L740" s="128"/>
      <c r="M740" s="129">
        <f t="shared" si="67"/>
        <v>10.092414431543128</v>
      </c>
    </row>
    <row r="741" spans="1:13" s="107" customFormat="1" ht="15" customHeight="1">
      <c r="A741" s="100" t="str">
        <f>VLOOKUP(C741,Abstract!$E$4:$M$62,9,0)</f>
        <v>No Sales</v>
      </c>
      <c r="B741" s="95" t="s">
        <v>138</v>
      </c>
      <c r="C741" s="132" t="s">
        <v>66</v>
      </c>
      <c r="D741" s="100" t="s">
        <v>407</v>
      </c>
      <c r="E741" s="99" t="s">
        <v>157</v>
      </c>
      <c r="F741" s="102" t="s">
        <v>158</v>
      </c>
      <c r="G741" s="109">
        <v>1</v>
      </c>
      <c r="H741" s="104">
        <f>VLOOKUP($E741,'Stock statement'!$D$2:$P$384,13,)</f>
        <v>828.81974703846117</v>
      </c>
      <c r="I741" s="127">
        <v>2.5000000000000001E-2</v>
      </c>
      <c r="J741" s="116">
        <v>1.0249999999999999</v>
      </c>
      <c r="K741" s="106">
        <f t="shared" si="66"/>
        <v>870.77874673228314</v>
      </c>
      <c r="L741" s="128"/>
      <c r="M741" s="129">
        <f t="shared" si="67"/>
        <v>4.3887248835307071</v>
      </c>
    </row>
    <row r="742" spans="1:13" s="107" customFormat="1" ht="15" customHeight="1">
      <c r="A742" s="100" t="str">
        <f>VLOOKUP(C742,Abstract!$E$4:$M$62,9,0)</f>
        <v>No Sales</v>
      </c>
      <c r="B742" s="95" t="s">
        <v>138</v>
      </c>
      <c r="C742" s="132" t="s">
        <v>66</v>
      </c>
      <c r="D742" s="100" t="s">
        <v>407</v>
      </c>
      <c r="E742" s="157">
        <v>115150</v>
      </c>
      <c r="F742" s="99" t="s">
        <v>159</v>
      </c>
      <c r="G742" s="109">
        <v>1</v>
      </c>
      <c r="H742" s="104">
        <f>VLOOKUP($E742,'Stock statement'!$D$2:$P$384,13,)</f>
        <v>456.30699446392703</v>
      </c>
      <c r="I742" s="127">
        <v>2.5000000000000001E-2</v>
      </c>
      <c r="J742" s="116">
        <v>1.0249999999999999</v>
      </c>
      <c r="K742" s="106">
        <f>+G742*H742*(1+I742)*J742</f>
        <v>479.40753605866325</v>
      </c>
      <c r="L742" s="128"/>
      <c r="M742" s="129">
        <f t="shared" si="67"/>
        <v>2.4162139817356629</v>
      </c>
    </row>
    <row r="743" spans="1:13" s="107" customFormat="1" ht="15" customHeight="1">
      <c r="A743" s="100" t="str">
        <f>VLOOKUP(C743,Abstract!$E$4:$M$62,9,0)</f>
        <v>No Sales</v>
      </c>
      <c r="B743" s="95" t="s">
        <v>138</v>
      </c>
      <c r="C743" s="132" t="s">
        <v>66</v>
      </c>
      <c r="D743" s="100" t="s">
        <v>407</v>
      </c>
      <c r="E743" s="99" t="s">
        <v>160</v>
      </c>
      <c r="F743" s="108" t="s">
        <v>161</v>
      </c>
      <c r="G743" s="109">
        <v>0.25</v>
      </c>
      <c r="H743" s="104">
        <f>VLOOKUP($E743,'Stock statement'!$D$2:$P$384,13,)</f>
        <v>3313.2387673094586</v>
      </c>
      <c r="I743" s="127">
        <v>2.5000000000000001E-2</v>
      </c>
      <c r="J743" s="116">
        <v>1.0249999999999999</v>
      </c>
      <c r="K743" s="106">
        <f t="shared" si="66"/>
        <v>870.24286997612489</v>
      </c>
      <c r="L743" s="128"/>
      <c r="M743" s="129">
        <f t="shared" si="67"/>
        <v>4.3860240646796695</v>
      </c>
    </row>
    <row r="744" spans="1:13" s="107" customFormat="1" ht="15" customHeight="1">
      <c r="A744" s="100" t="str">
        <f>VLOOKUP(C744,Abstract!$E$4:$M$62,9,0)</f>
        <v>No Sales</v>
      </c>
      <c r="B744" s="95" t="s">
        <v>138</v>
      </c>
      <c r="C744" s="132" t="s">
        <v>66</v>
      </c>
      <c r="D744" s="100" t="s">
        <v>407</v>
      </c>
      <c r="E744" s="99" t="s">
        <v>166</v>
      </c>
      <c r="F744" s="99" t="s">
        <v>167</v>
      </c>
      <c r="G744" s="109">
        <v>2.5</v>
      </c>
      <c r="H744" s="104">
        <f>VLOOKUP($E744,'Stock statement'!$D$2:$P$384,13,)</f>
        <v>127.15913438761541</v>
      </c>
      <c r="I744" s="127">
        <v>2.5000000000000001E-2</v>
      </c>
      <c r="J744" s="116">
        <v>1.0249999999999999</v>
      </c>
      <c r="K744" s="106">
        <f t="shared" si="66"/>
        <v>333.99141391497102</v>
      </c>
      <c r="L744" s="128"/>
      <c r="M744" s="129">
        <f t="shared" si="67"/>
        <v>1.6833167261314541</v>
      </c>
    </row>
    <row r="745" spans="1:13" s="107" customFormat="1" ht="15" customHeight="1">
      <c r="A745" s="100" t="str">
        <f>VLOOKUP(C745,Abstract!$E$4:$M$62,9,0)</f>
        <v>No Sales</v>
      </c>
      <c r="B745" s="95" t="s">
        <v>138</v>
      </c>
      <c r="C745" s="132" t="s">
        <v>66</v>
      </c>
      <c r="D745" s="100" t="s">
        <v>407</v>
      </c>
      <c r="E745" s="99" t="s">
        <v>155</v>
      </c>
      <c r="F745" s="99" t="s">
        <v>156</v>
      </c>
      <c r="G745" s="109">
        <v>15</v>
      </c>
      <c r="H745" s="104">
        <f>VLOOKUP($E745,'Stock statement'!$D$2:$P$384,13,)</f>
        <v>68.308211638055738</v>
      </c>
      <c r="I745" s="127">
        <v>2.5000000000000001E-2</v>
      </c>
      <c r="J745" s="116">
        <v>1.0249999999999999</v>
      </c>
      <c r="K745" s="106">
        <f t="shared" si="66"/>
        <v>1076.4947227834843</v>
      </c>
      <c r="L745" s="128"/>
      <c r="M745" s="129">
        <f t="shared" si="67"/>
        <v>5.4255334028287612</v>
      </c>
    </row>
    <row r="746" spans="1:13" s="107" customFormat="1" ht="15" customHeight="1">
      <c r="A746" s="100" t="str">
        <f>VLOOKUP(C746,Abstract!$E$4:$M$62,9,0)</f>
        <v>No Sales</v>
      </c>
      <c r="B746" s="95" t="s">
        <v>138</v>
      </c>
      <c r="C746" s="132" t="s">
        <v>66</v>
      </c>
      <c r="D746" s="100" t="s">
        <v>407</v>
      </c>
      <c r="E746" s="99" t="s">
        <v>209</v>
      </c>
      <c r="F746" s="99" t="s">
        <v>210</v>
      </c>
      <c r="G746" s="109">
        <v>20</v>
      </c>
      <c r="H746" s="104">
        <f>VLOOKUP($E746,'Stock statement'!$D$2:$P$384,13,)</f>
        <v>220.67282625366343</v>
      </c>
      <c r="I746" s="127">
        <v>2.5000000000000001E-2</v>
      </c>
      <c r="J746" s="116">
        <v>1.0249999999999999</v>
      </c>
      <c r="K746" s="106">
        <f t="shared" si="66"/>
        <v>4636.8877616551026</v>
      </c>
      <c r="L746" s="128"/>
      <c r="M746" s="129">
        <f t="shared" si="67"/>
        <v>23.369914318741717</v>
      </c>
    </row>
    <row r="747" spans="1:13" s="107" customFormat="1" ht="15" customHeight="1">
      <c r="A747" s="100" t="str">
        <f>VLOOKUP(C747,Abstract!$E$4:$M$62,9,0)</f>
        <v>No Sales</v>
      </c>
      <c r="B747" s="95" t="s">
        <v>138</v>
      </c>
      <c r="C747" s="132" t="s">
        <v>66</v>
      </c>
      <c r="D747" s="100" t="s">
        <v>407</v>
      </c>
      <c r="E747" s="99" t="s">
        <v>261</v>
      </c>
      <c r="F747" s="95" t="s">
        <v>262</v>
      </c>
      <c r="G747" s="109">
        <v>2.5</v>
      </c>
      <c r="H747" s="104">
        <f>VLOOKUP($E747,'Stock statement'!$D$2:$P$384,13,)</f>
        <v>0</v>
      </c>
      <c r="I747" s="127">
        <v>2.5000000000000001E-2</v>
      </c>
      <c r="J747" s="116">
        <v>1.0249999999999999</v>
      </c>
      <c r="K747" s="106">
        <f t="shared" si="66"/>
        <v>0</v>
      </c>
      <c r="L747" s="128"/>
      <c r="M747" s="129">
        <f t="shared" si="67"/>
        <v>0</v>
      </c>
    </row>
    <row r="748" spans="1:13" s="107" customFormat="1" ht="15" customHeight="1">
      <c r="A748" s="100" t="str">
        <f>VLOOKUP(C748,Abstract!$E$4:$M$62,9,0)</f>
        <v>No Sales</v>
      </c>
      <c r="B748" s="95" t="s">
        <v>138</v>
      </c>
      <c r="C748" s="132" t="s">
        <v>66</v>
      </c>
      <c r="D748" s="100" t="s">
        <v>407</v>
      </c>
      <c r="E748" s="99" t="s">
        <v>175</v>
      </c>
      <c r="F748" s="99" t="s">
        <v>176</v>
      </c>
      <c r="G748" s="109">
        <v>0.1</v>
      </c>
      <c r="H748" s="104">
        <f>VLOOKUP($E748,'Stock statement'!$D$2:$P$384,13,)</f>
        <v>1750.9314909799687</v>
      </c>
      <c r="I748" s="127">
        <v>2.5000000000000001E-2</v>
      </c>
      <c r="J748" s="116">
        <v>1.0249999999999999</v>
      </c>
      <c r="K748" s="106">
        <f t="shared" si="66"/>
        <v>183.95723977108293</v>
      </c>
      <c r="L748" s="128"/>
      <c r="M748" s="129">
        <f t="shared" si="67"/>
        <v>0.92714448844625796</v>
      </c>
    </row>
    <row r="749" spans="1:13" s="107" customFormat="1" ht="15" customHeight="1">
      <c r="A749" s="100" t="str">
        <f>VLOOKUP(C749,Abstract!$E$4:$M$62,9,0)</f>
        <v>No Sales</v>
      </c>
      <c r="B749" s="95" t="s">
        <v>138</v>
      </c>
      <c r="C749" s="132" t="s">
        <v>66</v>
      </c>
      <c r="D749" s="100" t="s">
        <v>407</v>
      </c>
      <c r="E749" s="99" t="s">
        <v>177</v>
      </c>
      <c r="F749" s="99" t="s">
        <v>178</v>
      </c>
      <c r="G749" s="109">
        <v>0.1</v>
      </c>
      <c r="H749" s="104">
        <f>VLOOKUP($E749,'Stock statement'!$D$2:$P$384,13,)</f>
        <v>195.29212473407105</v>
      </c>
      <c r="I749" s="127">
        <v>2.5000000000000001E-2</v>
      </c>
      <c r="J749" s="116">
        <v>1.0249999999999999</v>
      </c>
      <c r="K749" s="106">
        <f t="shared" si="66"/>
        <v>20.517878854873334</v>
      </c>
      <c r="L749" s="128"/>
      <c r="M749" s="129">
        <f t="shared" si="67"/>
        <v>0.1034101094285616</v>
      </c>
    </row>
    <row r="750" spans="1:13" s="107" customFormat="1" ht="15" customHeight="1">
      <c r="A750" s="100" t="str">
        <f>VLOOKUP(C750,Abstract!$E$4:$M$62,9,0)</f>
        <v>No Sales</v>
      </c>
      <c r="B750" s="95" t="s">
        <v>138</v>
      </c>
      <c r="C750" s="132" t="s">
        <v>66</v>
      </c>
      <c r="D750" s="100" t="s">
        <v>407</v>
      </c>
      <c r="E750" s="99" t="s">
        <v>173</v>
      </c>
      <c r="F750" s="95" t="s">
        <v>174</v>
      </c>
      <c r="G750" s="109">
        <v>0.2</v>
      </c>
      <c r="H750" s="104">
        <f>VLOOKUP($E750,'Stock statement'!$D$2:$P$384,13,)</f>
        <v>555.2517156766155</v>
      </c>
      <c r="I750" s="127">
        <v>2.5000000000000001E-2</v>
      </c>
      <c r="J750" s="116">
        <v>1.0249999999999999</v>
      </c>
      <c r="K750" s="106">
        <f t="shared" si="66"/>
        <v>116.67226675654881</v>
      </c>
      <c r="L750" s="128"/>
      <c r="M750" s="129">
        <f t="shared" si="67"/>
        <v>0.58802822445300607</v>
      </c>
    </row>
    <row r="751" spans="1:13" s="107" customFormat="1" ht="15" customHeight="1">
      <c r="A751" s="100" t="str">
        <f>VLOOKUP(C751,Abstract!$E$4:$M$62,9,0)</f>
        <v>No Sales</v>
      </c>
      <c r="B751" s="95" t="s">
        <v>138</v>
      </c>
      <c r="C751" s="132" t="s">
        <v>66</v>
      </c>
      <c r="D751" s="100" t="s">
        <v>407</v>
      </c>
      <c r="E751" s="99">
        <v>114476</v>
      </c>
      <c r="F751" s="99" t="s">
        <v>172</v>
      </c>
      <c r="G751" s="109">
        <v>6</v>
      </c>
      <c r="H751" s="104">
        <f>VLOOKUP($E751,'Stock statement'!$D$2:$P$384,13,)</f>
        <v>739.98731621274567</v>
      </c>
      <c r="I751" s="127">
        <v>2.5000000000000001E-2</v>
      </c>
      <c r="J751" s="116">
        <v>1.0249999999999999</v>
      </c>
      <c r="K751" s="106">
        <f t="shared" si="66"/>
        <v>4664.6950445760949</v>
      </c>
      <c r="L751" s="128"/>
      <c r="M751" s="129">
        <f t="shared" si="67"/>
        <v>23.51006302466352</v>
      </c>
    </row>
    <row r="752" spans="1:13" s="107" customFormat="1" ht="15" customHeight="1">
      <c r="A752" s="100" t="str">
        <f>VLOOKUP(C752,Abstract!$E$4:$M$62,9,0)</f>
        <v>No Sales</v>
      </c>
      <c r="B752" s="95" t="s">
        <v>138</v>
      </c>
      <c r="C752" s="132" t="s">
        <v>66</v>
      </c>
      <c r="D752" s="100" t="s">
        <v>407</v>
      </c>
      <c r="E752" s="99" t="s">
        <v>153</v>
      </c>
      <c r="F752" s="99" t="s">
        <v>364</v>
      </c>
      <c r="G752" s="109">
        <v>0.625</v>
      </c>
      <c r="H752" s="104">
        <f>VLOOKUP($E752,'Stock statement'!$D$2:$P$384,13,)</f>
        <v>84.206363687840948</v>
      </c>
      <c r="I752" s="127">
        <v>2.5000000000000001E-2</v>
      </c>
      <c r="J752" s="116">
        <v>1.0249999999999999</v>
      </c>
      <c r="K752" s="106">
        <f t="shared" si="66"/>
        <v>55.293319280961178</v>
      </c>
      <c r="L752" s="128"/>
      <c r="M752" s="129">
        <f t="shared" si="67"/>
        <v>0.27867832917604435</v>
      </c>
    </row>
    <row r="753" spans="1:13" s="107" customFormat="1" ht="15" customHeight="1">
      <c r="A753" s="100" t="str">
        <f>VLOOKUP(C753,Abstract!$E$4:$M$62,9,0)</f>
        <v>No Sales</v>
      </c>
      <c r="B753" s="95" t="s">
        <v>138</v>
      </c>
      <c r="C753" s="132" t="s">
        <v>66</v>
      </c>
      <c r="D753" s="100" t="s">
        <v>407</v>
      </c>
      <c r="E753" s="99" t="s">
        <v>164</v>
      </c>
      <c r="F753" s="95" t="s">
        <v>165</v>
      </c>
      <c r="G753" s="109">
        <v>3.5000000000000005E-3</v>
      </c>
      <c r="H753" s="104">
        <f>VLOOKUP($E753,'Stock statement'!$D$2:$P$384,13,)</f>
        <v>1939</v>
      </c>
      <c r="I753" s="127">
        <v>2.5000000000000001E-2</v>
      </c>
      <c r="J753" s="116">
        <v>1.0249999999999999</v>
      </c>
      <c r="K753" s="106">
        <f t="shared" si="66"/>
        <v>7.1300665624999997</v>
      </c>
      <c r="L753" s="128"/>
      <c r="M753" s="129">
        <f t="shared" si="67"/>
        <v>3.5935535475000002E-2</v>
      </c>
    </row>
    <row r="754" spans="1:13" s="107" customFormat="1" ht="15" customHeight="1">
      <c r="A754" s="100" t="str">
        <f>VLOOKUP(C754,Abstract!$E$4:$M$62,9,0)</f>
        <v>No Sales</v>
      </c>
      <c r="B754" s="95" t="s">
        <v>138</v>
      </c>
      <c r="C754" s="132" t="s">
        <v>66</v>
      </c>
      <c r="D754" s="100" t="s">
        <v>407</v>
      </c>
      <c r="E754" s="99" t="s">
        <v>162</v>
      </c>
      <c r="F754" s="95" t="s">
        <v>163</v>
      </c>
      <c r="G754" s="109">
        <v>0.04</v>
      </c>
      <c r="H754" s="104">
        <f>VLOOKUP($E754,'Stock statement'!$D$2:$P$384,13,)</f>
        <v>348.44830167161894</v>
      </c>
      <c r="I754" s="127">
        <v>2.5000000000000001E-2</v>
      </c>
      <c r="J754" s="116">
        <v>1.0249999999999999</v>
      </c>
      <c r="K754" s="106">
        <f t="shared" si="66"/>
        <v>14.643539877749783</v>
      </c>
      <c r="L754" s="128"/>
      <c r="M754" s="129">
        <f t="shared" si="67"/>
        <v>7.3803440983858909E-2</v>
      </c>
    </row>
    <row r="755" spans="1:13" s="107" customFormat="1" ht="15" customHeight="1">
      <c r="A755" s="100" t="str">
        <f>VLOOKUP(C755,Abstract!$E$4:$M$62,9,0)</f>
        <v>No Sales</v>
      </c>
      <c r="B755" s="95" t="s">
        <v>138</v>
      </c>
      <c r="C755" s="132" t="s">
        <v>66</v>
      </c>
      <c r="D755" s="100" t="s">
        <v>407</v>
      </c>
      <c r="E755" s="99" t="s">
        <v>143</v>
      </c>
      <c r="F755" s="108" t="s">
        <v>144</v>
      </c>
      <c r="G755" s="109">
        <v>5</v>
      </c>
      <c r="H755" s="104">
        <f>VLOOKUP($E755,'Stock statement'!$D$2:$P$384,13,)</f>
        <v>178.57970547017939</v>
      </c>
      <c r="I755" s="127">
        <v>2.5000000000000001E-2</v>
      </c>
      <c r="J755" s="116">
        <v>1.0249999999999999</v>
      </c>
      <c r="K755" s="106">
        <f t="shared" si="66"/>
        <v>938.10151529803602</v>
      </c>
      <c r="L755" s="128"/>
      <c r="M755" s="129">
        <f t="shared" si="67"/>
        <v>4.7280316371021014</v>
      </c>
    </row>
    <row r="756" spans="1:13" s="107" customFormat="1" ht="15" customHeight="1">
      <c r="A756" s="100" t="str">
        <f>VLOOKUP(C756,Abstract!$E$4:$M$62,9,0)</f>
        <v>No Sales</v>
      </c>
      <c r="B756" s="95" t="s">
        <v>138</v>
      </c>
      <c r="C756" s="132" t="s">
        <v>66</v>
      </c>
      <c r="D756" s="100" t="s">
        <v>407</v>
      </c>
      <c r="E756" s="99" t="s">
        <v>147</v>
      </c>
      <c r="F756" s="95" t="s">
        <v>148</v>
      </c>
      <c r="G756" s="109">
        <v>1</v>
      </c>
      <c r="H756" s="104">
        <f>VLOOKUP($E756,'Stock statement'!$D$2:$P$384,13,)</f>
        <v>353.50950483838068</v>
      </c>
      <c r="I756" s="127">
        <v>2.5000000000000001E-2</v>
      </c>
      <c r="J756" s="116">
        <v>1.0249999999999999</v>
      </c>
      <c r="K756" s="106">
        <f t="shared" si="66"/>
        <v>371.40592352082365</v>
      </c>
      <c r="L756" s="128"/>
      <c r="M756" s="129">
        <f t="shared" si="67"/>
        <v>1.8718858545449513</v>
      </c>
    </row>
    <row r="757" spans="1:13" s="107" customFormat="1" ht="15" customHeight="1">
      <c r="A757" s="100" t="str">
        <f>VLOOKUP(C757,Abstract!$E$4:$M$62,9,0)</f>
        <v>No Sales</v>
      </c>
      <c r="B757" s="95" t="s">
        <v>138</v>
      </c>
      <c r="C757" s="132" t="s">
        <v>66</v>
      </c>
      <c r="D757" s="100" t="s">
        <v>407</v>
      </c>
      <c r="E757" s="99" t="s">
        <v>179</v>
      </c>
      <c r="F757" s="102" t="s">
        <v>180</v>
      </c>
      <c r="G757" s="109">
        <v>0.5</v>
      </c>
      <c r="H757" s="104">
        <f>VLOOKUP($E757,'Stock statement'!$D$2:$P$384,13,)</f>
        <v>1036.4956269221443</v>
      </c>
      <c r="I757" s="127">
        <v>2.5000000000000001E-2</v>
      </c>
      <c r="J757" s="116">
        <v>1.0249999999999999</v>
      </c>
      <c r="K757" s="106">
        <f t="shared" si="66"/>
        <v>544.48410901753891</v>
      </c>
      <c r="L757" s="128"/>
      <c r="M757" s="129">
        <f t="shared" si="67"/>
        <v>2.7441999094483962</v>
      </c>
    </row>
    <row r="758" spans="1:13" s="107" customFormat="1" ht="15" customHeight="1">
      <c r="A758" s="100" t="str">
        <f>VLOOKUP(C758,Abstract!$E$4:$M$62,9,0)</f>
        <v>No Sales</v>
      </c>
      <c r="B758" s="95" t="s">
        <v>138</v>
      </c>
      <c r="C758" s="132" t="s">
        <v>66</v>
      </c>
      <c r="D758" s="100" t="s">
        <v>407</v>
      </c>
      <c r="E758" s="99" t="s">
        <v>181</v>
      </c>
      <c r="F758" s="102" t="s">
        <v>182</v>
      </c>
      <c r="G758" s="109">
        <v>12.5</v>
      </c>
      <c r="H758" s="104">
        <f>VLOOKUP($E758,'Stock statement'!$D$2:$P$384,13,)</f>
        <v>17.110276913020375</v>
      </c>
      <c r="I758" s="127">
        <v>2.5000000000000001E-2</v>
      </c>
      <c r="J758" s="116">
        <v>1.0249999999999999</v>
      </c>
      <c r="K758" s="106">
        <f t="shared" si="66"/>
        <v>224.70605852177536</v>
      </c>
      <c r="L758" s="128"/>
      <c r="M758" s="129">
        <f t="shared" si="67"/>
        <v>1.132518534949748</v>
      </c>
    </row>
    <row r="759" spans="1:13" s="107" customFormat="1" ht="15" customHeight="1">
      <c r="A759" s="100" t="str">
        <f>VLOOKUP(C759,Abstract!$E$4:$M$62,9,0)</f>
        <v>No Sales</v>
      </c>
      <c r="B759" s="95" t="s">
        <v>138</v>
      </c>
      <c r="C759" s="132" t="s">
        <v>66</v>
      </c>
      <c r="D759" s="100" t="s">
        <v>407</v>
      </c>
      <c r="E759" s="99" t="s">
        <v>139</v>
      </c>
      <c r="F759" s="102" t="s">
        <v>140</v>
      </c>
      <c r="G759" s="109">
        <v>733.35599999999999</v>
      </c>
      <c r="H759" s="104">
        <f>VLOOKUP($E759,'Stock statement'!$D$2:$P$384,13,)</f>
        <v>0.34</v>
      </c>
      <c r="I759" s="127">
        <v>2.5000000000000001E-2</v>
      </c>
      <c r="J759" s="116">
        <v>1.0249999999999999</v>
      </c>
      <c r="K759" s="106">
        <f t="shared" si="66"/>
        <v>261.96393015000001</v>
      </c>
      <c r="L759" s="128"/>
      <c r="M759" s="129">
        <f t="shared" si="67"/>
        <v>1.3202982079560002</v>
      </c>
    </row>
    <row r="760" spans="1:13" s="107" customFormat="1" ht="15" customHeight="1">
      <c r="A760" s="100" t="str">
        <f>VLOOKUP(C760,Abstract!$E$4:$M$62,9,0)</f>
        <v>No Sales</v>
      </c>
      <c r="B760" s="99" t="s">
        <v>183</v>
      </c>
      <c r="C760" s="132" t="s">
        <v>66</v>
      </c>
      <c r="D760" s="100" t="s">
        <v>407</v>
      </c>
      <c r="E760" s="99" t="s">
        <v>191</v>
      </c>
      <c r="F760" s="95" t="s">
        <v>192</v>
      </c>
      <c r="G760" s="109">
        <f>+G761*0.017</f>
        <v>3.373015873015873</v>
      </c>
      <c r="H760" s="104">
        <f>VLOOKUP($E760,'Stock statement'!$D$2:$P$384,13,)</f>
        <v>44.985440769279101</v>
      </c>
      <c r="I760" s="127">
        <v>0.02</v>
      </c>
      <c r="J760" s="113">
        <v>1</v>
      </c>
      <c r="K760" s="106">
        <f t="shared" si="66"/>
        <v>154.77133788478167</v>
      </c>
      <c r="L760" s="128"/>
      <c r="M760" s="129">
        <f t="shared" si="67"/>
        <v>0.78004754293929968</v>
      </c>
    </row>
    <row r="761" spans="1:13" s="107" customFormat="1" ht="15" customHeight="1">
      <c r="A761" s="100" t="str">
        <f>VLOOKUP(C761,Abstract!$E$4:$M$62,9,0)</f>
        <v>No Sales</v>
      </c>
      <c r="B761" s="99" t="s">
        <v>183</v>
      </c>
      <c r="C761" s="132" t="s">
        <v>66</v>
      </c>
      <c r="D761" s="100" t="s">
        <v>407</v>
      </c>
      <c r="E761" s="99" t="s">
        <v>408</v>
      </c>
      <c r="F761" s="99" t="s">
        <v>408</v>
      </c>
      <c r="G761" s="109">
        <f>1000/5.04</f>
        <v>198.4126984126984</v>
      </c>
      <c r="H761" s="104">
        <f>VLOOKUP($E761,'Stock statement'!$D$2:$P$384,13,)</f>
        <v>23.508945271639824</v>
      </c>
      <c r="I761" s="127">
        <v>6.0000000000000001E-3</v>
      </c>
      <c r="J761" s="113">
        <v>1</v>
      </c>
      <c r="K761" s="106">
        <f t="shared" si="66"/>
        <v>4692.4601077915995</v>
      </c>
      <c r="L761" s="128"/>
      <c r="M761" s="129">
        <f t="shared" si="67"/>
        <v>23.649998943269662</v>
      </c>
    </row>
    <row r="762" spans="1:13" s="107" customFormat="1" ht="15" customHeight="1">
      <c r="A762" s="100" t="str">
        <f>VLOOKUP(C762,Abstract!$E$4:$M$62,9,0)</f>
        <v>No Sales</v>
      </c>
      <c r="B762" s="99" t="s">
        <v>183</v>
      </c>
      <c r="C762" s="132" t="s">
        <v>66</v>
      </c>
      <c r="D762" s="100" t="s">
        <v>407</v>
      </c>
      <c r="E762" s="99" t="s">
        <v>233</v>
      </c>
      <c r="F762" s="99" t="s">
        <v>409</v>
      </c>
      <c r="G762" s="109">
        <f>+G761*144</f>
        <v>28571.428571428569</v>
      </c>
      <c r="H762" s="104">
        <f>VLOOKUP($E762,'Stock statement'!$D$2:$P$384,13,)</f>
        <v>1.8849477525115979</v>
      </c>
      <c r="I762" s="127">
        <v>6.0000000000000001E-3</v>
      </c>
      <c r="J762" s="113">
        <v>1</v>
      </c>
      <c r="K762" s="106">
        <f t="shared" si="66"/>
        <v>54178.783972190497</v>
      </c>
      <c r="L762" s="128"/>
      <c r="M762" s="129">
        <f t="shared" si="67"/>
        <v>273.06107121984013</v>
      </c>
    </row>
    <row r="763" spans="1:13" s="107" customFormat="1" ht="15" customHeight="1">
      <c r="A763" s="100" t="str">
        <f>VLOOKUP(C763,Abstract!$E$4:$M$62,9,0)</f>
        <v>No Sales</v>
      </c>
      <c r="B763" s="99" t="s">
        <v>183</v>
      </c>
      <c r="C763" s="132" t="s">
        <v>66</v>
      </c>
      <c r="D763" s="100" t="s">
        <v>407</v>
      </c>
      <c r="E763" s="99" t="s">
        <v>410</v>
      </c>
      <c r="F763" s="99" t="s">
        <v>411</v>
      </c>
      <c r="G763" s="109">
        <f>+G761*144</f>
        <v>28571.428571428569</v>
      </c>
      <c r="H763" s="104">
        <f>VLOOKUP($E763,'Stock statement'!$D$2:$P$384,13,)</f>
        <v>0.35469600666996953</v>
      </c>
      <c r="I763" s="127">
        <v>6.0000000000000001E-3</v>
      </c>
      <c r="J763" s="113">
        <v>1</v>
      </c>
      <c r="K763" s="106">
        <f t="shared" si="66"/>
        <v>10194.976648856837</v>
      </c>
      <c r="L763" s="128"/>
      <c r="M763" s="129">
        <f t="shared" si="67"/>
        <v>51.382682310238458</v>
      </c>
    </row>
    <row r="764" spans="1:13" s="107" customFormat="1" ht="15" customHeight="1">
      <c r="A764" s="100" t="str">
        <f>VLOOKUP(C764,Abstract!$E$4:$M$62,9,0)</f>
        <v>No Sales</v>
      </c>
      <c r="B764" s="99" t="s">
        <v>183</v>
      </c>
      <c r="C764" s="132" t="s">
        <v>66</v>
      </c>
      <c r="D764" s="100" t="s">
        <v>407</v>
      </c>
      <c r="E764" s="99" t="s">
        <v>412</v>
      </c>
      <c r="F764" s="99" t="s">
        <v>413</v>
      </c>
      <c r="G764" s="109">
        <f>12*G761</f>
        <v>2380.9523809523807</v>
      </c>
      <c r="H764" s="104">
        <f>VLOOKUP($E764,'Stock statement'!$D$2:$P$384,13,)</f>
        <v>13.215426274652591</v>
      </c>
      <c r="I764" s="127">
        <v>1.4999999999999999E-2</v>
      </c>
      <c r="J764" s="113">
        <v>1</v>
      </c>
      <c r="K764" s="106">
        <f t="shared" si="66"/>
        <v>31937.280163743755</v>
      </c>
      <c r="L764" s="128"/>
      <c r="M764" s="129">
        <f t="shared" si="67"/>
        <v>160.96389202526854</v>
      </c>
    </row>
    <row r="765" spans="1:13" s="107" customFormat="1" ht="15" customHeight="1">
      <c r="A765" s="100" t="str">
        <f>VLOOKUP(C765,Abstract!$E$4:$M$62,9,0)</f>
        <v>No Sales</v>
      </c>
      <c r="B765" s="99" t="s">
        <v>183</v>
      </c>
      <c r="C765" s="132" t="s">
        <v>66</v>
      </c>
      <c r="D765" s="100" t="s">
        <v>407</v>
      </c>
      <c r="E765" s="99" t="s">
        <v>414</v>
      </c>
      <c r="F765" s="99" t="s">
        <v>415</v>
      </c>
      <c r="G765" s="109">
        <f>+G764</f>
        <v>2380.9523809523807</v>
      </c>
      <c r="H765" s="104">
        <f>VLOOKUP($E765,'Stock statement'!$D$2:$P$384,13,)</f>
        <v>1.1001630203509891</v>
      </c>
      <c r="I765" s="127">
        <v>1.4999999999999999E-2</v>
      </c>
      <c r="J765" s="113">
        <v>1</v>
      </c>
      <c r="K765" s="106">
        <f t="shared" si="66"/>
        <v>2658.7272991815566</v>
      </c>
      <c r="L765" s="128"/>
      <c r="M765" s="129">
        <f t="shared" si="67"/>
        <v>13.399985587875046</v>
      </c>
    </row>
    <row r="766" spans="1:13" s="107" customFormat="1" ht="15" customHeight="1">
      <c r="A766" s="100" t="str">
        <f>VLOOKUP(C766,Abstract!$E$4:$M$62,9,0)</f>
        <v>No Sales</v>
      </c>
      <c r="B766" s="99" t="s">
        <v>183</v>
      </c>
      <c r="C766" s="132" t="s">
        <v>66</v>
      </c>
      <c r="D766" s="100" t="s">
        <v>407</v>
      </c>
      <c r="E766" s="99">
        <v>214305</v>
      </c>
      <c r="F766" s="99" t="s">
        <v>416</v>
      </c>
      <c r="G766" s="109">
        <f>+G761*144</f>
        <v>28571.428571428569</v>
      </c>
      <c r="H766" s="104">
        <f>VLOOKUP($E766,'Stock statement'!$D$2:$P$384,13,)</f>
        <v>0.5</v>
      </c>
      <c r="I766" s="127">
        <v>0.01</v>
      </c>
      <c r="J766" s="113">
        <v>1</v>
      </c>
      <c r="K766" s="106">
        <f t="shared" si="66"/>
        <v>14428.571428571428</v>
      </c>
      <c r="L766" s="128"/>
      <c r="M766" s="129">
        <f t="shared" si="67"/>
        <v>72.72</v>
      </c>
    </row>
    <row r="767" spans="1:13" s="107" customFormat="1" ht="15" customHeight="1">
      <c r="A767" s="100" t="str">
        <f>VLOOKUP(C767,Abstract!$E$4:$M$62,9,0)</f>
        <v>No Sales</v>
      </c>
      <c r="B767" s="95" t="s">
        <v>194</v>
      </c>
      <c r="C767" s="132" t="s">
        <v>66</v>
      </c>
      <c r="D767" s="100" t="s">
        <v>407</v>
      </c>
      <c r="E767" s="99" t="s">
        <v>243</v>
      </c>
      <c r="F767" s="99"/>
      <c r="G767" s="109">
        <f>G762</f>
        <v>28571.428571428569</v>
      </c>
      <c r="H767" s="104">
        <v>0.04</v>
      </c>
      <c r="I767" s="127"/>
      <c r="J767" s="113">
        <v>1</v>
      </c>
      <c r="K767" s="106">
        <f t="shared" si="66"/>
        <v>1142.8571428571429</v>
      </c>
      <c r="L767" s="128"/>
      <c r="M767" s="129">
        <f t="shared" si="67"/>
        <v>5.7600000000000007</v>
      </c>
    </row>
    <row r="768" spans="1:13" s="107" customFormat="1" ht="15" customHeight="1">
      <c r="A768" s="100" t="str">
        <f>VLOOKUP(C768,Abstract!$E$4:$M$62,9,0)</f>
        <v>No Sales</v>
      </c>
      <c r="B768" s="95" t="s">
        <v>194</v>
      </c>
      <c r="C768" s="132" t="s">
        <v>66</v>
      </c>
      <c r="D768" s="100" t="s">
        <v>407</v>
      </c>
      <c r="E768" s="99" t="s">
        <v>196</v>
      </c>
      <c r="F768" s="99"/>
      <c r="G768" s="109">
        <f>G762*23</f>
        <v>657142.85714285704</v>
      </c>
      <c r="H768" s="130">
        <v>1.6999999999999999E-3</v>
      </c>
      <c r="I768" s="127"/>
      <c r="J768" s="113">
        <v>1</v>
      </c>
      <c r="K768" s="106">
        <f t="shared" si="66"/>
        <v>1117.1428571428569</v>
      </c>
      <c r="L768" s="128"/>
      <c r="M768" s="129">
        <f t="shared" si="67"/>
        <v>5.630399999999999</v>
      </c>
    </row>
    <row r="769" spans="1:13" s="107" customFormat="1" ht="15" customHeight="1">
      <c r="A769" s="100" t="str">
        <f>VLOOKUP(C769,Abstract!$E$4:$M$62,9,0)</f>
        <v>No Sales</v>
      </c>
      <c r="B769" s="99" t="s">
        <v>197</v>
      </c>
      <c r="C769" s="132" t="s">
        <v>66</v>
      </c>
      <c r="D769" s="100" t="s">
        <v>407</v>
      </c>
      <c r="E769" s="99" t="s">
        <v>198</v>
      </c>
      <c r="F769" s="99"/>
      <c r="G769" s="109"/>
      <c r="H769" s="104"/>
      <c r="I769" s="127"/>
      <c r="J769" s="113"/>
      <c r="K769" s="106">
        <v>9000</v>
      </c>
      <c r="L769" s="128">
        <f>SUM(K737:K769)</f>
        <v>167181.78494917534</v>
      </c>
      <c r="M769" s="129">
        <f t="shared" si="67"/>
        <v>45.36</v>
      </c>
    </row>
    <row r="770" spans="1:13" s="107" customFormat="1" ht="15" customHeight="1">
      <c r="A770" s="100" t="str">
        <f>VLOOKUP(C770,Abstract!$E$4:$M$62,9,0)</f>
        <v>No Sales</v>
      </c>
      <c r="B770" s="95" t="s">
        <v>138</v>
      </c>
      <c r="C770" s="133" t="s">
        <v>68</v>
      </c>
      <c r="D770" s="133" t="s">
        <v>417</v>
      </c>
      <c r="E770" s="99" t="s">
        <v>141</v>
      </c>
      <c r="F770" s="108" t="s">
        <v>142</v>
      </c>
      <c r="G770" s="109">
        <v>185.7</v>
      </c>
      <c r="H770" s="104">
        <f>VLOOKUP($E770,'Stock statement'!$D$2:$P$384,13,)</f>
        <v>94.278330452007026</v>
      </c>
      <c r="I770" s="127">
        <v>2.5000000000000001E-2</v>
      </c>
      <c r="J770" s="116">
        <v>1.0249999999999999</v>
      </c>
      <c r="K770" s="106">
        <f t="shared" ref="K770:K795" si="68">+G770*H770*(1+I770)*J770</f>
        <v>18393.80244191267</v>
      </c>
      <c r="L770" s="115"/>
      <c r="M770" s="104">
        <f>K770/$G$787</f>
        <v>105.94830206541698</v>
      </c>
    </row>
    <row r="771" spans="1:13" s="107" customFormat="1" ht="15" customHeight="1">
      <c r="A771" s="100" t="str">
        <f>VLOOKUP(C771,Abstract!$E$4:$M$62,9,0)</f>
        <v>No Sales</v>
      </c>
      <c r="B771" s="95" t="s">
        <v>138</v>
      </c>
      <c r="C771" s="133" t="s">
        <v>68</v>
      </c>
      <c r="D771" s="133" t="s">
        <v>417</v>
      </c>
      <c r="E771" s="99" t="s">
        <v>145</v>
      </c>
      <c r="F771" s="102" t="s">
        <v>146</v>
      </c>
      <c r="G771" s="109">
        <v>10</v>
      </c>
      <c r="H771" s="104">
        <f>VLOOKUP($E771,'Stock statement'!$D$2:$P$384,13,)</f>
        <v>151.08681180977209</v>
      </c>
      <c r="I771" s="127">
        <v>2.5000000000000001E-2</v>
      </c>
      <c r="J771" s="116">
        <v>1.0249999999999999</v>
      </c>
      <c r="K771" s="106">
        <f t="shared" si="68"/>
        <v>1587.3558165764177</v>
      </c>
      <c r="L771" s="115"/>
      <c r="M771" s="104">
        <f t="shared" ref="M771:M796" si="69">K771/$G$787</f>
        <v>9.1431695034801663</v>
      </c>
    </row>
    <row r="772" spans="1:13" s="107" customFormat="1" ht="15" customHeight="1">
      <c r="A772" s="100" t="str">
        <f>VLOOKUP(C772,Abstract!$E$4:$M$62,9,0)</f>
        <v>No Sales</v>
      </c>
      <c r="B772" s="95" t="s">
        <v>138</v>
      </c>
      <c r="C772" s="133" t="s">
        <v>68</v>
      </c>
      <c r="D772" s="133" t="s">
        <v>417</v>
      </c>
      <c r="E772" s="99" t="s">
        <v>155</v>
      </c>
      <c r="F772" s="99" t="s">
        <v>156</v>
      </c>
      <c r="G772" s="109">
        <v>20</v>
      </c>
      <c r="H772" s="104">
        <f>VLOOKUP($E772,'Stock statement'!$D$2:$P$384,13,)</f>
        <v>68.308211638055738</v>
      </c>
      <c r="I772" s="127">
        <v>2.5000000000000001E-2</v>
      </c>
      <c r="J772" s="116">
        <v>1.0249999999999999</v>
      </c>
      <c r="K772" s="106">
        <f t="shared" si="68"/>
        <v>1435.326297044646</v>
      </c>
      <c r="L772" s="115"/>
      <c r="M772" s="104">
        <f t="shared" si="69"/>
        <v>8.2674794709771611</v>
      </c>
    </row>
    <row r="773" spans="1:13" s="107" customFormat="1" ht="15" customHeight="1">
      <c r="A773" s="100" t="str">
        <f>VLOOKUP(C773,Abstract!$E$4:$M$62,9,0)</f>
        <v>No Sales</v>
      </c>
      <c r="B773" s="95" t="s">
        <v>138</v>
      </c>
      <c r="C773" s="133" t="s">
        <v>68</v>
      </c>
      <c r="D773" s="133" t="s">
        <v>417</v>
      </c>
      <c r="E773" s="99" t="s">
        <v>166</v>
      </c>
      <c r="F773" s="99" t="s">
        <v>418</v>
      </c>
      <c r="G773" s="109">
        <v>2.5</v>
      </c>
      <c r="H773" s="104">
        <f>VLOOKUP($E773,'Stock statement'!$D$2:$P$384,13,)</f>
        <v>127.15913438761541</v>
      </c>
      <c r="I773" s="127">
        <v>2.5000000000000001E-2</v>
      </c>
      <c r="J773" s="116">
        <v>1.0249999999999999</v>
      </c>
      <c r="K773" s="106">
        <f t="shared" si="68"/>
        <v>333.99141391497102</v>
      </c>
      <c r="L773" s="115"/>
      <c r="M773" s="104">
        <f t="shared" si="69"/>
        <v>1.923790544150233</v>
      </c>
    </row>
    <row r="774" spans="1:13" s="107" customFormat="1" ht="15" customHeight="1">
      <c r="A774" s="100" t="str">
        <f>VLOOKUP(C774,Abstract!$E$4:$M$62,9,0)</f>
        <v>No Sales</v>
      </c>
      <c r="B774" s="95" t="s">
        <v>138</v>
      </c>
      <c r="C774" s="133" t="s">
        <v>68</v>
      </c>
      <c r="D774" s="133" t="s">
        <v>417</v>
      </c>
      <c r="E774" s="99" t="s">
        <v>143</v>
      </c>
      <c r="F774" s="108" t="s">
        <v>144</v>
      </c>
      <c r="G774" s="109">
        <v>10</v>
      </c>
      <c r="H774" s="104">
        <f>VLOOKUP($E774,'Stock statement'!$D$2:$P$384,13,)</f>
        <v>178.57970547017939</v>
      </c>
      <c r="I774" s="127">
        <v>2.5000000000000001E-2</v>
      </c>
      <c r="J774" s="116">
        <v>1.0249999999999999</v>
      </c>
      <c r="K774" s="106">
        <f t="shared" si="68"/>
        <v>1876.203030596072</v>
      </c>
      <c r="L774" s="115"/>
      <c r="M774" s="104">
        <f t="shared" si="69"/>
        <v>10.806929456233375</v>
      </c>
    </row>
    <row r="775" spans="1:13" s="107" customFormat="1" ht="15" customHeight="1">
      <c r="A775" s="100" t="str">
        <f>VLOOKUP(C775,Abstract!$E$4:$M$62,9,0)</f>
        <v>No Sales</v>
      </c>
      <c r="B775" s="95" t="s">
        <v>138</v>
      </c>
      <c r="C775" s="133" t="s">
        <v>68</v>
      </c>
      <c r="D775" s="133" t="s">
        <v>417</v>
      </c>
      <c r="E775" s="99" t="s">
        <v>149</v>
      </c>
      <c r="F775" s="99" t="s">
        <v>150</v>
      </c>
      <c r="G775" s="109">
        <v>0.125</v>
      </c>
      <c r="H775" s="104">
        <f>VLOOKUP($E775,'Stock statement'!$D$2:$P$384,13,)</f>
        <v>161.56941474217822</v>
      </c>
      <c r="I775" s="127">
        <v>2.5000000000000001E-2</v>
      </c>
      <c r="J775" s="116">
        <v>1.0249999999999999</v>
      </c>
      <c r="K775" s="106">
        <f t="shared" si="68"/>
        <v>21.218608295437623</v>
      </c>
      <c r="L775" s="115"/>
      <c r="M775" s="104">
        <f t="shared" si="69"/>
        <v>0.1222191837817207</v>
      </c>
    </row>
    <row r="776" spans="1:13" s="107" customFormat="1" ht="15" customHeight="1">
      <c r="A776" s="100" t="str">
        <f>VLOOKUP(C776,Abstract!$E$4:$M$62,9,0)</f>
        <v>No Sales</v>
      </c>
      <c r="B776" s="95" t="s">
        <v>138</v>
      </c>
      <c r="C776" s="133" t="s">
        <v>68</v>
      </c>
      <c r="D776" s="133" t="s">
        <v>417</v>
      </c>
      <c r="E776" s="99">
        <v>114271</v>
      </c>
      <c r="F776" s="99" t="s">
        <v>419</v>
      </c>
      <c r="G776" s="109">
        <v>30</v>
      </c>
      <c r="H776" s="104">
        <f>VLOOKUP($E776,'Stock statement'!$D$2:$P$384,13,)</f>
        <v>407.26831661471198</v>
      </c>
      <c r="I776" s="127">
        <v>2.5000000000000001E-2</v>
      </c>
      <c r="J776" s="116">
        <v>1.0249999999999999</v>
      </c>
      <c r="K776" s="106">
        <f t="shared" si="68"/>
        <v>12836.588254299952</v>
      </c>
      <c r="L776" s="115"/>
      <c r="M776" s="104">
        <f t="shared" si="69"/>
        <v>73.938748344767717</v>
      </c>
    </row>
    <row r="777" spans="1:13" s="107" customFormat="1" ht="15" customHeight="1">
      <c r="A777" s="100" t="str">
        <f>VLOOKUP(C777,Abstract!$E$4:$M$62,9,0)</f>
        <v>No Sales</v>
      </c>
      <c r="B777" s="95" t="s">
        <v>138</v>
      </c>
      <c r="C777" s="133" t="s">
        <v>68</v>
      </c>
      <c r="D777" s="133" t="s">
        <v>417</v>
      </c>
      <c r="E777" s="95" t="s">
        <v>157</v>
      </c>
      <c r="F777" s="102" t="s">
        <v>158</v>
      </c>
      <c r="G777" s="109">
        <v>1</v>
      </c>
      <c r="H777" s="104">
        <f>VLOOKUP($E777,'Stock statement'!$D$2:$P$384,13,)</f>
        <v>828.81974703846117</v>
      </c>
      <c r="I777" s="127">
        <v>2.5000000000000001E-2</v>
      </c>
      <c r="J777" s="116">
        <v>1.0249999999999999</v>
      </c>
      <c r="K777" s="106">
        <f t="shared" si="68"/>
        <v>870.77874673228314</v>
      </c>
      <c r="L777" s="115"/>
      <c r="M777" s="104">
        <f t="shared" si="69"/>
        <v>5.0156855811779506</v>
      </c>
    </row>
    <row r="778" spans="1:13" s="107" customFormat="1" ht="15" customHeight="1">
      <c r="A778" s="100" t="str">
        <f>VLOOKUP(C778,Abstract!$E$4:$M$62,9,0)</f>
        <v>No Sales</v>
      </c>
      <c r="B778" s="95" t="s">
        <v>138</v>
      </c>
      <c r="C778" s="133" t="s">
        <v>68</v>
      </c>
      <c r="D778" s="133" t="s">
        <v>417</v>
      </c>
      <c r="E778" s="157">
        <v>115150</v>
      </c>
      <c r="F778" s="99" t="s">
        <v>159</v>
      </c>
      <c r="G778" s="109">
        <v>1</v>
      </c>
      <c r="H778" s="104">
        <f>VLOOKUP($E778,'Stock statement'!$D$2:$P$384,13,)</f>
        <v>456.30699446392703</v>
      </c>
      <c r="I778" s="127">
        <v>2.5000000000000001E-2</v>
      </c>
      <c r="J778" s="116">
        <v>1.0249999999999999</v>
      </c>
      <c r="K778" s="106">
        <f t="shared" si="68"/>
        <v>479.40753605866325</v>
      </c>
      <c r="L778" s="115"/>
      <c r="M778" s="104">
        <f t="shared" si="69"/>
        <v>2.7613874076979004</v>
      </c>
    </row>
    <row r="779" spans="1:13" s="107" customFormat="1" ht="15" customHeight="1">
      <c r="A779" s="100" t="str">
        <f>VLOOKUP(C779,Abstract!$E$4:$M$62,9,0)</f>
        <v>No Sales</v>
      </c>
      <c r="B779" s="95" t="s">
        <v>138</v>
      </c>
      <c r="C779" s="133" t="s">
        <v>68</v>
      </c>
      <c r="D779" s="133" t="s">
        <v>417</v>
      </c>
      <c r="E779" s="95" t="s">
        <v>160</v>
      </c>
      <c r="F779" s="108" t="s">
        <v>161</v>
      </c>
      <c r="G779" s="109">
        <v>0.25</v>
      </c>
      <c r="H779" s="104">
        <f>VLOOKUP($E779,'Stock statement'!$D$2:$P$384,13,)</f>
        <v>3313.2387673094586</v>
      </c>
      <c r="I779" s="127">
        <v>2.5000000000000001E-2</v>
      </c>
      <c r="J779" s="116">
        <v>1.0249999999999999</v>
      </c>
      <c r="K779" s="106">
        <f t="shared" si="68"/>
        <v>870.24286997612489</v>
      </c>
      <c r="L779" s="115"/>
      <c r="M779" s="104">
        <f t="shared" si="69"/>
        <v>5.0125989310624792</v>
      </c>
    </row>
    <row r="780" spans="1:13" s="107" customFormat="1" ht="15" customHeight="1">
      <c r="A780" s="100" t="str">
        <f>VLOOKUP(C780,Abstract!$E$4:$M$62,9,0)</f>
        <v>No Sales</v>
      </c>
      <c r="B780" s="95" t="s">
        <v>138</v>
      </c>
      <c r="C780" s="133" t="s">
        <v>68</v>
      </c>
      <c r="D780" s="133" t="s">
        <v>417</v>
      </c>
      <c r="E780" s="99">
        <v>115152</v>
      </c>
      <c r="F780" s="99" t="s">
        <v>420</v>
      </c>
      <c r="G780" s="109">
        <v>40</v>
      </c>
      <c r="H780" s="104">
        <f>VLOOKUP($E780,'Stock statement'!$D$2:$P$384,13,)</f>
        <v>341.17565217391302</v>
      </c>
      <c r="I780" s="127">
        <v>2.5000000000000001E-2</v>
      </c>
      <c r="J780" s="116">
        <v>1.0249999999999999</v>
      </c>
      <c r="K780" s="106">
        <f t="shared" si="68"/>
        <v>14337.906782608692</v>
      </c>
      <c r="L780" s="115"/>
      <c r="M780" s="104">
        <f t="shared" si="69"/>
        <v>82.586343067826064</v>
      </c>
    </row>
    <row r="781" spans="1:13" s="107" customFormat="1" ht="15" customHeight="1">
      <c r="A781" s="100" t="str">
        <f>VLOOKUP(C781,Abstract!$E$4:$M$62,9,0)</f>
        <v>No Sales</v>
      </c>
      <c r="B781" s="95" t="s">
        <v>138</v>
      </c>
      <c r="C781" s="133" t="s">
        <v>68</v>
      </c>
      <c r="D781" s="133" t="s">
        <v>417</v>
      </c>
      <c r="E781" s="99">
        <v>115321</v>
      </c>
      <c r="F781" s="99" t="s">
        <v>421</v>
      </c>
      <c r="G781" s="109">
        <v>7</v>
      </c>
      <c r="H781" s="104">
        <f>VLOOKUP($E781,'Stock statement'!$D$2:$P$384,13,)</f>
        <v>983.99999999999977</v>
      </c>
      <c r="I781" s="127">
        <v>2.5000000000000001E-2</v>
      </c>
      <c r="J781" s="116">
        <v>1.0249999999999999</v>
      </c>
      <c r="K781" s="106">
        <f t="shared" si="68"/>
        <v>7236.7049999999963</v>
      </c>
      <c r="L781" s="115"/>
      <c r="M781" s="104">
        <f t="shared" si="69"/>
        <v>41.683420799999979</v>
      </c>
    </row>
    <row r="782" spans="1:13" s="107" customFormat="1" ht="15" customHeight="1">
      <c r="A782" s="100" t="str">
        <f>VLOOKUP(C782,Abstract!$E$4:$M$62,9,0)</f>
        <v>No Sales</v>
      </c>
      <c r="B782" s="95" t="s">
        <v>138</v>
      </c>
      <c r="C782" s="133" t="s">
        <v>68</v>
      </c>
      <c r="D782" s="133" t="s">
        <v>417</v>
      </c>
      <c r="E782" s="99">
        <v>114273</v>
      </c>
      <c r="F782" s="99" t="s">
        <v>422</v>
      </c>
      <c r="G782" s="109">
        <v>20</v>
      </c>
      <c r="H782" s="104">
        <f>VLOOKUP($E782,'Stock statement'!$D$2:$P$384,13,)</f>
        <v>734.07091095950022</v>
      </c>
      <c r="I782" s="127">
        <v>2.5000000000000001E-2</v>
      </c>
      <c r="J782" s="116">
        <v>1.0249999999999999</v>
      </c>
      <c r="K782" s="106">
        <f t="shared" si="68"/>
        <v>15424.665016536495</v>
      </c>
      <c r="L782" s="115"/>
      <c r="M782" s="104">
        <f t="shared" si="69"/>
        <v>88.846070495250217</v>
      </c>
    </row>
    <row r="783" spans="1:13" s="107" customFormat="1" ht="15" customHeight="1">
      <c r="A783" s="100" t="str">
        <f>VLOOKUP(C783,Abstract!$E$4:$M$62,9,0)</f>
        <v>No Sales</v>
      </c>
      <c r="B783" s="95" t="s">
        <v>138</v>
      </c>
      <c r="C783" s="133" t="s">
        <v>68</v>
      </c>
      <c r="D783" s="133" t="s">
        <v>417</v>
      </c>
      <c r="E783" s="99" t="s">
        <v>181</v>
      </c>
      <c r="F783" s="102" t="s">
        <v>182</v>
      </c>
      <c r="G783" s="109">
        <v>10</v>
      </c>
      <c r="H783" s="104">
        <f>VLOOKUP($E783,'Stock statement'!$D$2:$P$384,13,)</f>
        <v>17.110276913020375</v>
      </c>
      <c r="I783" s="127">
        <v>2.5000000000000001E-2</v>
      </c>
      <c r="J783" s="116">
        <v>1.0249999999999999</v>
      </c>
      <c r="K783" s="106">
        <f t="shared" si="68"/>
        <v>179.76484681742028</v>
      </c>
      <c r="L783" s="115"/>
      <c r="M783" s="104">
        <f t="shared" si="69"/>
        <v>1.0354455176683408</v>
      </c>
    </row>
    <row r="784" spans="1:13" s="107" customFormat="1" ht="15" customHeight="1">
      <c r="A784" s="100" t="str">
        <f>VLOOKUP(C784,Abstract!$E$4:$M$62,9,0)</f>
        <v>No Sales</v>
      </c>
      <c r="B784" s="95" t="s">
        <v>138</v>
      </c>
      <c r="C784" s="133" t="s">
        <v>68</v>
      </c>
      <c r="D784" s="133" t="s">
        <v>417</v>
      </c>
      <c r="E784" s="99" t="s">
        <v>139</v>
      </c>
      <c r="F784" s="102" t="s">
        <v>140</v>
      </c>
      <c r="G784" s="109">
        <v>662.22499999999991</v>
      </c>
      <c r="H784" s="104">
        <f>VLOOKUP($E784,'Stock statement'!$D$2:$P$384,13,)</f>
        <v>0.34</v>
      </c>
      <c r="I784" s="127">
        <v>2.5000000000000001E-2</v>
      </c>
      <c r="J784" s="116">
        <v>1.0249999999999999</v>
      </c>
      <c r="K784" s="106">
        <f t="shared" si="68"/>
        <v>236.55504781249996</v>
      </c>
      <c r="L784" s="115"/>
      <c r="M784" s="104">
        <f t="shared" si="69"/>
        <v>1.3625570753999998</v>
      </c>
    </row>
    <row r="785" spans="1:13" s="107" customFormat="1" ht="15" customHeight="1">
      <c r="A785" s="100" t="str">
        <f>VLOOKUP(C785,Abstract!$E$4:$M$62,9,0)</f>
        <v>No Sales</v>
      </c>
      <c r="B785" s="95" t="s">
        <v>138</v>
      </c>
      <c r="C785" s="133" t="s">
        <v>68</v>
      </c>
      <c r="D785" s="133" t="s">
        <v>417</v>
      </c>
      <c r="E785" s="99">
        <v>115322</v>
      </c>
      <c r="F785" s="99" t="s">
        <v>423</v>
      </c>
      <c r="G785" s="109">
        <v>0.1</v>
      </c>
      <c r="H785" s="104">
        <f>VLOOKUP($E785,'Stock statement'!$D$2:$P$384,13,)</f>
        <v>713.57285714285717</v>
      </c>
      <c r="I785" s="127">
        <v>2.5000000000000001E-2</v>
      </c>
      <c r="J785" s="116">
        <v>1.0249999999999999</v>
      </c>
      <c r="K785" s="106">
        <f t="shared" si="68"/>
        <v>74.969748303571421</v>
      </c>
      <c r="L785" s="115"/>
      <c r="M785" s="104">
        <f t="shared" si="69"/>
        <v>0.43182575022857139</v>
      </c>
    </row>
    <row r="786" spans="1:13" s="107" customFormat="1" ht="15" customHeight="1">
      <c r="A786" s="100" t="str">
        <f>VLOOKUP(C786,Abstract!$E$4:$M$62,9,0)</f>
        <v>No Sales</v>
      </c>
      <c r="B786" s="95" t="s">
        <v>138</v>
      </c>
      <c r="C786" s="133" t="s">
        <v>68</v>
      </c>
      <c r="D786" s="133" t="s">
        <v>417</v>
      </c>
      <c r="E786" s="99">
        <v>115323</v>
      </c>
      <c r="F786" s="99" t="s">
        <v>424</v>
      </c>
      <c r="G786" s="109">
        <v>0.1</v>
      </c>
      <c r="H786" s="104">
        <f>VLOOKUP($E786,'Stock statement'!$D$2:$P$384,13,)</f>
        <v>2171.0526315789475</v>
      </c>
      <c r="I786" s="127">
        <v>2.5000000000000001E-2</v>
      </c>
      <c r="J786" s="116">
        <v>1.0249999999999999</v>
      </c>
      <c r="K786" s="106">
        <f t="shared" si="68"/>
        <v>228.09621710526315</v>
      </c>
      <c r="L786" s="115"/>
      <c r="M786" s="104">
        <f t="shared" si="69"/>
        <v>1.3138342105263157</v>
      </c>
    </row>
    <row r="787" spans="1:13" s="107" customFormat="1" ht="15" customHeight="1">
      <c r="A787" s="100" t="str">
        <f>VLOOKUP(C787,Abstract!$E$4:$M$62,9,0)</f>
        <v>No Sales</v>
      </c>
      <c r="B787" s="99" t="s">
        <v>183</v>
      </c>
      <c r="C787" s="133" t="s">
        <v>68</v>
      </c>
      <c r="D787" s="133" t="s">
        <v>417</v>
      </c>
      <c r="E787" s="99">
        <v>214408</v>
      </c>
      <c r="F787" s="99" t="s">
        <v>425</v>
      </c>
      <c r="G787" s="109">
        <f>1000/(80*72/1000)</f>
        <v>173.61111111111111</v>
      </c>
      <c r="H787" s="104">
        <f>VLOOKUP($E787,'Stock statement'!$D$2:$P$384,13,)</f>
        <v>81.03</v>
      </c>
      <c r="I787" s="127">
        <v>6.0000000000000001E-3</v>
      </c>
      <c r="J787" s="113">
        <v>1</v>
      </c>
      <c r="K787" s="106">
        <f t="shared" si="68"/>
        <v>14152.114583333334</v>
      </c>
      <c r="L787" s="115"/>
      <c r="M787" s="104">
        <f t="shared" si="69"/>
        <v>81.516180000000006</v>
      </c>
    </row>
    <row r="788" spans="1:13" s="107" customFormat="1" ht="15" customHeight="1">
      <c r="A788" s="100" t="str">
        <f>VLOOKUP(C788,Abstract!$E$4:$M$62,9,0)</f>
        <v>No Sales</v>
      </c>
      <c r="B788" s="99" t="s">
        <v>183</v>
      </c>
      <c r="C788" s="133" t="s">
        <v>68</v>
      </c>
      <c r="D788" s="133" t="s">
        <v>417</v>
      </c>
      <c r="E788" s="99">
        <v>214392</v>
      </c>
      <c r="F788" s="99" t="s">
        <v>426</v>
      </c>
      <c r="G788" s="109">
        <f>+G787*72</f>
        <v>12500</v>
      </c>
      <c r="H788" s="104">
        <f>VLOOKUP($E788,'Stock statement'!$D$2:$P$384,13,)</f>
        <v>3.0275369458128067</v>
      </c>
      <c r="I788" s="127">
        <v>6.0000000000000001E-3</v>
      </c>
      <c r="J788" s="113">
        <v>1</v>
      </c>
      <c r="K788" s="106">
        <f t="shared" si="68"/>
        <v>38071.277093596051</v>
      </c>
      <c r="L788" s="115"/>
      <c r="M788" s="104">
        <f t="shared" si="69"/>
        <v>219.29055605911324</v>
      </c>
    </row>
    <row r="789" spans="1:13" s="107" customFormat="1" ht="15" customHeight="1">
      <c r="A789" s="100" t="str">
        <f>VLOOKUP(C789,Abstract!$E$4:$M$62,9,0)</f>
        <v>No Sales</v>
      </c>
      <c r="B789" s="99" t="s">
        <v>183</v>
      </c>
      <c r="C789" s="133" t="s">
        <v>68</v>
      </c>
      <c r="D789" s="133" t="s">
        <v>417</v>
      </c>
      <c r="E789" s="99">
        <v>214394</v>
      </c>
      <c r="F789" s="99" t="s">
        <v>427</v>
      </c>
      <c r="G789" s="109">
        <f>+G787*72</f>
        <v>12500</v>
      </c>
      <c r="H789" s="104">
        <f>VLOOKUP($E789,'Stock statement'!$D$2:$P$384,13,)</f>
        <v>3.88</v>
      </c>
      <c r="I789" s="127">
        <v>6.0000000000000001E-3</v>
      </c>
      <c r="J789" s="113">
        <v>1</v>
      </c>
      <c r="K789" s="106">
        <f t="shared" si="68"/>
        <v>48791</v>
      </c>
      <c r="L789" s="115"/>
      <c r="M789" s="104">
        <f t="shared" si="69"/>
        <v>281.03616</v>
      </c>
    </row>
    <row r="790" spans="1:13" s="107" customFormat="1" ht="15" customHeight="1">
      <c r="A790" s="100" t="str">
        <f>VLOOKUP(C790,Abstract!$E$4:$M$62,9,0)</f>
        <v>No Sales</v>
      </c>
      <c r="B790" s="99" t="s">
        <v>183</v>
      </c>
      <c r="C790" s="133" t="s">
        <v>68</v>
      </c>
      <c r="D790" s="133" t="s">
        <v>417</v>
      </c>
      <c r="E790" s="99">
        <v>214403</v>
      </c>
      <c r="F790" s="99" t="s">
        <v>428</v>
      </c>
      <c r="G790" s="109">
        <f>+G787*72</f>
        <v>12500</v>
      </c>
      <c r="H790" s="104">
        <f>VLOOKUP($E790,'Stock statement'!$D$2:$P$384,13,)</f>
        <v>1.2004884453781515</v>
      </c>
      <c r="I790" s="105">
        <v>0.02</v>
      </c>
      <c r="J790" s="113">
        <v>1</v>
      </c>
      <c r="K790" s="106">
        <f t="shared" si="68"/>
        <v>15306.227678571433</v>
      </c>
      <c r="L790" s="115"/>
      <c r="M790" s="104">
        <f t="shared" si="69"/>
        <v>88.163871428571454</v>
      </c>
    </row>
    <row r="791" spans="1:13" s="107" customFormat="1" ht="15" customHeight="1">
      <c r="A791" s="100" t="str">
        <f>VLOOKUP(C791,Abstract!$E$4:$M$62,9,0)</f>
        <v>No Sales</v>
      </c>
      <c r="B791" s="99" t="s">
        <v>183</v>
      </c>
      <c r="C791" s="133" t="s">
        <v>68</v>
      </c>
      <c r="D791" s="133" t="s">
        <v>417</v>
      </c>
      <c r="E791" s="99">
        <v>214404</v>
      </c>
      <c r="F791" s="99" t="s">
        <v>429</v>
      </c>
      <c r="G791" s="109">
        <f>+G787*72</f>
        <v>12500</v>
      </c>
      <c r="H791" s="104">
        <f>VLOOKUP($E791,'Stock statement'!$D$2:$P$384,13,)</f>
        <v>0.91048844537815121</v>
      </c>
      <c r="I791" s="105">
        <v>0.02</v>
      </c>
      <c r="J791" s="113">
        <v>1</v>
      </c>
      <c r="K791" s="106">
        <f t="shared" si="68"/>
        <v>11608.727678571428</v>
      </c>
      <c r="L791" s="115"/>
      <c r="M791" s="104">
        <f t="shared" si="69"/>
        <v>66.866271428571423</v>
      </c>
    </row>
    <row r="792" spans="1:13" s="107" customFormat="1" ht="15" customHeight="1">
      <c r="A792" s="100" t="str">
        <f>VLOOKUP(C792,Abstract!$E$4:$M$62,9,0)</f>
        <v>No Sales</v>
      </c>
      <c r="B792" s="99" t="s">
        <v>183</v>
      </c>
      <c r="C792" s="133" t="s">
        <v>68</v>
      </c>
      <c r="D792" s="133" t="s">
        <v>417</v>
      </c>
      <c r="E792" s="99" t="s">
        <v>191</v>
      </c>
      <c r="F792" s="95" t="s">
        <v>192</v>
      </c>
      <c r="G792" s="109">
        <f>+G787*0.02</f>
        <v>3.4722222222222223</v>
      </c>
      <c r="H792" s="104">
        <f>VLOOKUP($E792,'Stock statement'!$D$2:$P$384,13,)</f>
        <v>44.985440769279101</v>
      </c>
      <c r="I792" s="127">
        <v>0.02</v>
      </c>
      <c r="J792" s="113">
        <v>1</v>
      </c>
      <c r="K792" s="106">
        <f t="shared" si="68"/>
        <v>159.32343605786349</v>
      </c>
      <c r="L792" s="115"/>
      <c r="M792" s="104">
        <f t="shared" si="69"/>
        <v>0.91770299169329372</v>
      </c>
    </row>
    <row r="793" spans="1:13" s="107" customFormat="1" ht="15" customHeight="1">
      <c r="A793" s="100" t="str">
        <f>VLOOKUP(C793,Abstract!$E$4:$M$62,9,0)</f>
        <v>No Sales</v>
      </c>
      <c r="B793" s="99" t="s">
        <v>183</v>
      </c>
      <c r="C793" s="133" t="s">
        <v>68</v>
      </c>
      <c r="D793" s="133" t="s">
        <v>417</v>
      </c>
      <c r="E793" s="99" t="s">
        <v>254</v>
      </c>
      <c r="F793" s="95" t="s">
        <v>255</v>
      </c>
      <c r="G793" s="109">
        <f>+G787*12</f>
        <v>2083.3333333333335</v>
      </c>
      <c r="H793" s="104">
        <f>VLOOKUP($E793,'Stock statement'!$D$2:$P$384,13,)</f>
        <v>2.6</v>
      </c>
      <c r="I793" s="127">
        <v>0.01</v>
      </c>
      <c r="J793" s="113">
        <v>1</v>
      </c>
      <c r="K793" s="106">
        <f t="shared" si="68"/>
        <v>5470.8333333333339</v>
      </c>
      <c r="L793" s="115"/>
      <c r="M793" s="104">
        <f t="shared" si="69"/>
        <v>31.512000000000004</v>
      </c>
    </row>
    <row r="794" spans="1:13" s="107" customFormat="1" ht="15" customHeight="1">
      <c r="A794" s="100" t="str">
        <f>VLOOKUP(C794,Abstract!$E$4:$M$62,9,0)</f>
        <v>No Sales</v>
      </c>
      <c r="B794" s="95" t="s">
        <v>194</v>
      </c>
      <c r="C794" s="133" t="s">
        <v>68</v>
      </c>
      <c r="D794" s="133" t="s">
        <v>417</v>
      </c>
      <c r="E794" s="95" t="s">
        <v>195</v>
      </c>
      <c r="F794" s="99"/>
      <c r="G794" s="109">
        <f>+G787*72</f>
        <v>12500</v>
      </c>
      <c r="H794" s="129">
        <v>0.04</v>
      </c>
      <c r="I794" s="127"/>
      <c r="J794" s="113">
        <v>1</v>
      </c>
      <c r="K794" s="106">
        <f t="shared" si="68"/>
        <v>500</v>
      </c>
      <c r="L794" s="115"/>
      <c r="M794" s="104">
        <f t="shared" si="69"/>
        <v>2.88</v>
      </c>
    </row>
    <row r="795" spans="1:13" s="107" customFormat="1" ht="15" customHeight="1">
      <c r="A795" s="100" t="str">
        <f>VLOOKUP(C795,Abstract!$E$4:$M$62,9,0)</f>
        <v>No Sales</v>
      </c>
      <c r="B795" s="95" t="s">
        <v>194</v>
      </c>
      <c r="C795" s="133" t="s">
        <v>68</v>
      </c>
      <c r="D795" s="133" t="s">
        <v>417</v>
      </c>
      <c r="E795" s="95" t="s">
        <v>196</v>
      </c>
      <c r="F795" s="99"/>
      <c r="G795" s="109">
        <f>+G787*72*32</f>
        <v>400000</v>
      </c>
      <c r="H795" s="129">
        <v>1.6999999999999999E-3</v>
      </c>
      <c r="I795" s="127"/>
      <c r="J795" s="113">
        <v>1</v>
      </c>
      <c r="K795" s="106">
        <f t="shared" si="68"/>
        <v>680</v>
      </c>
      <c r="L795" s="115"/>
      <c r="M795" s="104">
        <f t="shared" si="69"/>
        <v>3.9167999999999998</v>
      </c>
    </row>
    <row r="796" spans="1:13" s="107" customFormat="1" ht="15" customHeight="1">
      <c r="A796" s="100" t="str">
        <f>VLOOKUP(C796,Abstract!$E$4:$M$62,9,0)</f>
        <v>No Sales</v>
      </c>
      <c r="B796" s="99" t="s">
        <v>197</v>
      </c>
      <c r="C796" s="133" t="s">
        <v>68</v>
      </c>
      <c r="D796" s="133" t="s">
        <v>417</v>
      </c>
      <c r="E796" s="99" t="s">
        <v>198</v>
      </c>
      <c r="F796" s="99"/>
      <c r="G796" s="109"/>
      <c r="H796" s="129"/>
      <c r="I796" s="127"/>
      <c r="J796" s="113"/>
      <c r="K796" s="106">
        <v>9000</v>
      </c>
      <c r="L796" s="115">
        <f>SUM(K770:K796)</f>
        <v>220163.08147805458</v>
      </c>
      <c r="M796" s="104">
        <f t="shared" si="69"/>
        <v>51.839999999999996</v>
      </c>
    </row>
    <row r="797" spans="1:13" s="107" customFormat="1" ht="15" customHeight="1">
      <c r="A797" s="100" t="str">
        <f>VLOOKUP(C797,Abstract!$E$4:$M$62,9,0)</f>
        <v>No Sales</v>
      </c>
      <c r="B797" s="95" t="s">
        <v>138</v>
      </c>
      <c r="C797" s="133" t="s">
        <v>70</v>
      </c>
      <c r="D797" s="133" t="s">
        <v>430</v>
      </c>
      <c r="E797" s="95" t="s">
        <v>141</v>
      </c>
      <c r="F797" s="108" t="s">
        <v>142</v>
      </c>
      <c r="G797" s="109">
        <v>185.7</v>
      </c>
      <c r="H797" s="129">
        <f>VLOOKUP($E797,'Stock statement'!$D$2:$P$384,13,)</f>
        <v>94.278330452007026</v>
      </c>
      <c r="I797" s="127">
        <v>2.5000000000000001E-2</v>
      </c>
      <c r="J797" s="116">
        <v>1.0249999999999999</v>
      </c>
      <c r="K797" s="106">
        <f>+G797*H797*(1+I797)*J797</f>
        <v>18393.80244191267</v>
      </c>
      <c r="L797" s="115"/>
      <c r="M797" s="104">
        <f>K797/$G$823</f>
        <v>211.89660413083396</v>
      </c>
    </row>
    <row r="798" spans="1:13" s="107" customFormat="1" ht="15" customHeight="1">
      <c r="A798" s="100" t="str">
        <f>VLOOKUP(C798,Abstract!$E$4:$M$62,9,0)</f>
        <v>No Sales</v>
      </c>
      <c r="B798" s="95" t="s">
        <v>138</v>
      </c>
      <c r="C798" s="133" t="s">
        <v>70</v>
      </c>
      <c r="D798" s="133" t="s">
        <v>430</v>
      </c>
      <c r="E798" s="95" t="s">
        <v>145</v>
      </c>
      <c r="F798" s="102" t="s">
        <v>146</v>
      </c>
      <c r="G798" s="109">
        <v>17.5</v>
      </c>
      <c r="H798" s="129">
        <f>VLOOKUP($E798,'Stock statement'!$D$2:$P$384,13,)</f>
        <v>151.08681180977209</v>
      </c>
      <c r="I798" s="127">
        <v>2.5000000000000001E-2</v>
      </c>
      <c r="J798" s="116">
        <v>1.0249999999999999</v>
      </c>
      <c r="K798" s="106">
        <f t="shared" ref="K798:K825" si="70">+G798*H798*(1+I798)*J798</f>
        <v>2777.8726790087308</v>
      </c>
      <c r="L798" s="115"/>
      <c r="M798" s="104">
        <f t="shared" ref="M798:M827" si="71">K798/$G$823</f>
        <v>32.001093262180575</v>
      </c>
    </row>
    <row r="799" spans="1:13" s="107" customFormat="1" ht="15" customHeight="1">
      <c r="A799" s="100" t="str">
        <f>VLOOKUP(C799,Abstract!$E$4:$M$62,9,0)</f>
        <v>No Sales</v>
      </c>
      <c r="B799" s="95" t="s">
        <v>138</v>
      </c>
      <c r="C799" s="133" t="s">
        <v>70</v>
      </c>
      <c r="D799" s="133" t="s">
        <v>430</v>
      </c>
      <c r="E799" s="95" t="s">
        <v>308</v>
      </c>
      <c r="F799" s="99" t="s">
        <v>309</v>
      </c>
      <c r="G799" s="109">
        <v>1E-4</v>
      </c>
      <c r="H799" s="129">
        <f>VLOOKUP($E799,'Stock statement'!$D$2:$P$384,13,)</f>
        <v>0</v>
      </c>
      <c r="I799" s="127">
        <v>2.5000000000000001E-2</v>
      </c>
      <c r="J799" s="116">
        <v>1.0249999999999999</v>
      </c>
      <c r="K799" s="106">
        <f t="shared" si="70"/>
        <v>0</v>
      </c>
      <c r="L799" s="115"/>
      <c r="M799" s="104">
        <f t="shared" si="71"/>
        <v>0</v>
      </c>
    </row>
    <row r="800" spans="1:13" s="107" customFormat="1" ht="15" customHeight="1">
      <c r="A800" s="100" t="str">
        <f>VLOOKUP(C800,Abstract!$E$4:$M$62,9,0)</f>
        <v>No Sales</v>
      </c>
      <c r="B800" s="95" t="s">
        <v>138</v>
      </c>
      <c r="C800" s="133" t="s">
        <v>70</v>
      </c>
      <c r="D800" s="133" t="s">
        <v>430</v>
      </c>
      <c r="E800" s="95" t="s">
        <v>149</v>
      </c>
      <c r="F800" s="99" t="s">
        <v>150</v>
      </c>
      <c r="G800" s="109">
        <v>0.15</v>
      </c>
      <c r="H800" s="129">
        <f>VLOOKUP($E800,'Stock statement'!$D$2:$P$384,13,)</f>
        <v>161.56941474217822</v>
      </c>
      <c r="I800" s="127">
        <v>2.5000000000000001E-2</v>
      </c>
      <c r="J800" s="116">
        <v>1.0249999999999999</v>
      </c>
      <c r="K800" s="106">
        <f t="shared" si="70"/>
        <v>25.462329954525146</v>
      </c>
      <c r="L800" s="115"/>
      <c r="M800" s="104">
        <f t="shared" si="71"/>
        <v>0.2933260410761297</v>
      </c>
    </row>
    <row r="801" spans="1:13" s="107" customFormat="1" ht="15" customHeight="1">
      <c r="A801" s="100" t="str">
        <f>VLOOKUP(C801,Abstract!$E$4:$M$62,9,0)</f>
        <v>No Sales</v>
      </c>
      <c r="B801" s="95" t="s">
        <v>138</v>
      </c>
      <c r="C801" s="133" t="s">
        <v>70</v>
      </c>
      <c r="D801" s="133" t="s">
        <v>430</v>
      </c>
      <c r="E801" s="95" t="s">
        <v>151</v>
      </c>
      <c r="F801" s="99" t="s">
        <v>310</v>
      </c>
      <c r="G801" s="109">
        <v>2.5</v>
      </c>
      <c r="H801" s="129">
        <f>VLOOKUP($E801,'Stock statement'!$D$2:$P$384,13,)</f>
        <v>762.38931335604309</v>
      </c>
      <c r="I801" s="127">
        <v>2.5000000000000001E-2</v>
      </c>
      <c r="J801" s="116">
        <v>1.0249999999999999</v>
      </c>
      <c r="K801" s="106">
        <f t="shared" si="70"/>
        <v>2002.4631808617316</v>
      </c>
      <c r="L801" s="115"/>
      <c r="M801" s="104">
        <f t="shared" si="71"/>
        <v>23.068375843527146</v>
      </c>
    </row>
    <row r="802" spans="1:13" s="107" customFormat="1" ht="15" customHeight="1">
      <c r="A802" s="100" t="str">
        <f>VLOOKUP(C802,Abstract!$E$4:$M$62,9,0)</f>
        <v>No Sales</v>
      </c>
      <c r="B802" s="95" t="s">
        <v>138</v>
      </c>
      <c r="C802" s="133" t="s">
        <v>70</v>
      </c>
      <c r="D802" s="133" t="s">
        <v>430</v>
      </c>
      <c r="E802" s="95" t="s">
        <v>153</v>
      </c>
      <c r="F802" s="99" t="s">
        <v>349</v>
      </c>
      <c r="G802" s="109">
        <v>0.75</v>
      </c>
      <c r="H802" s="129">
        <f>VLOOKUP($E802,'Stock statement'!$D$2:$P$384,13,)</f>
        <v>84.206363687840948</v>
      </c>
      <c r="I802" s="127">
        <v>2.5000000000000001E-2</v>
      </c>
      <c r="J802" s="116">
        <v>1.0249999999999999</v>
      </c>
      <c r="K802" s="106">
        <f t="shared" si="70"/>
        <v>66.351983137153411</v>
      </c>
      <c r="L802" s="115"/>
      <c r="M802" s="104">
        <f t="shared" si="71"/>
        <v>0.76437484574000725</v>
      </c>
    </row>
    <row r="803" spans="1:13" s="107" customFormat="1" ht="15" customHeight="1">
      <c r="A803" s="100" t="str">
        <f>VLOOKUP(C803,Abstract!$E$4:$M$62,9,0)</f>
        <v>No Sales</v>
      </c>
      <c r="B803" s="95" t="s">
        <v>138</v>
      </c>
      <c r="C803" s="133" t="s">
        <v>70</v>
      </c>
      <c r="D803" s="133" t="s">
        <v>430</v>
      </c>
      <c r="E803" s="95" t="s">
        <v>155</v>
      </c>
      <c r="F803" s="99" t="s">
        <v>156</v>
      </c>
      <c r="G803" s="109">
        <v>10</v>
      </c>
      <c r="H803" s="129">
        <f>VLOOKUP($E803,'Stock statement'!$D$2:$P$384,13,)</f>
        <v>68.308211638055738</v>
      </c>
      <c r="I803" s="127">
        <v>2.5000000000000001E-2</v>
      </c>
      <c r="J803" s="116">
        <v>1.0249999999999999</v>
      </c>
      <c r="K803" s="106">
        <f t="shared" si="70"/>
        <v>717.66314852232301</v>
      </c>
      <c r="L803" s="115"/>
      <c r="M803" s="104">
        <f t="shared" si="71"/>
        <v>8.2674794709771611</v>
      </c>
    </row>
    <row r="804" spans="1:13" s="107" customFormat="1" ht="15" customHeight="1">
      <c r="A804" s="100" t="str">
        <f>VLOOKUP(C804,Abstract!$E$4:$M$62,9,0)</f>
        <v>No Sales</v>
      </c>
      <c r="B804" s="95" t="s">
        <v>138</v>
      </c>
      <c r="C804" s="133" t="s">
        <v>70</v>
      </c>
      <c r="D804" s="133" t="s">
        <v>430</v>
      </c>
      <c r="E804" s="95" t="s">
        <v>157</v>
      </c>
      <c r="F804" s="102" t="s">
        <v>158</v>
      </c>
      <c r="G804" s="109">
        <f>1.75/2</f>
        <v>0.875</v>
      </c>
      <c r="H804" s="129">
        <f>VLOOKUP($E804,'Stock statement'!$D$2:$P$384,13,)</f>
        <v>828.81974703846117</v>
      </c>
      <c r="I804" s="127">
        <v>2.5000000000000001E-2</v>
      </c>
      <c r="J804" s="116">
        <v>1.0249999999999999</v>
      </c>
      <c r="K804" s="106">
        <f t="shared" si="70"/>
        <v>761.93140339074773</v>
      </c>
      <c r="L804" s="115"/>
      <c r="M804" s="104">
        <f t="shared" si="71"/>
        <v>8.7774497670614142</v>
      </c>
    </row>
    <row r="805" spans="1:13" s="107" customFormat="1" ht="15" customHeight="1">
      <c r="A805" s="100" t="str">
        <f>VLOOKUP(C805,Abstract!$E$4:$M$62,9,0)</f>
        <v>No Sales</v>
      </c>
      <c r="B805" s="95" t="s">
        <v>138</v>
      </c>
      <c r="C805" s="133" t="s">
        <v>70</v>
      </c>
      <c r="D805" s="133" t="s">
        <v>430</v>
      </c>
      <c r="E805" s="157">
        <v>115150</v>
      </c>
      <c r="F805" s="99" t="s">
        <v>159</v>
      </c>
      <c r="G805" s="109">
        <f>1.75/2</f>
        <v>0.875</v>
      </c>
      <c r="H805" s="129">
        <f>VLOOKUP($E805,'Stock statement'!$D$2:$P$384,13,)</f>
        <v>456.30699446392703</v>
      </c>
      <c r="I805" s="127">
        <v>2.5000000000000001E-2</v>
      </c>
      <c r="J805" s="116">
        <v>1.0249999999999999</v>
      </c>
      <c r="K805" s="106">
        <f t="shared" si="70"/>
        <v>419.48159405133038</v>
      </c>
      <c r="L805" s="115"/>
      <c r="M805" s="104">
        <f t="shared" si="71"/>
        <v>4.8324279634713259</v>
      </c>
    </row>
    <row r="806" spans="1:13" s="107" customFormat="1" ht="15" customHeight="1">
      <c r="A806" s="100" t="str">
        <f>VLOOKUP(C806,Abstract!$E$4:$M$62,9,0)</f>
        <v>No Sales</v>
      </c>
      <c r="B806" s="95" t="s">
        <v>138</v>
      </c>
      <c r="C806" s="133" t="s">
        <v>70</v>
      </c>
      <c r="D806" s="133" t="s">
        <v>430</v>
      </c>
      <c r="E806" s="95" t="s">
        <v>160</v>
      </c>
      <c r="F806" s="108" t="s">
        <v>161</v>
      </c>
      <c r="G806" s="109">
        <v>0.3</v>
      </c>
      <c r="H806" s="129">
        <f>VLOOKUP($E806,'Stock statement'!$D$2:$P$384,13,)</f>
        <v>3313.2387673094586</v>
      </c>
      <c r="I806" s="127">
        <v>2.5000000000000001E-2</v>
      </c>
      <c r="J806" s="116">
        <v>1.0249999999999999</v>
      </c>
      <c r="K806" s="106">
        <f t="shared" si="70"/>
        <v>1044.2914439713497</v>
      </c>
      <c r="L806" s="115"/>
      <c r="M806" s="104">
        <f t="shared" si="71"/>
        <v>12.030237434549949</v>
      </c>
    </row>
    <row r="807" spans="1:13" s="107" customFormat="1" ht="15" customHeight="1">
      <c r="A807" s="100" t="str">
        <f>VLOOKUP(C807,Abstract!$E$4:$M$62,9,0)</f>
        <v>No Sales</v>
      </c>
      <c r="B807" s="95" t="s">
        <v>138</v>
      </c>
      <c r="C807" s="133" t="s">
        <v>70</v>
      </c>
      <c r="D807" s="133" t="s">
        <v>430</v>
      </c>
      <c r="E807" s="95" t="s">
        <v>147</v>
      </c>
      <c r="F807" s="95" t="s">
        <v>148</v>
      </c>
      <c r="G807" s="109">
        <v>0.5</v>
      </c>
      <c r="H807" s="129">
        <f>VLOOKUP($E807,'Stock statement'!$D$2:$P$384,13,)</f>
        <v>353.50950483838068</v>
      </c>
      <c r="I807" s="127">
        <v>2.5000000000000001E-2</v>
      </c>
      <c r="J807" s="116">
        <v>1.0249999999999999</v>
      </c>
      <c r="K807" s="106">
        <f t="shared" si="70"/>
        <v>185.70296176041182</v>
      </c>
      <c r="L807" s="115"/>
      <c r="M807" s="104">
        <f t="shared" si="71"/>
        <v>2.1392981194799443</v>
      </c>
    </row>
    <row r="808" spans="1:13" s="107" customFormat="1" ht="15" customHeight="1">
      <c r="A808" s="100" t="str">
        <f>VLOOKUP(C808,Abstract!$E$4:$M$62,9,0)</f>
        <v>No Sales</v>
      </c>
      <c r="B808" s="95" t="s">
        <v>138</v>
      </c>
      <c r="C808" s="133" t="s">
        <v>70</v>
      </c>
      <c r="D808" s="133" t="s">
        <v>430</v>
      </c>
      <c r="E808" s="95" t="s">
        <v>223</v>
      </c>
      <c r="F808" s="99" t="s">
        <v>224</v>
      </c>
      <c r="G808" s="109">
        <v>0.12</v>
      </c>
      <c r="H808" s="129">
        <f>VLOOKUP($E808,'Stock statement'!$D$2:$P$384,13,)</f>
        <v>661.66658982809031</v>
      </c>
      <c r="I808" s="127">
        <v>2.5000000000000001E-2</v>
      </c>
      <c r="J808" s="116">
        <v>1.0249999999999999</v>
      </c>
      <c r="K808" s="106">
        <f t="shared" si="70"/>
        <v>83.419615312576468</v>
      </c>
      <c r="L808" s="115"/>
      <c r="M808" s="104">
        <f t="shared" si="71"/>
        <v>0.96099396840088092</v>
      </c>
    </row>
    <row r="809" spans="1:13" s="107" customFormat="1" ht="15" customHeight="1">
      <c r="A809" s="100" t="str">
        <f>VLOOKUP(C809,Abstract!$E$4:$M$62,9,0)</f>
        <v>No Sales</v>
      </c>
      <c r="B809" s="95" t="s">
        <v>138</v>
      </c>
      <c r="C809" s="133" t="s">
        <v>70</v>
      </c>
      <c r="D809" s="133" t="s">
        <v>430</v>
      </c>
      <c r="E809" s="95" t="s">
        <v>162</v>
      </c>
      <c r="F809" s="95" t="s">
        <v>163</v>
      </c>
      <c r="G809" s="109">
        <v>0.112</v>
      </c>
      <c r="H809" s="129">
        <f>VLOOKUP($E809,'Stock statement'!$D$2:$P$384,13,)</f>
        <v>348.44830167161894</v>
      </c>
      <c r="I809" s="127">
        <v>2.5000000000000001E-2</v>
      </c>
      <c r="J809" s="116">
        <v>1.0249999999999999</v>
      </c>
      <c r="K809" s="106">
        <f t="shared" si="70"/>
        <v>41.001911657699395</v>
      </c>
      <c r="L809" s="115"/>
      <c r="M809" s="104">
        <f t="shared" si="71"/>
        <v>0.47234202229669703</v>
      </c>
    </row>
    <row r="810" spans="1:13" s="107" customFormat="1" ht="15" customHeight="1">
      <c r="A810" s="100" t="str">
        <f>VLOOKUP(C810,Abstract!$E$4:$M$62,9,0)</f>
        <v>No Sales</v>
      </c>
      <c r="B810" s="95" t="s">
        <v>138</v>
      </c>
      <c r="C810" s="133" t="s">
        <v>70</v>
      </c>
      <c r="D810" s="133" t="s">
        <v>430</v>
      </c>
      <c r="E810" s="99">
        <v>115071</v>
      </c>
      <c r="F810" s="99" t="s">
        <v>311</v>
      </c>
      <c r="G810" s="109">
        <v>0.6</v>
      </c>
      <c r="H810" s="104">
        <f>VLOOKUP($E810,'Stock statement'!$D$2:$P$384,13,)</f>
        <v>195.04600880394028</v>
      </c>
      <c r="I810" s="127">
        <v>2.5000000000000001E-2</v>
      </c>
      <c r="J810" s="116">
        <v>1.0249999999999999</v>
      </c>
      <c r="K810" s="106">
        <f t="shared" si="70"/>
        <v>122.95212779978382</v>
      </c>
      <c r="L810" s="115"/>
      <c r="M810" s="104">
        <f t="shared" si="71"/>
        <v>1.4164085122535097</v>
      </c>
    </row>
    <row r="811" spans="1:13" s="107" customFormat="1" ht="15" customHeight="1">
      <c r="A811" s="100" t="str">
        <f>VLOOKUP(C811,Abstract!$E$4:$M$62,9,0)</f>
        <v>No Sales</v>
      </c>
      <c r="B811" s="95" t="s">
        <v>138</v>
      </c>
      <c r="C811" s="133" t="s">
        <v>70</v>
      </c>
      <c r="D811" s="133" t="s">
        <v>430</v>
      </c>
      <c r="E811" s="95" t="s">
        <v>350</v>
      </c>
      <c r="F811" s="99" t="s">
        <v>351</v>
      </c>
      <c r="G811" s="109">
        <v>0.248</v>
      </c>
      <c r="H811" s="129">
        <f>VLOOKUP($E811,'Stock statement'!$D$2:$P$384,13,)</f>
        <v>0</v>
      </c>
      <c r="I811" s="127">
        <v>2.5000000000000001E-2</v>
      </c>
      <c r="J811" s="116">
        <v>1.0249999999999999</v>
      </c>
      <c r="K811" s="106">
        <f t="shared" si="70"/>
        <v>0</v>
      </c>
      <c r="L811" s="115"/>
      <c r="M811" s="104">
        <f t="shared" si="71"/>
        <v>0</v>
      </c>
    </row>
    <row r="812" spans="1:13" s="107" customFormat="1" ht="15" customHeight="1">
      <c r="A812" s="100" t="str">
        <f>VLOOKUP(C812,Abstract!$E$4:$M$62,9,0)</f>
        <v>No Sales</v>
      </c>
      <c r="B812" s="95" t="s">
        <v>138</v>
      </c>
      <c r="C812" s="133" t="s">
        <v>70</v>
      </c>
      <c r="D812" s="133" t="s">
        <v>430</v>
      </c>
      <c r="E812" s="95" t="s">
        <v>166</v>
      </c>
      <c r="F812" s="99" t="s">
        <v>167</v>
      </c>
      <c r="G812" s="109">
        <v>2.5</v>
      </c>
      <c r="H812" s="129">
        <f>VLOOKUP($E812,'Stock statement'!$D$2:$P$384,13,)</f>
        <v>127.15913438761541</v>
      </c>
      <c r="I812" s="127">
        <v>2.5000000000000001E-2</v>
      </c>
      <c r="J812" s="116">
        <v>1.0249999999999999</v>
      </c>
      <c r="K812" s="106">
        <f t="shared" si="70"/>
        <v>333.99141391497102</v>
      </c>
      <c r="L812" s="115"/>
      <c r="M812" s="104">
        <f t="shared" si="71"/>
        <v>3.847581088300466</v>
      </c>
    </row>
    <row r="813" spans="1:13" s="107" customFormat="1" ht="15" customHeight="1">
      <c r="A813" s="100" t="str">
        <f>VLOOKUP(C813,Abstract!$E$4:$M$62,9,0)</f>
        <v>No Sales</v>
      </c>
      <c r="B813" s="95" t="s">
        <v>138</v>
      </c>
      <c r="C813" s="133" t="s">
        <v>70</v>
      </c>
      <c r="D813" s="133" t="s">
        <v>430</v>
      </c>
      <c r="E813" s="95" t="s">
        <v>209</v>
      </c>
      <c r="F813" s="99" t="s">
        <v>210</v>
      </c>
      <c r="G813" s="109">
        <v>20</v>
      </c>
      <c r="H813" s="129">
        <f>VLOOKUP($E813,'Stock statement'!$D$2:$P$384,13,)</f>
        <v>220.67282625366343</v>
      </c>
      <c r="I813" s="127">
        <v>2.5000000000000001E-2</v>
      </c>
      <c r="J813" s="116">
        <v>1.0249999999999999</v>
      </c>
      <c r="K813" s="106">
        <f t="shared" si="70"/>
        <v>4636.8877616551026</v>
      </c>
      <c r="L813" s="115"/>
      <c r="M813" s="104">
        <f t="shared" si="71"/>
        <v>53.416947014266782</v>
      </c>
    </row>
    <row r="814" spans="1:13" s="107" customFormat="1" ht="15" customHeight="1">
      <c r="A814" s="100" t="str">
        <f>VLOOKUP(C814,Abstract!$E$4:$M$62,9,0)</f>
        <v>No Sales</v>
      </c>
      <c r="B814" s="95" t="s">
        <v>138</v>
      </c>
      <c r="C814" s="133" t="s">
        <v>70</v>
      </c>
      <c r="D814" s="133" t="s">
        <v>430</v>
      </c>
      <c r="E814" s="95" t="s">
        <v>352</v>
      </c>
      <c r="F814" s="99" t="s">
        <v>353</v>
      </c>
      <c r="G814" s="109">
        <v>0.01</v>
      </c>
      <c r="H814" s="129">
        <f>VLOOKUP($E814,'Stock statement'!$D$2:$P$384,13,)</f>
        <v>3003.7807644658751</v>
      </c>
      <c r="I814" s="127">
        <v>2.5000000000000001E-2</v>
      </c>
      <c r="J814" s="116">
        <v>1.0249999999999999</v>
      </c>
      <c r="K814" s="106">
        <f t="shared" si="70"/>
        <v>31.558471656669596</v>
      </c>
      <c r="L814" s="115"/>
      <c r="M814" s="104">
        <f t="shared" si="71"/>
        <v>0.36355359348483374</v>
      </c>
    </row>
    <row r="815" spans="1:13" s="107" customFormat="1" ht="15" customHeight="1">
      <c r="A815" s="100" t="str">
        <f>VLOOKUP(C815,Abstract!$E$4:$M$62,9,0)</f>
        <v>No Sales</v>
      </c>
      <c r="B815" s="95" t="s">
        <v>138</v>
      </c>
      <c r="C815" s="133" t="s">
        <v>70</v>
      </c>
      <c r="D815" s="133" t="s">
        <v>430</v>
      </c>
      <c r="E815" s="95" t="s">
        <v>354</v>
      </c>
      <c r="F815" s="99" t="s">
        <v>355</v>
      </c>
      <c r="G815" s="109">
        <v>0.01</v>
      </c>
      <c r="H815" s="129">
        <f>VLOOKUP($E815,'Stock statement'!$D$2:$P$384,13,)</f>
        <v>257.60769230769233</v>
      </c>
      <c r="I815" s="127">
        <v>2.5000000000000001E-2</v>
      </c>
      <c r="J815" s="116">
        <v>1.0249999999999999</v>
      </c>
      <c r="K815" s="106">
        <f t="shared" si="70"/>
        <v>2.7064908173076923</v>
      </c>
      <c r="L815" s="115"/>
      <c r="M815" s="104">
        <f t="shared" si="71"/>
        <v>3.1178774215384616E-2</v>
      </c>
    </row>
    <row r="816" spans="1:13" s="107" customFormat="1" ht="15" customHeight="1">
      <c r="A816" s="100" t="str">
        <f>VLOOKUP(C816,Abstract!$E$4:$M$62,9,0)</f>
        <v>No Sales</v>
      </c>
      <c r="B816" s="95" t="s">
        <v>138</v>
      </c>
      <c r="C816" s="133" t="s">
        <v>70</v>
      </c>
      <c r="D816" s="133" t="s">
        <v>430</v>
      </c>
      <c r="E816" s="95" t="s">
        <v>339</v>
      </c>
      <c r="F816" s="99" t="s">
        <v>356</v>
      </c>
      <c r="G816" s="109">
        <v>5.85</v>
      </c>
      <c r="H816" s="129">
        <f>VLOOKUP($E816,'Stock statement'!$D$2:$P$384,13,)</f>
        <v>890.49821899777828</v>
      </c>
      <c r="I816" s="127">
        <v>2.5000000000000001E-2</v>
      </c>
      <c r="J816" s="116">
        <v>1.0249999999999999</v>
      </c>
      <c r="K816" s="106">
        <f t="shared" si="70"/>
        <v>5473.1411943070625</v>
      </c>
      <c r="L816" s="115"/>
      <c r="M816" s="104">
        <f t="shared" si="71"/>
        <v>63.050586558417358</v>
      </c>
    </row>
    <row r="817" spans="1:13" s="107" customFormat="1" ht="15" customHeight="1">
      <c r="A817" s="100" t="str">
        <f>VLOOKUP(C817,Abstract!$E$4:$M$62,9,0)</f>
        <v>No Sales</v>
      </c>
      <c r="B817" s="95" t="s">
        <v>138</v>
      </c>
      <c r="C817" s="133" t="s">
        <v>70</v>
      </c>
      <c r="D817" s="133" t="s">
        <v>430</v>
      </c>
      <c r="E817" s="95" t="s">
        <v>341</v>
      </c>
      <c r="F817" s="99" t="s">
        <v>357</v>
      </c>
      <c r="G817" s="109">
        <v>0.65</v>
      </c>
      <c r="H817" s="129">
        <f>VLOOKUP($E817,'Stock statement'!$D$2:$P$384,13,)</f>
        <v>927.16271256930133</v>
      </c>
      <c r="I817" s="127">
        <v>2.5000000000000001E-2</v>
      </c>
      <c r="J817" s="116">
        <v>1.0249999999999999</v>
      </c>
      <c r="K817" s="106">
        <f t="shared" si="70"/>
        <v>633.16521118052935</v>
      </c>
      <c r="L817" s="115"/>
      <c r="M817" s="104">
        <f t="shared" si="71"/>
        <v>7.2940632327996981</v>
      </c>
    </row>
    <row r="818" spans="1:13" s="107" customFormat="1" ht="15" customHeight="1">
      <c r="A818" s="100" t="str">
        <f>VLOOKUP(C818,Abstract!$E$4:$M$62,9,0)</f>
        <v>No Sales</v>
      </c>
      <c r="B818" s="95" t="s">
        <v>138</v>
      </c>
      <c r="C818" s="133" t="s">
        <v>70</v>
      </c>
      <c r="D818" s="133" t="s">
        <v>430</v>
      </c>
      <c r="E818" s="95" t="s">
        <v>179</v>
      </c>
      <c r="F818" s="102" t="s">
        <v>180</v>
      </c>
      <c r="G818" s="109">
        <v>0.5</v>
      </c>
      <c r="H818" s="129">
        <f>VLOOKUP($E818,'Stock statement'!$D$2:$P$384,13,)</f>
        <v>1036.4956269221443</v>
      </c>
      <c r="I818" s="127">
        <v>2.5000000000000001E-2</v>
      </c>
      <c r="J818" s="116">
        <v>1.0249999999999999</v>
      </c>
      <c r="K818" s="106">
        <f t="shared" si="70"/>
        <v>544.48410901753891</v>
      </c>
      <c r="L818" s="115"/>
      <c r="M818" s="104">
        <f t="shared" si="71"/>
        <v>6.2724569358820483</v>
      </c>
    </row>
    <row r="819" spans="1:13" s="107" customFormat="1" ht="15" customHeight="1">
      <c r="A819" s="100" t="str">
        <f>VLOOKUP(C819,Abstract!$E$4:$M$62,9,0)</f>
        <v>No Sales</v>
      </c>
      <c r="B819" s="95" t="s">
        <v>138</v>
      </c>
      <c r="C819" s="133" t="s">
        <v>70</v>
      </c>
      <c r="D819" s="133" t="s">
        <v>430</v>
      </c>
      <c r="E819" s="95" t="s">
        <v>181</v>
      </c>
      <c r="F819" s="102" t="s">
        <v>182</v>
      </c>
      <c r="G819" s="109">
        <v>10</v>
      </c>
      <c r="H819" s="129">
        <f>VLOOKUP($E819,'Stock statement'!$D$2:$P$384,13,)</f>
        <v>17.110276913020375</v>
      </c>
      <c r="I819" s="127">
        <v>2.5000000000000001E-2</v>
      </c>
      <c r="J819" s="116">
        <v>1.0249999999999999</v>
      </c>
      <c r="K819" s="106">
        <f t="shared" si="70"/>
        <v>179.76484681742028</v>
      </c>
      <c r="L819" s="115"/>
      <c r="M819" s="104">
        <f t="shared" si="71"/>
        <v>2.0708910353366816</v>
      </c>
    </row>
    <row r="820" spans="1:13" s="107" customFormat="1" ht="15" customHeight="1">
      <c r="A820" s="100" t="str">
        <f>VLOOKUP(C820,Abstract!$E$4:$M$62,9,0)</f>
        <v>No Sales</v>
      </c>
      <c r="B820" s="95" t="s">
        <v>138</v>
      </c>
      <c r="C820" s="133" t="s">
        <v>70</v>
      </c>
      <c r="D820" s="133" t="s">
        <v>430</v>
      </c>
      <c r="E820" s="95" t="s">
        <v>139</v>
      </c>
      <c r="F820" s="102" t="s">
        <v>140</v>
      </c>
      <c r="G820" s="109">
        <f>737.7+2.54</f>
        <v>740.24</v>
      </c>
      <c r="H820" s="129">
        <f>VLOOKUP($E820,'Stock statement'!$D$2:$P$384,13,)</f>
        <v>0.34</v>
      </c>
      <c r="I820" s="127">
        <v>2.5000000000000001E-2</v>
      </c>
      <c r="J820" s="116">
        <v>1.0249999999999999</v>
      </c>
      <c r="K820" s="106">
        <f t="shared" si="70"/>
        <v>264.42298099999999</v>
      </c>
      <c r="L820" s="115"/>
      <c r="M820" s="104">
        <f t="shared" si="71"/>
        <v>3.0461527411199998</v>
      </c>
    </row>
    <row r="821" spans="1:13" s="107" customFormat="1" ht="15" customHeight="1">
      <c r="A821" s="100" t="str">
        <f>VLOOKUP(C821,Abstract!$E$4:$M$62,9,0)</f>
        <v>No Sales</v>
      </c>
      <c r="B821" s="95" t="s">
        <v>138</v>
      </c>
      <c r="C821" s="133" t="s">
        <v>70</v>
      </c>
      <c r="D821" s="133" t="s">
        <v>430</v>
      </c>
      <c r="E821" s="95">
        <v>110037</v>
      </c>
      <c r="F821" s="99" t="s">
        <v>316</v>
      </c>
      <c r="G821" s="109">
        <v>8.9999999999999993E-3</v>
      </c>
      <c r="H821" s="129">
        <f>VLOOKUP($E821,'Stock statement'!$D$2:$P$384,13,)</f>
        <v>204</v>
      </c>
      <c r="I821" s="127">
        <v>2.5000000000000001E-2</v>
      </c>
      <c r="J821" s="116">
        <v>1.0249999999999999</v>
      </c>
      <c r="K821" s="106">
        <f t="shared" si="70"/>
        <v>1.9289474999999996</v>
      </c>
      <c r="L821" s="115"/>
      <c r="M821" s="104">
        <f t="shared" si="71"/>
        <v>2.2221475199999993E-2</v>
      </c>
    </row>
    <row r="822" spans="1:13" s="107" customFormat="1" ht="15" customHeight="1">
      <c r="A822" s="100" t="str">
        <f>VLOOKUP(C822,Abstract!$E$4:$M$62,9,0)</f>
        <v>No Sales</v>
      </c>
      <c r="B822" s="99" t="s">
        <v>183</v>
      </c>
      <c r="C822" s="133" t="s">
        <v>70</v>
      </c>
      <c r="D822" s="133" t="s">
        <v>430</v>
      </c>
      <c r="E822" s="95">
        <v>213504</v>
      </c>
      <c r="F822" s="99" t="s">
        <v>431</v>
      </c>
      <c r="G822" s="109">
        <f>(1000/(1920*6)*1000)*0.647</f>
        <v>56.16319444444445</v>
      </c>
      <c r="H822" s="129">
        <f>VLOOKUP($E822,'Stock statement'!$D$2:$P$384,13,)</f>
        <v>244</v>
      </c>
      <c r="I822" s="127">
        <v>1.7500000000000002E-2</v>
      </c>
      <c r="J822" s="113">
        <v>1</v>
      </c>
      <c r="K822" s="106">
        <f t="shared" si="70"/>
        <v>13943.636284722224</v>
      </c>
      <c r="L822" s="115"/>
      <c r="M822" s="104">
        <f t="shared" si="71"/>
        <v>160.63069000000002</v>
      </c>
    </row>
    <row r="823" spans="1:13" s="107" customFormat="1" ht="15" customHeight="1">
      <c r="A823" s="100" t="str">
        <f>VLOOKUP(C823,Abstract!$E$4:$M$62,9,0)</f>
        <v>No Sales</v>
      </c>
      <c r="B823" s="99" t="s">
        <v>183</v>
      </c>
      <c r="C823" s="133" t="s">
        <v>70</v>
      </c>
      <c r="D823" s="133" t="s">
        <v>430</v>
      </c>
      <c r="E823" s="95">
        <v>212639</v>
      </c>
      <c r="F823" s="99" t="s">
        <v>432</v>
      </c>
      <c r="G823" s="109">
        <f>1000/(1920*6)*1000</f>
        <v>86.805555555555557</v>
      </c>
      <c r="H823" s="129">
        <f>VLOOKUP($E823,'Stock statement'!$D$2:$P$384,13,)</f>
        <v>0</v>
      </c>
      <c r="I823" s="127">
        <v>6.0000000000000001E-3</v>
      </c>
      <c r="J823" s="113">
        <v>1</v>
      </c>
      <c r="K823" s="106">
        <f t="shared" si="70"/>
        <v>0</v>
      </c>
      <c r="L823" s="115"/>
      <c r="M823" s="104">
        <f t="shared" si="71"/>
        <v>0</v>
      </c>
    </row>
    <row r="824" spans="1:13" s="107" customFormat="1" ht="15" customHeight="1">
      <c r="A824" s="100" t="str">
        <f>VLOOKUP(C824,Abstract!$E$4:$M$62,9,0)</f>
        <v>No Sales</v>
      </c>
      <c r="B824" s="99" t="s">
        <v>183</v>
      </c>
      <c r="C824" s="133" t="s">
        <v>70</v>
      </c>
      <c r="D824" s="133" t="s">
        <v>430</v>
      </c>
      <c r="E824" s="95">
        <v>212640</v>
      </c>
      <c r="F824" s="99" t="s">
        <v>433</v>
      </c>
      <c r="G824" s="109">
        <f>1000/(1920*6)*1000*2</f>
        <v>173.61111111111111</v>
      </c>
      <c r="H824" s="129">
        <f>VLOOKUP($E824,'Stock statement'!$D$2:$P$384,13,)</f>
        <v>0</v>
      </c>
      <c r="I824" s="127">
        <v>6.0000000000000001E-3</v>
      </c>
      <c r="J824" s="113">
        <v>1</v>
      </c>
      <c r="K824" s="106">
        <f t="shared" si="70"/>
        <v>0</v>
      </c>
      <c r="L824" s="115"/>
      <c r="M824" s="104">
        <f t="shared" si="71"/>
        <v>0</v>
      </c>
    </row>
    <row r="825" spans="1:13" s="107" customFormat="1" ht="15" customHeight="1">
      <c r="A825" s="100" t="str">
        <f>VLOOKUP(C825,Abstract!$E$4:$M$62,9,0)</f>
        <v>No Sales</v>
      </c>
      <c r="B825" s="99" t="s">
        <v>183</v>
      </c>
      <c r="C825" s="133" t="s">
        <v>70</v>
      </c>
      <c r="D825" s="133" t="s">
        <v>430</v>
      </c>
      <c r="E825" s="95" t="s">
        <v>192</v>
      </c>
      <c r="F825" s="95" t="s">
        <v>192</v>
      </c>
      <c r="G825" s="109">
        <f>+G824*0.04</f>
        <v>6.9444444444444446</v>
      </c>
      <c r="H825" s="129">
        <f>VLOOKUP($E825,'Stock statement'!$D$2:$P$384,13,)</f>
        <v>44.985440769279101</v>
      </c>
      <c r="I825" s="127">
        <v>0.02</v>
      </c>
      <c r="J825" s="113">
        <v>1</v>
      </c>
      <c r="K825" s="106">
        <f t="shared" si="70"/>
        <v>318.64687211572698</v>
      </c>
      <c r="L825" s="115"/>
      <c r="M825" s="104">
        <f t="shared" si="71"/>
        <v>3.6708119667731749</v>
      </c>
    </row>
    <row r="826" spans="1:13" s="107" customFormat="1" ht="15" customHeight="1">
      <c r="A826" s="100" t="str">
        <f>VLOOKUP(C826,Abstract!$E$4:$M$62,9,0)</f>
        <v>No Sales</v>
      </c>
      <c r="B826" s="99" t="s">
        <v>346</v>
      </c>
      <c r="C826" s="133" t="s">
        <v>70</v>
      </c>
      <c r="D826" s="133" t="s">
        <v>430</v>
      </c>
      <c r="E826" s="95" t="s">
        <v>347</v>
      </c>
      <c r="F826" s="99" t="s">
        <v>347</v>
      </c>
      <c r="G826" s="109"/>
      <c r="H826" s="129"/>
      <c r="I826" s="127"/>
      <c r="J826" s="113"/>
      <c r="K826" s="106">
        <v>210</v>
      </c>
      <c r="L826" s="98"/>
      <c r="M826" s="104">
        <f>K826/$G$823</f>
        <v>2.4192</v>
      </c>
    </row>
    <row r="827" spans="1:13" s="107" customFormat="1" ht="15" customHeight="1">
      <c r="A827" s="100" t="str">
        <f>VLOOKUP(C827,Abstract!$E$4:$M$62,9,0)</f>
        <v>No Sales</v>
      </c>
      <c r="B827" s="99" t="s">
        <v>197</v>
      </c>
      <c r="C827" s="133" t="s">
        <v>70</v>
      </c>
      <c r="D827" s="133" t="s">
        <v>430</v>
      </c>
      <c r="E827" s="99" t="s">
        <v>198</v>
      </c>
      <c r="F827" s="99"/>
      <c r="G827" s="109"/>
      <c r="H827" s="129"/>
      <c r="I827" s="127"/>
      <c r="J827" s="113"/>
      <c r="K827" s="106">
        <v>6180</v>
      </c>
      <c r="L827" s="115">
        <f>SUM(K797:K827)</f>
        <v>59396.73140604559</v>
      </c>
      <c r="M827" s="104">
        <f t="shared" si="71"/>
        <v>71.193600000000004</v>
      </c>
    </row>
    <row r="828" spans="1:13" s="107" customFormat="1" ht="15" customHeight="1">
      <c r="A828" s="100" t="str">
        <f>VLOOKUP(C828,Abstract!$E$4:$M$62,9,0)</f>
        <v>No Sales</v>
      </c>
      <c r="B828" s="95" t="s">
        <v>138</v>
      </c>
      <c r="C828" s="132" t="s">
        <v>72</v>
      </c>
      <c r="D828" s="133" t="s">
        <v>434</v>
      </c>
      <c r="E828" s="95" t="s">
        <v>139</v>
      </c>
      <c r="F828" s="102" t="s">
        <v>140</v>
      </c>
      <c r="G828" s="109">
        <v>735.65</v>
      </c>
      <c r="H828" s="129">
        <f>VLOOKUP($E828,'Stock statement'!$D$2:$P$384,13,)</f>
        <v>0.34</v>
      </c>
      <c r="I828" s="127">
        <v>2.5000000000000001E-2</v>
      </c>
      <c r="J828" s="116">
        <v>1.0249999999999999</v>
      </c>
      <c r="K828" s="106">
        <f>+G828*H828*(1+I828)*J828</f>
        <v>262.78337562499996</v>
      </c>
      <c r="L828" s="115"/>
      <c r="M828" s="104">
        <f>K828/$G$848</f>
        <v>3.0272644871999996</v>
      </c>
    </row>
    <row r="829" spans="1:13" s="107" customFormat="1" ht="15" customHeight="1">
      <c r="A829" s="100" t="str">
        <f>VLOOKUP(C829,Abstract!$E$4:$M$62,9,0)</f>
        <v>No Sales</v>
      </c>
      <c r="B829" s="95" t="s">
        <v>138</v>
      </c>
      <c r="C829" s="132" t="s">
        <v>72</v>
      </c>
      <c r="D829" s="133" t="s">
        <v>434</v>
      </c>
      <c r="E829" s="95" t="s">
        <v>141</v>
      </c>
      <c r="F829" s="108" t="s">
        <v>142</v>
      </c>
      <c r="G829" s="109">
        <v>185.7</v>
      </c>
      <c r="H829" s="129">
        <f>VLOOKUP($E829,'Stock statement'!$D$2:$P$384,13,)</f>
        <v>94.278330452007026</v>
      </c>
      <c r="I829" s="127">
        <v>2.5000000000000001E-2</v>
      </c>
      <c r="J829" s="116">
        <v>1.0249999999999999</v>
      </c>
      <c r="K829" s="106">
        <f t="shared" ref="K829:K846" si="72">+G829*H829*(1+I829)*J829</f>
        <v>18393.80244191267</v>
      </c>
      <c r="L829" s="115"/>
      <c r="M829" s="104">
        <f t="shared" ref="M829:M850" si="73">K829/$G$848</f>
        <v>211.89660413083396</v>
      </c>
    </row>
    <row r="830" spans="1:13" s="107" customFormat="1" ht="15" customHeight="1">
      <c r="A830" s="100" t="str">
        <f>VLOOKUP(C830,Abstract!$E$4:$M$62,9,0)</f>
        <v>No Sales</v>
      </c>
      <c r="B830" s="95" t="s">
        <v>138</v>
      </c>
      <c r="C830" s="132" t="s">
        <v>72</v>
      </c>
      <c r="D830" s="133" t="s">
        <v>434</v>
      </c>
      <c r="E830" s="95" t="s">
        <v>145</v>
      </c>
      <c r="F830" s="102" t="s">
        <v>146</v>
      </c>
      <c r="G830" s="109">
        <v>10</v>
      </c>
      <c r="H830" s="129">
        <f>VLOOKUP($E830,'Stock statement'!$D$2:$P$384,13,)</f>
        <v>151.08681180977209</v>
      </c>
      <c r="I830" s="127">
        <v>2.5000000000000001E-2</v>
      </c>
      <c r="J830" s="116">
        <v>1.0249999999999999</v>
      </c>
      <c r="K830" s="106">
        <f t="shared" si="72"/>
        <v>1587.3558165764177</v>
      </c>
      <c r="L830" s="115"/>
      <c r="M830" s="104">
        <f t="shared" si="73"/>
        <v>18.286339006960333</v>
      </c>
    </row>
    <row r="831" spans="1:13" s="107" customFormat="1" ht="15" customHeight="1">
      <c r="A831" s="100" t="str">
        <f>VLOOKUP(C831,Abstract!$E$4:$M$62,9,0)</f>
        <v>No Sales</v>
      </c>
      <c r="B831" s="95" t="s">
        <v>138</v>
      </c>
      <c r="C831" s="132" t="s">
        <v>72</v>
      </c>
      <c r="D831" s="133" t="s">
        <v>434</v>
      </c>
      <c r="E831" s="95" t="s">
        <v>143</v>
      </c>
      <c r="F831" s="108" t="s">
        <v>144</v>
      </c>
      <c r="G831" s="109">
        <v>5</v>
      </c>
      <c r="H831" s="129">
        <f>VLOOKUP($E831,'Stock statement'!$D$2:$P$384,13,)</f>
        <v>178.57970547017939</v>
      </c>
      <c r="I831" s="127">
        <v>2.5000000000000001E-2</v>
      </c>
      <c r="J831" s="116">
        <v>1.0249999999999999</v>
      </c>
      <c r="K831" s="106">
        <f t="shared" si="72"/>
        <v>938.10151529803602</v>
      </c>
      <c r="L831" s="115"/>
      <c r="M831" s="104">
        <f t="shared" si="73"/>
        <v>10.806929456233375</v>
      </c>
    </row>
    <row r="832" spans="1:13" s="107" customFormat="1" ht="15" customHeight="1">
      <c r="A832" s="100" t="str">
        <f>VLOOKUP(C832,Abstract!$E$4:$M$62,9,0)</f>
        <v>No Sales</v>
      </c>
      <c r="B832" s="95" t="s">
        <v>138</v>
      </c>
      <c r="C832" s="132" t="s">
        <v>72</v>
      </c>
      <c r="D832" s="133" t="s">
        <v>434</v>
      </c>
      <c r="E832" s="95" t="s">
        <v>149</v>
      </c>
      <c r="F832" s="99" t="s">
        <v>150</v>
      </c>
      <c r="G832" s="109">
        <v>0.125</v>
      </c>
      <c r="H832" s="129">
        <f>VLOOKUP($E832,'Stock statement'!$D$2:$P$384,13,)</f>
        <v>161.56941474217822</v>
      </c>
      <c r="I832" s="127">
        <v>2.5000000000000001E-2</v>
      </c>
      <c r="J832" s="116">
        <v>1.0249999999999999</v>
      </c>
      <c r="K832" s="106">
        <f t="shared" si="72"/>
        <v>21.218608295437623</v>
      </c>
      <c r="L832" s="115"/>
      <c r="M832" s="104">
        <f t="shared" si="73"/>
        <v>0.24443836756344139</v>
      </c>
    </row>
    <row r="833" spans="1:13" s="107" customFormat="1" ht="15" customHeight="1">
      <c r="A833" s="100" t="str">
        <f>VLOOKUP(C833,Abstract!$E$4:$M$62,9,0)</f>
        <v>No Sales</v>
      </c>
      <c r="B833" s="95" t="s">
        <v>138</v>
      </c>
      <c r="C833" s="132" t="s">
        <v>72</v>
      </c>
      <c r="D833" s="133" t="s">
        <v>434</v>
      </c>
      <c r="E833" s="95" t="s">
        <v>151</v>
      </c>
      <c r="F833" s="99" t="s">
        <v>310</v>
      </c>
      <c r="G833" s="109">
        <v>2.5</v>
      </c>
      <c r="H833" s="129">
        <f>VLOOKUP($E833,'Stock statement'!$D$2:$P$384,13,)</f>
        <v>762.38931335604309</v>
      </c>
      <c r="I833" s="127">
        <v>2.5000000000000001E-2</v>
      </c>
      <c r="J833" s="116">
        <v>1.0249999999999999</v>
      </c>
      <c r="K833" s="106">
        <f t="shared" si="72"/>
        <v>2002.4631808617316</v>
      </c>
      <c r="L833" s="115"/>
      <c r="M833" s="104">
        <f t="shared" si="73"/>
        <v>23.068375843527146</v>
      </c>
    </row>
    <row r="834" spans="1:13" s="107" customFormat="1" ht="15" customHeight="1">
      <c r="A834" s="100" t="str">
        <f>VLOOKUP(C834,Abstract!$E$4:$M$62,9,0)</f>
        <v>No Sales</v>
      </c>
      <c r="B834" s="95" t="s">
        <v>138</v>
      </c>
      <c r="C834" s="132" t="s">
        <v>72</v>
      </c>
      <c r="D834" s="133" t="s">
        <v>434</v>
      </c>
      <c r="E834" s="95" t="s">
        <v>157</v>
      </c>
      <c r="F834" s="102" t="s">
        <v>158</v>
      </c>
      <c r="G834" s="109">
        <v>1</v>
      </c>
      <c r="H834" s="129">
        <f>VLOOKUP($E834,'Stock statement'!$D$2:$P$384,13,)</f>
        <v>828.81974703846117</v>
      </c>
      <c r="I834" s="127">
        <v>2.5000000000000001E-2</v>
      </c>
      <c r="J834" s="116">
        <v>1.0249999999999999</v>
      </c>
      <c r="K834" s="106">
        <f t="shared" si="72"/>
        <v>870.77874673228314</v>
      </c>
      <c r="L834" s="115"/>
      <c r="M834" s="104">
        <f t="shared" si="73"/>
        <v>10.031371162355901</v>
      </c>
    </row>
    <row r="835" spans="1:13" s="107" customFormat="1" ht="15" customHeight="1">
      <c r="A835" s="100" t="str">
        <f>VLOOKUP(C835,Abstract!$E$4:$M$62,9,0)</f>
        <v>No Sales</v>
      </c>
      <c r="B835" s="95" t="s">
        <v>138</v>
      </c>
      <c r="C835" s="132" t="s">
        <v>72</v>
      </c>
      <c r="D835" s="133" t="s">
        <v>434</v>
      </c>
      <c r="E835" s="157">
        <v>115150</v>
      </c>
      <c r="F835" s="99" t="s">
        <v>159</v>
      </c>
      <c r="G835" s="109">
        <v>1</v>
      </c>
      <c r="H835" s="129">
        <f>VLOOKUP($E835,'Stock statement'!$D$2:$P$384,13,)</f>
        <v>456.30699446392703</v>
      </c>
      <c r="I835" s="127">
        <v>2.5000000000000001E-2</v>
      </c>
      <c r="J835" s="116">
        <v>1.0249999999999999</v>
      </c>
      <c r="K835" s="106">
        <f t="shared" si="72"/>
        <v>479.40753605866325</v>
      </c>
      <c r="L835" s="115"/>
      <c r="M835" s="104">
        <f t="shared" si="73"/>
        <v>5.5227748153958007</v>
      </c>
    </row>
    <row r="836" spans="1:13" s="107" customFormat="1" ht="15" customHeight="1">
      <c r="A836" s="100" t="str">
        <f>VLOOKUP(C836,Abstract!$E$4:$M$62,9,0)</f>
        <v>No Sales</v>
      </c>
      <c r="B836" s="95" t="s">
        <v>138</v>
      </c>
      <c r="C836" s="132" t="s">
        <v>72</v>
      </c>
      <c r="D836" s="133" t="s">
        <v>434</v>
      </c>
      <c r="E836" s="95" t="s">
        <v>160</v>
      </c>
      <c r="F836" s="108" t="s">
        <v>161</v>
      </c>
      <c r="G836" s="109">
        <v>0.25</v>
      </c>
      <c r="H836" s="129">
        <f>VLOOKUP($E836,'Stock statement'!$D$2:$P$384,13,)</f>
        <v>3313.2387673094586</v>
      </c>
      <c r="I836" s="127">
        <v>2.5000000000000001E-2</v>
      </c>
      <c r="J836" s="116">
        <v>1.0249999999999999</v>
      </c>
      <c r="K836" s="106">
        <f t="shared" si="72"/>
        <v>870.24286997612489</v>
      </c>
      <c r="L836" s="115"/>
      <c r="M836" s="104">
        <f t="shared" si="73"/>
        <v>10.025197862124958</v>
      </c>
    </row>
    <row r="837" spans="1:13" s="107" customFormat="1" ht="15" customHeight="1">
      <c r="A837" s="100" t="str">
        <f>VLOOKUP(C837,Abstract!$E$4:$M$62,9,0)</f>
        <v>No Sales</v>
      </c>
      <c r="B837" s="95" t="s">
        <v>138</v>
      </c>
      <c r="C837" s="132" t="s">
        <v>72</v>
      </c>
      <c r="D837" s="133" t="s">
        <v>434</v>
      </c>
      <c r="E837" s="95" t="s">
        <v>166</v>
      </c>
      <c r="F837" s="99" t="s">
        <v>167</v>
      </c>
      <c r="G837" s="109">
        <v>2.5</v>
      </c>
      <c r="H837" s="129">
        <f>VLOOKUP($E837,'Stock statement'!$D$2:$P$384,13,)</f>
        <v>127.15913438761541</v>
      </c>
      <c r="I837" s="127">
        <v>2.5000000000000001E-2</v>
      </c>
      <c r="J837" s="116">
        <v>1.0249999999999999</v>
      </c>
      <c r="K837" s="106">
        <f t="shared" si="72"/>
        <v>333.99141391497102</v>
      </c>
      <c r="L837" s="115"/>
      <c r="M837" s="104">
        <f t="shared" si="73"/>
        <v>3.847581088300466</v>
      </c>
    </row>
    <row r="838" spans="1:13" s="107" customFormat="1" ht="15" customHeight="1">
      <c r="A838" s="100" t="str">
        <f>VLOOKUP(C838,Abstract!$E$4:$M$62,9,0)</f>
        <v>No Sales</v>
      </c>
      <c r="B838" s="95" t="s">
        <v>138</v>
      </c>
      <c r="C838" s="132" t="s">
        <v>72</v>
      </c>
      <c r="D838" s="133" t="s">
        <v>434</v>
      </c>
      <c r="E838" s="95" t="s">
        <v>209</v>
      </c>
      <c r="F838" s="99" t="s">
        <v>210</v>
      </c>
      <c r="G838" s="109">
        <v>20</v>
      </c>
      <c r="H838" s="129">
        <f>VLOOKUP($E838,'Stock statement'!$D$2:$P$384,13,)</f>
        <v>220.67282625366343</v>
      </c>
      <c r="I838" s="127">
        <v>2.5000000000000001E-2</v>
      </c>
      <c r="J838" s="116">
        <v>1.0249999999999999</v>
      </c>
      <c r="K838" s="106">
        <f t="shared" si="72"/>
        <v>4636.8877616551026</v>
      </c>
      <c r="L838" s="115"/>
      <c r="M838" s="104">
        <f t="shared" si="73"/>
        <v>53.416947014266782</v>
      </c>
    </row>
    <row r="839" spans="1:13" s="107" customFormat="1" ht="15" customHeight="1">
      <c r="A839" s="100" t="str">
        <f>VLOOKUP(C839,Abstract!$E$4:$M$62,9,0)</f>
        <v>No Sales</v>
      </c>
      <c r="B839" s="95" t="s">
        <v>138</v>
      </c>
      <c r="C839" s="132" t="s">
        <v>72</v>
      </c>
      <c r="D839" s="133" t="s">
        <v>434</v>
      </c>
      <c r="E839" s="95" t="s">
        <v>173</v>
      </c>
      <c r="F839" s="95" t="s">
        <v>174</v>
      </c>
      <c r="G839" s="109">
        <v>0.1</v>
      </c>
      <c r="H839" s="129">
        <f>VLOOKUP($E839,'Stock statement'!$D$2:$P$384,13,)</f>
        <v>555.2517156766155</v>
      </c>
      <c r="I839" s="127">
        <v>2.5000000000000001E-2</v>
      </c>
      <c r="J839" s="116">
        <v>1.0249999999999999</v>
      </c>
      <c r="K839" s="106">
        <f t="shared" si="72"/>
        <v>58.336133378274404</v>
      </c>
      <c r="L839" s="115"/>
      <c r="M839" s="104">
        <f t="shared" si="73"/>
        <v>0.67203225651772114</v>
      </c>
    </row>
    <row r="840" spans="1:13" s="107" customFormat="1" ht="15" customHeight="1">
      <c r="A840" s="100" t="str">
        <f>VLOOKUP(C840,Abstract!$E$4:$M$62,9,0)</f>
        <v>No Sales</v>
      </c>
      <c r="B840" s="95" t="s">
        <v>138</v>
      </c>
      <c r="C840" s="132" t="s">
        <v>72</v>
      </c>
      <c r="D840" s="133" t="s">
        <v>434</v>
      </c>
      <c r="E840" s="95" t="s">
        <v>153</v>
      </c>
      <c r="F840" s="99" t="s">
        <v>154</v>
      </c>
      <c r="G840" s="109">
        <v>0.67500000000000004</v>
      </c>
      <c r="H840" s="129">
        <f>VLOOKUP($E840,'Stock statement'!$D$2:$P$384,13,)</f>
        <v>84.206363687840948</v>
      </c>
      <c r="I840" s="127">
        <v>2.5000000000000001E-2</v>
      </c>
      <c r="J840" s="116">
        <v>1.0249999999999999</v>
      </c>
      <c r="K840" s="106">
        <f t="shared" si="72"/>
        <v>59.716784823438076</v>
      </c>
      <c r="L840" s="115"/>
      <c r="M840" s="104">
        <f t="shared" si="73"/>
        <v>0.68793736116600657</v>
      </c>
    </row>
    <row r="841" spans="1:13" s="107" customFormat="1" ht="15" customHeight="1">
      <c r="A841" s="100" t="str">
        <f>VLOOKUP(C841,Abstract!$E$4:$M$62,9,0)</f>
        <v>No Sales</v>
      </c>
      <c r="B841" s="95" t="s">
        <v>138</v>
      </c>
      <c r="C841" s="132" t="s">
        <v>72</v>
      </c>
      <c r="D841" s="133" t="s">
        <v>434</v>
      </c>
      <c r="E841" s="95" t="s">
        <v>147</v>
      </c>
      <c r="F841" s="95" t="s">
        <v>148</v>
      </c>
      <c r="G841" s="109">
        <v>1</v>
      </c>
      <c r="H841" s="129">
        <f>VLOOKUP($E841,'Stock statement'!$D$2:$P$384,13,)</f>
        <v>353.50950483838068</v>
      </c>
      <c r="I841" s="127">
        <v>2.5000000000000001E-2</v>
      </c>
      <c r="J841" s="116">
        <v>1.0249999999999999</v>
      </c>
      <c r="K841" s="106">
        <f t="shared" si="72"/>
        <v>371.40592352082365</v>
      </c>
      <c r="L841" s="115"/>
      <c r="M841" s="104">
        <f t="shared" si="73"/>
        <v>4.2785962389598886</v>
      </c>
    </row>
    <row r="842" spans="1:13" s="107" customFormat="1" ht="15" customHeight="1">
      <c r="A842" s="100" t="str">
        <f>VLOOKUP(C842,Abstract!$E$4:$M$62,9,0)</f>
        <v>No Sales</v>
      </c>
      <c r="B842" s="95" t="s">
        <v>138</v>
      </c>
      <c r="C842" s="132" t="s">
        <v>72</v>
      </c>
      <c r="D842" s="133" t="s">
        <v>434</v>
      </c>
      <c r="E842" s="95" t="s">
        <v>179</v>
      </c>
      <c r="F842" s="102" t="s">
        <v>180</v>
      </c>
      <c r="G842" s="109">
        <v>0.5</v>
      </c>
      <c r="H842" s="129">
        <f>VLOOKUP($E842,'Stock statement'!$D$2:$P$384,13,)</f>
        <v>1036.4956269221443</v>
      </c>
      <c r="I842" s="127">
        <v>2.5000000000000001E-2</v>
      </c>
      <c r="J842" s="116">
        <v>1.0249999999999999</v>
      </c>
      <c r="K842" s="106">
        <f t="shared" si="72"/>
        <v>544.48410901753891</v>
      </c>
      <c r="L842" s="115"/>
      <c r="M842" s="104">
        <f t="shared" si="73"/>
        <v>6.2724569358820483</v>
      </c>
    </row>
    <row r="843" spans="1:13" s="107" customFormat="1" ht="15" customHeight="1">
      <c r="A843" s="100" t="str">
        <f>VLOOKUP(C843,Abstract!$E$4:$M$62,9,0)</f>
        <v>No Sales</v>
      </c>
      <c r="B843" s="95" t="s">
        <v>138</v>
      </c>
      <c r="C843" s="132" t="s">
        <v>72</v>
      </c>
      <c r="D843" s="133" t="s">
        <v>434</v>
      </c>
      <c r="E843" s="95" t="s">
        <v>155</v>
      </c>
      <c r="F843" s="95" t="s">
        <v>156</v>
      </c>
      <c r="G843" s="109">
        <v>15</v>
      </c>
      <c r="H843" s="129">
        <f>VLOOKUP($E843,'Stock statement'!$D$2:$P$384,13,)</f>
        <v>68.308211638055738</v>
      </c>
      <c r="I843" s="127">
        <v>2.5000000000000001E-2</v>
      </c>
      <c r="J843" s="116">
        <v>1.0249999999999999</v>
      </c>
      <c r="K843" s="106">
        <f t="shared" si="72"/>
        <v>1076.4947227834843</v>
      </c>
      <c r="L843" s="115"/>
      <c r="M843" s="104">
        <f t="shared" si="73"/>
        <v>12.40121920646574</v>
      </c>
    </row>
    <row r="844" spans="1:13" s="107" customFormat="1" ht="15" customHeight="1">
      <c r="A844" s="100" t="str">
        <f>VLOOKUP(C844,Abstract!$E$4:$M$62,9,0)</f>
        <v>No Sales</v>
      </c>
      <c r="B844" s="95" t="s">
        <v>138</v>
      </c>
      <c r="C844" s="132" t="s">
        <v>72</v>
      </c>
      <c r="D844" s="133" t="s">
        <v>434</v>
      </c>
      <c r="E844" s="95" t="s">
        <v>339</v>
      </c>
      <c r="F844" s="95" t="s">
        <v>340</v>
      </c>
      <c r="G844" s="109">
        <v>5.85</v>
      </c>
      <c r="H844" s="129">
        <f>VLOOKUP($E844,'Stock statement'!$D$2:$P$384,13,)</f>
        <v>890.49821899777828</v>
      </c>
      <c r="I844" s="127">
        <v>2.5000000000000001E-2</v>
      </c>
      <c r="J844" s="116">
        <v>1.0249999999999999</v>
      </c>
      <c r="K844" s="106">
        <f t="shared" si="72"/>
        <v>5473.1411943070625</v>
      </c>
      <c r="L844" s="115"/>
      <c r="M844" s="104">
        <f t="shared" si="73"/>
        <v>63.050586558417358</v>
      </c>
    </row>
    <row r="845" spans="1:13" s="107" customFormat="1" ht="15" customHeight="1">
      <c r="A845" s="100" t="str">
        <f>VLOOKUP(C845,Abstract!$E$4:$M$62,9,0)</f>
        <v>No Sales</v>
      </c>
      <c r="B845" s="95" t="s">
        <v>138</v>
      </c>
      <c r="C845" s="132" t="s">
        <v>72</v>
      </c>
      <c r="D845" s="133" t="s">
        <v>434</v>
      </c>
      <c r="E845" s="95" t="s">
        <v>341</v>
      </c>
      <c r="F845" s="95" t="s">
        <v>342</v>
      </c>
      <c r="G845" s="109">
        <v>0.65</v>
      </c>
      <c r="H845" s="129">
        <f>VLOOKUP($E845,'Stock statement'!$D$2:$P$384,13,)</f>
        <v>927.16271256930133</v>
      </c>
      <c r="I845" s="127">
        <v>2.5000000000000001E-2</v>
      </c>
      <c r="J845" s="116">
        <v>1.0249999999999999</v>
      </c>
      <c r="K845" s="106">
        <f t="shared" si="72"/>
        <v>633.16521118052935</v>
      </c>
      <c r="L845" s="115"/>
      <c r="M845" s="104">
        <f t="shared" si="73"/>
        <v>7.2940632327996981</v>
      </c>
    </row>
    <row r="846" spans="1:13" s="107" customFormat="1" ht="15" customHeight="1">
      <c r="A846" s="100" t="str">
        <f>VLOOKUP(C846,Abstract!$E$4:$M$62,9,0)</f>
        <v>No Sales</v>
      </c>
      <c r="B846" s="95" t="s">
        <v>138</v>
      </c>
      <c r="C846" s="132" t="s">
        <v>72</v>
      </c>
      <c r="D846" s="133" t="s">
        <v>434</v>
      </c>
      <c r="E846" s="95" t="s">
        <v>181</v>
      </c>
      <c r="F846" s="102" t="s">
        <v>182</v>
      </c>
      <c r="G846" s="109">
        <v>12.5</v>
      </c>
      <c r="H846" s="129">
        <f>VLOOKUP($E846,'Stock statement'!$D$2:$P$384,13,)</f>
        <v>17.110276913020375</v>
      </c>
      <c r="I846" s="127">
        <v>2.5000000000000001E-2</v>
      </c>
      <c r="J846" s="116">
        <v>1.0249999999999999</v>
      </c>
      <c r="K846" s="106">
        <f t="shared" si="72"/>
        <v>224.70605852177536</v>
      </c>
      <c r="L846" s="115"/>
      <c r="M846" s="104">
        <f t="shared" si="73"/>
        <v>2.5886137941708522</v>
      </c>
    </row>
    <row r="847" spans="1:13" s="107" customFormat="1" ht="15" customHeight="1">
      <c r="A847" s="100" t="str">
        <f>VLOOKUP(C847,Abstract!$E$4:$M$62,9,0)</f>
        <v>No Sales</v>
      </c>
      <c r="B847" s="99" t="s">
        <v>183</v>
      </c>
      <c r="C847" s="132" t="s">
        <v>72</v>
      </c>
      <c r="D847" s="133" t="s">
        <v>434</v>
      </c>
      <c r="E847" s="95">
        <v>213506</v>
      </c>
      <c r="F847" s="95" t="s">
        <v>435</v>
      </c>
      <c r="G847" s="109">
        <f>(1000/(1920*6)*1000)*0.647</f>
        <v>56.16319444444445</v>
      </c>
      <c r="H847" s="129">
        <f>VLOOKUP($E847,'Stock statement'!$D$2:$P$384,13,)</f>
        <v>244</v>
      </c>
      <c r="I847" s="127">
        <v>1.7500000000000002E-2</v>
      </c>
      <c r="J847" s="113">
        <v>1</v>
      </c>
      <c r="K847" s="106">
        <f>+G847*H847*(1+I847)*J847</f>
        <v>13943.636284722224</v>
      </c>
      <c r="L847" s="115"/>
      <c r="M847" s="104">
        <f t="shared" si="73"/>
        <v>160.63069000000002</v>
      </c>
    </row>
    <row r="848" spans="1:13" s="107" customFormat="1" ht="15" customHeight="1">
      <c r="A848" s="100" t="str">
        <f>VLOOKUP(C848,Abstract!$E$4:$M$62,9,0)</f>
        <v>No Sales</v>
      </c>
      <c r="B848" s="99" t="s">
        <v>183</v>
      </c>
      <c r="C848" s="132" t="s">
        <v>72</v>
      </c>
      <c r="D848" s="133" t="s">
        <v>434</v>
      </c>
      <c r="E848" s="99">
        <v>211670</v>
      </c>
      <c r="F848" s="95" t="s">
        <v>436</v>
      </c>
      <c r="G848" s="109">
        <f>1000/(1920*6)*1000</f>
        <v>86.805555555555557</v>
      </c>
      <c r="H848" s="129">
        <f>VLOOKUP($E848,'Stock statement'!$D$2:$P$384,13,)</f>
        <v>0</v>
      </c>
      <c r="I848" s="127">
        <v>6.0000000000000001E-3</v>
      </c>
      <c r="J848" s="113">
        <v>1</v>
      </c>
      <c r="K848" s="106">
        <f>+G848*H848*(1+I848)*J848</f>
        <v>0</v>
      </c>
      <c r="L848" s="115"/>
      <c r="M848" s="104">
        <f t="shared" si="73"/>
        <v>0</v>
      </c>
    </row>
    <row r="849" spans="1:13" s="107" customFormat="1" ht="15" customHeight="1">
      <c r="A849" s="100" t="str">
        <f>VLOOKUP(C849,Abstract!$E$4:$M$62,9,0)</f>
        <v>No Sales</v>
      </c>
      <c r="B849" s="99" t="s">
        <v>183</v>
      </c>
      <c r="C849" s="132" t="s">
        <v>72</v>
      </c>
      <c r="D849" s="133" t="s">
        <v>434</v>
      </c>
      <c r="E849" s="95" t="s">
        <v>192</v>
      </c>
      <c r="F849" s="95" t="s">
        <v>192</v>
      </c>
      <c r="G849" s="109">
        <f>+G848*0.02</f>
        <v>1.7361111111111112</v>
      </c>
      <c r="H849" s="129">
        <f>VLOOKUP($E849,'Stock statement'!$D$2:$P$384,13,)</f>
        <v>44.985440769279101</v>
      </c>
      <c r="I849" s="127">
        <v>0.02</v>
      </c>
      <c r="J849" s="113">
        <v>1</v>
      </c>
      <c r="K849" s="106">
        <f>+G849*H849*(1+I849)*J849</f>
        <v>79.661718028931745</v>
      </c>
      <c r="L849" s="115"/>
      <c r="M849" s="104">
        <f t="shared" si="73"/>
        <v>0.91770299169329372</v>
      </c>
    </row>
    <row r="850" spans="1:13" s="107" customFormat="1" ht="15" customHeight="1">
      <c r="A850" s="100" t="str">
        <f>VLOOKUP(C850,Abstract!$E$4:$M$62,9,0)</f>
        <v>No Sales</v>
      </c>
      <c r="B850" s="99" t="s">
        <v>197</v>
      </c>
      <c r="C850" s="132" t="s">
        <v>72</v>
      </c>
      <c r="D850" s="133" t="s">
        <v>434</v>
      </c>
      <c r="E850" s="99" t="s">
        <v>198</v>
      </c>
      <c r="F850" s="95"/>
      <c r="G850" s="109"/>
      <c r="H850" s="129"/>
      <c r="I850" s="127"/>
      <c r="J850" s="113"/>
      <c r="K850" s="106">
        <v>6180</v>
      </c>
      <c r="L850" s="115">
        <f>SUM(K828:K850)</f>
        <v>59041.781407190523</v>
      </c>
      <c r="M850" s="104">
        <f t="shared" si="73"/>
        <v>71.193600000000004</v>
      </c>
    </row>
    <row r="851" spans="1:13" s="107" customFormat="1" ht="15" customHeight="1">
      <c r="A851" s="100" t="str">
        <f>VLOOKUP(C851,Abstract!$E$4:$M$62,9,0)</f>
        <v>No Sales</v>
      </c>
      <c r="B851" s="95" t="s">
        <v>138</v>
      </c>
      <c r="C851" s="133" t="s">
        <v>74</v>
      </c>
      <c r="D851" s="133" t="s">
        <v>437</v>
      </c>
      <c r="E851" s="95" t="s">
        <v>141</v>
      </c>
      <c r="F851" s="108" t="s">
        <v>142</v>
      </c>
      <c r="G851" s="109">
        <v>185.7</v>
      </c>
      <c r="H851" s="129">
        <f>VLOOKUP($E851,'Stock statement'!$D$2:$P$384,13,)</f>
        <v>94.278330452007026</v>
      </c>
      <c r="I851" s="127">
        <v>2.5000000000000001E-2</v>
      </c>
      <c r="J851" s="116">
        <v>1.0249999999999999</v>
      </c>
      <c r="K851" s="106">
        <f t="shared" ref="K851:K876" si="74">+G851*H851*(1+I851)*J851</f>
        <v>18393.80244191267</v>
      </c>
      <c r="L851" s="115"/>
      <c r="M851" s="104">
        <f>K851/$G$875</f>
        <v>211.89660413083396</v>
      </c>
    </row>
    <row r="852" spans="1:13" s="107" customFormat="1" ht="15" customHeight="1">
      <c r="A852" s="100" t="str">
        <f>VLOOKUP(C852,Abstract!$E$4:$M$62,9,0)</f>
        <v>No Sales</v>
      </c>
      <c r="B852" s="95" t="s">
        <v>138</v>
      </c>
      <c r="C852" s="133" t="s">
        <v>74</v>
      </c>
      <c r="D852" s="133" t="s">
        <v>437</v>
      </c>
      <c r="E852" s="95" t="s">
        <v>145</v>
      </c>
      <c r="F852" s="102" t="s">
        <v>146</v>
      </c>
      <c r="G852" s="109">
        <v>10</v>
      </c>
      <c r="H852" s="129">
        <f>VLOOKUP($E852,'Stock statement'!$D$2:$P$384,13,)</f>
        <v>151.08681180977209</v>
      </c>
      <c r="I852" s="127">
        <v>2.5000000000000001E-2</v>
      </c>
      <c r="J852" s="116">
        <v>1.0249999999999999</v>
      </c>
      <c r="K852" s="106">
        <f t="shared" si="74"/>
        <v>1587.3558165764177</v>
      </c>
      <c r="L852" s="115"/>
      <c r="M852" s="104">
        <f t="shared" ref="M852:M877" si="75">K852/$G$875</f>
        <v>18.286339006960333</v>
      </c>
    </row>
    <row r="853" spans="1:13" s="107" customFormat="1" ht="15" customHeight="1">
      <c r="A853" s="100" t="str">
        <f>VLOOKUP(C853,Abstract!$E$4:$M$62,9,0)</f>
        <v>No Sales</v>
      </c>
      <c r="B853" s="95" t="s">
        <v>138</v>
      </c>
      <c r="C853" s="133" t="s">
        <v>74</v>
      </c>
      <c r="D853" s="133" t="s">
        <v>437</v>
      </c>
      <c r="E853" s="95" t="s">
        <v>149</v>
      </c>
      <c r="F853" s="95" t="s">
        <v>150</v>
      </c>
      <c r="G853" s="109">
        <v>0.125</v>
      </c>
      <c r="H853" s="129">
        <f>VLOOKUP($E853,'Stock statement'!$D$2:$P$384,13,)</f>
        <v>161.56941474217822</v>
      </c>
      <c r="I853" s="127">
        <v>2.5000000000000001E-2</v>
      </c>
      <c r="J853" s="116">
        <v>1.0249999999999999</v>
      </c>
      <c r="K853" s="106">
        <f t="shared" si="74"/>
        <v>21.218608295437623</v>
      </c>
      <c r="L853" s="115"/>
      <c r="M853" s="104">
        <f t="shared" si="75"/>
        <v>0.24443836756344139</v>
      </c>
    </row>
    <row r="854" spans="1:13" s="107" customFormat="1" ht="15" customHeight="1">
      <c r="A854" s="100" t="str">
        <f>VLOOKUP(C854,Abstract!$E$4:$M$62,9,0)</f>
        <v>No Sales</v>
      </c>
      <c r="B854" s="95" t="s">
        <v>138</v>
      </c>
      <c r="C854" s="133" t="s">
        <v>74</v>
      </c>
      <c r="D854" s="133" t="s">
        <v>437</v>
      </c>
      <c r="E854" s="95" t="s">
        <v>151</v>
      </c>
      <c r="F854" s="95" t="s">
        <v>310</v>
      </c>
      <c r="G854" s="109">
        <v>2.5</v>
      </c>
      <c r="H854" s="129">
        <f>VLOOKUP($E854,'Stock statement'!$D$2:$P$384,13,)</f>
        <v>762.38931335604309</v>
      </c>
      <c r="I854" s="127">
        <v>2.5000000000000001E-2</v>
      </c>
      <c r="J854" s="116">
        <v>1.0249999999999999</v>
      </c>
      <c r="K854" s="106">
        <f t="shared" si="74"/>
        <v>2002.4631808617316</v>
      </c>
      <c r="L854" s="115"/>
      <c r="M854" s="104">
        <f t="shared" si="75"/>
        <v>23.068375843527146</v>
      </c>
    </row>
    <row r="855" spans="1:13" s="107" customFormat="1" ht="15" customHeight="1">
      <c r="A855" s="100" t="str">
        <f>VLOOKUP(C855,Abstract!$E$4:$M$62,9,0)</f>
        <v>No Sales</v>
      </c>
      <c r="B855" s="95" t="s">
        <v>138</v>
      </c>
      <c r="C855" s="133" t="s">
        <v>74</v>
      </c>
      <c r="D855" s="133" t="s">
        <v>437</v>
      </c>
      <c r="E855" s="95" t="s">
        <v>157</v>
      </c>
      <c r="F855" s="102" t="s">
        <v>158</v>
      </c>
      <c r="G855" s="109">
        <v>1</v>
      </c>
      <c r="H855" s="129">
        <f>VLOOKUP($E855,'Stock statement'!$D$2:$P$384,13,)</f>
        <v>828.81974703846117</v>
      </c>
      <c r="I855" s="127">
        <v>2.5000000000000001E-2</v>
      </c>
      <c r="J855" s="116">
        <v>1.0249999999999999</v>
      </c>
      <c r="K855" s="106">
        <f t="shared" si="74"/>
        <v>870.77874673228314</v>
      </c>
      <c r="L855" s="115"/>
      <c r="M855" s="104">
        <f t="shared" si="75"/>
        <v>10.031371162355901</v>
      </c>
    </row>
    <row r="856" spans="1:13" s="107" customFormat="1" ht="15" customHeight="1">
      <c r="A856" s="100" t="str">
        <f>VLOOKUP(C856,Abstract!$E$4:$M$62,9,0)</f>
        <v>No Sales</v>
      </c>
      <c r="B856" s="95" t="s">
        <v>138</v>
      </c>
      <c r="C856" s="133" t="s">
        <v>74</v>
      </c>
      <c r="D856" s="133" t="s">
        <v>437</v>
      </c>
      <c r="E856" s="157">
        <v>115150</v>
      </c>
      <c r="F856" s="95" t="s">
        <v>159</v>
      </c>
      <c r="G856" s="109">
        <v>1</v>
      </c>
      <c r="H856" s="129">
        <f>VLOOKUP($E856,'Stock statement'!$D$2:$P$384,13,)</f>
        <v>456.30699446392703</v>
      </c>
      <c r="I856" s="127">
        <v>2.5000000000000001E-2</v>
      </c>
      <c r="J856" s="116">
        <v>1.0249999999999999</v>
      </c>
      <c r="K856" s="106">
        <f t="shared" si="74"/>
        <v>479.40753605866325</v>
      </c>
      <c r="L856" s="115"/>
      <c r="M856" s="104">
        <f t="shared" si="75"/>
        <v>5.5227748153958007</v>
      </c>
    </row>
    <row r="857" spans="1:13" s="107" customFormat="1" ht="15" customHeight="1">
      <c r="A857" s="100" t="str">
        <f>VLOOKUP(C857,Abstract!$E$4:$M$62,9,0)</f>
        <v>No Sales</v>
      </c>
      <c r="B857" s="95" t="s">
        <v>138</v>
      </c>
      <c r="C857" s="133" t="s">
        <v>74</v>
      </c>
      <c r="D857" s="133" t="s">
        <v>437</v>
      </c>
      <c r="E857" s="95" t="s">
        <v>160</v>
      </c>
      <c r="F857" s="108" t="s">
        <v>161</v>
      </c>
      <c r="G857" s="109">
        <v>0.25</v>
      </c>
      <c r="H857" s="129">
        <f>VLOOKUP($E857,'Stock statement'!$D$2:$P$384,13,)</f>
        <v>3313.2387673094586</v>
      </c>
      <c r="I857" s="127">
        <v>2.5000000000000001E-2</v>
      </c>
      <c r="J857" s="116">
        <v>1.0249999999999999</v>
      </c>
      <c r="K857" s="106">
        <f t="shared" si="74"/>
        <v>870.24286997612489</v>
      </c>
      <c r="L857" s="115"/>
      <c r="M857" s="104">
        <f t="shared" si="75"/>
        <v>10.025197862124958</v>
      </c>
    </row>
    <row r="858" spans="1:13" s="107" customFormat="1" ht="15" customHeight="1">
      <c r="A858" s="100" t="str">
        <f>VLOOKUP(C858,Abstract!$E$4:$M$62,9,0)</f>
        <v>No Sales</v>
      </c>
      <c r="B858" s="95" t="s">
        <v>138</v>
      </c>
      <c r="C858" s="133" t="s">
        <v>74</v>
      </c>
      <c r="D858" s="133" t="s">
        <v>437</v>
      </c>
      <c r="E858" s="95" t="s">
        <v>166</v>
      </c>
      <c r="F858" s="95" t="s">
        <v>167</v>
      </c>
      <c r="G858" s="109">
        <v>2.5</v>
      </c>
      <c r="H858" s="129">
        <f>VLOOKUP($E858,'Stock statement'!$D$2:$P$384,13,)</f>
        <v>127.15913438761541</v>
      </c>
      <c r="I858" s="127">
        <v>2.5000000000000001E-2</v>
      </c>
      <c r="J858" s="116">
        <v>1.0249999999999999</v>
      </c>
      <c r="K858" s="106">
        <f t="shared" si="74"/>
        <v>333.99141391497102</v>
      </c>
      <c r="L858" s="115"/>
      <c r="M858" s="104">
        <f t="shared" si="75"/>
        <v>3.847581088300466</v>
      </c>
    </row>
    <row r="859" spans="1:13" s="107" customFormat="1" ht="15" customHeight="1">
      <c r="A859" s="100" t="str">
        <f>VLOOKUP(C859,Abstract!$E$4:$M$62,9,0)</f>
        <v>No Sales</v>
      </c>
      <c r="B859" s="95" t="s">
        <v>138</v>
      </c>
      <c r="C859" s="133" t="s">
        <v>74</v>
      </c>
      <c r="D859" s="133" t="s">
        <v>437</v>
      </c>
      <c r="E859" s="95" t="s">
        <v>155</v>
      </c>
      <c r="F859" s="95" t="s">
        <v>156</v>
      </c>
      <c r="G859" s="109">
        <v>15</v>
      </c>
      <c r="H859" s="129">
        <f>VLOOKUP($E859,'Stock statement'!$D$2:$P$384,13,)</f>
        <v>68.308211638055738</v>
      </c>
      <c r="I859" s="127">
        <v>2.5000000000000001E-2</v>
      </c>
      <c r="J859" s="116">
        <v>1.0249999999999999</v>
      </c>
      <c r="K859" s="106">
        <f t="shared" si="74"/>
        <v>1076.4947227834843</v>
      </c>
      <c r="L859" s="115"/>
      <c r="M859" s="104">
        <f t="shared" si="75"/>
        <v>12.40121920646574</v>
      </c>
    </row>
    <row r="860" spans="1:13" s="107" customFormat="1" ht="15" customHeight="1">
      <c r="A860" s="100" t="str">
        <f>VLOOKUP(C860,Abstract!$E$4:$M$62,9,0)</f>
        <v>No Sales</v>
      </c>
      <c r="B860" s="95" t="s">
        <v>138</v>
      </c>
      <c r="C860" s="133" t="s">
        <v>74</v>
      </c>
      <c r="D860" s="133" t="s">
        <v>437</v>
      </c>
      <c r="E860" s="95" t="s">
        <v>209</v>
      </c>
      <c r="F860" s="99" t="s">
        <v>210</v>
      </c>
      <c r="G860" s="109">
        <v>20</v>
      </c>
      <c r="H860" s="129">
        <f>VLOOKUP($E860,'Stock statement'!$D$2:$P$384,13,)</f>
        <v>220.67282625366343</v>
      </c>
      <c r="I860" s="127">
        <v>2.5000000000000001E-2</v>
      </c>
      <c r="J860" s="116">
        <v>1.0249999999999999</v>
      </c>
      <c r="K860" s="106">
        <f t="shared" si="74"/>
        <v>4636.8877616551026</v>
      </c>
      <c r="L860" s="115"/>
      <c r="M860" s="104">
        <f t="shared" si="75"/>
        <v>53.416947014266782</v>
      </c>
    </row>
    <row r="861" spans="1:13" s="107" customFormat="1" ht="15" customHeight="1">
      <c r="A861" s="100" t="str">
        <f>VLOOKUP(C861,Abstract!$E$4:$M$62,9,0)</f>
        <v>No Sales</v>
      </c>
      <c r="B861" s="95" t="s">
        <v>138</v>
      </c>
      <c r="C861" s="133" t="s">
        <v>74</v>
      </c>
      <c r="D861" s="133" t="s">
        <v>437</v>
      </c>
      <c r="E861" s="95" t="s">
        <v>261</v>
      </c>
      <c r="F861" s="95" t="s">
        <v>262</v>
      </c>
      <c r="G861" s="109">
        <v>2.5</v>
      </c>
      <c r="H861" s="129">
        <f>VLOOKUP($E861,'Stock statement'!$D$2:$P$384,13,)</f>
        <v>0</v>
      </c>
      <c r="I861" s="127">
        <v>2.5000000000000001E-2</v>
      </c>
      <c r="J861" s="116">
        <v>1.0249999999999999</v>
      </c>
      <c r="K861" s="106">
        <f t="shared" si="74"/>
        <v>0</v>
      </c>
      <c r="L861" s="115"/>
      <c r="M861" s="104">
        <f t="shared" si="75"/>
        <v>0</v>
      </c>
    </row>
    <row r="862" spans="1:13" s="107" customFormat="1" ht="15" customHeight="1">
      <c r="A862" s="100" t="str">
        <f>VLOOKUP(C862,Abstract!$E$4:$M$62,9,0)</f>
        <v>No Sales</v>
      </c>
      <c r="B862" s="95" t="s">
        <v>138</v>
      </c>
      <c r="C862" s="133" t="s">
        <v>74</v>
      </c>
      <c r="D862" s="133" t="s">
        <v>437</v>
      </c>
      <c r="E862" s="95" t="s">
        <v>175</v>
      </c>
      <c r="F862" s="95" t="s">
        <v>176</v>
      </c>
      <c r="G862" s="109">
        <v>0.1</v>
      </c>
      <c r="H862" s="129">
        <f>VLOOKUP($E862,'Stock statement'!$D$2:$P$384,13,)</f>
        <v>1750.9314909799687</v>
      </c>
      <c r="I862" s="127">
        <v>2.5000000000000001E-2</v>
      </c>
      <c r="J862" s="116">
        <v>1.0249999999999999</v>
      </c>
      <c r="K862" s="106">
        <f t="shared" si="74"/>
        <v>183.95723977108293</v>
      </c>
      <c r="L862" s="115"/>
      <c r="M862" s="104">
        <f t="shared" si="75"/>
        <v>2.1191874021628752</v>
      </c>
    </row>
    <row r="863" spans="1:13" s="107" customFormat="1" ht="15" customHeight="1">
      <c r="A863" s="100" t="str">
        <f>VLOOKUP(C863,Abstract!$E$4:$M$62,9,0)</f>
        <v>No Sales</v>
      </c>
      <c r="B863" s="95" t="s">
        <v>138</v>
      </c>
      <c r="C863" s="133" t="s">
        <v>74</v>
      </c>
      <c r="D863" s="133" t="s">
        <v>437</v>
      </c>
      <c r="E863" s="95" t="s">
        <v>177</v>
      </c>
      <c r="F863" s="95" t="s">
        <v>178</v>
      </c>
      <c r="G863" s="109">
        <v>0.1</v>
      </c>
      <c r="H863" s="129">
        <f>VLOOKUP($E863,'Stock statement'!$D$2:$P$384,13,)</f>
        <v>195.29212473407105</v>
      </c>
      <c r="I863" s="127">
        <v>2.5000000000000001E-2</v>
      </c>
      <c r="J863" s="116">
        <v>1.0249999999999999</v>
      </c>
      <c r="K863" s="106">
        <f t="shared" si="74"/>
        <v>20.517878854873334</v>
      </c>
      <c r="L863" s="115"/>
      <c r="M863" s="104">
        <f t="shared" si="75"/>
        <v>0.23636596440814081</v>
      </c>
    </row>
    <row r="864" spans="1:13" s="107" customFormat="1" ht="15" customHeight="1">
      <c r="A864" s="100" t="str">
        <f>VLOOKUP(C864,Abstract!$E$4:$M$62,9,0)</f>
        <v>No Sales</v>
      </c>
      <c r="B864" s="95" t="s">
        <v>138</v>
      </c>
      <c r="C864" s="133" t="s">
        <v>74</v>
      </c>
      <c r="D864" s="133" t="s">
        <v>437</v>
      </c>
      <c r="E864" s="95" t="s">
        <v>173</v>
      </c>
      <c r="F864" s="95" t="s">
        <v>174</v>
      </c>
      <c r="G864" s="109">
        <v>0.2</v>
      </c>
      <c r="H864" s="129">
        <f>VLOOKUP($E864,'Stock statement'!$D$2:$P$384,13,)</f>
        <v>555.2517156766155</v>
      </c>
      <c r="I864" s="127">
        <v>2.5000000000000001E-2</v>
      </c>
      <c r="J864" s="116">
        <v>1.0249999999999999</v>
      </c>
      <c r="K864" s="106">
        <f t="shared" si="74"/>
        <v>116.67226675654881</v>
      </c>
      <c r="L864" s="115"/>
      <c r="M864" s="104">
        <f t="shared" si="75"/>
        <v>1.3440645130354423</v>
      </c>
    </row>
    <row r="865" spans="1:15" s="107" customFormat="1" ht="15" customHeight="1">
      <c r="A865" s="100" t="str">
        <f>VLOOKUP(C865,Abstract!$E$4:$M$62,9,0)</f>
        <v>No Sales</v>
      </c>
      <c r="B865" s="95" t="s">
        <v>138</v>
      </c>
      <c r="C865" s="133" t="s">
        <v>74</v>
      </c>
      <c r="D865" s="133" t="s">
        <v>437</v>
      </c>
      <c r="E865" s="95">
        <v>114476</v>
      </c>
      <c r="F865" s="95" t="s">
        <v>172</v>
      </c>
      <c r="G865" s="109">
        <v>6</v>
      </c>
      <c r="H865" s="129">
        <f>VLOOKUP($E865,'Stock statement'!$D$2:$P$384,13,)</f>
        <v>739.98731621274567</v>
      </c>
      <c r="I865" s="127">
        <v>2.5000000000000001E-2</v>
      </c>
      <c r="J865" s="116">
        <v>1.0249999999999999</v>
      </c>
      <c r="K865" s="106">
        <f t="shared" si="74"/>
        <v>4664.6950445760949</v>
      </c>
      <c r="L865" s="115"/>
      <c r="M865" s="104">
        <f t="shared" si="75"/>
        <v>53.737286913516613</v>
      </c>
    </row>
    <row r="866" spans="1:15" s="107" customFormat="1" ht="15" customHeight="1">
      <c r="A866" s="100" t="str">
        <f>VLOOKUP(C866,Abstract!$E$4:$M$62,9,0)</f>
        <v>No Sales</v>
      </c>
      <c r="B866" s="95" t="s">
        <v>138</v>
      </c>
      <c r="C866" s="133" t="s">
        <v>74</v>
      </c>
      <c r="D866" s="133" t="s">
        <v>437</v>
      </c>
      <c r="E866" s="95" t="s">
        <v>153</v>
      </c>
      <c r="F866" s="95" t="s">
        <v>364</v>
      </c>
      <c r="G866" s="109">
        <v>0.625</v>
      </c>
      <c r="H866" s="129">
        <f>VLOOKUP($E866,'Stock statement'!$D$2:$P$384,13,)</f>
        <v>84.206363687840948</v>
      </c>
      <c r="I866" s="127">
        <v>2.5000000000000001E-2</v>
      </c>
      <c r="J866" s="116">
        <v>1.0249999999999999</v>
      </c>
      <c r="K866" s="106">
        <f t="shared" si="74"/>
        <v>55.293319280961178</v>
      </c>
      <c r="L866" s="115"/>
      <c r="M866" s="104">
        <f t="shared" si="75"/>
        <v>0.63697903811667278</v>
      </c>
    </row>
    <row r="867" spans="1:15" s="107" customFormat="1" ht="15" customHeight="1">
      <c r="A867" s="100" t="str">
        <f>VLOOKUP(C867,Abstract!$E$4:$M$62,9,0)</f>
        <v>No Sales</v>
      </c>
      <c r="B867" s="95" t="s">
        <v>138</v>
      </c>
      <c r="C867" s="133" t="s">
        <v>74</v>
      </c>
      <c r="D867" s="133" t="s">
        <v>437</v>
      </c>
      <c r="E867" s="95" t="s">
        <v>164</v>
      </c>
      <c r="F867" s="95" t="s">
        <v>165</v>
      </c>
      <c r="G867" s="109">
        <v>3.5000000000000005E-3</v>
      </c>
      <c r="H867" s="129">
        <f>VLOOKUP($E867,'Stock statement'!$D$2:$P$384,13,)</f>
        <v>1939</v>
      </c>
      <c r="I867" s="127">
        <v>2.5000000000000001E-2</v>
      </c>
      <c r="J867" s="116">
        <v>1.0249999999999999</v>
      </c>
      <c r="K867" s="106">
        <f t="shared" si="74"/>
        <v>7.1300665624999997</v>
      </c>
      <c r="L867" s="115"/>
      <c r="M867" s="104">
        <f t="shared" si="75"/>
        <v>8.2138366800000001E-2</v>
      </c>
    </row>
    <row r="868" spans="1:15" s="107" customFormat="1" ht="15" customHeight="1">
      <c r="A868" s="100" t="str">
        <f>VLOOKUP(C868,Abstract!$E$4:$M$62,9,0)</f>
        <v>No Sales</v>
      </c>
      <c r="B868" s="95" t="s">
        <v>138</v>
      </c>
      <c r="C868" s="133" t="s">
        <v>74</v>
      </c>
      <c r="D868" s="133" t="s">
        <v>437</v>
      </c>
      <c r="E868" s="95" t="s">
        <v>162</v>
      </c>
      <c r="F868" s="95" t="s">
        <v>163</v>
      </c>
      <c r="G868" s="109">
        <v>0.04</v>
      </c>
      <c r="H868" s="129">
        <f>VLOOKUP($E868,'Stock statement'!$D$2:$P$384,13,)</f>
        <v>348.44830167161894</v>
      </c>
      <c r="I868" s="127">
        <v>2.5000000000000001E-2</v>
      </c>
      <c r="J868" s="116">
        <v>1.0249999999999999</v>
      </c>
      <c r="K868" s="106">
        <f t="shared" si="74"/>
        <v>14.643539877749783</v>
      </c>
      <c r="L868" s="115"/>
      <c r="M868" s="104">
        <f t="shared" si="75"/>
        <v>0.16869357939167751</v>
      </c>
    </row>
    <row r="869" spans="1:15" s="107" customFormat="1" ht="15" customHeight="1">
      <c r="A869" s="100" t="str">
        <f>VLOOKUP(C869,Abstract!$E$4:$M$62,9,0)</f>
        <v>No Sales</v>
      </c>
      <c r="B869" s="95" t="s">
        <v>138</v>
      </c>
      <c r="C869" s="133" t="s">
        <v>74</v>
      </c>
      <c r="D869" s="133" t="s">
        <v>437</v>
      </c>
      <c r="E869" s="95" t="s">
        <v>143</v>
      </c>
      <c r="F869" s="108" t="s">
        <v>144</v>
      </c>
      <c r="G869" s="109">
        <v>5</v>
      </c>
      <c r="H869" s="129">
        <f>VLOOKUP($E869,'Stock statement'!$D$2:$P$384,13,)</f>
        <v>178.57970547017939</v>
      </c>
      <c r="I869" s="127">
        <v>2.5000000000000001E-2</v>
      </c>
      <c r="J869" s="116">
        <v>1.0249999999999999</v>
      </c>
      <c r="K869" s="106">
        <f t="shared" si="74"/>
        <v>938.10151529803602</v>
      </c>
      <c r="L869" s="115"/>
      <c r="M869" s="104">
        <f t="shared" si="75"/>
        <v>10.806929456233375</v>
      </c>
    </row>
    <row r="870" spans="1:15" s="107" customFormat="1" ht="15" customHeight="1">
      <c r="A870" s="100" t="str">
        <f>VLOOKUP(C870,Abstract!$E$4:$M$62,9,0)</f>
        <v>No Sales</v>
      </c>
      <c r="B870" s="95" t="s">
        <v>138</v>
      </c>
      <c r="C870" s="133" t="s">
        <v>74</v>
      </c>
      <c r="D870" s="133" t="s">
        <v>437</v>
      </c>
      <c r="E870" s="95" t="s">
        <v>147</v>
      </c>
      <c r="F870" s="95" t="s">
        <v>148</v>
      </c>
      <c r="G870" s="109">
        <v>1</v>
      </c>
      <c r="H870" s="129">
        <f>VLOOKUP($E870,'Stock statement'!$D$2:$P$384,13,)</f>
        <v>353.50950483838068</v>
      </c>
      <c r="I870" s="127">
        <v>2.5000000000000001E-2</v>
      </c>
      <c r="J870" s="116">
        <v>1.0249999999999999</v>
      </c>
      <c r="K870" s="106">
        <f t="shared" si="74"/>
        <v>371.40592352082365</v>
      </c>
      <c r="L870" s="115"/>
      <c r="M870" s="104">
        <f t="shared" si="75"/>
        <v>4.2785962389598886</v>
      </c>
    </row>
    <row r="871" spans="1:15" s="107" customFormat="1" ht="15" customHeight="1">
      <c r="A871" s="100" t="str">
        <f>VLOOKUP(C871,Abstract!$E$4:$M$62,9,0)</f>
        <v>No Sales</v>
      </c>
      <c r="B871" s="95" t="s">
        <v>138</v>
      </c>
      <c r="C871" s="133" t="s">
        <v>74</v>
      </c>
      <c r="D871" s="133" t="s">
        <v>437</v>
      </c>
      <c r="E871" s="95" t="s">
        <v>179</v>
      </c>
      <c r="F871" s="102" t="s">
        <v>180</v>
      </c>
      <c r="G871" s="109">
        <v>0.5</v>
      </c>
      <c r="H871" s="129">
        <f>VLOOKUP($E871,'Stock statement'!$D$2:$P$384,13,)</f>
        <v>1036.4956269221443</v>
      </c>
      <c r="I871" s="127">
        <v>2.5000000000000001E-2</v>
      </c>
      <c r="J871" s="116">
        <v>1.0249999999999999</v>
      </c>
      <c r="K871" s="106">
        <f t="shared" si="74"/>
        <v>544.48410901753891</v>
      </c>
      <c r="L871" s="115"/>
      <c r="M871" s="104">
        <f t="shared" si="75"/>
        <v>6.2724569358820483</v>
      </c>
    </row>
    <row r="872" spans="1:15" s="107" customFormat="1" ht="15" customHeight="1">
      <c r="A872" s="100" t="str">
        <f>VLOOKUP(C872,Abstract!$E$4:$M$62,9,0)</f>
        <v>No Sales</v>
      </c>
      <c r="B872" s="95" t="s">
        <v>138</v>
      </c>
      <c r="C872" s="133" t="s">
        <v>74</v>
      </c>
      <c r="D872" s="133" t="s">
        <v>437</v>
      </c>
      <c r="E872" s="95" t="s">
        <v>181</v>
      </c>
      <c r="F872" s="102" t="s">
        <v>182</v>
      </c>
      <c r="G872" s="109">
        <v>12.5</v>
      </c>
      <c r="H872" s="129">
        <f>VLOOKUP($E872,'Stock statement'!$D$2:$P$384,13,)</f>
        <v>17.110276913020375</v>
      </c>
      <c r="I872" s="127">
        <v>2.5000000000000001E-2</v>
      </c>
      <c r="J872" s="116">
        <v>1.0249999999999999</v>
      </c>
      <c r="K872" s="106">
        <f t="shared" si="74"/>
        <v>224.70605852177536</v>
      </c>
      <c r="L872" s="115"/>
      <c r="M872" s="104">
        <f t="shared" si="75"/>
        <v>2.5886137941708522</v>
      </c>
    </row>
    <row r="873" spans="1:15" s="107" customFormat="1" ht="15" customHeight="1">
      <c r="A873" s="100" t="str">
        <f>VLOOKUP(C873,Abstract!$E$4:$M$62,9,0)</f>
        <v>No Sales</v>
      </c>
      <c r="B873" s="95" t="s">
        <v>138</v>
      </c>
      <c r="C873" s="133" t="s">
        <v>74</v>
      </c>
      <c r="D873" s="133" t="s">
        <v>437</v>
      </c>
      <c r="E873" s="95" t="s">
        <v>139</v>
      </c>
      <c r="F873" s="102" t="s">
        <v>140</v>
      </c>
      <c r="G873" s="109">
        <v>733.35199999999998</v>
      </c>
      <c r="H873" s="129">
        <f>VLOOKUP($E873,'Stock statement'!$D$2:$P$384,13,)</f>
        <v>0.34</v>
      </c>
      <c r="I873" s="127">
        <v>2.5000000000000001E-2</v>
      </c>
      <c r="J873" s="116">
        <v>1.0249999999999999</v>
      </c>
      <c r="K873" s="106">
        <f t="shared" si="74"/>
        <v>261.96250129999999</v>
      </c>
      <c r="L873" s="115"/>
      <c r="M873" s="104">
        <f t="shared" si="75"/>
        <v>3.0178080149759996</v>
      </c>
    </row>
    <row r="874" spans="1:15" s="107" customFormat="1" ht="15" customHeight="1">
      <c r="A874" s="100" t="str">
        <f>VLOOKUP(C874,Abstract!$E$4:$M$62,9,0)</f>
        <v>No Sales</v>
      </c>
      <c r="B874" s="99" t="s">
        <v>183</v>
      </c>
      <c r="C874" s="133" t="s">
        <v>74</v>
      </c>
      <c r="D874" s="133" t="s">
        <v>437</v>
      </c>
      <c r="E874" s="95">
        <v>213505</v>
      </c>
      <c r="F874" s="95" t="s">
        <v>438</v>
      </c>
      <c r="G874" s="109">
        <f>(1000/(1920*6)*1000)*0.647</f>
        <v>56.16319444444445</v>
      </c>
      <c r="H874" s="129">
        <f>VLOOKUP($E874,'Stock statement'!$D$2:$P$384,13,)</f>
        <v>244</v>
      </c>
      <c r="I874" s="127">
        <v>1.7500000000000002E-2</v>
      </c>
      <c r="J874" s="113">
        <v>1</v>
      </c>
      <c r="K874" s="106">
        <f t="shared" si="74"/>
        <v>13943.636284722224</v>
      </c>
      <c r="L874" s="115"/>
      <c r="M874" s="104">
        <f t="shared" si="75"/>
        <v>160.63069000000002</v>
      </c>
    </row>
    <row r="875" spans="1:15" s="107" customFormat="1" ht="15" customHeight="1">
      <c r="A875" s="100" t="str">
        <f>VLOOKUP(C875,Abstract!$E$4:$M$62,9,0)</f>
        <v>No Sales</v>
      </c>
      <c r="B875" s="99" t="s">
        <v>183</v>
      </c>
      <c r="C875" s="133" t="s">
        <v>74</v>
      </c>
      <c r="D875" s="133" t="s">
        <v>437</v>
      </c>
      <c r="E875" s="95">
        <v>211669</v>
      </c>
      <c r="F875" s="95" t="s">
        <v>439</v>
      </c>
      <c r="G875" s="109">
        <f>1000/(1920*6)*1000</f>
        <v>86.805555555555557</v>
      </c>
      <c r="H875" s="129">
        <f>VLOOKUP($E875,'Stock statement'!$D$2:$P$384,13,)</f>
        <v>0</v>
      </c>
      <c r="I875" s="127">
        <v>6.0000000000000001E-3</v>
      </c>
      <c r="J875" s="113">
        <v>1</v>
      </c>
      <c r="K875" s="106">
        <f t="shared" si="74"/>
        <v>0</v>
      </c>
      <c r="L875" s="115"/>
      <c r="M875" s="104">
        <f t="shared" si="75"/>
        <v>0</v>
      </c>
    </row>
    <row r="876" spans="1:15" s="107" customFormat="1" ht="15" customHeight="1">
      <c r="A876" s="100" t="str">
        <f>VLOOKUP(C876,Abstract!$E$4:$M$62,9,0)</f>
        <v>No Sales</v>
      </c>
      <c r="B876" s="99" t="s">
        <v>183</v>
      </c>
      <c r="C876" s="133" t="s">
        <v>74</v>
      </c>
      <c r="D876" s="133" t="s">
        <v>437</v>
      </c>
      <c r="E876" s="95" t="s">
        <v>192</v>
      </c>
      <c r="F876" s="95" t="s">
        <v>192</v>
      </c>
      <c r="G876" s="109">
        <f>+G875*0.02</f>
        <v>1.7361111111111112</v>
      </c>
      <c r="H876" s="129">
        <f>VLOOKUP($E876,'Stock statement'!$D$2:$P$384,13,)</f>
        <v>44.985440769279101</v>
      </c>
      <c r="I876" s="125">
        <v>0.02</v>
      </c>
      <c r="J876" s="113">
        <v>1</v>
      </c>
      <c r="K876" s="106">
        <f t="shared" si="74"/>
        <v>79.661718028931745</v>
      </c>
      <c r="L876" s="115"/>
      <c r="M876" s="104">
        <f t="shared" si="75"/>
        <v>0.91770299169329372</v>
      </c>
    </row>
    <row r="877" spans="1:15" s="107" customFormat="1" ht="15" customHeight="1">
      <c r="A877" s="100" t="str">
        <f>VLOOKUP(C877,Abstract!$E$4:$M$62,9,0)</f>
        <v>No Sales</v>
      </c>
      <c r="B877" s="99" t="s">
        <v>197</v>
      </c>
      <c r="C877" s="133" t="s">
        <v>74</v>
      </c>
      <c r="D877" s="133" t="s">
        <v>437</v>
      </c>
      <c r="E877" s="95" t="s">
        <v>198</v>
      </c>
      <c r="F877" s="95"/>
      <c r="G877" s="109"/>
      <c r="H877" s="129"/>
      <c r="I877" s="100"/>
      <c r="J877" s="100"/>
      <c r="K877" s="106">
        <v>6180</v>
      </c>
      <c r="L877" s="115">
        <f>SUM(K851:K877)</f>
        <v>57879.51056485602</v>
      </c>
      <c r="M877" s="104">
        <f t="shared" si="75"/>
        <v>71.193600000000004</v>
      </c>
    </row>
    <row r="878" spans="1:15">
      <c r="A878" s="100" t="str">
        <f>VLOOKUP(C878,Abstract!$E$4:$M$62,9,0)</f>
        <v>ACTIVE</v>
      </c>
      <c r="B878" s="99" t="s">
        <v>138</v>
      </c>
      <c r="C878" s="133" t="s">
        <v>76</v>
      </c>
      <c r="D878" s="133" t="s">
        <v>77</v>
      </c>
      <c r="E878" s="95" t="s">
        <v>141</v>
      </c>
      <c r="F878" s="95" t="s">
        <v>142</v>
      </c>
      <c r="G878" s="109">
        <v>157.19999999999999</v>
      </c>
      <c r="H878" s="104">
        <f>VLOOKUP($E878,'Stock statement'!$D$2:$P$384,13,)</f>
        <v>94.278330452007026</v>
      </c>
      <c r="I878" s="127">
        <v>2.5000000000000001E-2</v>
      </c>
      <c r="J878" s="116">
        <v>1.0249999999999999</v>
      </c>
      <c r="K878" s="106">
        <f t="shared" ref="K878:K903" si="76">+G878*H878*(1+I878)*J878</f>
        <v>15570.844070375186</v>
      </c>
      <c r="L878" s="115"/>
      <c r="M878" s="104">
        <f>K878/$G$901</f>
        <v>179.37612369072212</v>
      </c>
      <c r="N878" s="71"/>
      <c r="O878" s="145"/>
    </row>
    <row r="879" spans="1:15">
      <c r="A879" s="100" t="str">
        <f>VLOOKUP(C879,Abstract!$E$4:$M$62,9,0)</f>
        <v>ACTIVE</v>
      </c>
      <c r="B879" s="99" t="s">
        <v>138</v>
      </c>
      <c r="C879" s="133" t="s">
        <v>76</v>
      </c>
      <c r="D879" s="133" t="s">
        <v>77</v>
      </c>
      <c r="E879" s="95" t="s">
        <v>145</v>
      </c>
      <c r="F879" s="95" t="s">
        <v>146</v>
      </c>
      <c r="G879" s="109">
        <v>15</v>
      </c>
      <c r="H879" s="104">
        <f>VLOOKUP($E879,'Stock statement'!$D$2:$P$384,13,)</f>
        <v>151.08681180977209</v>
      </c>
      <c r="I879" s="127">
        <v>2.5000000000000001E-2</v>
      </c>
      <c r="J879" s="116">
        <v>1.0249999999999999</v>
      </c>
      <c r="K879" s="106">
        <f t="shared" si="76"/>
        <v>2381.0337248646265</v>
      </c>
      <c r="L879" s="115"/>
      <c r="M879" s="104">
        <f t="shared" ref="M879:M903" si="77">K879/$G$901</f>
        <v>27.429508510440495</v>
      </c>
      <c r="N879" s="71"/>
      <c r="O879" s="145"/>
    </row>
    <row r="880" spans="1:15">
      <c r="A880" s="100" t="str">
        <f>VLOOKUP(C880,Abstract!$E$4:$M$62,9,0)</f>
        <v>ACTIVE</v>
      </c>
      <c r="B880" s="99" t="s">
        <v>138</v>
      </c>
      <c r="C880" s="133" t="s">
        <v>76</v>
      </c>
      <c r="D880" s="133" t="s">
        <v>77</v>
      </c>
      <c r="E880" s="95" t="s">
        <v>308</v>
      </c>
      <c r="F880" s="95" t="s">
        <v>309</v>
      </c>
      <c r="G880" s="109">
        <v>1E-3</v>
      </c>
      <c r="H880" s="104">
        <f>VLOOKUP($E880,'Stock statement'!$D$2:$P$384,13,)</f>
        <v>0</v>
      </c>
      <c r="I880" s="127">
        <v>2.5000000000000001E-2</v>
      </c>
      <c r="J880" s="116">
        <v>1.0249999999999999</v>
      </c>
      <c r="K880" s="106">
        <f t="shared" si="76"/>
        <v>0</v>
      </c>
      <c r="L880" s="115"/>
      <c r="M880" s="104">
        <f t="shared" si="77"/>
        <v>0</v>
      </c>
      <c r="N880" s="71"/>
      <c r="O880" s="145"/>
    </row>
    <row r="881" spans="1:15">
      <c r="A881" s="100" t="str">
        <f>VLOOKUP(C881,Abstract!$E$4:$M$62,9,0)</f>
        <v>ACTIVE</v>
      </c>
      <c r="B881" s="99" t="s">
        <v>138</v>
      </c>
      <c r="C881" s="133" t="s">
        <v>76</v>
      </c>
      <c r="D881" s="133" t="s">
        <v>77</v>
      </c>
      <c r="E881" s="95" t="s">
        <v>149</v>
      </c>
      <c r="F881" s="95" t="s">
        <v>150</v>
      </c>
      <c r="G881" s="109">
        <v>0.15</v>
      </c>
      <c r="H881" s="104">
        <f>VLOOKUP($E881,'Stock statement'!$D$2:$P$384,13,)</f>
        <v>161.56941474217822</v>
      </c>
      <c r="I881" s="127">
        <v>2.5000000000000001E-2</v>
      </c>
      <c r="J881" s="116">
        <v>1.0249999999999999</v>
      </c>
      <c r="K881" s="106">
        <f t="shared" si="76"/>
        <v>25.462329954525146</v>
      </c>
      <c r="L881" s="115"/>
      <c r="M881" s="104">
        <f t="shared" si="77"/>
        <v>0.2933260410761297</v>
      </c>
      <c r="N881" s="71"/>
      <c r="O881" s="145"/>
    </row>
    <row r="882" spans="1:15">
      <c r="A882" s="100" t="str">
        <f>VLOOKUP(C882,Abstract!$E$4:$M$62,9,0)</f>
        <v>ACTIVE</v>
      </c>
      <c r="B882" s="99" t="s">
        <v>138</v>
      </c>
      <c r="C882" s="133" t="s">
        <v>76</v>
      </c>
      <c r="D882" s="133" t="s">
        <v>77</v>
      </c>
      <c r="E882" s="95" t="s">
        <v>151</v>
      </c>
      <c r="F882" s="95" t="s">
        <v>152</v>
      </c>
      <c r="G882" s="109">
        <v>2.75</v>
      </c>
      <c r="H882" s="104">
        <f>VLOOKUP($E882,'Stock statement'!$D$2:$P$384,13,)</f>
        <v>762.38931335604309</v>
      </c>
      <c r="I882" s="127">
        <v>2.5000000000000001E-2</v>
      </c>
      <c r="J882" s="116">
        <v>1.0249999999999999</v>
      </c>
      <c r="K882" s="106">
        <f t="shared" si="76"/>
        <v>2202.7094989479046</v>
      </c>
      <c r="L882" s="115"/>
      <c r="M882" s="104">
        <f t="shared" si="77"/>
        <v>25.37521342787986</v>
      </c>
      <c r="N882" s="71"/>
      <c r="O882" s="145"/>
    </row>
    <row r="883" spans="1:15">
      <c r="A883" s="100" t="str">
        <f>VLOOKUP(C883,Abstract!$E$4:$M$62,9,0)</f>
        <v>ACTIVE</v>
      </c>
      <c r="B883" s="99" t="s">
        <v>138</v>
      </c>
      <c r="C883" s="133" t="s">
        <v>76</v>
      </c>
      <c r="D883" s="133" t="s">
        <v>77</v>
      </c>
      <c r="E883" s="95" t="s">
        <v>153</v>
      </c>
      <c r="F883" s="95" t="s">
        <v>154</v>
      </c>
      <c r="G883" s="109">
        <v>1</v>
      </c>
      <c r="H883" s="104">
        <f>VLOOKUP($E883,'Stock statement'!$D$2:$P$384,13,)</f>
        <v>84.206363687840948</v>
      </c>
      <c r="I883" s="127">
        <v>2.5000000000000001E-2</v>
      </c>
      <c r="J883" s="116">
        <v>1.0249999999999999</v>
      </c>
      <c r="K883" s="106">
        <f t="shared" si="76"/>
        <v>88.469310849537877</v>
      </c>
      <c r="L883" s="115"/>
      <c r="M883" s="104">
        <f t="shared" si="77"/>
        <v>1.0191664609866764</v>
      </c>
      <c r="N883" s="71"/>
      <c r="O883" s="145"/>
    </row>
    <row r="884" spans="1:15">
      <c r="A884" s="100" t="str">
        <f>VLOOKUP(C884,Abstract!$E$4:$M$62,9,0)</f>
        <v>ACTIVE</v>
      </c>
      <c r="B884" s="99" t="s">
        <v>138</v>
      </c>
      <c r="C884" s="133" t="s">
        <v>76</v>
      </c>
      <c r="D884" s="133" t="s">
        <v>77</v>
      </c>
      <c r="E884" s="95" t="s">
        <v>155</v>
      </c>
      <c r="F884" s="95" t="s">
        <v>156</v>
      </c>
      <c r="G884" s="109">
        <v>10</v>
      </c>
      <c r="H884" s="104">
        <f>VLOOKUP($E884,'Stock statement'!$D$2:$P$384,13,)</f>
        <v>68.308211638055738</v>
      </c>
      <c r="I884" s="127">
        <v>2.5000000000000001E-2</v>
      </c>
      <c r="J884" s="116">
        <v>1.0249999999999999</v>
      </c>
      <c r="K884" s="106">
        <f t="shared" si="76"/>
        <v>717.66314852232301</v>
      </c>
      <c r="L884" s="115"/>
      <c r="M884" s="104">
        <f t="shared" si="77"/>
        <v>8.2674794709771611</v>
      </c>
      <c r="N884" s="71"/>
      <c r="O884" s="145"/>
    </row>
    <row r="885" spans="1:15">
      <c r="A885" s="100" t="str">
        <f>VLOOKUP(C885,Abstract!$E$4:$M$62,9,0)</f>
        <v>ACTIVE</v>
      </c>
      <c r="B885" s="99" t="s">
        <v>138</v>
      </c>
      <c r="C885" s="133" t="s">
        <v>76</v>
      </c>
      <c r="D885" s="133" t="s">
        <v>77</v>
      </c>
      <c r="E885" s="95" t="s">
        <v>157</v>
      </c>
      <c r="F885" s="102" t="s">
        <v>158</v>
      </c>
      <c r="G885" s="109">
        <v>0.875</v>
      </c>
      <c r="H885" s="104">
        <f>VLOOKUP($E885,'Stock statement'!$D$2:$P$384,13,)</f>
        <v>828.81974703846117</v>
      </c>
      <c r="I885" s="127">
        <v>2.5000000000000001E-2</v>
      </c>
      <c r="J885" s="116">
        <v>1.0249999999999999</v>
      </c>
      <c r="K885" s="106">
        <f t="shared" si="76"/>
        <v>761.93140339074773</v>
      </c>
      <c r="L885" s="115"/>
      <c r="M885" s="104">
        <f t="shared" si="77"/>
        <v>8.7774497670614142</v>
      </c>
      <c r="N885" s="71"/>
      <c r="O885" s="145"/>
    </row>
    <row r="886" spans="1:15">
      <c r="A886" s="100" t="str">
        <f>VLOOKUP(C886,Abstract!$E$4:$M$62,9,0)</f>
        <v>ACTIVE</v>
      </c>
      <c r="B886" s="99" t="s">
        <v>138</v>
      </c>
      <c r="C886" s="133" t="s">
        <v>76</v>
      </c>
      <c r="D886" s="133" t="s">
        <v>77</v>
      </c>
      <c r="E886" s="157">
        <v>115150</v>
      </c>
      <c r="F886" s="36" t="s">
        <v>159</v>
      </c>
      <c r="G886" s="109">
        <v>0.875</v>
      </c>
      <c r="H886" s="104">
        <f>VLOOKUP($E886,'Stock statement'!$D$2:$P$384,13,)</f>
        <v>456.30699446392703</v>
      </c>
      <c r="I886" s="127">
        <v>2.5000000000000001E-2</v>
      </c>
      <c r="J886" s="116">
        <v>1.0249999999999999</v>
      </c>
      <c r="K886" s="106">
        <f t="shared" si="76"/>
        <v>419.48159405133038</v>
      </c>
      <c r="L886" s="115"/>
      <c r="M886" s="104">
        <f t="shared" si="77"/>
        <v>4.8324279634713259</v>
      </c>
      <c r="N886" s="71"/>
      <c r="O886" s="145"/>
    </row>
    <row r="887" spans="1:15">
      <c r="A887" s="100" t="str">
        <f>VLOOKUP(C887,Abstract!$E$4:$M$62,9,0)</f>
        <v>ACTIVE</v>
      </c>
      <c r="B887" s="99" t="s">
        <v>138</v>
      </c>
      <c r="C887" s="133" t="s">
        <v>76</v>
      </c>
      <c r="D887" s="133" t="s">
        <v>77</v>
      </c>
      <c r="E887" s="95" t="s">
        <v>160</v>
      </c>
      <c r="F887" s="95" t="s">
        <v>161</v>
      </c>
      <c r="G887" s="109">
        <v>0.3</v>
      </c>
      <c r="H887" s="104">
        <f>VLOOKUP($E887,'Stock statement'!$D$2:$P$384,13,)</f>
        <v>3313.2387673094586</v>
      </c>
      <c r="I887" s="127">
        <v>2.5000000000000001E-2</v>
      </c>
      <c r="J887" s="116">
        <v>1.0249999999999999</v>
      </c>
      <c r="K887" s="106">
        <f t="shared" si="76"/>
        <v>1044.2914439713497</v>
      </c>
      <c r="L887" s="115"/>
      <c r="M887" s="104">
        <f t="shared" si="77"/>
        <v>12.030237434549949</v>
      </c>
      <c r="N887" s="71"/>
      <c r="O887" s="145"/>
    </row>
    <row r="888" spans="1:15">
      <c r="A888" s="100" t="str">
        <f>VLOOKUP(C888,Abstract!$E$4:$M$62,9,0)</f>
        <v>ACTIVE</v>
      </c>
      <c r="B888" s="99" t="s">
        <v>138</v>
      </c>
      <c r="C888" s="133" t="s">
        <v>76</v>
      </c>
      <c r="D888" s="133" t="s">
        <v>77</v>
      </c>
      <c r="E888" s="95" t="s">
        <v>147</v>
      </c>
      <c r="F888" s="95" t="s">
        <v>148</v>
      </c>
      <c r="G888" s="109">
        <v>0.5</v>
      </c>
      <c r="H888" s="104">
        <f>VLOOKUP($E888,'Stock statement'!$D$2:$P$384,13,)</f>
        <v>353.50950483838068</v>
      </c>
      <c r="I888" s="127">
        <v>2.5000000000000001E-2</v>
      </c>
      <c r="J888" s="116">
        <v>1.0249999999999999</v>
      </c>
      <c r="K888" s="106">
        <f t="shared" si="76"/>
        <v>185.70296176041182</v>
      </c>
      <c r="L888" s="115"/>
      <c r="M888" s="104">
        <f t="shared" si="77"/>
        <v>2.1392981194799443</v>
      </c>
      <c r="N888" s="71"/>
      <c r="O888" s="145"/>
    </row>
    <row r="889" spans="1:15">
      <c r="A889" s="100" t="str">
        <f>VLOOKUP(C889,Abstract!$E$4:$M$62,9,0)</f>
        <v>ACTIVE</v>
      </c>
      <c r="B889" s="99" t="s">
        <v>138</v>
      </c>
      <c r="C889" s="133" t="s">
        <v>76</v>
      </c>
      <c r="D889" s="133" t="s">
        <v>77</v>
      </c>
      <c r="E889" s="95">
        <v>115071</v>
      </c>
      <c r="F889" s="95" t="s">
        <v>311</v>
      </c>
      <c r="G889" s="109">
        <v>0.6</v>
      </c>
      <c r="H889" s="104">
        <f>VLOOKUP($E889,'Stock statement'!$D$2:$P$384,13,)</f>
        <v>195.04600880394028</v>
      </c>
      <c r="I889" s="127">
        <v>2.5000000000000001E-2</v>
      </c>
      <c r="J889" s="116">
        <v>1.0249999999999999</v>
      </c>
      <c r="K889" s="106">
        <f t="shared" si="76"/>
        <v>122.95212779978382</v>
      </c>
      <c r="L889" s="115"/>
      <c r="M889" s="104">
        <f t="shared" si="77"/>
        <v>1.4164085122535097</v>
      </c>
      <c r="N889" s="71"/>
      <c r="O889" s="145"/>
    </row>
    <row r="890" spans="1:15">
      <c r="A890" s="100" t="str">
        <f>VLOOKUP(C890,Abstract!$E$4:$M$62,9,0)</f>
        <v>ACTIVE</v>
      </c>
      <c r="B890" s="99" t="s">
        <v>138</v>
      </c>
      <c r="C890" s="133" t="s">
        <v>76</v>
      </c>
      <c r="D890" s="133" t="s">
        <v>77</v>
      </c>
      <c r="E890" s="95" t="s">
        <v>166</v>
      </c>
      <c r="F890" s="95" t="s">
        <v>167</v>
      </c>
      <c r="G890" s="109">
        <v>2.5</v>
      </c>
      <c r="H890" s="104">
        <f>VLOOKUP($E890,'Stock statement'!$D$2:$P$384,13,)</f>
        <v>127.15913438761541</v>
      </c>
      <c r="I890" s="127">
        <v>2.5000000000000001E-2</v>
      </c>
      <c r="J890" s="116">
        <v>1.0249999999999999</v>
      </c>
      <c r="K890" s="106">
        <f t="shared" si="76"/>
        <v>333.99141391497102</v>
      </c>
      <c r="L890" s="115"/>
      <c r="M890" s="104">
        <f t="shared" si="77"/>
        <v>3.847581088300466</v>
      </c>
      <c r="N890" s="71"/>
      <c r="O890" s="145"/>
    </row>
    <row r="891" spans="1:15">
      <c r="A891" s="100" t="str">
        <f>VLOOKUP(C891,Abstract!$E$4:$M$62,9,0)</f>
        <v>ACTIVE</v>
      </c>
      <c r="B891" s="99" t="s">
        <v>138</v>
      </c>
      <c r="C891" s="133" t="s">
        <v>76</v>
      </c>
      <c r="D891" s="133" t="s">
        <v>77</v>
      </c>
      <c r="E891" s="95" t="s">
        <v>209</v>
      </c>
      <c r="F891" s="95" t="s">
        <v>210</v>
      </c>
      <c r="G891" s="109">
        <v>20</v>
      </c>
      <c r="H891" s="104">
        <f>VLOOKUP($E891,'Stock statement'!$D$2:$P$384,13,)</f>
        <v>220.67282625366343</v>
      </c>
      <c r="I891" s="127">
        <v>2.5000000000000001E-2</v>
      </c>
      <c r="J891" s="116">
        <v>1.0249999999999999</v>
      </c>
      <c r="K891" s="106">
        <f t="shared" si="76"/>
        <v>4636.8877616551026</v>
      </c>
      <c r="L891" s="115"/>
      <c r="M891" s="104">
        <f t="shared" si="77"/>
        <v>53.416947014266782</v>
      </c>
      <c r="N891" s="71"/>
      <c r="O891" s="145"/>
    </row>
    <row r="892" spans="1:15">
      <c r="A892" s="100" t="str">
        <f>VLOOKUP(C892,Abstract!$E$4:$M$62,9,0)</f>
        <v>ACTIVE</v>
      </c>
      <c r="B892" s="99" t="s">
        <v>138</v>
      </c>
      <c r="C892" s="133" t="s">
        <v>76</v>
      </c>
      <c r="D892" s="133" t="s">
        <v>77</v>
      </c>
      <c r="E892" s="95" t="s">
        <v>352</v>
      </c>
      <c r="F892" s="95" t="s">
        <v>353</v>
      </c>
      <c r="G892" s="109">
        <v>0.01</v>
      </c>
      <c r="H892" s="104">
        <f>VLOOKUP($E892,'Stock statement'!$D$2:$P$384,13,)</f>
        <v>3003.7807644658751</v>
      </c>
      <c r="I892" s="127">
        <v>2.5000000000000001E-2</v>
      </c>
      <c r="J892" s="116">
        <v>1.0249999999999999</v>
      </c>
      <c r="K892" s="106">
        <f t="shared" si="76"/>
        <v>31.558471656669596</v>
      </c>
      <c r="L892" s="115"/>
      <c r="M892" s="104">
        <f t="shared" si="77"/>
        <v>0.36355359348483374</v>
      </c>
      <c r="N892" s="71"/>
      <c r="O892" s="145"/>
    </row>
    <row r="893" spans="1:15">
      <c r="A893" s="100" t="str">
        <f>VLOOKUP(C893,Abstract!$E$4:$M$62,9,0)</f>
        <v>ACTIVE</v>
      </c>
      <c r="B893" s="99" t="s">
        <v>138</v>
      </c>
      <c r="C893" s="133" t="s">
        <v>76</v>
      </c>
      <c r="D893" s="133" t="s">
        <v>77</v>
      </c>
      <c r="E893" s="95" t="s">
        <v>354</v>
      </c>
      <c r="F893" s="95" t="s">
        <v>355</v>
      </c>
      <c r="G893" s="109">
        <v>0.01</v>
      </c>
      <c r="H893" s="104">
        <f>VLOOKUP($E893,'Stock statement'!$D$2:$P$384,13,)</f>
        <v>257.60769230769233</v>
      </c>
      <c r="I893" s="127">
        <v>2.5000000000000001E-2</v>
      </c>
      <c r="J893" s="116">
        <v>1.0249999999999999</v>
      </c>
      <c r="K893" s="106">
        <f t="shared" si="76"/>
        <v>2.7064908173076923</v>
      </c>
      <c r="L893" s="115"/>
      <c r="M893" s="104">
        <f t="shared" si="77"/>
        <v>3.1178774215384616E-2</v>
      </c>
      <c r="N893" s="71"/>
      <c r="O893" s="145"/>
    </row>
    <row r="894" spans="1:15">
      <c r="A894" s="100" t="str">
        <f>VLOOKUP(C894,Abstract!$E$4:$M$62,9,0)</f>
        <v>ACTIVE</v>
      </c>
      <c r="B894" s="99" t="s">
        <v>138</v>
      </c>
      <c r="C894" s="133" t="s">
        <v>76</v>
      </c>
      <c r="D894" s="133" t="s">
        <v>77</v>
      </c>
      <c r="E894" s="95" t="s">
        <v>339</v>
      </c>
      <c r="F894" s="95" t="s">
        <v>340</v>
      </c>
      <c r="G894" s="109">
        <v>5.85</v>
      </c>
      <c r="H894" s="104">
        <f>VLOOKUP($E894,'Stock statement'!$D$2:$P$384,13,)</f>
        <v>890.49821899777828</v>
      </c>
      <c r="I894" s="127">
        <v>2.5000000000000001E-2</v>
      </c>
      <c r="J894" s="116">
        <v>1.0249999999999999</v>
      </c>
      <c r="K894" s="106">
        <f t="shared" si="76"/>
        <v>5473.1411943070625</v>
      </c>
      <c r="L894" s="115"/>
      <c r="M894" s="104">
        <f>K894/$G$901</f>
        <v>63.050586558417358</v>
      </c>
      <c r="N894" s="71"/>
      <c r="O894" s="145"/>
    </row>
    <row r="895" spans="1:15">
      <c r="A895" s="100" t="str">
        <f>VLOOKUP(C895,Abstract!$E$4:$M$62,9,0)</f>
        <v>ACTIVE</v>
      </c>
      <c r="B895" s="99" t="s">
        <v>138</v>
      </c>
      <c r="C895" s="133" t="s">
        <v>76</v>
      </c>
      <c r="D895" s="133" t="s">
        <v>77</v>
      </c>
      <c r="E895" s="95" t="s">
        <v>341</v>
      </c>
      <c r="F895" s="95" t="s">
        <v>342</v>
      </c>
      <c r="G895" s="109">
        <v>0.65</v>
      </c>
      <c r="H895" s="104">
        <f>VLOOKUP($E895,'Stock statement'!$D$2:$P$384,13,)</f>
        <v>927.16271256930133</v>
      </c>
      <c r="I895" s="127">
        <v>2.5000000000000001E-2</v>
      </c>
      <c r="J895" s="116">
        <v>1.0249999999999999</v>
      </c>
      <c r="K895" s="106">
        <f t="shared" si="76"/>
        <v>633.16521118052935</v>
      </c>
      <c r="L895" s="115"/>
      <c r="M895" s="104">
        <f t="shared" si="77"/>
        <v>7.2940632327996981</v>
      </c>
      <c r="N895" s="71"/>
      <c r="O895" s="145"/>
    </row>
    <row r="896" spans="1:15">
      <c r="A896" s="100" t="str">
        <f>VLOOKUP(C896,Abstract!$E$4:$M$62,9,0)</f>
        <v>ACTIVE</v>
      </c>
      <c r="B896" s="99" t="s">
        <v>138</v>
      </c>
      <c r="C896" s="133" t="s">
        <v>76</v>
      </c>
      <c r="D896" s="133" t="s">
        <v>77</v>
      </c>
      <c r="E896" s="95" t="s">
        <v>173</v>
      </c>
      <c r="F896" s="95" t="s">
        <v>174</v>
      </c>
      <c r="G896" s="109">
        <v>0.1</v>
      </c>
      <c r="H896" s="104">
        <f>VLOOKUP($E896,'Stock statement'!$D$2:$P$384,13,)</f>
        <v>555.2517156766155</v>
      </c>
      <c r="I896" s="127">
        <v>2.5000000000000001E-2</v>
      </c>
      <c r="J896" s="116">
        <v>1.0249999999999999</v>
      </c>
      <c r="K896" s="106">
        <f t="shared" si="76"/>
        <v>58.336133378274404</v>
      </c>
      <c r="L896" s="115"/>
      <c r="M896" s="104">
        <f t="shared" si="77"/>
        <v>0.67203225651772114</v>
      </c>
      <c r="N896" s="71"/>
      <c r="O896" s="145"/>
    </row>
    <row r="897" spans="1:15">
      <c r="A897" s="100" t="str">
        <f>VLOOKUP(C897,Abstract!$E$4:$M$62,9,0)</f>
        <v>ACTIVE</v>
      </c>
      <c r="B897" s="99" t="s">
        <v>138</v>
      </c>
      <c r="C897" s="133" t="s">
        <v>76</v>
      </c>
      <c r="D897" s="133" t="s">
        <v>77</v>
      </c>
      <c r="E897" s="95" t="s">
        <v>181</v>
      </c>
      <c r="F897" s="95" t="s">
        <v>182</v>
      </c>
      <c r="G897" s="109">
        <v>12.5</v>
      </c>
      <c r="H897" s="104">
        <f>VLOOKUP($E897,'Stock statement'!$D$2:$P$384,13,)</f>
        <v>17.110276913020375</v>
      </c>
      <c r="I897" s="127">
        <v>2.5000000000000001E-2</v>
      </c>
      <c r="J897" s="116">
        <v>1.0249999999999999</v>
      </c>
      <c r="K897" s="106">
        <f t="shared" si="76"/>
        <v>224.70605852177536</v>
      </c>
      <c r="L897" s="115"/>
      <c r="M897" s="104">
        <f t="shared" si="77"/>
        <v>2.5886137941708522</v>
      </c>
      <c r="N897" s="71"/>
      <c r="O897" s="145"/>
    </row>
    <row r="898" spans="1:15">
      <c r="A898" s="100" t="str">
        <f>VLOOKUP(C898,Abstract!$E$4:$M$62,9,0)</f>
        <v>ACTIVE</v>
      </c>
      <c r="B898" s="99" t="s">
        <v>138</v>
      </c>
      <c r="C898" s="133" t="s">
        <v>76</v>
      </c>
      <c r="D898" s="133" t="s">
        <v>77</v>
      </c>
      <c r="E898" s="95" t="s">
        <v>139</v>
      </c>
      <c r="F898" s="95" t="s">
        <v>140</v>
      </c>
      <c r="G898" s="109">
        <v>769.12</v>
      </c>
      <c r="H898" s="104">
        <f>VLOOKUP($E898,'Stock statement'!$D$2:$P$384,13,)</f>
        <v>0.34</v>
      </c>
      <c r="I898" s="127">
        <v>2.5000000000000001E-2</v>
      </c>
      <c r="J898" s="116">
        <v>1.0249999999999999</v>
      </c>
      <c r="K898" s="106">
        <f t="shared" si="76"/>
        <v>274.73927799999996</v>
      </c>
      <c r="L898" s="115"/>
      <c r="M898" s="104">
        <f>K898/$G$901</f>
        <v>3.1649964825599994</v>
      </c>
      <c r="N898" s="71"/>
      <c r="O898" s="145"/>
    </row>
    <row r="899" spans="1:15">
      <c r="A899" s="100" t="str">
        <f>VLOOKUP(C899,Abstract!$E$4:$M$62,9,0)</f>
        <v>ACTIVE</v>
      </c>
      <c r="B899" s="99" t="s">
        <v>138</v>
      </c>
      <c r="C899" s="133" t="s">
        <v>76</v>
      </c>
      <c r="D899" s="133" t="s">
        <v>77</v>
      </c>
      <c r="E899" s="95">
        <v>110037</v>
      </c>
      <c r="F899" s="95" t="s">
        <v>316</v>
      </c>
      <c r="G899" s="109">
        <v>8.9999999999999993E-3</v>
      </c>
      <c r="H899" s="104">
        <f>VLOOKUP($E899,'Stock statement'!$D$2:$P$384,13,)</f>
        <v>204</v>
      </c>
      <c r="I899" s="127">
        <v>2.5000000000000001E-2</v>
      </c>
      <c r="J899" s="116">
        <v>1.0249999999999999</v>
      </c>
      <c r="K899" s="106">
        <f t="shared" si="76"/>
        <v>1.9289474999999996</v>
      </c>
      <c r="L899" s="115"/>
      <c r="M899" s="104">
        <f t="shared" si="77"/>
        <v>2.2221475199999993E-2</v>
      </c>
      <c r="N899" s="71"/>
      <c r="O899" s="145"/>
    </row>
    <row r="900" spans="1:15">
      <c r="A900" s="100" t="str">
        <f>VLOOKUP(C900,Abstract!$E$4:$M$62,9,0)</f>
        <v>ACTIVE</v>
      </c>
      <c r="B900" s="99" t="s">
        <v>183</v>
      </c>
      <c r="C900" s="133" t="s">
        <v>76</v>
      </c>
      <c r="D900" s="133" t="s">
        <v>77</v>
      </c>
      <c r="E900" s="95">
        <v>214255</v>
      </c>
      <c r="F900" s="95" t="s">
        <v>381</v>
      </c>
      <c r="G900" s="109">
        <f>(1000/(1920*6)*1000)*0.647</f>
        <v>56.16319444444445</v>
      </c>
      <c r="H900" s="104">
        <f>VLOOKUP($E900,'Stock statement'!$D$2:$P$384,13,)</f>
        <v>241.69834568582721</v>
      </c>
      <c r="I900" s="127">
        <v>1.7500000000000002E-2</v>
      </c>
      <c r="J900" s="113">
        <v>1</v>
      </c>
      <c r="K900" s="106">
        <f t="shared" si="76"/>
        <v>13812.105831402605</v>
      </c>
      <c r="L900" s="115"/>
      <c r="M900" s="104">
        <f t="shared" si="77"/>
        <v>159.115459177758</v>
      </c>
      <c r="N900" s="71"/>
      <c r="O900" s="145"/>
    </row>
    <row r="901" spans="1:15">
      <c r="A901" s="100" t="str">
        <f>VLOOKUP(C901,Abstract!$E$4:$M$62,9,0)</f>
        <v>ACTIVE</v>
      </c>
      <c r="B901" s="99" t="s">
        <v>183</v>
      </c>
      <c r="C901" s="133" t="s">
        <v>76</v>
      </c>
      <c r="D901" s="133" t="s">
        <v>77</v>
      </c>
      <c r="E901" s="95">
        <v>214376</v>
      </c>
      <c r="F901" s="95" t="s">
        <v>382</v>
      </c>
      <c r="G901" s="109">
        <f>1000/(1920*6)*1000</f>
        <v>86.805555555555557</v>
      </c>
      <c r="H901" s="104">
        <f>VLOOKUP($E901,'Stock statement'!$D$2:$P$384,13,)</f>
        <v>28.913304861052133</v>
      </c>
      <c r="I901" s="127">
        <v>6.0000000000000001E-3</v>
      </c>
      <c r="J901" s="113">
        <v>1</v>
      </c>
      <c r="K901" s="106">
        <f t="shared" si="76"/>
        <v>2524.8945043592398</v>
      </c>
      <c r="L901" s="115"/>
      <c r="M901" s="104">
        <f t="shared" si="77"/>
        <v>29.086784690218444</v>
      </c>
      <c r="N901" s="71"/>
      <c r="O901" s="145"/>
    </row>
    <row r="902" spans="1:15">
      <c r="A902" s="100" t="str">
        <f>VLOOKUP(C902,Abstract!$E$4:$M$62,9,0)</f>
        <v>ACTIVE</v>
      </c>
      <c r="B902" s="99" t="s">
        <v>183</v>
      </c>
      <c r="C902" s="133" t="s">
        <v>76</v>
      </c>
      <c r="D902" s="133" t="s">
        <v>77</v>
      </c>
      <c r="E902" s="95">
        <v>214377</v>
      </c>
      <c r="F902" s="95" t="s">
        <v>383</v>
      </c>
      <c r="G902" s="109">
        <f>1000/(1920*6)*1000*2</f>
        <v>173.61111111111111</v>
      </c>
      <c r="H902" s="104">
        <f>VLOOKUP($E902,'Stock statement'!$D$2:$P$384,13,)</f>
        <v>13.780886797554404</v>
      </c>
      <c r="I902" s="127">
        <v>6.0000000000000001E-3</v>
      </c>
      <c r="J902" s="113">
        <v>1</v>
      </c>
      <c r="K902" s="106">
        <f t="shared" si="76"/>
        <v>2406.8701594339809</v>
      </c>
      <c r="L902" s="115"/>
      <c r="M902" s="104">
        <f t="shared" si="77"/>
        <v>27.727144236679461</v>
      </c>
      <c r="N902" s="71"/>
      <c r="O902" s="145"/>
    </row>
    <row r="903" spans="1:15">
      <c r="A903" s="100" t="str">
        <f>VLOOKUP(C903,Abstract!$E$4:$M$62,9,0)</f>
        <v>ACTIVE</v>
      </c>
      <c r="B903" s="99" t="s">
        <v>183</v>
      </c>
      <c r="C903" s="133" t="s">
        <v>76</v>
      </c>
      <c r="D903" s="133" t="s">
        <v>77</v>
      </c>
      <c r="E903" s="95" t="s">
        <v>192</v>
      </c>
      <c r="F903" s="95" t="s">
        <v>192</v>
      </c>
      <c r="G903" s="109">
        <f>+G902*0.04</f>
        <v>6.9444444444444446</v>
      </c>
      <c r="H903" s="104">
        <f>VLOOKUP($E903,'Stock statement'!$D$2:$P$384,13,)</f>
        <v>44.985440769279101</v>
      </c>
      <c r="I903" s="127">
        <v>0.02</v>
      </c>
      <c r="J903" s="113">
        <v>1</v>
      </c>
      <c r="K903" s="106">
        <f t="shared" si="76"/>
        <v>318.64687211572698</v>
      </c>
      <c r="L903" s="115"/>
      <c r="M903" s="104">
        <f t="shared" si="77"/>
        <v>3.6708119667731749</v>
      </c>
      <c r="N903" s="71"/>
      <c r="O903" s="145"/>
    </row>
    <row r="904" spans="1:15">
      <c r="A904" s="100" t="str">
        <f>VLOOKUP(C904,Abstract!$E$4:$M$62,9,0)</f>
        <v>ACTIVE</v>
      </c>
      <c r="B904" s="99" t="s">
        <v>346</v>
      </c>
      <c r="C904" s="133" t="s">
        <v>76</v>
      </c>
      <c r="D904" s="133" t="s">
        <v>77</v>
      </c>
      <c r="E904" s="95" t="s">
        <v>347</v>
      </c>
      <c r="F904" s="95"/>
      <c r="G904" s="109"/>
      <c r="H904" s="129"/>
      <c r="I904" s="127"/>
      <c r="J904" s="113"/>
      <c r="K904" s="106">
        <v>210</v>
      </c>
      <c r="L904" s="115"/>
      <c r="M904" s="104">
        <f>K904/$G$901</f>
        <v>2.4192</v>
      </c>
      <c r="N904" s="71"/>
      <c r="O904" s="145"/>
    </row>
    <row r="905" spans="1:15">
      <c r="A905" s="100" t="str">
        <f>VLOOKUP(C905,Abstract!$E$4:$M$62,9,0)</f>
        <v>ACTIVE</v>
      </c>
      <c r="B905" s="99" t="s">
        <v>197</v>
      </c>
      <c r="C905" s="133" t="s">
        <v>76</v>
      </c>
      <c r="D905" s="133" t="s">
        <v>77</v>
      </c>
      <c r="E905" s="95" t="s">
        <v>440</v>
      </c>
      <c r="F905" s="95"/>
      <c r="G905" s="109"/>
      <c r="H905" s="129"/>
      <c r="I905" s="127"/>
      <c r="J905" s="113"/>
      <c r="K905" s="106">
        <v>6180</v>
      </c>
      <c r="L905" s="115">
        <f>SUM(K878:K905)</f>
        <v>60644.219942730968</v>
      </c>
      <c r="M905" s="104">
        <f>K905/$G$901</f>
        <v>71.193600000000004</v>
      </c>
      <c r="N905" s="71"/>
      <c r="O905" s="145"/>
    </row>
    <row r="906" spans="1:15">
      <c r="A906" s="100" t="str">
        <f>VLOOKUP(C906,Abstract!$E$4:$M$62,9,0)</f>
        <v>No Sales</v>
      </c>
      <c r="B906" s="99" t="s">
        <v>138</v>
      </c>
      <c r="C906" s="133" t="s">
        <v>80</v>
      </c>
      <c r="D906" s="133" t="s">
        <v>81</v>
      </c>
      <c r="E906" s="95" t="s">
        <v>141</v>
      </c>
      <c r="F906" s="95" t="s">
        <v>441</v>
      </c>
      <c r="G906" s="109">
        <v>185.7</v>
      </c>
      <c r="H906" s="104">
        <f>VLOOKUP($E906,'Stock statement'!$D$2:$P$384,13,)</f>
        <v>94.278330452007026</v>
      </c>
      <c r="I906" s="127">
        <v>2.5000000000000001E-2</v>
      </c>
      <c r="J906" s="113">
        <v>1.0249999999999999</v>
      </c>
      <c r="K906" s="106">
        <f>+G906*H906*(1+I906)*J906</f>
        <v>18393.80244191267</v>
      </c>
      <c r="L906" s="115"/>
      <c r="M906" s="104">
        <f>K906/$G$923</f>
        <v>121.39909611662361</v>
      </c>
    </row>
    <row r="907" spans="1:15">
      <c r="A907" s="100" t="str">
        <f>VLOOKUP(C907,Abstract!$E$4:$M$62,9,0)</f>
        <v>No Sales</v>
      </c>
      <c r="B907" s="99" t="s">
        <v>138</v>
      </c>
      <c r="C907" s="133" t="s">
        <v>80</v>
      </c>
      <c r="D907" s="133" t="s">
        <v>81</v>
      </c>
      <c r="E907" s="95" t="s">
        <v>145</v>
      </c>
      <c r="F907" s="95" t="s">
        <v>442</v>
      </c>
      <c r="G907" s="109">
        <v>10</v>
      </c>
      <c r="H907" s="104">
        <f>VLOOKUP($E907,'Stock statement'!$D$2:$P$384,13,)</f>
        <v>151.08681180977209</v>
      </c>
      <c r="I907" s="127">
        <v>2.5000000000000001E-2</v>
      </c>
      <c r="J907" s="113">
        <v>1.0249999999999999</v>
      </c>
      <c r="K907" s="106">
        <f t="shared" ref="K907:K922" si="78">+G907*H907*(1+I907)*J907</f>
        <v>1587.3558165764177</v>
      </c>
      <c r="L907" s="115"/>
      <c r="M907" s="104">
        <f t="shared" ref="M907:M926" si="79">K907/$G$923</f>
        <v>10.476548389404355</v>
      </c>
    </row>
    <row r="908" spans="1:15">
      <c r="A908" s="100" t="str">
        <f>VLOOKUP(C908,Abstract!$E$4:$M$62,9,0)</f>
        <v>No Sales</v>
      </c>
      <c r="B908" s="99" t="s">
        <v>138</v>
      </c>
      <c r="C908" s="133" t="s">
        <v>80</v>
      </c>
      <c r="D908" s="133" t="s">
        <v>81</v>
      </c>
      <c r="E908" s="95" t="s">
        <v>155</v>
      </c>
      <c r="F908" s="95" t="s">
        <v>156</v>
      </c>
      <c r="G908" s="109">
        <v>20</v>
      </c>
      <c r="H908" s="104">
        <f>VLOOKUP($E908,'Stock statement'!$D$2:$P$384,13,)</f>
        <v>68.308211638055738</v>
      </c>
      <c r="I908" s="127">
        <v>2.5000000000000001E-2</v>
      </c>
      <c r="J908" s="113">
        <v>1.0249999999999999</v>
      </c>
      <c r="K908" s="106">
        <f t="shared" si="78"/>
        <v>1435.326297044646</v>
      </c>
      <c r="L908" s="115"/>
      <c r="M908" s="104">
        <f t="shared" si="79"/>
        <v>9.4731535604946622</v>
      </c>
    </row>
    <row r="909" spans="1:15">
      <c r="A909" s="100" t="str">
        <f>VLOOKUP(C909,Abstract!$E$4:$M$62,9,0)</f>
        <v>No Sales</v>
      </c>
      <c r="B909" s="99" t="s">
        <v>138</v>
      </c>
      <c r="C909" s="133" t="s">
        <v>80</v>
      </c>
      <c r="D909" s="133" t="s">
        <v>81</v>
      </c>
      <c r="E909" s="95" t="s">
        <v>166</v>
      </c>
      <c r="F909" s="95" t="s">
        <v>418</v>
      </c>
      <c r="G909" s="109">
        <v>2.5</v>
      </c>
      <c r="H909" s="104">
        <f>VLOOKUP($E909,'Stock statement'!$D$2:$P$384,13,)</f>
        <v>127.15913438761541</v>
      </c>
      <c r="I909" s="127">
        <v>2.5000000000000001E-2</v>
      </c>
      <c r="J909" s="113">
        <v>1.0249999999999999</v>
      </c>
      <c r="K909" s="106">
        <f t="shared" si="78"/>
        <v>333.99141391497102</v>
      </c>
      <c r="L909" s="115"/>
      <c r="M909" s="104">
        <f t="shared" si="79"/>
        <v>2.2043433318388086</v>
      </c>
    </row>
    <row r="910" spans="1:15">
      <c r="A910" s="100" t="str">
        <f>VLOOKUP(C910,Abstract!$E$4:$M$62,9,0)</f>
        <v>No Sales</v>
      </c>
      <c r="B910" s="99" t="s">
        <v>138</v>
      </c>
      <c r="C910" s="133" t="s">
        <v>80</v>
      </c>
      <c r="D910" s="133" t="s">
        <v>81</v>
      </c>
      <c r="E910" s="95" t="s">
        <v>143</v>
      </c>
      <c r="F910" s="95" t="s">
        <v>443</v>
      </c>
      <c r="G910" s="109">
        <v>10</v>
      </c>
      <c r="H910" s="104">
        <f>VLOOKUP($E910,'Stock statement'!$D$2:$P$384,13,)</f>
        <v>178.57970547017939</v>
      </c>
      <c r="I910" s="127">
        <v>2.5000000000000001E-2</v>
      </c>
      <c r="J910" s="113">
        <v>1.0249999999999999</v>
      </c>
      <c r="K910" s="106">
        <f t="shared" si="78"/>
        <v>1876.203030596072</v>
      </c>
      <c r="L910" s="115"/>
      <c r="M910" s="104">
        <f t="shared" si="79"/>
        <v>12.382940001934074</v>
      </c>
    </row>
    <row r="911" spans="1:15">
      <c r="A911" s="100" t="str">
        <f>VLOOKUP(C911,Abstract!$E$4:$M$62,9,0)</f>
        <v>No Sales</v>
      </c>
      <c r="B911" s="99" t="s">
        <v>138</v>
      </c>
      <c r="C911" s="133" t="s">
        <v>80</v>
      </c>
      <c r="D911" s="133" t="s">
        <v>81</v>
      </c>
      <c r="E911" s="95" t="s">
        <v>149</v>
      </c>
      <c r="F911" s="95" t="s">
        <v>150</v>
      </c>
      <c r="G911" s="109">
        <v>0.125</v>
      </c>
      <c r="H911" s="104">
        <f>VLOOKUP($E911,'Stock statement'!$D$2:$P$384,13,)</f>
        <v>161.56941474217822</v>
      </c>
      <c r="I911" s="127">
        <v>2.5000000000000001E-2</v>
      </c>
      <c r="J911" s="113">
        <v>1.0249999999999999</v>
      </c>
      <c r="K911" s="106">
        <f t="shared" si="78"/>
        <v>21.218608295437623</v>
      </c>
      <c r="L911" s="115"/>
      <c r="M911" s="104">
        <f t="shared" si="79"/>
        <v>0.14004281474988831</v>
      </c>
    </row>
    <row r="912" spans="1:15">
      <c r="A912" s="100" t="str">
        <f>VLOOKUP(C912,Abstract!$E$4:$M$62,9,0)</f>
        <v>No Sales</v>
      </c>
      <c r="B912" s="99" t="s">
        <v>138</v>
      </c>
      <c r="C912" s="133" t="s">
        <v>80</v>
      </c>
      <c r="D912" s="133" t="s">
        <v>81</v>
      </c>
      <c r="E912" s="95">
        <v>114271</v>
      </c>
      <c r="F912" s="95" t="s">
        <v>419</v>
      </c>
      <c r="G912" s="109">
        <v>30</v>
      </c>
      <c r="H912" s="104">
        <f>VLOOKUP($E912,'Stock statement'!$D$2:$P$384,13,)</f>
        <v>407.26831661471198</v>
      </c>
      <c r="I912" s="127">
        <v>2.5000000000000001E-2</v>
      </c>
      <c r="J912" s="113">
        <v>1.0249999999999999</v>
      </c>
      <c r="K912" s="106">
        <f t="shared" si="78"/>
        <v>12836.588254299952</v>
      </c>
      <c r="L912" s="115"/>
      <c r="M912" s="104">
        <f t="shared" si="79"/>
        <v>84.72148247837967</v>
      </c>
    </row>
    <row r="913" spans="1:13">
      <c r="A913" s="100" t="str">
        <f>VLOOKUP(C913,Abstract!$E$4:$M$62,9,0)</f>
        <v>No Sales</v>
      </c>
      <c r="B913" s="99" t="s">
        <v>138</v>
      </c>
      <c r="C913" s="133" t="s">
        <v>80</v>
      </c>
      <c r="D913" s="133" t="s">
        <v>81</v>
      </c>
      <c r="E913" s="95" t="s">
        <v>157</v>
      </c>
      <c r="F913" s="95" t="s">
        <v>444</v>
      </c>
      <c r="G913" s="109">
        <v>1</v>
      </c>
      <c r="H913" s="104">
        <f>VLOOKUP($E913,'Stock statement'!$D$2:$P$384,13,)</f>
        <v>828.81974703846117</v>
      </c>
      <c r="I913" s="127">
        <v>2.5000000000000001E-2</v>
      </c>
      <c r="J913" s="113">
        <v>1.0249999999999999</v>
      </c>
      <c r="K913" s="106">
        <f t="shared" si="78"/>
        <v>870.77874673228314</v>
      </c>
      <c r="L913" s="115"/>
      <c r="M913" s="104">
        <f t="shared" si="79"/>
        <v>5.7471397284330683</v>
      </c>
    </row>
    <row r="914" spans="1:13">
      <c r="A914" s="100" t="str">
        <f>VLOOKUP(C914,Abstract!$E$4:$M$62,9,0)</f>
        <v>No Sales</v>
      </c>
      <c r="B914" s="99" t="s">
        <v>138</v>
      </c>
      <c r="C914" s="133" t="s">
        <v>80</v>
      </c>
      <c r="D914" s="133" t="s">
        <v>81</v>
      </c>
      <c r="E914" s="157">
        <v>115150</v>
      </c>
      <c r="F914" s="95" t="s">
        <v>159</v>
      </c>
      <c r="G914" s="109">
        <v>1</v>
      </c>
      <c r="H914" s="104">
        <f>VLOOKUP($E914,'Stock statement'!$D$2:$P$384,13,)</f>
        <v>456.30699446392703</v>
      </c>
      <c r="I914" s="127">
        <v>2.5000000000000001E-2</v>
      </c>
      <c r="J914" s="113">
        <v>1.0249999999999999</v>
      </c>
      <c r="K914" s="106">
        <f t="shared" si="78"/>
        <v>479.40753605866325</v>
      </c>
      <c r="L914" s="115"/>
      <c r="M914" s="104">
        <f t="shared" si="79"/>
        <v>3.1640897379871773</v>
      </c>
    </row>
    <row r="915" spans="1:13">
      <c r="A915" s="100" t="str">
        <f>VLOOKUP(C915,Abstract!$E$4:$M$62,9,0)</f>
        <v>No Sales</v>
      </c>
      <c r="B915" s="99" t="s">
        <v>138</v>
      </c>
      <c r="C915" s="133" t="s">
        <v>80</v>
      </c>
      <c r="D915" s="133" t="s">
        <v>81</v>
      </c>
      <c r="E915" s="95" t="s">
        <v>160</v>
      </c>
      <c r="F915" s="95" t="s">
        <v>445</v>
      </c>
      <c r="G915" s="109">
        <v>0.25</v>
      </c>
      <c r="H915" s="104">
        <f>VLOOKUP($E915,'Stock statement'!$D$2:$P$384,13,)</f>
        <v>3313.2387673094586</v>
      </c>
      <c r="I915" s="127">
        <v>2.5000000000000001E-2</v>
      </c>
      <c r="J915" s="113">
        <v>1.0249999999999999</v>
      </c>
      <c r="K915" s="106">
        <f t="shared" si="78"/>
        <v>870.24286997612489</v>
      </c>
      <c r="L915" s="115"/>
      <c r="M915" s="104">
        <f t="shared" si="79"/>
        <v>5.7436029418424237</v>
      </c>
    </row>
    <row r="916" spans="1:13">
      <c r="A916" s="100" t="str">
        <f>VLOOKUP(C916,Abstract!$E$4:$M$62,9,0)</f>
        <v>No Sales</v>
      </c>
      <c r="B916" s="99" t="s">
        <v>138</v>
      </c>
      <c r="C916" s="133" t="s">
        <v>80</v>
      </c>
      <c r="D916" s="133" t="s">
        <v>81</v>
      </c>
      <c r="E916" s="95">
        <v>115152</v>
      </c>
      <c r="F916" s="95" t="s">
        <v>420</v>
      </c>
      <c r="G916" s="109">
        <v>40</v>
      </c>
      <c r="H916" s="104">
        <f>VLOOKUP($E916,'Stock statement'!$D$2:$P$384,13,)</f>
        <v>341.17565217391302</v>
      </c>
      <c r="I916" s="127">
        <v>2.5000000000000001E-2</v>
      </c>
      <c r="J916" s="113">
        <v>1.0249999999999999</v>
      </c>
      <c r="K916" s="106">
        <f t="shared" si="78"/>
        <v>14337.906782608692</v>
      </c>
      <c r="L916" s="115"/>
      <c r="M916" s="104">
        <f t="shared" si="79"/>
        <v>94.630184765217365</v>
      </c>
    </row>
    <row r="917" spans="1:13">
      <c r="A917" s="100" t="str">
        <f>VLOOKUP(C917,Abstract!$E$4:$M$62,9,0)</f>
        <v>No Sales</v>
      </c>
      <c r="B917" s="99" t="s">
        <v>138</v>
      </c>
      <c r="C917" s="133" t="s">
        <v>80</v>
      </c>
      <c r="D917" s="133" t="s">
        <v>81</v>
      </c>
      <c r="E917" s="95">
        <v>115321</v>
      </c>
      <c r="F917" s="95" t="s">
        <v>421</v>
      </c>
      <c r="G917" s="109">
        <v>7</v>
      </c>
      <c r="H917" s="104">
        <f>VLOOKUP($E917,'Stock statement'!$D$2:$P$384,13,)</f>
        <v>983.99999999999977</v>
      </c>
      <c r="I917" s="127">
        <v>2.5000000000000001E-2</v>
      </c>
      <c r="J917" s="113">
        <v>1.0249999999999999</v>
      </c>
      <c r="K917" s="106">
        <f t="shared" si="78"/>
        <v>7236.7049999999963</v>
      </c>
      <c r="L917" s="115"/>
      <c r="M917" s="104">
        <f t="shared" si="79"/>
        <v>47.762252999999973</v>
      </c>
    </row>
    <row r="918" spans="1:13">
      <c r="A918" s="100" t="str">
        <f>VLOOKUP(C918,Abstract!$E$4:$M$62,9,0)</f>
        <v>No Sales</v>
      </c>
      <c r="B918" s="99" t="s">
        <v>138</v>
      </c>
      <c r="C918" s="133" t="s">
        <v>80</v>
      </c>
      <c r="D918" s="133" t="s">
        <v>81</v>
      </c>
      <c r="E918" s="95">
        <v>114273</v>
      </c>
      <c r="F918" s="95" t="s">
        <v>422</v>
      </c>
      <c r="G918" s="109">
        <v>20</v>
      </c>
      <c r="H918" s="104">
        <f>VLOOKUP($E918,'Stock statement'!$D$2:$P$384,13,)</f>
        <v>734.07091095950022</v>
      </c>
      <c r="I918" s="127">
        <v>2.5000000000000001E-2</v>
      </c>
      <c r="J918" s="113">
        <v>1.0249999999999999</v>
      </c>
      <c r="K918" s="106">
        <f t="shared" si="78"/>
        <v>15424.665016536495</v>
      </c>
      <c r="L918" s="115"/>
      <c r="M918" s="104">
        <f t="shared" si="79"/>
        <v>101.80278910914086</v>
      </c>
    </row>
    <row r="919" spans="1:13">
      <c r="A919" s="100" t="str">
        <f>VLOOKUP(C919,Abstract!$E$4:$M$62,9,0)</f>
        <v>No Sales</v>
      </c>
      <c r="B919" s="99" t="s">
        <v>138</v>
      </c>
      <c r="C919" s="133" t="s">
        <v>80</v>
      </c>
      <c r="D919" s="133" t="s">
        <v>81</v>
      </c>
      <c r="E919" s="95" t="s">
        <v>181</v>
      </c>
      <c r="F919" s="95" t="s">
        <v>446</v>
      </c>
      <c r="G919" s="109">
        <v>10</v>
      </c>
      <c r="H919" s="104">
        <f>VLOOKUP($E919,'Stock statement'!$D$2:$P$384,13,)</f>
        <v>17.110276913020375</v>
      </c>
      <c r="I919" s="127">
        <v>2.5000000000000001E-2</v>
      </c>
      <c r="J919" s="113">
        <v>1.0249999999999999</v>
      </c>
      <c r="K919" s="106">
        <f t="shared" si="78"/>
        <v>179.76484681742028</v>
      </c>
      <c r="L919" s="115"/>
      <c r="M919" s="104">
        <f t="shared" si="79"/>
        <v>1.1864479889949737</v>
      </c>
    </row>
    <row r="920" spans="1:13">
      <c r="A920" s="100" t="str">
        <f>VLOOKUP(C920,Abstract!$E$4:$M$62,9,0)</f>
        <v>No Sales</v>
      </c>
      <c r="B920" s="99" t="s">
        <v>138</v>
      </c>
      <c r="C920" s="133" t="s">
        <v>80</v>
      </c>
      <c r="D920" s="133" t="s">
        <v>81</v>
      </c>
      <c r="E920" s="95" t="s">
        <v>139</v>
      </c>
      <c r="F920" s="95" t="s">
        <v>447</v>
      </c>
      <c r="G920" s="109">
        <v>662.22499999999991</v>
      </c>
      <c r="H920" s="104">
        <f>VLOOKUP($E920,'Stock statement'!$D$2:$P$384,13,)</f>
        <v>0.34</v>
      </c>
      <c r="I920" s="127">
        <v>2.5000000000000001E-2</v>
      </c>
      <c r="J920" s="113">
        <v>1.0249999999999999</v>
      </c>
      <c r="K920" s="106">
        <f t="shared" si="78"/>
        <v>236.55504781249996</v>
      </c>
      <c r="L920" s="115"/>
      <c r="M920" s="104">
        <f t="shared" si="79"/>
        <v>1.5612633155624995</v>
      </c>
    </row>
    <row r="921" spans="1:13">
      <c r="A921" s="100" t="str">
        <f>VLOOKUP(C921,Abstract!$E$4:$M$62,9,0)</f>
        <v>No Sales</v>
      </c>
      <c r="B921" s="99" t="s">
        <v>138</v>
      </c>
      <c r="C921" s="133" t="s">
        <v>80</v>
      </c>
      <c r="D921" s="133" t="s">
        <v>81</v>
      </c>
      <c r="E921" s="95">
        <v>115322</v>
      </c>
      <c r="F921" s="95" t="s">
        <v>423</v>
      </c>
      <c r="G921" s="109">
        <v>0.1</v>
      </c>
      <c r="H921" s="104">
        <f>VLOOKUP($E921,'Stock statement'!$D$2:$P$384,13,)</f>
        <v>713.57285714285717</v>
      </c>
      <c r="I921" s="127">
        <v>2.5000000000000001E-2</v>
      </c>
      <c r="J921" s="113">
        <v>1.0249999999999999</v>
      </c>
      <c r="K921" s="106">
        <f t="shared" si="78"/>
        <v>74.969748303571421</v>
      </c>
      <c r="L921" s="115"/>
      <c r="M921" s="104">
        <f t="shared" si="79"/>
        <v>0.49480033880357133</v>
      </c>
    </row>
    <row r="922" spans="1:13">
      <c r="A922" s="100" t="str">
        <f>VLOOKUP(C922,Abstract!$E$4:$M$62,9,0)</f>
        <v>No Sales</v>
      </c>
      <c r="B922" s="99" t="s">
        <v>138</v>
      </c>
      <c r="C922" s="133" t="s">
        <v>80</v>
      </c>
      <c r="D922" s="133" t="s">
        <v>81</v>
      </c>
      <c r="E922" s="95">
        <v>115323</v>
      </c>
      <c r="F922" s="95" t="s">
        <v>424</v>
      </c>
      <c r="G922" s="109">
        <v>0.1</v>
      </c>
      <c r="H922" s="104">
        <f>VLOOKUP($E922,'Stock statement'!$D$2:$P$384,13,)</f>
        <v>2171.0526315789475</v>
      </c>
      <c r="I922" s="127">
        <v>2.5000000000000001E-2</v>
      </c>
      <c r="J922" s="113">
        <v>1.0249999999999999</v>
      </c>
      <c r="K922" s="106">
        <f t="shared" si="78"/>
        <v>228.09621710526315</v>
      </c>
      <c r="L922" s="115"/>
      <c r="M922" s="104">
        <f t="shared" si="79"/>
        <v>1.5054350328947366</v>
      </c>
    </row>
    <row r="923" spans="1:13">
      <c r="A923" s="100" t="str">
        <f>VLOOKUP(C923,Abstract!$E$4:$M$62,9,0)</f>
        <v>No Sales</v>
      </c>
      <c r="B923" s="99" t="s">
        <v>183</v>
      </c>
      <c r="C923" s="133" t="s">
        <v>80</v>
      </c>
      <c r="D923" s="133" t="s">
        <v>81</v>
      </c>
      <c r="E923" s="95">
        <v>214442</v>
      </c>
      <c r="F923" s="95" t="s">
        <v>448</v>
      </c>
      <c r="G923" s="109">
        <f>1000/(1200*5.5)*1000</f>
        <v>151.51515151515153</v>
      </c>
      <c r="H923" s="104">
        <f>VLOOKUP($E923,'Stock statement'!$D$2:$P$384,13,)</f>
        <v>19.8</v>
      </c>
      <c r="I923" s="127">
        <v>6.0000000000000001E-3</v>
      </c>
      <c r="J923" s="113">
        <v>1</v>
      </c>
      <c r="K923" s="106">
        <f>+G923*H923*(1+I923)*J923</f>
        <v>3018.0000000000005</v>
      </c>
      <c r="L923" s="115"/>
      <c r="M923" s="104">
        <f t="shared" si="79"/>
        <v>19.918800000000001</v>
      </c>
    </row>
    <row r="924" spans="1:13">
      <c r="A924" s="100" t="str">
        <f>VLOOKUP(C924,Abstract!$E$4:$M$62,9,0)</f>
        <v>No Sales</v>
      </c>
      <c r="B924" s="99" t="s">
        <v>183</v>
      </c>
      <c r="C924" s="133" t="s">
        <v>80</v>
      </c>
      <c r="D924" s="133" t="s">
        <v>81</v>
      </c>
      <c r="E924" s="95">
        <v>214397</v>
      </c>
      <c r="F924" s="95" t="s">
        <v>449</v>
      </c>
      <c r="G924" s="109">
        <f>G923*0.437</f>
        <v>66.212121212121218</v>
      </c>
      <c r="H924" s="104">
        <f>VLOOKUP($E924,'Stock statement'!$D$2:$P$384,13,)</f>
        <v>0</v>
      </c>
      <c r="I924" s="127">
        <v>1.7500000000000002E-2</v>
      </c>
      <c r="J924" s="113">
        <v>1</v>
      </c>
      <c r="K924" s="106">
        <f>+G924*H924*(1+I924)*J924</f>
        <v>0</v>
      </c>
      <c r="L924" s="115"/>
      <c r="M924" s="104">
        <f t="shared" si="79"/>
        <v>0</v>
      </c>
    </row>
    <row r="925" spans="1:13">
      <c r="A925" s="100" t="str">
        <f>VLOOKUP(C925,Abstract!$E$4:$M$62,9,0)</f>
        <v>No Sales</v>
      </c>
      <c r="B925" s="99" t="s">
        <v>183</v>
      </c>
      <c r="C925" s="133" t="s">
        <v>80</v>
      </c>
      <c r="D925" s="133" t="s">
        <v>81</v>
      </c>
      <c r="E925" s="95" t="s">
        <v>191</v>
      </c>
      <c r="F925" s="95" t="s">
        <v>450</v>
      </c>
      <c r="G925" s="109">
        <f>+G923*0.02</f>
        <v>3.0303030303030307</v>
      </c>
      <c r="H925" s="104">
        <f>VLOOKUP($E925,'Stock statement'!$D$2:$P$384,13,)</f>
        <v>44.985440769279101</v>
      </c>
      <c r="I925" s="127">
        <v>0.02</v>
      </c>
      <c r="J925" s="113">
        <v>1</v>
      </c>
      <c r="K925" s="106">
        <f>+G925*H925*(1+I925)*J925</f>
        <v>139.04590783231725</v>
      </c>
      <c r="L925" s="115"/>
      <c r="M925" s="104">
        <f t="shared" si="79"/>
        <v>0.91770299169329383</v>
      </c>
    </row>
    <row r="926" spans="1:13">
      <c r="A926" s="100" t="str">
        <f>VLOOKUP(C926,Abstract!$E$4:$M$62,9,0)</f>
        <v>No Sales</v>
      </c>
      <c r="B926" s="99" t="s">
        <v>197</v>
      </c>
      <c r="C926" s="133" t="s">
        <v>80</v>
      </c>
      <c r="D926" s="133" t="s">
        <v>81</v>
      </c>
      <c r="E926" s="95" t="s">
        <v>440</v>
      </c>
      <c r="F926" s="95"/>
      <c r="G926" s="109"/>
      <c r="H926" s="129"/>
      <c r="I926" s="127"/>
      <c r="J926" s="113"/>
      <c r="K926" s="106">
        <v>6180</v>
      </c>
      <c r="L926" s="115">
        <f>SUM(K906:K926)</f>
        <v>85760.623582423475</v>
      </c>
      <c r="M926" s="104">
        <f t="shared" si="79"/>
        <v>40.787999999999997</v>
      </c>
    </row>
    <row r="927" spans="1:13">
      <c r="A927" s="100" t="str">
        <f>VLOOKUP(C927,Abstract!$E$4:$M$62,9,0)</f>
        <v>ACTIVE</v>
      </c>
      <c r="B927" s="99" t="s">
        <v>138</v>
      </c>
      <c r="C927" s="133" t="s">
        <v>78</v>
      </c>
      <c r="D927" s="133" t="s">
        <v>16</v>
      </c>
      <c r="E927" s="95" t="s">
        <v>139</v>
      </c>
      <c r="F927" s="95" t="s">
        <v>140</v>
      </c>
      <c r="G927" s="109">
        <v>715.85599999999999</v>
      </c>
      <c r="H927" s="104">
        <f>VLOOKUP($E927,'Stock statement'!$D$2:$P$384,13,)</f>
        <v>0.34</v>
      </c>
      <c r="I927" s="127">
        <v>2.5000000000000001E-2</v>
      </c>
      <c r="J927" s="113">
        <v>1.0249999999999999</v>
      </c>
      <c r="K927" s="106">
        <f t="shared" ref="K927:K959" si="80">+G927*H927*(1+I927)*J927</f>
        <v>255.71271139999996</v>
      </c>
      <c r="L927" s="115"/>
      <c r="M927" s="104">
        <f>K927/$G$951</f>
        <v>2.1479867757599997</v>
      </c>
    </row>
    <row r="928" spans="1:13">
      <c r="A928" s="100" t="str">
        <f>VLOOKUP(C928,Abstract!$E$4:$M$62,9,0)</f>
        <v>ACTIVE</v>
      </c>
      <c r="B928" s="99" t="s">
        <v>138</v>
      </c>
      <c r="C928" s="133" t="s">
        <v>78</v>
      </c>
      <c r="D928" s="133" t="s">
        <v>16</v>
      </c>
      <c r="E928" s="95" t="s">
        <v>141</v>
      </c>
      <c r="F928" s="95" t="s">
        <v>142</v>
      </c>
      <c r="G928" s="109">
        <v>185.7</v>
      </c>
      <c r="H928" s="104">
        <f>VLOOKUP($E928,'Stock statement'!$D$2:$P$384,13,)</f>
        <v>94.278330452007026</v>
      </c>
      <c r="I928" s="127">
        <v>2.5000000000000001E-2</v>
      </c>
      <c r="J928" s="113">
        <v>1.0249999999999999</v>
      </c>
      <c r="K928" s="106">
        <f t="shared" si="80"/>
        <v>18393.80244191267</v>
      </c>
      <c r="L928" s="115"/>
      <c r="M928" s="104">
        <f t="shared" ref="M928:M960" si="81">K928/$G$951</f>
        <v>154.50794051206645</v>
      </c>
    </row>
    <row r="929" spans="1:13">
      <c r="A929" s="100" t="str">
        <f>VLOOKUP(C929,Abstract!$E$4:$M$62,9,0)</f>
        <v>ACTIVE</v>
      </c>
      <c r="B929" s="99" t="s">
        <v>138</v>
      </c>
      <c r="C929" s="133" t="s">
        <v>78</v>
      </c>
      <c r="D929" s="133" t="s">
        <v>16</v>
      </c>
      <c r="E929" s="95" t="s">
        <v>143</v>
      </c>
      <c r="F929" s="95" t="s">
        <v>144</v>
      </c>
      <c r="G929" s="109">
        <v>5</v>
      </c>
      <c r="H929" s="104">
        <f>VLOOKUP($E929,'Stock statement'!$D$2:$P$384,13,)</f>
        <v>178.57970547017939</v>
      </c>
      <c r="I929" s="127">
        <v>2.5000000000000001E-2</v>
      </c>
      <c r="J929" s="113">
        <v>1.0249999999999999</v>
      </c>
      <c r="K929" s="106">
        <f t="shared" si="80"/>
        <v>938.10151529803602</v>
      </c>
      <c r="L929" s="115"/>
      <c r="M929" s="104">
        <f t="shared" si="81"/>
        <v>7.8800527285035029</v>
      </c>
    </row>
    <row r="930" spans="1:13">
      <c r="A930" s="100" t="str">
        <f>VLOOKUP(C930,Abstract!$E$4:$M$62,9,0)</f>
        <v>ACTIVE</v>
      </c>
      <c r="B930" s="99" t="s">
        <v>138</v>
      </c>
      <c r="C930" s="133" t="s">
        <v>78</v>
      </c>
      <c r="D930" s="133" t="s">
        <v>16</v>
      </c>
      <c r="E930" s="95" t="s">
        <v>145</v>
      </c>
      <c r="F930" s="95" t="s">
        <v>146</v>
      </c>
      <c r="G930" s="109">
        <v>10</v>
      </c>
      <c r="H930" s="104">
        <f>VLOOKUP($E930,'Stock statement'!$D$2:$P$384,13,)</f>
        <v>151.08681180977209</v>
      </c>
      <c r="I930" s="127">
        <v>2.5000000000000001E-2</v>
      </c>
      <c r="J930" s="113">
        <v>1.0249999999999999</v>
      </c>
      <c r="K930" s="106">
        <f t="shared" si="80"/>
        <v>1587.3558165764177</v>
      </c>
      <c r="L930" s="115"/>
      <c r="M930" s="104">
        <f t="shared" si="81"/>
        <v>13.33378885924191</v>
      </c>
    </row>
    <row r="931" spans="1:13">
      <c r="A931" s="100" t="str">
        <f>VLOOKUP(C931,Abstract!$E$4:$M$62,9,0)</f>
        <v>ACTIVE</v>
      </c>
      <c r="B931" s="99" t="s">
        <v>138</v>
      </c>
      <c r="C931" s="133" t="s">
        <v>78</v>
      </c>
      <c r="D931" s="133" t="s">
        <v>16</v>
      </c>
      <c r="E931" s="95" t="s">
        <v>147</v>
      </c>
      <c r="F931" s="95" t="s">
        <v>148</v>
      </c>
      <c r="G931" s="109">
        <v>0.5</v>
      </c>
      <c r="H931" s="104">
        <f>VLOOKUP($E931,'Stock statement'!$D$2:$P$384,13,)</f>
        <v>353.50950483838068</v>
      </c>
      <c r="I931" s="127">
        <v>2.5000000000000001E-2</v>
      </c>
      <c r="J931" s="113">
        <v>1.0249999999999999</v>
      </c>
      <c r="K931" s="106">
        <f t="shared" si="80"/>
        <v>185.70296176041182</v>
      </c>
      <c r="L931" s="115"/>
      <c r="M931" s="104">
        <f t="shared" si="81"/>
        <v>1.5599048787874594</v>
      </c>
    </row>
    <row r="932" spans="1:13">
      <c r="A932" s="100" t="str">
        <f>VLOOKUP(C932,Abstract!$E$4:$M$62,9,0)</f>
        <v>ACTIVE</v>
      </c>
      <c r="B932" s="99" t="s">
        <v>138</v>
      </c>
      <c r="C932" s="133" t="s">
        <v>78</v>
      </c>
      <c r="D932" s="133" t="s">
        <v>16</v>
      </c>
      <c r="E932" s="95" t="s">
        <v>149</v>
      </c>
      <c r="F932" s="95" t="s">
        <v>150</v>
      </c>
      <c r="G932" s="109">
        <v>0.125</v>
      </c>
      <c r="H932" s="104">
        <f>VLOOKUP($E932,'Stock statement'!$D$2:$P$384,13,)</f>
        <v>161.56941474217822</v>
      </c>
      <c r="I932" s="127">
        <v>2.5000000000000001E-2</v>
      </c>
      <c r="J932" s="113">
        <v>1.0249999999999999</v>
      </c>
      <c r="K932" s="106">
        <f t="shared" si="80"/>
        <v>21.218608295437623</v>
      </c>
      <c r="L932" s="115"/>
      <c r="M932" s="104">
        <f t="shared" si="81"/>
        <v>0.17823630968167606</v>
      </c>
    </row>
    <row r="933" spans="1:13">
      <c r="A933" s="100" t="str">
        <f>VLOOKUP(C933,Abstract!$E$4:$M$62,9,0)</f>
        <v>ACTIVE</v>
      </c>
      <c r="B933" s="99" t="s">
        <v>138</v>
      </c>
      <c r="C933" s="133" t="s">
        <v>78</v>
      </c>
      <c r="D933" s="133" t="s">
        <v>16</v>
      </c>
      <c r="E933" s="95" t="s">
        <v>151</v>
      </c>
      <c r="F933" s="95" t="s">
        <v>152</v>
      </c>
      <c r="G933" s="109">
        <v>3</v>
      </c>
      <c r="H933" s="104">
        <f>VLOOKUP($E933,'Stock statement'!$D$2:$P$384,13,)</f>
        <v>762.38931335604309</v>
      </c>
      <c r="I933" s="127">
        <v>2.5000000000000001E-2</v>
      </c>
      <c r="J933" s="113">
        <v>1.0249999999999999</v>
      </c>
      <c r="K933" s="106">
        <f t="shared" si="80"/>
        <v>2402.9558170340779</v>
      </c>
      <c r="L933" s="115"/>
      <c r="M933" s="104">
        <f t="shared" si="81"/>
        <v>20.184828863086256</v>
      </c>
    </row>
    <row r="934" spans="1:13">
      <c r="A934" s="100" t="str">
        <f>VLOOKUP(C934,Abstract!$E$4:$M$62,9,0)</f>
        <v>ACTIVE</v>
      </c>
      <c r="B934" s="99" t="s">
        <v>138</v>
      </c>
      <c r="C934" s="133" t="s">
        <v>78</v>
      </c>
      <c r="D934" s="133" t="s">
        <v>16</v>
      </c>
      <c r="E934" s="95" t="s">
        <v>153</v>
      </c>
      <c r="F934" s="95" t="s">
        <v>154</v>
      </c>
      <c r="G934" s="109">
        <v>0.625</v>
      </c>
      <c r="H934" s="104">
        <f>VLOOKUP($E934,'Stock statement'!$D$2:$P$384,13,)</f>
        <v>84.206363687840948</v>
      </c>
      <c r="I934" s="127">
        <v>2.5000000000000001E-2</v>
      </c>
      <c r="J934" s="113">
        <v>1.0249999999999999</v>
      </c>
      <c r="K934" s="106">
        <f t="shared" si="80"/>
        <v>55.293319280961178</v>
      </c>
      <c r="L934" s="115"/>
      <c r="M934" s="104">
        <f t="shared" si="81"/>
        <v>0.46446388196007393</v>
      </c>
    </row>
    <row r="935" spans="1:13">
      <c r="A935" s="100" t="str">
        <f>VLOOKUP(C935,Abstract!$E$4:$M$62,9,0)</f>
        <v>ACTIVE</v>
      </c>
      <c r="B935" s="99" t="s">
        <v>138</v>
      </c>
      <c r="C935" s="133" t="s">
        <v>78</v>
      </c>
      <c r="D935" s="133" t="s">
        <v>16</v>
      </c>
      <c r="E935" s="95" t="s">
        <v>155</v>
      </c>
      <c r="F935" s="95" t="s">
        <v>156</v>
      </c>
      <c r="G935" s="109">
        <v>15</v>
      </c>
      <c r="H935" s="104">
        <f>VLOOKUP($E935,'Stock statement'!$D$2:$P$384,13,)</f>
        <v>68.308211638055738</v>
      </c>
      <c r="I935" s="127">
        <v>2.5000000000000001E-2</v>
      </c>
      <c r="J935" s="113">
        <v>1.0249999999999999</v>
      </c>
      <c r="K935" s="106">
        <f t="shared" si="80"/>
        <v>1076.4947227834843</v>
      </c>
      <c r="L935" s="115"/>
      <c r="M935" s="104">
        <f t="shared" si="81"/>
        <v>9.0425556713812689</v>
      </c>
    </row>
    <row r="936" spans="1:13">
      <c r="A936" s="100" t="str">
        <f>VLOOKUP(C936,Abstract!$E$4:$M$62,9,0)</f>
        <v>ACTIVE</v>
      </c>
      <c r="B936" s="99" t="s">
        <v>138</v>
      </c>
      <c r="C936" s="133" t="s">
        <v>78</v>
      </c>
      <c r="D936" s="133" t="s">
        <v>16</v>
      </c>
      <c r="E936" s="95" t="s">
        <v>157</v>
      </c>
      <c r="F936" s="95" t="s">
        <v>158</v>
      </c>
      <c r="G936" s="109">
        <v>1</v>
      </c>
      <c r="H936" s="104">
        <f>VLOOKUP($E936,'Stock statement'!$D$2:$P$384,13,)</f>
        <v>828.81974703846117</v>
      </c>
      <c r="I936" s="127">
        <v>2.5000000000000001E-2</v>
      </c>
      <c r="J936" s="113">
        <v>1.0249999999999999</v>
      </c>
      <c r="K936" s="106">
        <f t="shared" si="80"/>
        <v>870.77874673228314</v>
      </c>
      <c r="L936" s="115"/>
      <c r="M936" s="104">
        <f t="shared" si="81"/>
        <v>7.3145414725511788</v>
      </c>
    </row>
    <row r="937" spans="1:13">
      <c r="A937" s="100" t="str">
        <f>VLOOKUP(C937,Abstract!$E$4:$M$62,9,0)</f>
        <v>ACTIVE</v>
      </c>
      <c r="B937" s="99" t="s">
        <v>138</v>
      </c>
      <c r="C937" s="133" t="s">
        <v>78</v>
      </c>
      <c r="D937" s="133" t="s">
        <v>16</v>
      </c>
      <c r="E937" s="157">
        <v>115150</v>
      </c>
      <c r="F937" s="95" t="s">
        <v>159</v>
      </c>
      <c r="G937" s="109">
        <v>1</v>
      </c>
      <c r="H937" s="104">
        <f>VLOOKUP($E937,'Stock statement'!$D$2:$P$384,13,)</f>
        <v>456.30699446392703</v>
      </c>
      <c r="I937" s="127">
        <v>2.5000000000000001E-2</v>
      </c>
      <c r="J937" s="113">
        <v>1.0249999999999999</v>
      </c>
      <c r="K937" s="106">
        <f t="shared" si="80"/>
        <v>479.40753605866325</v>
      </c>
      <c r="L937" s="115"/>
      <c r="M937" s="104">
        <f t="shared" si="81"/>
        <v>4.027023302892772</v>
      </c>
    </row>
    <row r="938" spans="1:13">
      <c r="A938" s="100" t="str">
        <f>VLOOKUP(C938,Abstract!$E$4:$M$62,9,0)</f>
        <v>ACTIVE</v>
      </c>
      <c r="B938" s="99" t="s">
        <v>138</v>
      </c>
      <c r="C938" s="133" t="s">
        <v>78</v>
      </c>
      <c r="D938" s="133" t="s">
        <v>16</v>
      </c>
      <c r="E938" s="95" t="s">
        <v>160</v>
      </c>
      <c r="F938" s="95" t="s">
        <v>161</v>
      </c>
      <c r="G938" s="109">
        <v>0.25</v>
      </c>
      <c r="H938" s="104">
        <f>VLOOKUP($E938,'Stock statement'!$D$2:$P$384,13,)</f>
        <v>3313.2387673094586</v>
      </c>
      <c r="I938" s="127">
        <v>2.5000000000000001E-2</v>
      </c>
      <c r="J938" s="113">
        <v>1.0249999999999999</v>
      </c>
      <c r="K938" s="106">
        <f t="shared" si="80"/>
        <v>870.24286997612489</v>
      </c>
      <c r="L938" s="115"/>
      <c r="M938" s="104">
        <f t="shared" si="81"/>
        <v>7.3100401077994501</v>
      </c>
    </row>
    <row r="939" spans="1:13">
      <c r="A939" s="100" t="str">
        <f>VLOOKUP(C939,Abstract!$E$4:$M$62,9,0)</f>
        <v>ACTIVE</v>
      </c>
      <c r="B939" s="99" t="s">
        <v>138</v>
      </c>
      <c r="C939" s="133" t="s">
        <v>78</v>
      </c>
      <c r="D939" s="133" t="s">
        <v>16</v>
      </c>
      <c r="E939" s="95" t="s">
        <v>147</v>
      </c>
      <c r="F939" s="95" t="s">
        <v>148</v>
      </c>
      <c r="G939" s="109">
        <v>0.5</v>
      </c>
      <c r="H939" s="104">
        <f>VLOOKUP($E939,'Stock statement'!$D$2:$P$384,13,)</f>
        <v>353.50950483838068</v>
      </c>
      <c r="I939" s="127">
        <v>2.5000000000000001E-2</v>
      </c>
      <c r="J939" s="113">
        <v>1.0249999999999999</v>
      </c>
      <c r="K939" s="106">
        <f t="shared" si="80"/>
        <v>185.70296176041182</v>
      </c>
      <c r="L939" s="115"/>
      <c r="M939" s="104">
        <f t="shared" si="81"/>
        <v>1.5599048787874594</v>
      </c>
    </row>
    <row r="940" spans="1:13">
      <c r="A940" s="100" t="str">
        <f>VLOOKUP(C940,Abstract!$E$4:$M$62,9,0)</f>
        <v>ACTIVE</v>
      </c>
      <c r="B940" s="99" t="s">
        <v>138</v>
      </c>
      <c r="C940" s="133" t="s">
        <v>78</v>
      </c>
      <c r="D940" s="133" t="s">
        <v>16</v>
      </c>
      <c r="E940" s="95" t="s">
        <v>162</v>
      </c>
      <c r="F940" s="95" t="s">
        <v>163</v>
      </c>
      <c r="G940" s="109">
        <v>0.04</v>
      </c>
      <c r="H940" s="104">
        <f>VLOOKUP($E940,'Stock statement'!$D$2:$P$384,13,)</f>
        <v>348.44830167161894</v>
      </c>
      <c r="I940" s="127">
        <v>2.5000000000000001E-2</v>
      </c>
      <c r="J940" s="113">
        <v>1.0249999999999999</v>
      </c>
      <c r="K940" s="106">
        <f t="shared" si="80"/>
        <v>14.643539877749783</v>
      </c>
      <c r="L940" s="115"/>
      <c r="M940" s="104">
        <f t="shared" si="81"/>
        <v>0.12300573497309819</v>
      </c>
    </row>
    <row r="941" spans="1:13">
      <c r="A941" s="100" t="str">
        <f>VLOOKUP(C941,Abstract!$E$4:$M$62,9,0)</f>
        <v>ACTIVE</v>
      </c>
      <c r="B941" s="99" t="s">
        <v>138</v>
      </c>
      <c r="C941" s="133" t="s">
        <v>78</v>
      </c>
      <c r="D941" s="133" t="s">
        <v>16</v>
      </c>
      <c r="E941" s="95" t="s">
        <v>164</v>
      </c>
      <c r="F941" s="95" t="s">
        <v>165</v>
      </c>
      <c r="G941" s="109">
        <v>3.5000000000000001E-3</v>
      </c>
      <c r="H941" s="104">
        <f>VLOOKUP($E941,'Stock statement'!$D$2:$P$384,13,)</f>
        <v>1939</v>
      </c>
      <c r="I941" s="127">
        <v>2.5000000000000001E-2</v>
      </c>
      <c r="J941" s="113">
        <v>1.0249999999999999</v>
      </c>
      <c r="K941" s="106">
        <f t="shared" si="80"/>
        <v>7.1300665624999988</v>
      </c>
      <c r="L941" s="115"/>
      <c r="M941" s="104">
        <f t="shared" si="81"/>
        <v>5.9892559124999994E-2</v>
      </c>
    </row>
    <row r="942" spans="1:13">
      <c r="A942" s="100" t="str">
        <f>VLOOKUP(C942,Abstract!$E$4:$M$62,9,0)</f>
        <v>ACTIVE</v>
      </c>
      <c r="B942" s="99" t="s">
        <v>138</v>
      </c>
      <c r="C942" s="133" t="s">
        <v>78</v>
      </c>
      <c r="D942" s="133" t="s">
        <v>16</v>
      </c>
      <c r="E942" s="95" t="s">
        <v>166</v>
      </c>
      <c r="F942" s="95" t="s">
        <v>167</v>
      </c>
      <c r="G942" s="109">
        <v>2.5</v>
      </c>
      <c r="H942" s="104">
        <f>VLOOKUP($E942,'Stock statement'!$D$2:$P$384,13,)</f>
        <v>127.15913438761541</v>
      </c>
      <c r="I942" s="127">
        <v>2.5000000000000001E-2</v>
      </c>
      <c r="J942" s="113">
        <v>1.0249999999999999</v>
      </c>
      <c r="K942" s="106">
        <f t="shared" si="80"/>
        <v>333.99141391497102</v>
      </c>
      <c r="L942" s="115"/>
      <c r="M942" s="104">
        <f t="shared" si="81"/>
        <v>2.805527876885757</v>
      </c>
    </row>
    <row r="943" spans="1:13">
      <c r="A943" s="100" t="str">
        <f>VLOOKUP(C943,Abstract!$E$4:$M$62,9,0)</f>
        <v>ACTIVE</v>
      </c>
      <c r="B943" s="99" t="s">
        <v>138</v>
      </c>
      <c r="C943" s="133" t="s">
        <v>78</v>
      </c>
      <c r="D943" s="133" t="s">
        <v>16</v>
      </c>
      <c r="E943" s="95" t="s">
        <v>168</v>
      </c>
      <c r="F943" s="95" t="s">
        <v>169</v>
      </c>
      <c r="G943" s="109">
        <v>20</v>
      </c>
      <c r="H943" s="104">
        <f>VLOOKUP($E943,'Stock statement'!$D$2:$P$384,13,)</f>
        <v>0</v>
      </c>
      <c r="I943" s="127">
        <v>2.5000000000000001E-2</v>
      </c>
      <c r="J943" s="113">
        <v>1.0249999999999999</v>
      </c>
      <c r="K943" s="106">
        <f t="shared" si="80"/>
        <v>0</v>
      </c>
      <c r="L943" s="115"/>
      <c r="M943" s="104">
        <f t="shared" si="81"/>
        <v>0</v>
      </c>
    </row>
    <row r="944" spans="1:13">
      <c r="A944" s="100" t="str">
        <f>VLOOKUP(C944,Abstract!$E$4:$M$62,9,0)</f>
        <v>ACTIVE</v>
      </c>
      <c r="B944" s="99" t="s">
        <v>138</v>
      </c>
      <c r="C944" s="133" t="s">
        <v>78</v>
      </c>
      <c r="D944" s="133" t="s">
        <v>16</v>
      </c>
      <c r="E944" s="95" t="s">
        <v>170</v>
      </c>
      <c r="F944" s="95" t="s">
        <v>171</v>
      </c>
      <c r="G944" s="109">
        <v>20</v>
      </c>
      <c r="H944" s="104">
        <f>VLOOKUP($E944,'Stock statement'!$D$2:$P$384,13,)</f>
        <v>0</v>
      </c>
      <c r="I944" s="127">
        <v>2.5000000000000001E-2</v>
      </c>
      <c r="J944" s="113">
        <v>1.0249999999999999</v>
      </c>
      <c r="K944" s="106">
        <f t="shared" si="80"/>
        <v>0</v>
      </c>
      <c r="L944" s="115"/>
      <c r="M944" s="104">
        <f t="shared" si="81"/>
        <v>0</v>
      </c>
    </row>
    <row r="945" spans="1:13">
      <c r="A945" s="100" t="str">
        <f>VLOOKUP(C945,Abstract!$E$4:$M$62,9,0)</f>
        <v>ACTIVE</v>
      </c>
      <c r="B945" s="99" t="s">
        <v>138</v>
      </c>
      <c r="C945" s="133" t="s">
        <v>78</v>
      </c>
      <c r="D945" s="133" t="s">
        <v>16</v>
      </c>
      <c r="E945" s="95">
        <v>114476</v>
      </c>
      <c r="F945" s="95" t="s">
        <v>172</v>
      </c>
      <c r="G945" s="109">
        <v>6</v>
      </c>
      <c r="H945" s="104">
        <f>VLOOKUP($E945,'Stock statement'!$D$2:$P$384,13,)</f>
        <v>739.98731621274567</v>
      </c>
      <c r="I945" s="127">
        <v>2.5000000000000001E-2</v>
      </c>
      <c r="J945" s="113">
        <v>1.0249999999999999</v>
      </c>
      <c r="K945" s="106">
        <f t="shared" si="80"/>
        <v>4664.6950445760949</v>
      </c>
      <c r="L945" s="115"/>
      <c r="M945" s="104">
        <f t="shared" si="81"/>
        <v>39.183438374439199</v>
      </c>
    </row>
    <row r="946" spans="1:13">
      <c r="A946" s="100" t="str">
        <f>VLOOKUP(C946,Abstract!$E$4:$M$62,9,0)</f>
        <v>ACTIVE</v>
      </c>
      <c r="B946" s="99" t="s">
        <v>138</v>
      </c>
      <c r="C946" s="133" t="s">
        <v>78</v>
      </c>
      <c r="D946" s="133" t="s">
        <v>16</v>
      </c>
      <c r="E946" s="95" t="s">
        <v>173</v>
      </c>
      <c r="F946" s="95" t="s">
        <v>174</v>
      </c>
      <c r="G946" s="109">
        <v>0.2</v>
      </c>
      <c r="H946" s="104">
        <f>VLOOKUP($E946,'Stock statement'!$D$2:$P$384,13,)</f>
        <v>555.2517156766155</v>
      </c>
      <c r="I946" s="127">
        <v>2.5000000000000001E-2</v>
      </c>
      <c r="J946" s="113">
        <v>1.0249999999999999</v>
      </c>
      <c r="K946" s="106">
        <f t="shared" si="80"/>
        <v>116.67226675654881</v>
      </c>
      <c r="L946" s="115"/>
      <c r="M946" s="104">
        <f t="shared" si="81"/>
        <v>0.98004704075501003</v>
      </c>
    </row>
    <row r="947" spans="1:13">
      <c r="A947" s="100" t="str">
        <f>VLOOKUP(C947,Abstract!$E$4:$M$62,9,0)</f>
        <v>ACTIVE</v>
      </c>
      <c r="B947" s="99" t="s">
        <v>138</v>
      </c>
      <c r="C947" s="133" t="s">
        <v>78</v>
      </c>
      <c r="D947" s="133" t="s">
        <v>16</v>
      </c>
      <c r="E947" s="95" t="s">
        <v>175</v>
      </c>
      <c r="F947" s="95" t="s">
        <v>176</v>
      </c>
      <c r="G947" s="109">
        <v>0.1</v>
      </c>
      <c r="H947" s="104">
        <f>VLOOKUP($E947,'Stock statement'!$D$2:$P$384,13,)</f>
        <v>1750.9314909799687</v>
      </c>
      <c r="I947" s="127">
        <v>2.5000000000000001E-2</v>
      </c>
      <c r="J947" s="113">
        <v>1.0249999999999999</v>
      </c>
      <c r="K947" s="106">
        <f t="shared" si="80"/>
        <v>183.95723977108293</v>
      </c>
      <c r="L947" s="115"/>
      <c r="M947" s="104">
        <f t="shared" si="81"/>
        <v>1.5452408140770968</v>
      </c>
    </row>
    <row r="948" spans="1:13">
      <c r="A948" s="100" t="str">
        <f>VLOOKUP(C948,Abstract!$E$4:$M$62,9,0)</f>
        <v>ACTIVE</v>
      </c>
      <c r="B948" s="99" t="s">
        <v>138</v>
      </c>
      <c r="C948" s="133" t="s">
        <v>78</v>
      </c>
      <c r="D948" s="133" t="s">
        <v>16</v>
      </c>
      <c r="E948" s="95" t="s">
        <v>177</v>
      </c>
      <c r="F948" s="95" t="s">
        <v>178</v>
      </c>
      <c r="G948" s="109">
        <v>0.1</v>
      </c>
      <c r="H948" s="104">
        <f>VLOOKUP($E948,'Stock statement'!$D$2:$P$384,13,)</f>
        <v>195.29212473407105</v>
      </c>
      <c r="I948" s="127">
        <v>2.5000000000000001E-2</v>
      </c>
      <c r="J948" s="113">
        <v>1.0249999999999999</v>
      </c>
      <c r="K948" s="106">
        <f t="shared" si="80"/>
        <v>20.517878854873334</v>
      </c>
      <c r="L948" s="115"/>
      <c r="M948" s="104">
        <f t="shared" si="81"/>
        <v>0.17235018238093602</v>
      </c>
    </row>
    <row r="949" spans="1:13">
      <c r="A949" s="100" t="str">
        <f>VLOOKUP(C949,Abstract!$E$4:$M$62,9,0)</f>
        <v>ACTIVE</v>
      </c>
      <c r="B949" s="99" t="s">
        <v>138</v>
      </c>
      <c r="C949" s="133" t="s">
        <v>78</v>
      </c>
      <c r="D949" s="133" t="s">
        <v>16</v>
      </c>
      <c r="E949" s="95" t="s">
        <v>179</v>
      </c>
      <c r="F949" s="95" t="s">
        <v>180</v>
      </c>
      <c r="G949" s="109">
        <v>0.5</v>
      </c>
      <c r="H949" s="104">
        <f>VLOOKUP($E949,'Stock statement'!$D$2:$P$384,13,)</f>
        <v>1036.4956269221443</v>
      </c>
      <c r="I949" s="127">
        <v>2.5000000000000001E-2</v>
      </c>
      <c r="J949" s="113">
        <v>1.0249999999999999</v>
      </c>
      <c r="K949" s="106">
        <f t="shared" si="80"/>
        <v>544.48410901753891</v>
      </c>
      <c r="L949" s="115"/>
      <c r="M949" s="104">
        <f t="shared" si="81"/>
        <v>4.5736665157473269</v>
      </c>
    </row>
    <row r="950" spans="1:13">
      <c r="A950" s="100" t="str">
        <f>VLOOKUP(C950,Abstract!$E$4:$M$62,9,0)</f>
        <v>ACTIVE</v>
      </c>
      <c r="B950" s="99" t="s">
        <v>138</v>
      </c>
      <c r="C950" s="133" t="s">
        <v>78</v>
      </c>
      <c r="D950" s="133" t="s">
        <v>16</v>
      </c>
      <c r="E950" s="95" t="s">
        <v>181</v>
      </c>
      <c r="F950" s="95" t="s">
        <v>182</v>
      </c>
      <c r="G950" s="109">
        <v>12</v>
      </c>
      <c r="H950" s="104">
        <f>VLOOKUP($E950,'Stock statement'!$D$2:$P$384,13,)</f>
        <v>17.110276913020375</v>
      </c>
      <c r="I950" s="127">
        <v>2.5000000000000001E-2</v>
      </c>
      <c r="J950" s="113">
        <v>1.0249999999999999</v>
      </c>
      <c r="K950" s="106">
        <f t="shared" si="80"/>
        <v>215.71781618090435</v>
      </c>
      <c r="L950" s="115"/>
      <c r="M950" s="104">
        <f t="shared" si="81"/>
        <v>1.8120296559195967</v>
      </c>
    </row>
    <row r="951" spans="1:13">
      <c r="A951" s="100" t="str">
        <f>VLOOKUP(C951,Abstract!$E$4:$M$62,9,0)</f>
        <v>ACTIVE</v>
      </c>
      <c r="B951" s="99" t="s">
        <v>183</v>
      </c>
      <c r="C951" s="133" t="s">
        <v>78</v>
      </c>
      <c r="D951" s="133" t="s">
        <v>16</v>
      </c>
      <c r="E951" s="95" t="s">
        <v>199</v>
      </c>
      <c r="F951" s="95" t="s">
        <v>199</v>
      </c>
      <c r="G951" s="109">
        <v>119.04761904761904</v>
      </c>
      <c r="H951" s="104">
        <f>VLOOKUP($E951,'Stock statement'!$D$2:$P$384,13,)</f>
        <v>38.303168306187175</v>
      </c>
      <c r="I951" s="127">
        <v>6.0000000000000001E-3</v>
      </c>
      <c r="J951" s="113">
        <v>1</v>
      </c>
      <c r="K951" s="106">
        <f t="shared" si="80"/>
        <v>4587.2603947647967</v>
      </c>
      <c r="L951" s="115"/>
      <c r="M951" s="104">
        <f t="shared" si="81"/>
        <v>38.532987316024297</v>
      </c>
    </row>
    <row r="952" spans="1:13">
      <c r="A952" s="100" t="str">
        <f>VLOOKUP(C952,Abstract!$E$4:$M$62,9,0)</f>
        <v>ACTIVE</v>
      </c>
      <c r="B952" s="99" t="s">
        <v>183</v>
      </c>
      <c r="C952" s="133" t="s">
        <v>78</v>
      </c>
      <c r="D952" s="133" t="s">
        <v>16</v>
      </c>
      <c r="E952" s="95" t="s">
        <v>200</v>
      </c>
      <c r="F952" s="95" t="s">
        <v>201</v>
      </c>
      <c r="G952" s="109">
        <v>5714.2857142857138</v>
      </c>
      <c r="H952" s="104">
        <f>VLOOKUP($E952,'Stock statement'!$D$2:$P$384,13,)</f>
        <v>4.8721495707176867</v>
      </c>
      <c r="I952" s="127">
        <v>6.0000000000000001E-3</v>
      </c>
      <c r="J952" s="113">
        <v>1</v>
      </c>
      <c r="K952" s="106">
        <f t="shared" si="80"/>
        <v>28007.899817954243</v>
      </c>
      <c r="L952" s="115"/>
      <c r="M952" s="104">
        <f t="shared" si="81"/>
        <v>235.26635847081567</v>
      </c>
    </row>
    <row r="953" spans="1:13">
      <c r="A953" s="100" t="str">
        <f>VLOOKUP(C953,Abstract!$E$4:$M$62,9,0)</f>
        <v>ACTIVE</v>
      </c>
      <c r="B953" s="99" t="s">
        <v>183</v>
      </c>
      <c r="C953" s="133" t="s">
        <v>78</v>
      </c>
      <c r="D953" s="133" t="s">
        <v>16</v>
      </c>
      <c r="E953" s="95" t="s">
        <v>202</v>
      </c>
      <c r="F953" s="95" t="s">
        <v>203</v>
      </c>
      <c r="G953" s="109">
        <v>5714.2857142857138</v>
      </c>
      <c r="H953" s="104">
        <f>VLOOKUP($E953,'Stock statement'!$D$2:$P$384,13,)</f>
        <v>3.4435005965610177</v>
      </c>
      <c r="I953" s="127">
        <v>6.0000000000000001E-3</v>
      </c>
      <c r="J953" s="113">
        <v>1</v>
      </c>
      <c r="K953" s="106">
        <f t="shared" si="80"/>
        <v>19795.209143659333</v>
      </c>
      <c r="L953" s="115"/>
      <c r="M953" s="104">
        <f t="shared" si="81"/>
        <v>166.27975680673842</v>
      </c>
    </row>
    <row r="954" spans="1:13">
      <c r="A954" s="100" t="str">
        <f>VLOOKUP(C954,Abstract!$E$4:$M$62,9,0)</f>
        <v>ACTIVE</v>
      </c>
      <c r="B954" s="99" t="s">
        <v>183</v>
      </c>
      <c r="C954" s="133" t="s">
        <v>78</v>
      </c>
      <c r="D954" s="133" t="s">
        <v>16</v>
      </c>
      <c r="E954" s="5">
        <v>214304</v>
      </c>
      <c r="F954" s="95" t="s">
        <v>204</v>
      </c>
      <c r="G954" s="109">
        <v>5714.2857142857138</v>
      </c>
      <c r="H954" s="104">
        <f>VLOOKUP($E954,'Stock statement'!$D$2:$P$384,13,)</f>
        <v>1.1299999999999997</v>
      </c>
      <c r="I954" s="127">
        <v>2.5000000000000001E-2</v>
      </c>
      <c r="J954" s="113">
        <v>1</v>
      </c>
      <c r="K954" s="106">
        <f t="shared" si="80"/>
        <v>6618.5714285714257</v>
      </c>
      <c r="L954" s="115"/>
      <c r="M954" s="104">
        <f t="shared" si="81"/>
        <v>55.595999999999982</v>
      </c>
    </row>
    <row r="955" spans="1:13">
      <c r="A955" s="100" t="str">
        <f>VLOOKUP(C955,Abstract!$E$4:$M$62,9,0)</f>
        <v>ACTIVE</v>
      </c>
      <c r="B955" s="99" t="s">
        <v>183</v>
      </c>
      <c r="C955" s="133" t="s">
        <v>78</v>
      </c>
      <c r="D955" s="133" t="s">
        <v>16</v>
      </c>
      <c r="E955" s="5">
        <v>214306</v>
      </c>
      <c r="F955" s="95" t="s">
        <v>205</v>
      </c>
      <c r="G955" s="109">
        <v>5714.2857142857138</v>
      </c>
      <c r="H955" s="104">
        <f>VLOOKUP($E955,'Stock statement'!$D$2:$P$384,13,)</f>
        <v>0.51</v>
      </c>
      <c r="I955" s="127">
        <v>2.5000000000000001E-2</v>
      </c>
      <c r="J955" s="113">
        <v>1</v>
      </c>
      <c r="K955" s="106">
        <f t="shared" si="80"/>
        <v>2987.1428571428569</v>
      </c>
      <c r="L955" s="115"/>
      <c r="M955" s="104">
        <f t="shared" si="81"/>
        <v>25.091999999999999</v>
      </c>
    </row>
    <row r="956" spans="1:13">
      <c r="A956" s="100" t="str">
        <f>VLOOKUP(C956,Abstract!$E$4:$M$62,9,0)</f>
        <v>ACTIVE</v>
      </c>
      <c r="B956" s="99" t="s">
        <v>183</v>
      </c>
      <c r="C956" s="133" t="s">
        <v>78</v>
      </c>
      <c r="D956" s="133" t="s">
        <v>16</v>
      </c>
      <c r="E956" s="95" t="s">
        <v>191</v>
      </c>
      <c r="F956" s="95" t="s">
        <v>192</v>
      </c>
      <c r="G956" s="109">
        <v>2.9761904761904763</v>
      </c>
      <c r="H956" s="104">
        <f>VLOOKUP($E956,'Stock statement'!$D$2:$P$384,13,)</f>
        <v>44.985440769279101</v>
      </c>
      <c r="I956" s="127">
        <v>2.5000000000000001E-2</v>
      </c>
      <c r="J956" s="113">
        <v>1</v>
      </c>
      <c r="K956" s="106">
        <f t="shared" si="80"/>
        <v>137.23237139437822</v>
      </c>
      <c r="L956" s="115"/>
      <c r="M956" s="104">
        <f t="shared" si="81"/>
        <v>1.1527519197127771</v>
      </c>
    </row>
    <row r="957" spans="1:13">
      <c r="A957" s="100" t="str">
        <f>VLOOKUP(C957,Abstract!$E$4:$M$62,9,0)</f>
        <v>ACTIVE</v>
      </c>
      <c r="B957" s="99" t="s">
        <v>183</v>
      </c>
      <c r="C957" s="133" t="s">
        <v>78</v>
      </c>
      <c r="D957" s="133" t="s">
        <v>16</v>
      </c>
      <c r="E957" s="95" t="s">
        <v>206</v>
      </c>
      <c r="F957" s="95" t="s">
        <v>207</v>
      </c>
      <c r="G957" s="109">
        <v>952.38095238095229</v>
      </c>
      <c r="H957" s="104">
        <f>VLOOKUP($E957,'Stock statement'!$D$2:$P$384,13,)</f>
        <v>4.2025763620200998</v>
      </c>
      <c r="I957" s="127">
        <v>0.01</v>
      </c>
      <c r="J957" s="113">
        <v>1</v>
      </c>
      <c r="K957" s="106">
        <f t="shared" si="80"/>
        <v>4042.4782148955242</v>
      </c>
      <c r="L957" s="115"/>
      <c r="M957" s="104">
        <f t="shared" si="81"/>
        <v>33.956817005122403</v>
      </c>
    </row>
    <row r="958" spans="1:13">
      <c r="A958" s="100" t="str">
        <f>VLOOKUP(C958,Abstract!$E$4:$M$62,9,0)</f>
        <v>ACTIVE</v>
      </c>
      <c r="B958" s="99" t="s">
        <v>183</v>
      </c>
      <c r="C958" s="133" t="s">
        <v>78</v>
      </c>
      <c r="D958" s="133" t="s">
        <v>16</v>
      </c>
      <c r="E958" s="95" t="s">
        <v>195</v>
      </c>
      <c r="F958" s="95"/>
      <c r="G958" s="109">
        <f>G952</f>
        <v>5714.2857142857138</v>
      </c>
      <c r="H958" s="104">
        <v>0.04</v>
      </c>
      <c r="I958" s="127"/>
      <c r="J958" s="113">
        <v>1</v>
      </c>
      <c r="K958" s="106">
        <f t="shared" si="80"/>
        <v>228.57142857142856</v>
      </c>
      <c r="L958" s="115"/>
      <c r="M958" s="104">
        <f t="shared" si="81"/>
        <v>1.92</v>
      </c>
    </row>
    <row r="959" spans="1:13">
      <c r="A959" s="100" t="str">
        <f>VLOOKUP(C959,Abstract!$E$4:$M$62,9,0)</f>
        <v>ACTIVE</v>
      </c>
      <c r="B959" s="99" t="s">
        <v>183</v>
      </c>
      <c r="C959" s="133" t="s">
        <v>78</v>
      </c>
      <c r="D959" s="133" t="s">
        <v>16</v>
      </c>
      <c r="E959" s="95" t="s">
        <v>196</v>
      </c>
      <c r="F959" s="95"/>
      <c r="G959" s="109">
        <f>G952*24</f>
        <v>137142.85714285713</v>
      </c>
      <c r="H959" s="130">
        <v>1.6999999999999999E-3</v>
      </c>
      <c r="I959" s="127"/>
      <c r="J959" s="113">
        <v>1</v>
      </c>
      <c r="K959" s="106">
        <f t="shared" si="80"/>
        <v>233.14285714285711</v>
      </c>
      <c r="L959" s="115"/>
      <c r="M959" s="104">
        <f t="shared" si="81"/>
        <v>1.9583999999999999</v>
      </c>
    </row>
    <row r="960" spans="1:13">
      <c r="A960" s="100" t="str">
        <f>VLOOKUP(C960,Abstract!$E$4:$M$62,9,0)</f>
        <v>ACTIVE</v>
      </c>
      <c r="B960" s="99" t="s">
        <v>197</v>
      </c>
      <c r="C960" s="133" t="s">
        <v>78</v>
      </c>
      <c r="D960" s="133" t="s">
        <v>16</v>
      </c>
      <c r="E960" s="95" t="s">
        <v>440</v>
      </c>
      <c r="F960" s="95"/>
      <c r="G960" s="109"/>
      <c r="H960" s="104"/>
      <c r="I960" s="127"/>
      <c r="J960" s="113"/>
      <c r="K960" s="106">
        <v>9000</v>
      </c>
      <c r="L960" s="115">
        <f>SUM(K927:K960)</f>
        <v>109062.08791847809</v>
      </c>
      <c r="M960" s="104">
        <f t="shared" si="81"/>
        <v>75.600000000000009</v>
      </c>
    </row>
    <row r="961" spans="1:13">
      <c r="A961" s="100" t="str">
        <f>VLOOKUP(C961,Abstract!$E$4:$M$62,9,0)</f>
        <v>ACTIVE</v>
      </c>
      <c r="B961" s="99" t="s">
        <v>138</v>
      </c>
      <c r="C961" s="133" t="s">
        <v>86</v>
      </c>
      <c r="D961" s="133" t="s">
        <v>451</v>
      </c>
      <c r="E961" s="95" t="s">
        <v>139</v>
      </c>
      <c r="F961" s="95" t="s">
        <v>140</v>
      </c>
      <c r="G961" s="109">
        <v>741.16</v>
      </c>
      <c r="H961" s="104">
        <f>VLOOKUP($E961,'Stock statement'!$D$2:$P$384,13,)</f>
        <v>0.34</v>
      </c>
      <c r="I961" s="127">
        <v>2.5000000000000001E-2</v>
      </c>
      <c r="J961" s="116">
        <v>1.0249999999999999</v>
      </c>
      <c r="K961" s="106">
        <f t="shared" ref="K961:K990" si="82">+G961*H961*(1+I961)*J961</f>
        <v>264.75161650000001</v>
      </c>
      <c r="L961" s="115"/>
      <c r="M961" s="104">
        <f>K961/$G$983</f>
        <v>2.0650626086999999</v>
      </c>
    </row>
    <row r="962" spans="1:13">
      <c r="A962" s="100" t="str">
        <f>VLOOKUP(C962,Abstract!$E$4:$M$62,9,0)</f>
        <v>ACTIVE</v>
      </c>
      <c r="B962" s="99" t="s">
        <v>138</v>
      </c>
      <c r="C962" s="133" t="s">
        <v>86</v>
      </c>
      <c r="D962" s="133" t="s">
        <v>451</v>
      </c>
      <c r="E962" s="95" t="s">
        <v>141</v>
      </c>
      <c r="F962" s="95" t="s">
        <v>142</v>
      </c>
      <c r="G962" s="109">
        <v>185.7</v>
      </c>
      <c r="H962" s="104">
        <f>VLOOKUP($E962,'Stock statement'!$D$2:$P$384,13,)</f>
        <v>94.278330452007026</v>
      </c>
      <c r="I962" s="127">
        <v>2.5000000000000001E-2</v>
      </c>
      <c r="J962" s="116">
        <v>1.0249999999999999</v>
      </c>
      <c r="K962" s="106">
        <f t="shared" si="82"/>
        <v>18393.80244191267</v>
      </c>
      <c r="L962" s="115"/>
      <c r="M962" s="104">
        <f t="shared" ref="M962" si="83">K962/$G$983</f>
        <v>143.47165904691883</v>
      </c>
    </row>
    <row r="963" spans="1:13">
      <c r="A963" s="100" t="str">
        <f>VLOOKUP(C963,Abstract!$E$4:$M$62,9,0)</f>
        <v>ACTIVE</v>
      </c>
      <c r="B963" s="99" t="s">
        <v>138</v>
      </c>
      <c r="C963" s="133" t="s">
        <v>86</v>
      </c>
      <c r="D963" s="133" t="s">
        <v>451</v>
      </c>
      <c r="E963" s="95" t="s">
        <v>145</v>
      </c>
      <c r="F963" s="95" t="s">
        <v>146</v>
      </c>
      <c r="G963" s="109">
        <v>10</v>
      </c>
      <c r="H963" s="104">
        <f>VLOOKUP($E963,'Stock statement'!$D$2:$P$384,13,)</f>
        <v>151.08681180977209</v>
      </c>
      <c r="I963" s="127">
        <v>2.5000000000000001E-2</v>
      </c>
      <c r="J963" s="116">
        <v>1.0249999999999999</v>
      </c>
      <c r="K963" s="106">
        <f t="shared" si="82"/>
        <v>1587.3558165764177</v>
      </c>
      <c r="L963" s="115"/>
      <c r="M963" s="104">
        <f t="shared" ref="M963:M991" si="84">K963/$G$983</f>
        <v>12.381375369296059</v>
      </c>
    </row>
    <row r="964" spans="1:13">
      <c r="A964" s="100" t="str">
        <f>VLOOKUP(C964,Abstract!$E$4:$M$62,9,0)</f>
        <v>ACTIVE</v>
      </c>
      <c r="B964" s="99" t="s">
        <v>138</v>
      </c>
      <c r="C964" s="133" t="s">
        <v>86</v>
      </c>
      <c r="D964" s="133" t="s">
        <v>451</v>
      </c>
      <c r="E964" s="95" t="s">
        <v>149</v>
      </c>
      <c r="F964" s="95" t="s">
        <v>150</v>
      </c>
      <c r="G964" s="109">
        <v>0.125</v>
      </c>
      <c r="H964" s="104">
        <f>VLOOKUP($E964,'Stock statement'!$D$2:$P$384,13,)</f>
        <v>161.56941474217822</v>
      </c>
      <c r="I964" s="127">
        <v>2.5000000000000001E-2</v>
      </c>
      <c r="J964" s="116">
        <v>1.0249999999999999</v>
      </c>
      <c r="K964" s="106">
        <f t="shared" si="82"/>
        <v>21.218608295437623</v>
      </c>
      <c r="L964" s="115"/>
      <c r="M964" s="104">
        <f t="shared" si="84"/>
        <v>0.16550514470441346</v>
      </c>
    </row>
    <row r="965" spans="1:13">
      <c r="A965" s="100" t="str">
        <f>VLOOKUP(C965,Abstract!$E$4:$M$62,9,0)</f>
        <v>ACTIVE</v>
      </c>
      <c r="B965" s="99" t="s">
        <v>138</v>
      </c>
      <c r="C965" s="133" t="s">
        <v>86</v>
      </c>
      <c r="D965" s="133" t="s">
        <v>451</v>
      </c>
      <c r="E965" s="95" t="s">
        <v>151</v>
      </c>
      <c r="F965" s="95" t="s">
        <v>152</v>
      </c>
      <c r="G965" s="109">
        <v>2.5</v>
      </c>
      <c r="H965" s="104">
        <f>VLOOKUP($E965,'Stock statement'!$D$2:$P$384,13,)</f>
        <v>762.38931335604309</v>
      </c>
      <c r="I965" s="127">
        <v>2.5000000000000001E-2</v>
      </c>
      <c r="J965" s="116">
        <v>1.0249999999999999</v>
      </c>
      <c r="K965" s="106">
        <f t="shared" si="82"/>
        <v>2002.4631808617316</v>
      </c>
      <c r="L965" s="115"/>
      <c r="M965" s="104">
        <f t="shared" si="84"/>
        <v>15.619212810721507</v>
      </c>
    </row>
    <row r="966" spans="1:13">
      <c r="A966" s="100" t="str">
        <f>VLOOKUP(C966,Abstract!$E$4:$M$62,9,0)</f>
        <v>ACTIVE</v>
      </c>
      <c r="B966" s="99" t="s">
        <v>138</v>
      </c>
      <c r="C966" s="133" t="s">
        <v>86</v>
      </c>
      <c r="D966" s="133" t="s">
        <v>451</v>
      </c>
      <c r="E966" s="95" t="s">
        <v>157</v>
      </c>
      <c r="F966" s="102" t="s">
        <v>158</v>
      </c>
      <c r="G966" s="109">
        <v>1</v>
      </c>
      <c r="H966" s="104">
        <f>VLOOKUP($E966,'Stock statement'!$D$2:$P$384,13,)</f>
        <v>828.81974703846117</v>
      </c>
      <c r="I966" s="127">
        <v>2.5000000000000001E-2</v>
      </c>
      <c r="J966" s="116">
        <v>1.0249999999999999</v>
      </c>
      <c r="K966" s="106">
        <f t="shared" si="82"/>
        <v>870.77874673228314</v>
      </c>
      <c r="L966" s="115"/>
      <c r="M966" s="104">
        <f t="shared" si="84"/>
        <v>6.7920742245118086</v>
      </c>
    </row>
    <row r="967" spans="1:13">
      <c r="A967" s="100" t="str">
        <f>VLOOKUP(C967,Abstract!$E$4:$M$62,9,0)</f>
        <v>ACTIVE</v>
      </c>
      <c r="B967" s="99" t="s">
        <v>138</v>
      </c>
      <c r="C967" s="133" t="s">
        <v>86</v>
      </c>
      <c r="D967" s="133" t="s">
        <v>451</v>
      </c>
      <c r="E967" s="157">
        <v>115150</v>
      </c>
      <c r="F967" s="36" t="s">
        <v>159</v>
      </c>
      <c r="G967" s="109">
        <v>1</v>
      </c>
      <c r="H967" s="104">
        <f>VLOOKUP($E967,'Stock statement'!$D$2:$P$384,13,)</f>
        <v>456.30699446392703</v>
      </c>
      <c r="I967" s="127">
        <v>2.5000000000000001E-2</v>
      </c>
      <c r="J967" s="116">
        <v>1.0249999999999999</v>
      </c>
      <c r="K967" s="106">
        <f t="shared" si="82"/>
        <v>479.40753605866325</v>
      </c>
      <c r="L967" s="115"/>
      <c r="M967" s="104">
        <f t="shared" si="84"/>
        <v>3.7393787812575736</v>
      </c>
    </row>
    <row r="968" spans="1:13">
      <c r="A968" s="100" t="str">
        <f>VLOOKUP(C968,Abstract!$E$4:$M$62,9,0)</f>
        <v>ACTIVE</v>
      </c>
      <c r="B968" s="99" t="s">
        <v>138</v>
      </c>
      <c r="C968" s="133" t="s">
        <v>86</v>
      </c>
      <c r="D968" s="133" t="s">
        <v>451</v>
      </c>
      <c r="E968" s="95" t="s">
        <v>160</v>
      </c>
      <c r="F968" s="95" t="s">
        <v>161</v>
      </c>
      <c r="G968" s="109">
        <v>0.25</v>
      </c>
      <c r="H968" s="104">
        <f>VLOOKUP($E968,'Stock statement'!$D$2:$P$384,13,)</f>
        <v>3313.2387673094586</v>
      </c>
      <c r="I968" s="127">
        <v>2.5000000000000001E-2</v>
      </c>
      <c r="J968" s="116">
        <v>1.0249999999999999</v>
      </c>
      <c r="K968" s="106">
        <f t="shared" si="82"/>
        <v>870.24286997612489</v>
      </c>
      <c r="L968" s="115"/>
      <c r="M968" s="104">
        <f t="shared" si="84"/>
        <v>6.7878943858137744</v>
      </c>
    </row>
    <row r="969" spans="1:13">
      <c r="A969" s="100" t="str">
        <f>VLOOKUP(C969,Abstract!$E$4:$M$62,9,0)</f>
        <v>ACTIVE</v>
      </c>
      <c r="B969" s="99" t="s">
        <v>138</v>
      </c>
      <c r="C969" s="133" t="s">
        <v>86</v>
      </c>
      <c r="D969" s="133" t="s">
        <v>451</v>
      </c>
      <c r="E969" s="95" t="s">
        <v>166</v>
      </c>
      <c r="F969" s="95" t="s">
        <v>167</v>
      </c>
      <c r="G969" s="109">
        <v>2.5</v>
      </c>
      <c r="H969" s="104">
        <f>VLOOKUP($E969,'Stock statement'!$D$2:$P$384,13,)</f>
        <v>127.15913438761541</v>
      </c>
      <c r="I969" s="127">
        <v>2.5000000000000001E-2</v>
      </c>
      <c r="J969" s="116">
        <v>1.0249999999999999</v>
      </c>
      <c r="K969" s="106">
        <f t="shared" si="82"/>
        <v>333.99141391497102</v>
      </c>
      <c r="L969" s="115"/>
      <c r="M969" s="104">
        <f t="shared" si="84"/>
        <v>2.6051330285367738</v>
      </c>
    </row>
    <row r="970" spans="1:13">
      <c r="A970" s="100" t="str">
        <f>VLOOKUP(C970,Abstract!$E$4:$M$62,9,0)</f>
        <v>ACTIVE</v>
      </c>
      <c r="B970" s="99" t="s">
        <v>138</v>
      </c>
      <c r="C970" s="133" t="s">
        <v>86</v>
      </c>
      <c r="D970" s="133" t="s">
        <v>451</v>
      </c>
      <c r="E970" s="95" t="s">
        <v>209</v>
      </c>
      <c r="F970" s="95" t="s">
        <v>210</v>
      </c>
      <c r="G970" s="109">
        <v>20</v>
      </c>
      <c r="H970" s="104">
        <f>VLOOKUP($E970,'Stock statement'!$D$2:$P$384,13,)</f>
        <v>220.67282625366343</v>
      </c>
      <c r="I970" s="127">
        <v>2.5000000000000001E-2</v>
      </c>
      <c r="J970" s="116">
        <v>1.0249999999999999</v>
      </c>
      <c r="K970" s="106">
        <f t="shared" si="82"/>
        <v>4636.8877616551026</v>
      </c>
      <c r="L970" s="115"/>
      <c r="M970" s="104">
        <f t="shared" si="84"/>
        <v>36.167724540909802</v>
      </c>
    </row>
    <row r="971" spans="1:13">
      <c r="A971" s="100" t="str">
        <f>VLOOKUP(C971,Abstract!$E$4:$M$62,9,0)</f>
        <v>ACTIVE</v>
      </c>
      <c r="B971" s="99" t="s">
        <v>138</v>
      </c>
      <c r="C971" s="133" t="s">
        <v>86</v>
      </c>
      <c r="D971" s="133" t="s">
        <v>451</v>
      </c>
      <c r="E971" s="95" t="s">
        <v>153</v>
      </c>
      <c r="F971" s="95" t="s">
        <v>154</v>
      </c>
      <c r="G971" s="109">
        <v>0.75</v>
      </c>
      <c r="H971" s="104">
        <f>VLOOKUP($E971,'Stock statement'!$D$2:$P$384,13,)</f>
        <v>84.206363687840948</v>
      </c>
      <c r="I971" s="127">
        <v>2.5000000000000001E-2</v>
      </c>
      <c r="J971" s="116">
        <v>1.0249999999999999</v>
      </c>
      <c r="K971" s="106">
        <f t="shared" si="82"/>
        <v>66.351983137153411</v>
      </c>
      <c r="L971" s="115"/>
      <c r="M971" s="104">
        <f t="shared" si="84"/>
        <v>0.51754546846979665</v>
      </c>
    </row>
    <row r="972" spans="1:13">
      <c r="A972" s="100" t="str">
        <f>VLOOKUP(C972,Abstract!$E$4:$M$62,9,0)</f>
        <v>ACTIVE</v>
      </c>
      <c r="B972" s="99" t="s">
        <v>138</v>
      </c>
      <c r="C972" s="133" t="s">
        <v>86</v>
      </c>
      <c r="D972" s="133" t="s">
        <v>451</v>
      </c>
      <c r="E972" s="95" t="s">
        <v>147</v>
      </c>
      <c r="F972" s="95" t="s">
        <v>148</v>
      </c>
      <c r="G972" s="109">
        <v>1</v>
      </c>
      <c r="H972" s="104">
        <f>VLOOKUP($E972,'Stock statement'!$D$2:$P$384,13,)</f>
        <v>353.50950483838068</v>
      </c>
      <c r="I972" s="127">
        <v>2.5000000000000001E-2</v>
      </c>
      <c r="J972" s="116">
        <v>1.0249999999999999</v>
      </c>
      <c r="K972" s="106">
        <f t="shared" si="82"/>
        <v>371.40592352082365</v>
      </c>
      <c r="L972" s="115"/>
      <c r="M972" s="104">
        <f t="shared" si="84"/>
        <v>2.8969662034624246</v>
      </c>
    </row>
    <row r="973" spans="1:13">
      <c r="A973" s="100" t="str">
        <f>VLOOKUP(C973,Abstract!$E$4:$M$62,9,0)</f>
        <v>ACTIVE</v>
      </c>
      <c r="B973" s="99" t="s">
        <v>138</v>
      </c>
      <c r="C973" s="133" t="s">
        <v>86</v>
      </c>
      <c r="D973" s="133" t="s">
        <v>451</v>
      </c>
      <c r="E973" s="95" t="s">
        <v>211</v>
      </c>
      <c r="F973" s="95" t="s">
        <v>212</v>
      </c>
      <c r="G973" s="109">
        <v>0.1</v>
      </c>
      <c r="H973" s="104">
        <f>VLOOKUP($E973,'Stock statement'!$D$2:$P$384,13,)</f>
        <v>1279.5862001575747</v>
      </c>
      <c r="I973" s="127">
        <v>2.5000000000000001E-2</v>
      </c>
      <c r="J973" s="116">
        <v>1.0249999999999999</v>
      </c>
      <c r="K973" s="106">
        <f t="shared" si="82"/>
        <v>134.43652515405518</v>
      </c>
      <c r="L973" s="115"/>
      <c r="M973" s="104">
        <f t="shared" si="84"/>
        <v>1.0486048962016303</v>
      </c>
    </row>
    <row r="974" spans="1:13">
      <c r="A974" s="100" t="str">
        <f>VLOOKUP(C974,Abstract!$E$4:$M$62,9,0)</f>
        <v>ACTIVE</v>
      </c>
      <c r="B974" s="99" t="s">
        <v>138</v>
      </c>
      <c r="C974" s="133" t="s">
        <v>86</v>
      </c>
      <c r="D974" s="133" t="s">
        <v>451</v>
      </c>
      <c r="E974" s="95" t="s">
        <v>213</v>
      </c>
      <c r="F974" s="95" t="s">
        <v>214</v>
      </c>
      <c r="G974" s="109">
        <v>0.09</v>
      </c>
      <c r="H974" s="104">
        <f>VLOOKUP($E974,'Stock statement'!$D$2:$P$384,13,)</f>
        <v>674.683130739744</v>
      </c>
      <c r="I974" s="127">
        <v>2.5000000000000001E-2</v>
      </c>
      <c r="J974" s="116">
        <v>1.0249999999999999</v>
      </c>
      <c r="K974" s="106">
        <f t="shared" si="82"/>
        <v>63.795506781009905</v>
      </c>
      <c r="L974" s="115"/>
      <c r="M974" s="104">
        <f t="shared" si="84"/>
        <v>0.49760495289187728</v>
      </c>
    </row>
    <row r="975" spans="1:13">
      <c r="A975" s="100" t="str">
        <f>VLOOKUP(C975,Abstract!$E$4:$M$62,9,0)</f>
        <v>ACTIVE</v>
      </c>
      <c r="B975" s="99" t="s">
        <v>138</v>
      </c>
      <c r="C975" s="133" t="s">
        <v>86</v>
      </c>
      <c r="D975" s="133" t="s">
        <v>451</v>
      </c>
      <c r="E975" s="95" t="s">
        <v>215</v>
      </c>
      <c r="F975" s="95" t="s">
        <v>216</v>
      </c>
      <c r="G975" s="109">
        <v>0.09</v>
      </c>
      <c r="H975" s="104">
        <f>VLOOKUP($E975,'Stock statement'!$D$2:$P$384,13,)</f>
        <v>545.51731168806748</v>
      </c>
      <c r="I975" s="127">
        <v>2.5000000000000001E-2</v>
      </c>
      <c r="J975" s="116">
        <v>1.0249999999999999</v>
      </c>
      <c r="K975" s="106">
        <f t="shared" si="82"/>
        <v>51.582071303304822</v>
      </c>
      <c r="L975" s="115"/>
      <c r="M975" s="104">
        <f t="shared" si="84"/>
        <v>0.40234015616577762</v>
      </c>
    </row>
    <row r="976" spans="1:13">
      <c r="A976" s="100" t="str">
        <f>VLOOKUP(C976,Abstract!$E$4:$M$62,9,0)</f>
        <v>ACTIVE</v>
      </c>
      <c r="B976" s="99" t="s">
        <v>138</v>
      </c>
      <c r="C976" s="133" t="s">
        <v>86</v>
      </c>
      <c r="D976" s="133" t="s">
        <v>451</v>
      </c>
      <c r="E976" s="95" t="s">
        <v>217</v>
      </c>
      <c r="F976" s="95" t="s">
        <v>218</v>
      </c>
      <c r="G976" s="109">
        <v>0.1</v>
      </c>
      <c r="H976" s="104">
        <f>VLOOKUP($E976,'Stock statement'!$D$2:$P$384,13,)</f>
        <v>910.5767983004796</v>
      </c>
      <c r="I976" s="127">
        <v>2.5000000000000001E-2</v>
      </c>
      <c r="J976" s="116">
        <v>1.0249999999999999</v>
      </c>
      <c r="K976" s="106">
        <f t="shared" si="82"/>
        <v>95.667474871444114</v>
      </c>
      <c r="L976" s="115"/>
      <c r="M976" s="104">
        <f t="shared" si="84"/>
        <v>0.74620630399726406</v>
      </c>
    </row>
    <row r="977" spans="1:13">
      <c r="A977" s="100" t="str">
        <f>VLOOKUP(C977,Abstract!$E$4:$M$62,9,0)</f>
        <v>ACTIVE</v>
      </c>
      <c r="B977" s="99" t="s">
        <v>138</v>
      </c>
      <c r="C977" s="133" t="s">
        <v>86</v>
      </c>
      <c r="D977" s="133" t="s">
        <v>451</v>
      </c>
      <c r="E977" s="95" t="s">
        <v>155</v>
      </c>
      <c r="F977" s="95" t="s">
        <v>156</v>
      </c>
      <c r="G977" s="109">
        <v>15</v>
      </c>
      <c r="H977" s="104">
        <f>VLOOKUP($E977,'Stock statement'!$D$2:$P$384,13,)</f>
        <v>68.308211638055738</v>
      </c>
      <c r="I977" s="127">
        <v>2.5000000000000001E-2</v>
      </c>
      <c r="J977" s="116">
        <v>1.0249999999999999</v>
      </c>
      <c r="K977" s="106">
        <f t="shared" si="82"/>
        <v>1076.4947227834843</v>
      </c>
      <c r="L977" s="115"/>
      <c r="M977" s="104">
        <f t="shared" si="84"/>
        <v>8.3966588377111773</v>
      </c>
    </row>
    <row r="978" spans="1:13">
      <c r="A978" s="100" t="str">
        <f>VLOOKUP(C978,Abstract!$E$4:$M$62,9,0)</f>
        <v>ACTIVE</v>
      </c>
      <c r="B978" s="99" t="s">
        <v>138</v>
      </c>
      <c r="C978" s="133" t="s">
        <v>86</v>
      </c>
      <c r="D978" s="133" t="s">
        <v>451</v>
      </c>
      <c r="E978" s="95" t="s">
        <v>219</v>
      </c>
      <c r="F978" s="95" t="s">
        <v>220</v>
      </c>
      <c r="G978" s="109">
        <v>2.5000000000000001E-2</v>
      </c>
      <c r="H978" s="104">
        <f>VLOOKUP($E978,'Stock statement'!$D$2:$P$384,13,)</f>
        <v>549.27282042136164</v>
      </c>
      <c r="I978" s="127">
        <v>2.5000000000000001E-2</v>
      </c>
      <c r="J978" s="116">
        <v>1.0249999999999999</v>
      </c>
      <c r="K978" s="106">
        <f t="shared" si="82"/>
        <v>14.426993923879825</v>
      </c>
      <c r="L978" s="115"/>
      <c r="M978" s="104">
        <f t="shared" si="84"/>
        <v>0.11253055260626264</v>
      </c>
    </row>
    <row r="979" spans="1:13">
      <c r="A979" s="100" t="str">
        <f>VLOOKUP(C979,Abstract!$E$4:$M$62,9,0)</f>
        <v>ACTIVE</v>
      </c>
      <c r="B979" s="99" t="s">
        <v>138</v>
      </c>
      <c r="C979" s="133" t="s">
        <v>86</v>
      </c>
      <c r="D979" s="133" t="s">
        <v>451</v>
      </c>
      <c r="E979" s="95" t="s">
        <v>221</v>
      </c>
      <c r="F979" s="95" t="s">
        <v>222</v>
      </c>
      <c r="G979" s="109">
        <v>0.1</v>
      </c>
      <c r="H979" s="104">
        <f>VLOOKUP($E979,'Stock statement'!$D$2:$P$384,13,)</f>
        <v>494.13931116123297</v>
      </c>
      <c r="I979" s="127">
        <v>2.5000000000000001E-2</v>
      </c>
      <c r="J979" s="116">
        <v>1.0249999999999999</v>
      </c>
      <c r="K979" s="106">
        <f t="shared" si="82"/>
        <v>51.915511378877035</v>
      </c>
      <c r="L979" s="115"/>
      <c r="M979" s="104">
        <f t="shared" si="84"/>
        <v>0.40494098875524087</v>
      </c>
    </row>
    <row r="980" spans="1:13">
      <c r="A980" s="100" t="str">
        <f>VLOOKUP(C980,Abstract!$E$4:$M$62,9,0)</f>
        <v>ACTIVE</v>
      </c>
      <c r="B980" s="99" t="s">
        <v>138</v>
      </c>
      <c r="C980" s="133" t="s">
        <v>86</v>
      </c>
      <c r="D980" s="133" t="s">
        <v>451</v>
      </c>
      <c r="E980" s="95" t="s">
        <v>223</v>
      </c>
      <c r="F980" s="95" t="s">
        <v>224</v>
      </c>
      <c r="G980" s="109">
        <v>0.01</v>
      </c>
      <c r="H980" s="104">
        <f>VLOOKUP($E980,'Stock statement'!$D$2:$P$384,13,)</f>
        <v>661.66658982809031</v>
      </c>
      <c r="I980" s="127">
        <v>2.5000000000000001E-2</v>
      </c>
      <c r="J980" s="116">
        <v>1.0249999999999999</v>
      </c>
      <c r="K980" s="106">
        <f t="shared" si="82"/>
        <v>6.9516346093813723</v>
      </c>
      <c r="L980" s="115"/>
      <c r="M980" s="104">
        <f t="shared" si="84"/>
        <v>5.4222749953174706E-2</v>
      </c>
    </row>
    <row r="981" spans="1:13">
      <c r="A981" s="100" t="str">
        <f>VLOOKUP(C981,Abstract!$E$4:$M$62,9,0)</f>
        <v>ACTIVE</v>
      </c>
      <c r="B981" s="99" t="s">
        <v>138</v>
      </c>
      <c r="C981" s="133" t="s">
        <v>86</v>
      </c>
      <c r="D981" s="133" t="s">
        <v>451</v>
      </c>
      <c r="E981" s="95" t="s">
        <v>225</v>
      </c>
      <c r="F981" s="95" t="s">
        <v>226</v>
      </c>
      <c r="G981" s="109">
        <v>6</v>
      </c>
      <c r="H981" s="104">
        <f>VLOOKUP($E981,'Stock statement'!$D$2:$P$384,13,)</f>
        <v>770.99998748629207</v>
      </c>
      <c r="I981" s="127">
        <v>2.5000000000000001E-2</v>
      </c>
      <c r="J981" s="116">
        <v>1.0249999999999999</v>
      </c>
      <c r="K981" s="106">
        <f t="shared" si="82"/>
        <v>4860.1911711167131</v>
      </c>
      <c r="L981" s="115"/>
      <c r="M981" s="104">
        <f t="shared" si="84"/>
        <v>37.909491134710365</v>
      </c>
    </row>
    <row r="982" spans="1:13">
      <c r="A982" s="100" t="str">
        <f>VLOOKUP(C982,Abstract!$E$4:$M$62,9,0)</f>
        <v>ACTIVE</v>
      </c>
      <c r="B982" s="99" t="s">
        <v>138</v>
      </c>
      <c r="C982" s="133" t="s">
        <v>86</v>
      </c>
      <c r="D982" s="133" t="s">
        <v>451</v>
      </c>
      <c r="E982" s="95" t="s">
        <v>181</v>
      </c>
      <c r="F982" s="95" t="s">
        <v>182</v>
      </c>
      <c r="G982" s="109">
        <v>12.5</v>
      </c>
      <c r="H982" s="104">
        <f>VLOOKUP($E982,'Stock statement'!$D$2:$P$384,13,)</f>
        <v>17.110276913020375</v>
      </c>
      <c r="I982" s="127">
        <v>2.5000000000000001E-2</v>
      </c>
      <c r="J982" s="116">
        <v>1.0249999999999999</v>
      </c>
      <c r="K982" s="106">
        <f t="shared" si="82"/>
        <v>224.70605852177536</v>
      </c>
      <c r="L982" s="115"/>
      <c r="M982" s="104">
        <f t="shared" si="84"/>
        <v>1.7527072564698478</v>
      </c>
    </row>
    <row r="983" spans="1:13">
      <c r="A983" s="100" t="str">
        <f>VLOOKUP(C983,Abstract!$E$4:$M$62,9,0)</f>
        <v>ACTIVE</v>
      </c>
      <c r="B983" s="99" t="s">
        <v>183</v>
      </c>
      <c r="C983" s="133" t="s">
        <v>86</v>
      </c>
      <c r="D983" s="133" t="s">
        <v>451</v>
      </c>
      <c r="E983" s="95">
        <v>214709</v>
      </c>
      <c r="F983" s="95" t="s">
        <v>452</v>
      </c>
      <c r="G983" s="109">
        <f>G984/12</f>
        <v>128.2051282051282</v>
      </c>
      <c r="H983" s="104">
        <f>VLOOKUP($E983,'Stock statement'!$D$2:$P$384,13,)</f>
        <v>37.758622504640883</v>
      </c>
      <c r="I983" s="127">
        <v>6.0000000000000001E-3</v>
      </c>
      <c r="J983" s="113">
        <v>1</v>
      </c>
      <c r="K983" s="106">
        <f t="shared" si="82"/>
        <v>4869.8941332908626</v>
      </c>
      <c r="L983" s="115"/>
      <c r="M983" s="104">
        <f t="shared" si="84"/>
        <v>37.98517423966873</v>
      </c>
    </row>
    <row r="984" spans="1:13">
      <c r="A984" s="100" t="str">
        <f>VLOOKUP(C984,Abstract!$E$4:$M$62,9,0)</f>
        <v>ACTIVE</v>
      </c>
      <c r="B984" s="99" t="s">
        <v>183</v>
      </c>
      <c r="C984" s="133" t="s">
        <v>86</v>
      </c>
      <c r="D984" s="133" t="s">
        <v>451</v>
      </c>
      <c r="E984" s="95">
        <v>214808</v>
      </c>
      <c r="F984" s="95" t="s">
        <v>453</v>
      </c>
      <c r="G984" s="109">
        <f>1000/0.65</f>
        <v>1538.4615384615383</v>
      </c>
      <c r="H984" s="104">
        <f>VLOOKUP($E984,'Stock statement'!$D$2:$P$384,13,)</f>
        <v>15.672680173741485</v>
      </c>
      <c r="I984" s="127">
        <v>6.0000000000000001E-3</v>
      </c>
      <c r="J984" s="113">
        <v>1</v>
      </c>
      <c r="K984" s="106">
        <f t="shared" si="82"/>
        <v>24256.486545821437</v>
      </c>
      <c r="L984" s="115"/>
      <c r="M984" s="104">
        <f t="shared" si="84"/>
        <v>189.20059505740721</v>
      </c>
    </row>
    <row r="985" spans="1:13">
      <c r="A985" s="100" t="str">
        <f>VLOOKUP(C985,Abstract!$E$4:$M$62,9,0)</f>
        <v>ACTIVE</v>
      </c>
      <c r="B985" s="99" t="s">
        <v>183</v>
      </c>
      <c r="C985" s="133" t="s">
        <v>86</v>
      </c>
      <c r="D985" s="133" t="s">
        <v>451</v>
      </c>
      <c r="E985" s="95">
        <v>214727</v>
      </c>
      <c r="F985" s="95" t="s">
        <v>454</v>
      </c>
      <c r="G985" s="109">
        <f>G984</f>
        <v>1538.4615384615383</v>
      </c>
      <c r="H985" s="104">
        <f>VLOOKUP($E985,'Stock statement'!$D$2:$P$384,13,)</f>
        <v>0</v>
      </c>
      <c r="I985" s="127">
        <v>6.0000000000000001E-3</v>
      </c>
      <c r="J985" s="113">
        <v>1</v>
      </c>
      <c r="K985" s="106">
        <f t="shared" si="82"/>
        <v>0</v>
      </c>
      <c r="L985" s="115"/>
      <c r="M985" s="104">
        <f t="shared" si="84"/>
        <v>0</v>
      </c>
    </row>
    <row r="986" spans="1:13">
      <c r="A986" s="100" t="str">
        <f>VLOOKUP(C986,Abstract!$E$4:$M$62,9,0)</f>
        <v>ACTIVE</v>
      </c>
      <c r="B986" s="99" t="s">
        <v>455</v>
      </c>
      <c r="C986" s="133" t="s">
        <v>86</v>
      </c>
      <c r="D986" s="133" t="s">
        <v>451</v>
      </c>
      <c r="E986" s="95">
        <v>214669</v>
      </c>
      <c r="F986" s="95" t="s">
        <v>456</v>
      </c>
      <c r="G986" s="109">
        <f>G984</f>
        <v>1538.4615384615383</v>
      </c>
      <c r="H986" s="104">
        <f>VLOOKUP($E986,'Stock statement'!$D$2:$P$384,13,)</f>
        <v>2.7186111111111111</v>
      </c>
      <c r="I986" s="127">
        <v>0.02</v>
      </c>
      <c r="J986" s="113">
        <v>1</v>
      </c>
      <c r="K986" s="106">
        <f t="shared" si="82"/>
        <v>4266.1282051282042</v>
      </c>
      <c r="L986" s="115"/>
      <c r="M986" s="104">
        <f t="shared" si="84"/>
        <v>33.27579999999999</v>
      </c>
    </row>
    <row r="987" spans="1:13">
      <c r="A987" s="100" t="str">
        <f>VLOOKUP(C987,Abstract!$E$4:$M$62,9,0)</f>
        <v>ACTIVE</v>
      </c>
      <c r="B987" s="99" t="s">
        <v>183</v>
      </c>
      <c r="C987" s="133" t="s">
        <v>86</v>
      </c>
      <c r="D987" s="133" t="s">
        <v>451</v>
      </c>
      <c r="E987" s="95">
        <v>214668</v>
      </c>
      <c r="F987" s="95" t="s">
        <v>457</v>
      </c>
      <c r="G987" s="109">
        <f>G984</f>
        <v>1538.4615384615383</v>
      </c>
      <c r="H987" s="104">
        <f>VLOOKUP($E987,'Stock statement'!$D$2:$P$384,13,)</f>
        <v>3.2835304054054046</v>
      </c>
      <c r="I987" s="127">
        <v>0.02</v>
      </c>
      <c r="J987" s="113">
        <v>1</v>
      </c>
      <c r="K987" s="106">
        <f t="shared" si="82"/>
        <v>5152.6169438669431</v>
      </c>
      <c r="L987" s="115"/>
      <c r="M987" s="104">
        <f t="shared" si="84"/>
        <v>40.190412162162154</v>
      </c>
    </row>
    <row r="988" spans="1:13">
      <c r="A988" s="100" t="str">
        <f>VLOOKUP(C988,Abstract!$E$4:$M$62,9,0)</f>
        <v>ACTIVE</v>
      </c>
      <c r="B988" s="99" t="s">
        <v>197</v>
      </c>
      <c r="C988" s="133" t="s">
        <v>86</v>
      </c>
      <c r="D988" s="133" t="s">
        <v>451</v>
      </c>
      <c r="E988" s="95" t="s">
        <v>191</v>
      </c>
      <c r="F988" s="95" t="s">
        <v>192</v>
      </c>
      <c r="G988" s="109">
        <f>G983*0.025</f>
        <v>3.2051282051282053</v>
      </c>
      <c r="H988" s="104">
        <f>VLOOKUP($E988,'Stock statement'!$D$2:$P$384,13,)</f>
        <v>44.985440769279101</v>
      </c>
      <c r="I988" s="127">
        <v>0.02</v>
      </c>
      <c r="J988" s="113">
        <v>1</v>
      </c>
      <c r="K988" s="106">
        <f t="shared" si="82"/>
        <v>147.06778713033555</v>
      </c>
      <c r="L988" s="115"/>
      <c r="M988" s="104">
        <f t="shared" si="84"/>
        <v>1.1471287396166172</v>
      </c>
    </row>
    <row r="989" spans="1:13">
      <c r="A989" s="100" t="str">
        <f>VLOOKUP(C989,Abstract!$E$4:$M$62,9,0)</f>
        <v>ACTIVE</v>
      </c>
      <c r="B989" s="99" t="s">
        <v>197</v>
      </c>
      <c r="C989" s="133" t="s">
        <v>86</v>
      </c>
      <c r="D989" s="133" t="s">
        <v>451</v>
      </c>
      <c r="E989" s="95" t="s">
        <v>195</v>
      </c>
      <c r="F989" s="95"/>
      <c r="G989" s="109">
        <f>G984</f>
        <v>1538.4615384615383</v>
      </c>
      <c r="H989" s="104">
        <v>0.04</v>
      </c>
      <c r="I989" s="127"/>
      <c r="J989" s="113">
        <v>1</v>
      </c>
      <c r="K989" s="106">
        <f t="shared" si="82"/>
        <v>61.538461538461533</v>
      </c>
      <c r="L989" s="115"/>
      <c r="M989" s="104">
        <f t="shared" si="84"/>
        <v>0.48</v>
      </c>
    </row>
    <row r="990" spans="1:13">
      <c r="A990" s="100" t="str">
        <f>VLOOKUP(C990,Abstract!$E$4:$M$62,9,0)</f>
        <v>ACTIVE</v>
      </c>
      <c r="B990" s="99" t="s">
        <v>197</v>
      </c>
      <c r="C990" s="133" t="s">
        <v>86</v>
      </c>
      <c r="D990" s="133" t="s">
        <v>451</v>
      </c>
      <c r="E990" s="95" t="s">
        <v>196</v>
      </c>
      <c r="F990" s="95"/>
      <c r="G990" s="109">
        <f>G989*44</f>
        <v>67692.307692307688</v>
      </c>
      <c r="H990" s="130">
        <v>1.6999999999999999E-3</v>
      </c>
      <c r="I990" s="127"/>
      <c r="J990" s="113">
        <v>1</v>
      </c>
      <c r="K990" s="106">
        <f t="shared" si="82"/>
        <v>115.07692307692307</v>
      </c>
      <c r="L990" s="115"/>
      <c r="M990" s="104">
        <f t="shared" si="84"/>
        <v>0.89759999999999995</v>
      </c>
    </row>
    <row r="991" spans="1:13">
      <c r="A991" s="100" t="str">
        <f>VLOOKUP(C991,Abstract!$E$4:$M$62,9,0)</f>
        <v>ACTIVE</v>
      </c>
      <c r="B991" s="99" t="s">
        <v>197</v>
      </c>
      <c r="C991" s="133" t="s">
        <v>86</v>
      </c>
      <c r="D991" s="133" t="s">
        <v>451</v>
      </c>
      <c r="E991" s="95" t="s">
        <v>198</v>
      </c>
      <c r="F991" s="95"/>
      <c r="G991" s="109"/>
      <c r="H991" s="104"/>
      <c r="I991" s="127"/>
      <c r="J991" s="113"/>
      <c r="K991" s="106">
        <v>9000</v>
      </c>
      <c r="L991" s="115">
        <f>SUM(K961:K991)</f>
        <v>84347.63456943848</v>
      </c>
      <c r="M991" s="104">
        <f t="shared" si="84"/>
        <v>70.2</v>
      </c>
    </row>
    <row r="992" spans="1:13">
      <c r="A992" s="100" t="str">
        <f>VLOOKUP(C992,Abstract!$E$4:$M$62,9,0)</f>
        <v>ACTIVE</v>
      </c>
      <c r="B992" s="99" t="s">
        <v>138</v>
      </c>
      <c r="C992" s="133" t="s">
        <v>90</v>
      </c>
      <c r="D992" s="133" t="s">
        <v>398</v>
      </c>
      <c r="E992" s="95" t="s">
        <v>141</v>
      </c>
      <c r="F992" s="95" t="s">
        <v>142</v>
      </c>
      <c r="G992" s="109">
        <v>171.43</v>
      </c>
      <c r="H992" s="104">
        <f>VLOOKUP($E992,'Stock statement'!$D$2:$P$384,13,)</f>
        <v>94.278330452007026</v>
      </c>
      <c r="I992" s="127">
        <v>2.5000000000000001E-2</v>
      </c>
      <c r="J992" s="113">
        <v>1</v>
      </c>
      <c r="K992" s="106">
        <f>+G992*H992*(1+I992)*J992</f>
        <v>16566.187544122255</v>
      </c>
      <c r="L992" s="115"/>
      <c r="M992" s="104">
        <f>K992/$G$1007</f>
        <v>293.42031378149335</v>
      </c>
    </row>
    <row r="993" spans="1:13">
      <c r="A993" s="100" t="str">
        <f>VLOOKUP(C993,Abstract!$E$4:$M$62,9,0)</f>
        <v>ACTIVE</v>
      </c>
      <c r="B993" s="99" t="s">
        <v>138</v>
      </c>
      <c r="C993" s="133" t="s">
        <v>90</v>
      </c>
      <c r="D993" s="133" t="s">
        <v>398</v>
      </c>
      <c r="E993" s="95" t="s">
        <v>145</v>
      </c>
      <c r="F993" s="95" t="s">
        <v>146</v>
      </c>
      <c r="G993" s="109">
        <v>5</v>
      </c>
      <c r="H993" s="104">
        <f>VLOOKUP($E993,'Stock statement'!$D$2:$P$384,13,)</f>
        <v>151.08681180977209</v>
      </c>
      <c r="I993" s="127">
        <v>2.5000000000000001E-2</v>
      </c>
      <c r="J993" s="113">
        <v>1</v>
      </c>
      <c r="K993" s="106">
        <f t="shared" ref="K993:K1006" si="85">+G993*H993*(1+I993)*J993</f>
        <v>774.31991052508192</v>
      </c>
      <c r="L993" s="115"/>
      <c r="M993" s="104">
        <f t="shared" ref="M993:M1011" si="86">K993/$G$1007</f>
        <v>13.714754255220249</v>
      </c>
    </row>
    <row r="994" spans="1:13">
      <c r="A994" s="100" t="str">
        <f>VLOOKUP(C994,Abstract!$E$4:$M$62,9,0)</f>
        <v>ACTIVE</v>
      </c>
      <c r="B994" s="99" t="s">
        <v>138</v>
      </c>
      <c r="C994" s="133" t="s">
        <v>90</v>
      </c>
      <c r="D994" s="133" t="s">
        <v>398</v>
      </c>
      <c r="E994" s="95" t="s">
        <v>155</v>
      </c>
      <c r="F994" s="95" t="s">
        <v>156</v>
      </c>
      <c r="G994" s="109">
        <v>15</v>
      </c>
      <c r="H994" s="104">
        <f>VLOOKUP($E994,'Stock statement'!$D$2:$P$384,13,)</f>
        <v>68.308211638055738</v>
      </c>
      <c r="I994" s="127">
        <v>2.5000000000000001E-2</v>
      </c>
      <c r="J994" s="113">
        <v>1</v>
      </c>
      <c r="K994" s="106">
        <f t="shared" si="85"/>
        <v>1050.2387539351068</v>
      </c>
      <c r="L994" s="115"/>
      <c r="M994" s="104">
        <f t="shared" si="86"/>
        <v>18.601828809698613</v>
      </c>
    </row>
    <row r="995" spans="1:13">
      <c r="A995" s="100" t="str">
        <f>VLOOKUP(C995,Abstract!$E$4:$M$62,9,0)</f>
        <v>ACTIVE</v>
      </c>
      <c r="B995" s="99" t="s">
        <v>138</v>
      </c>
      <c r="C995" s="133" t="s">
        <v>90</v>
      </c>
      <c r="D995" s="133" t="s">
        <v>398</v>
      </c>
      <c r="E995" s="95" t="s">
        <v>367</v>
      </c>
      <c r="F995" s="95" t="s">
        <v>368</v>
      </c>
      <c r="G995" s="109">
        <v>5</v>
      </c>
      <c r="H995" s="104">
        <f>VLOOKUP($E995,'Stock statement'!$D$2:$P$384,13,)</f>
        <v>160.1889709567478</v>
      </c>
      <c r="I995" s="127">
        <v>2.5000000000000001E-2</v>
      </c>
      <c r="J995" s="113">
        <v>1</v>
      </c>
      <c r="K995" s="106">
        <f t="shared" si="85"/>
        <v>820.9684761533324</v>
      </c>
      <c r="L995" s="115"/>
      <c r="M995" s="104">
        <f t="shared" si="86"/>
        <v>14.540993649627822</v>
      </c>
    </row>
    <row r="996" spans="1:13">
      <c r="A996" s="100" t="str">
        <f>VLOOKUP(C996,Abstract!$E$4:$M$62,9,0)</f>
        <v>ACTIVE</v>
      </c>
      <c r="B996" s="99" t="s">
        <v>138</v>
      </c>
      <c r="C996" s="133" t="s">
        <v>90</v>
      </c>
      <c r="D996" s="133" t="s">
        <v>398</v>
      </c>
      <c r="E996" s="95" t="s">
        <v>369</v>
      </c>
      <c r="F996" s="95" t="s">
        <v>370</v>
      </c>
      <c r="G996" s="109">
        <v>1</v>
      </c>
      <c r="H996" s="104">
        <f>VLOOKUP($E996,'Stock statement'!$D$2:$P$384,13,)</f>
        <v>425.0933053369933</v>
      </c>
      <c r="I996" s="127">
        <v>2.5000000000000001E-2</v>
      </c>
      <c r="J996" s="113">
        <v>1</v>
      </c>
      <c r="K996" s="106">
        <f t="shared" si="85"/>
        <v>435.72063797041807</v>
      </c>
      <c r="L996" s="115"/>
      <c r="M996" s="104">
        <f t="shared" si="86"/>
        <v>7.7174839397320447</v>
      </c>
    </row>
    <row r="997" spans="1:13">
      <c r="A997" s="100" t="str">
        <f>VLOOKUP(C997,Abstract!$E$4:$M$62,9,0)</f>
        <v>ACTIVE</v>
      </c>
      <c r="B997" s="99" t="s">
        <v>138</v>
      </c>
      <c r="C997" s="133" t="s">
        <v>90</v>
      </c>
      <c r="D997" s="133" t="s">
        <v>398</v>
      </c>
      <c r="E997" s="95" t="s">
        <v>153</v>
      </c>
      <c r="F997" s="95" t="s">
        <v>349</v>
      </c>
      <c r="G997" s="109">
        <v>0.125</v>
      </c>
      <c r="H997" s="104">
        <f>VLOOKUP($E997,'Stock statement'!$D$2:$P$384,13,)</f>
        <v>84.206363687840948</v>
      </c>
      <c r="I997" s="127">
        <v>2.5000000000000001E-2</v>
      </c>
      <c r="J997" s="113">
        <v>1</v>
      </c>
      <c r="K997" s="106">
        <f t="shared" si="85"/>
        <v>10.788940347504621</v>
      </c>
      <c r="L997" s="115"/>
      <c r="M997" s="104">
        <f t="shared" si="86"/>
        <v>0.19109371143500184</v>
      </c>
    </row>
    <row r="998" spans="1:13">
      <c r="A998" s="100" t="str">
        <f>VLOOKUP(C998,Abstract!$E$4:$M$62,9,0)</f>
        <v>ACTIVE</v>
      </c>
      <c r="B998" s="99" t="s">
        <v>138</v>
      </c>
      <c r="C998" s="133" t="s">
        <v>90</v>
      </c>
      <c r="D998" s="133" t="s">
        <v>398</v>
      </c>
      <c r="E998" s="95">
        <v>115071</v>
      </c>
      <c r="F998" s="95" t="s">
        <v>311</v>
      </c>
      <c r="G998" s="109">
        <v>0.5</v>
      </c>
      <c r="H998" s="104">
        <f>VLOOKUP($E998,'Stock statement'!$D$2:$P$384,13,)</f>
        <v>195.04600880394028</v>
      </c>
      <c r="I998" s="127">
        <v>2.5000000000000001E-2</v>
      </c>
      <c r="J998" s="113">
        <v>1</v>
      </c>
      <c r="K998" s="106">
        <f t="shared" si="85"/>
        <v>99.961079512019381</v>
      </c>
      <c r="L998" s="115"/>
      <c r="M998" s="104">
        <f t="shared" si="86"/>
        <v>1.7705106403168871</v>
      </c>
    </row>
    <row r="999" spans="1:13">
      <c r="A999" s="100" t="str">
        <f>VLOOKUP(C999,Abstract!$E$4:$M$62,9,0)</f>
        <v>ACTIVE</v>
      </c>
      <c r="B999" s="99" t="s">
        <v>138</v>
      </c>
      <c r="C999" s="133" t="s">
        <v>90</v>
      </c>
      <c r="D999" s="133" t="s">
        <v>398</v>
      </c>
      <c r="E999" s="95" t="s">
        <v>151</v>
      </c>
      <c r="F999" s="95" t="s">
        <v>152</v>
      </c>
      <c r="G999" s="109">
        <v>0.5</v>
      </c>
      <c r="H999" s="104">
        <f>VLOOKUP($E999,'Stock statement'!$D$2:$P$384,13,)</f>
        <v>762.38931335604309</v>
      </c>
      <c r="I999" s="127">
        <v>2.5000000000000001E-2</v>
      </c>
      <c r="J999" s="113">
        <v>1</v>
      </c>
      <c r="K999" s="106">
        <f t="shared" si="85"/>
        <v>390.72452309497203</v>
      </c>
      <c r="L999" s="115"/>
      <c r="M999" s="104">
        <f t="shared" si="86"/>
        <v>6.9205127530581443</v>
      </c>
    </row>
    <row r="1000" spans="1:13">
      <c r="A1000" s="100" t="str">
        <f>VLOOKUP(C1000,Abstract!$E$4:$M$62,9,0)</f>
        <v>ACTIVE</v>
      </c>
      <c r="B1000" s="99" t="s">
        <v>138</v>
      </c>
      <c r="C1000" s="133" t="s">
        <v>90</v>
      </c>
      <c r="D1000" s="133" t="s">
        <v>398</v>
      </c>
      <c r="E1000" s="95" t="s">
        <v>166</v>
      </c>
      <c r="F1000" s="95" t="s">
        <v>167</v>
      </c>
      <c r="G1000" s="109">
        <v>2.5</v>
      </c>
      <c r="H1000" s="104">
        <f>VLOOKUP($E1000,'Stock statement'!$D$2:$P$384,13,)</f>
        <v>127.15913438761541</v>
      </c>
      <c r="I1000" s="127">
        <v>2.5000000000000001E-2</v>
      </c>
      <c r="J1000" s="113">
        <v>1</v>
      </c>
      <c r="K1000" s="106">
        <f t="shared" si="85"/>
        <v>325.84528186826446</v>
      </c>
      <c r="L1000" s="115"/>
      <c r="M1000" s="104">
        <f t="shared" si="86"/>
        <v>5.7713716324507001</v>
      </c>
    </row>
    <row r="1001" spans="1:13">
      <c r="A1001" s="100" t="str">
        <f>VLOOKUP(C1001,Abstract!$E$4:$M$62,9,0)</f>
        <v>ACTIVE</v>
      </c>
      <c r="B1001" s="99" t="s">
        <v>138</v>
      </c>
      <c r="C1001" s="133" t="s">
        <v>90</v>
      </c>
      <c r="D1001" s="133" t="s">
        <v>398</v>
      </c>
      <c r="E1001" s="95" t="s">
        <v>371</v>
      </c>
      <c r="F1001" s="95" t="s">
        <v>372</v>
      </c>
      <c r="G1001" s="109">
        <v>0.01</v>
      </c>
      <c r="H1001" s="104">
        <f>VLOOKUP($E1001,'Stock statement'!$D$2:$P$384,13,)</f>
        <v>911.16233108656354</v>
      </c>
      <c r="I1001" s="127">
        <v>2.5000000000000001E-2</v>
      </c>
      <c r="J1001" s="113">
        <v>1</v>
      </c>
      <c r="K1001" s="106">
        <f t="shared" si="85"/>
        <v>9.3394138936372748</v>
      </c>
      <c r="L1001" s="115"/>
      <c r="M1001" s="104">
        <f t="shared" si="86"/>
        <v>0.16541969888410341</v>
      </c>
    </row>
    <row r="1002" spans="1:13">
      <c r="A1002" s="100" t="str">
        <f>VLOOKUP(C1002,Abstract!$E$4:$M$62,9,0)</f>
        <v>ACTIVE</v>
      </c>
      <c r="B1002" s="99" t="s">
        <v>138</v>
      </c>
      <c r="C1002" s="133" t="s">
        <v>90</v>
      </c>
      <c r="D1002" s="133" t="s">
        <v>398</v>
      </c>
      <c r="E1002" s="95" t="s">
        <v>373</v>
      </c>
      <c r="F1002" s="95" t="s">
        <v>374</v>
      </c>
      <c r="G1002" s="109">
        <v>0.01</v>
      </c>
      <c r="H1002" s="104">
        <f>VLOOKUP($E1002,'Stock statement'!$D$2:$P$384,13,)</f>
        <v>1119.6565156623499</v>
      </c>
      <c r="I1002" s="127">
        <v>2.5000000000000001E-2</v>
      </c>
      <c r="J1002" s="113">
        <v>1</v>
      </c>
      <c r="K1002" s="106">
        <f t="shared" si="85"/>
        <v>11.476479285539087</v>
      </c>
      <c r="L1002" s="115"/>
      <c r="M1002" s="104">
        <f t="shared" si="86"/>
        <v>0.20327140110546829</v>
      </c>
    </row>
    <row r="1003" spans="1:13">
      <c r="A1003" s="100" t="str">
        <f>VLOOKUP(C1003,Abstract!$E$4:$M$62,9,0)</f>
        <v>ACTIVE</v>
      </c>
      <c r="B1003" s="99" t="s">
        <v>138</v>
      </c>
      <c r="C1003" s="133" t="s">
        <v>90</v>
      </c>
      <c r="D1003" s="133" t="s">
        <v>398</v>
      </c>
      <c r="E1003" s="95" t="s">
        <v>376</v>
      </c>
      <c r="F1003" s="95" t="s">
        <v>377</v>
      </c>
      <c r="G1003" s="109">
        <v>6</v>
      </c>
      <c r="H1003" s="104">
        <f>VLOOKUP($E1003,'Stock statement'!$D$2:$P$384,13,)</f>
        <v>768.48873865639405</v>
      </c>
      <c r="I1003" s="127">
        <v>2.5000000000000001E-2</v>
      </c>
      <c r="J1003" s="113">
        <v>1</v>
      </c>
      <c r="K1003" s="106">
        <f t="shared" si="85"/>
        <v>4726.2057427368227</v>
      </c>
      <c r="L1003" s="115"/>
      <c r="M1003" s="104">
        <f t="shared" si="86"/>
        <v>83.710556115354606</v>
      </c>
    </row>
    <row r="1004" spans="1:13">
      <c r="A1004" s="100" t="str">
        <f>VLOOKUP(C1004,Abstract!$E$4:$M$62,9,0)</f>
        <v>ACTIVE</v>
      </c>
      <c r="B1004" s="99" t="s">
        <v>138</v>
      </c>
      <c r="C1004" s="133" t="s">
        <v>90</v>
      </c>
      <c r="D1004" s="133" t="s">
        <v>398</v>
      </c>
      <c r="E1004" s="95" t="s">
        <v>181</v>
      </c>
      <c r="F1004" s="95" t="s">
        <v>182</v>
      </c>
      <c r="G1004" s="109">
        <v>15</v>
      </c>
      <c r="H1004" s="104">
        <f>VLOOKUP($E1004,'Stock statement'!$D$2:$P$384,13,)</f>
        <v>17.110276913020375</v>
      </c>
      <c r="I1004" s="127">
        <v>2.5000000000000001E-2</v>
      </c>
      <c r="J1004" s="113">
        <v>1</v>
      </c>
      <c r="K1004" s="106">
        <f t="shared" si="85"/>
        <v>263.07050753768823</v>
      </c>
      <c r="L1004" s="115"/>
      <c r="M1004" s="104">
        <f t="shared" si="86"/>
        <v>4.6595048295075339</v>
      </c>
    </row>
    <row r="1005" spans="1:13">
      <c r="A1005" s="100" t="str">
        <f>VLOOKUP(C1005,Abstract!$E$4:$M$62,9,0)</f>
        <v>ACTIVE</v>
      </c>
      <c r="B1005" s="99" t="s">
        <v>138</v>
      </c>
      <c r="C1005" s="133" t="s">
        <v>90</v>
      </c>
      <c r="D1005" s="133" t="s">
        <v>398</v>
      </c>
      <c r="E1005" s="95" t="s">
        <v>173</v>
      </c>
      <c r="F1005" s="95" t="s">
        <v>174</v>
      </c>
      <c r="G1005" s="109">
        <v>0.1</v>
      </c>
      <c r="H1005" s="104">
        <f>VLOOKUP($E1005,'Stock statement'!$D$2:$P$384,13,)</f>
        <v>555.2517156766155</v>
      </c>
      <c r="I1005" s="127">
        <v>2.5000000000000001E-2</v>
      </c>
      <c r="J1005" s="113">
        <v>1</v>
      </c>
      <c r="K1005" s="106">
        <f t="shared" si="85"/>
        <v>56.913300856853084</v>
      </c>
      <c r="L1005" s="115"/>
      <c r="M1005" s="104">
        <f t="shared" si="86"/>
        <v>1.0080483847765818</v>
      </c>
    </row>
    <row r="1006" spans="1:13">
      <c r="A1006" s="100" t="str">
        <f>VLOOKUP(C1006,Abstract!$E$4:$M$62,9,0)</f>
        <v>ACTIVE</v>
      </c>
      <c r="B1006" s="99" t="s">
        <v>138</v>
      </c>
      <c r="C1006" s="133" t="s">
        <v>90</v>
      </c>
      <c r="D1006" s="133" t="s">
        <v>398</v>
      </c>
      <c r="E1006" s="95" t="s">
        <v>139</v>
      </c>
      <c r="F1006" s="95" t="s">
        <v>140</v>
      </c>
      <c r="G1006" s="109">
        <v>777.82</v>
      </c>
      <c r="H1006" s="104">
        <f>VLOOKUP($E1006,'Stock statement'!$D$2:$P$384,13,)</f>
        <v>0.34</v>
      </c>
      <c r="I1006" s="127">
        <v>2.5000000000000001E-2</v>
      </c>
      <c r="J1006" s="113">
        <v>1</v>
      </c>
      <c r="K1006" s="106">
        <f t="shared" si="85"/>
        <v>271.07027000000005</v>
      </c>
      <c r="L1006" s="115"/>
      <c r="M1006" s="104">
        <f t="shared" si="86"/>
        <v>4.8011966222400009</v>
      </c>
    </row>
    <row r="1007" spans="1:13">
      <c r="A1007" s="100" t="str">
        <f>VLOOKUP(C1007,Abstract!$E$4:$M$62,9,0)</f>
        <v>ACTIVE</v>
      </c>
      <c r="B1007" s="99" t="s">
        <v>183</v>
      </c>
      <c r="C1007" s="133" t="s">
        <v>90</v>
      </c>
      <c r="D1007" s="133" t="s">
        <v>398</v>
      </c>
      <c r="E1007" s="95">
        <v>214767</v>
      </c>
      <c r="F1007" s="95" t="s">
        <v>458</v>
      </c>
      <c r="G1007" s="109">
        <f>1000/(3.69*4800/1000)</f>
        <v>56.458897922312559</v>
      </c>
      <c r="H1007" s="104">
        <f>VLOOKUP($E1007,'Stock statement'!$D$2:$P$384,13,)</f>
        <v>37.302861056013413</v>
      </c>
      <c r="I1007" s="127">
        <v>6.0000000000000001E-3</v>
      </c>
      <c r="J1007" s="113">
        <v>1</v>
      </c>
      <c r="K1007" s="106">
        <f>+G1007*H1007*(1+I1007)*J1007</f>
        <v>2118.7148951190998</v>
      </c>
      <c r="L1007" s="115"/>
      <c r="M1007" s="104">
        <f t="shared" si="86"/>
        <v>37.526678222349496</v>
      </c>
    </row>
    <row r="1008" spans="1:13">
      <c r="A1008" s="100" t="str">
        <f>VLOOKUP(C1008,Abstract!$E$4:$M$62,9,0)</f>
        <v>ACTIVE</v>
      </c>
      <c r="B1008" s="99" t="s">
        <v>183</v>
      </c>
      <c r="C1008" s="133" t="s">
        <v>90</v>
      </c>
      <c r="D1008" s="133" t="s">
        <v>398</v>
      </c>
      <c r="E1008" s="95">
        <v>214768</v>
      </c>
      <c r="F1008" s="95" t="s">
        <v>459</v>
      </c>
      <c r="G1008" s="109">
        <f>+G1007*4</f>
        <v>225.83559168925024</v>
      </c>
      <c r="H1008" s="104">
        <f>VLOOKUP($E1008,'Stock statement'!$D$2:$P$384,13,)</f>
        <v>10.686325569344836</v>
      </c>
      <c r="I1008" s="127">
        <v>6.0000000000000001E-3</v>
      </c>
      <c r="J1008" s="113">
        <v>1</v>
      </c>
      <c r="K1008" s="106">
        <f>+G1008*H1008*(1+I1008)*J1008</f>
        <v>2427.8327738845769</v>
      </c>
      <c r="L1008" s="115"/>
      <c r="M1008" s="104">
        <f t="shared" si="86"/>
        <v>43.001774091043622</v>
      </c>
    </row>
    <row r="1009" spans="1:13">
      <c r="A1009" s="100" t="str">
        <f>VLOOKUP(C1009,Abstract!$E$4:$M$62,9,0)</f>
        <v>ACTIVE</v>
      </c>
      <c r="B1009" s="99" t="s">
        <v>183</v>
      </c>
      <c r="C1009" s="133" t="s">
        <v>90</v>
      </c>
      <c r="D1009" s="133" t="s">
        <v>398</v>
      </c>
      <c r="E1009" s="95">
        <v>214686</v>
      </c>
      <c r="F1009" s="95" t="s">
        <v>460</v>
      </c>
      <c r="G1009" s="109">
        <f>+G1007*1.189</f>
        <v>67.129629629629633</v>
      </c>
      <c r="H1009" s="104">
        <f>VLOOKUP($E1009,'Stock statement'!$D$2:$P$384,13,)</f>
        <v>207.09012983106291</v>
      </c>
      <c r="I1009" s="127">
        <v>1.7500000000000002E-2</v>
      </c>
      <c r="J1009" s="113">
        <v>1</v>
      </c>
      <c r="K1009" s="106">
        <f>+G1009*H1009*(1+I1009)*J1009</f>
        <v>14145.166680532615</v>
      </c>
      <c r="L1009" s="115"/>
      <c r="M1009" s="104">
        <f t="shared" si="86"/>
        <v>250.53919224559365</v>
      </c>
    </row>
    <row r="1010" spans="1:13">
      <c r="A1010" s="100" t="str">
        <f>VLOOKUP(C1010,Abstract!$E$4:$M$62,9,0)</f>
        <v>ACTIVE</v>
      </c>
      <c r="B1010" s="99" t="s">
        <v>183</v>
      </c>
      <c r="C1010" s="133" t="s">
        <v>90</v>
      </c>
      <c r="D1010" s="133" t="s">
        <v>398</v>
      </c>
      <c r="E1010" s="95" t="s">
        <v>191</v>
      </c>
      <c r="F1010" s="95" t="s">
        <v>192</v>
      </c>
      <c r="G1010" s="109">
        <f>+G1007*0.042</f>
        <v>2.3712737127371275</v>
      </c>
      <c r="H1010" s="104">
        <f>VLOOKUP($E1010,'Stock statement'!$D$2:$P$384,13,)</f>
        <v>44.985440769279101</v>
      </c>
      <c r="I1010" s="127">
        <v>0.02</v>
      </c>
      <c r="J1010" s="113">
        <v>1</v>
      </c>
      <c r="K1010" s="106">
        <f>+G1010*H1010*(1+I1010)*J1010</f>
        <v>108.80624901512628</v>
      </c>
      <c r="L1010" s="115"/>
      <c r="M1010" s="104">
        <f t="shared" si="86"/>
        <v>1.9271762825559167</v>
      </c>
    </row>
    <row r="1011" spans="1:13">
      <c r="A1011" s="100" t="str">
        <f>VLOOKUP(C1011,Abstract!$E$4:$M$62,9,0)</f>
        <v>ACTIVE</v>
      </c>
      <c r="B1011" s="99" t="s">
        <v>197</v>
      </c>
      <c r="C1011" s="133" t="s">
        <v>90</v>
      </c>
      <c r="D1011" s="133" t="s">
        <v>398</v>
      </c>
      <c r="E1011" s="95" t="s">
        <v>198</v>
      </c>
      <c r="F1011" s="95"/>
      <c r="G1011" s="109"/>
      <c r="H1011" s="104"/>
      <c r="I1011" s="127"/>
      <c r="J1011" s="113"/>
      <c r="K1011" s="106">
        <v>6180</v>
      </c>
      <c r="L1011" s="115">
        <f>SUM(K992:K1011)</f>
        <v>50793.351460390921</v>
      </c>
      <c r="M1011" s="104">
        <f t="shared" si="86"/>
        <v>109.46016</v>
      </c>
    </row>
    <row r="1012" spans="1:13">
      <c r="A1012" s="100" t="str">
        <f>VLOOKUP(C1012,Abstract!$E$4:$M$62,9,0)</f>
        <v>ACTIVE</v>
      </c>
      <c r="B1012" s="99" t="s">
        <v>138</v>
      </c>
      <c r="C1012" s="133" t="s">
        <v>88</v>
      </c>
      <c r="D1012" s="133" t="s">
        <v>461</v>
      </c>
      <c r="E1012" s="95" t="s">
        <v>139</v>
      </c>
      <c r="F1012" s="95" t="s">
        <v>140</v>
      </c>
      <c r="G1012" s="109">
        <v>775.31149999999991</v>
      </c>
      <c r="H1012" s="104">
        <f>VLOOKUP($E1012,'Stock statement'!$D$2:$P$384,13,)</f>
        <v>0.34</v>
      </c>
      <c r="I1012" s="127">
        <v>2.5000000000000001E-2</v>
      </c>
      <c r="J1012" s="113">
        <v>1</v>
      </c>
      <c r="K1012" s="106">
        <f>+G1012*H1012*(1+I1012)*J1012</f>
        <v>270.19605774999997</v>
      </c>
      <c r="L1012" s="115"/>
      <c r="M1012" s="104">
        <f>K1012/$G$1028</f>
        <v>4.7857125748679996</v>
      </c>
    </row>
    <row r="1013" spans="1:13">
      <c r="A1013" s="100" t="str">
        <f>VLOOKUP(C1013,Abstract!$E$4:$M$62,9,0)</f>
        <v>ACTIVE</v>
      </c>
      <c r="B1013" s="99" t="s">
        <v>138</v>
      </c>
      <c r="C1013" s="133" t="s">
        <v>88</v>
      </c>
      <c r="D1013" s="133" t="s">
        <v>461</v>
      </c>
      <c r="E1013" s="95" t="s">
        <v>141</v>
      </c>
      <c r="F1013" s="95" t="s">
        <v>142</v>
      </c>
      <c r="G1013" s="109">
        <v>171.4</v>
      </c>
      <c r="H1013" s="104">
        <f>VLOOKUP($E1013,'Stock statement'!$D$2:$P$384,13,)</f>
        <v>94.278330452007026</v>
      </c>
      <c r="I1013" s="127">
        <v>2.5000000000000001E-2</v>
      </c>
      <c r="J1013" s="113">
        <v>1</v>
      </c>
      <c r="K1013" s="106">
        <f t="shared" ref="K1013:K1031" si="87">+G1013*H1013*(1+I1013)*J1013</f>
        <v>16563.288485460853</v>
      </c>
      <c r="L1013" s="115"/>
      <c r="M1013" s="104">
        <f t="shared" ref="M1013:M1032" si="88">K1013/$G$1028</f>
        <v>293.36896565448262</v>
      </c>
    </row>
    <row r="1014" spans="1:13">
      <c r="A1014" s="100" t="str">
        <f>VLOOKUP(C1014,Abstract!$E$4:$M$62,9,0)</f>
        <v>ACTIVE</v>
      </c>
      <c r="B1014" s="99" t="s">
        <v>138</v>
      </c>
      <c r="C1014" s="133" t="s">
        <v>88</v>
      </c>
      <c r="D1014" s="133" t="s">
        <v>461</v>
      </c>
      <c r="E1014" s="95" t="s">
        <v>145</v>
      </c>
      <c r="F1014" s="95" t="s">
        <v>146</v>
      </c>
      <c r="G1014" s="109">
        <v>7.5</v>
      </c>
      <c r="H1014" s="104">
        <f>VLOOKUP($E1014,'Stock statement'!$D$2:$P$384,13,)</f>
        <v>151.08681180977209</v>
      </c>
      <c r="I1014" s="127">
        <v>2.5000000000000001E-2</v>
      </c>
      <c r="J1014" s="113">
        <v>1</v>
      </c>
      <c r="K1014" s="106">
        <f t="shared" si="87"/>
        <v>1161.4798657876229</v>
      </c>
      <c r="L1014" s="115"/>
      <c r="M1014" s="104">
        <f t="shared" si="88"/>
        <v>20.572131382830374</v>
      </c>
    </row>
    <row r="1015" spans="1:13">
      <c r="A1015" s="100" t="str">
        <f>VLOOKUP(C1015,Abstract!$E$4:$M$62,9,0)</f>
        <v>ACTIVE</v>
      </c>
      <c r="B1015" s="99" t="s">
        <v>138</v>
      </c>
      <c r="C1015" s="133" t="s">
        <v>88</v>
      </c>
      <c r="D1015" s="133" t="s">
        <v>461</v>
      </c>
      <c r="E1015" s="95" t="s">
        <v>155</v>
      </c>
      <c r="F1015" s="95" t="s">
        <v>156</v>
      </c>
      <c r="G1015" s="109">
        <v>15</v>
      </c>
      <c r="H1015" s="104">
        <f>VLOOKUP($E1015,'Stock statement'!$D$2:$P$384,13,)</f>
        <v>68.308211638055738</v>
      </c>
      <c r="I1015" s="127">
        <v>2.5000000000000001E-2</v>
      </c>
      <c r="J1015" s="113">
        <v>1</v>
      </c>
      <c r="K1015" s="106">
        <f t="shared" si="87"/>
        <v>1050.2387539351068</v>
      </c>
      <c r="L1015" s="115"/>
      <c r="M1015" s="104">
        <f t="shared" si="88"/>
        <v>18.601828809698613</v>
      </c>
    </row>
    <row r="1016" spans="1:13">
      <c r="A1016" s="100" t="str">
        <f>VLOOKUP(C1016,Abstract!$E$4:$M$62,9,0)</f>
        <v>ACTIVE</v>
      </c>
      <c r="B1016" s="99" t="s">
        <v>138</v>
      </c>
      <c r="C1016" s="133" t="s">
        <v>88</v>
      </c>
      <c r="D1016" s="133" t="s">
        <v>461</v>
      </c>
      <c r="E1016" s="95" t="s">
        <v>369</v>
      </c>
      <c r="F1016" s="95" t="s">
        <v>385</v>
      </c>
      <c r="G1016" s="109">
        <v>1</v>
      </c>
      <c r="H1016" s="104">
        <f>VLOOKUP($E1016,'Stock statement'!$D$2:$P$384,13,)</f>
        <v>425.0933053369933</v>
      </c>
      <c r="I1016" s="127">
        <v>2.5000000000000001E-2</v>
      </c>
      <c r="J1016" s="113">
        <v>1</v>
      </c>
      <c r="K1016" s="106">
        <f t="shared" si="87"/>
        <v>435.72063797041807</v>
      </c>
      <c r="L1016" s="115"/>
      <c r="M1016" s="104">
        <f t="shared" si="88"/>
        <v>7.7174839397320447</v>
      </c>
    </row>
    <row r="1017" spans="1:13">
      <c r="A1017" s="100" t="str">
        <f>VLOOKUP(C1017,Abstract!$E$4:$M$62,9,0)</f>
        <v>ACTIVE</v>
      </c>
      <c r="B1017" s="99" t="s">
        <v>138</v>
      </c>
      <c r="C1017" s="133" t="s">
        <v>88</v>
      </c>
      <c r="D1017" s="133" t="s">
        <v>461</v>
      </c>
      <c r="E1017" s="95" t="s">
        <v>153</v>
      </c>
      <c r="F1017" s="95" t="s">
        <v>386</v>
      </c>
      <c r="G1017" s="109">
        <v>0.125</v>
      </c>
      <c r="H1017" s="104">
        <f>VLOOKUP($E1017,'Stock statement'!$D$2:$P$384,13,)</f>
        <v>84.206363687840948</v>
      </c>
      <c r="I1017" s="127">
        <v>2.5000000000000001E-2</v>
      </c>
      <c r="J1017" s="113">
        <v>1</v>
      </c>
      <c r="K1017" s="106">
        <f t="shared" si="87"/>
        <v>10.788940347504621</v>
      </c>
      <c r="L1017" s="115"/>
      <c r="M1017" s="104">
        <f t="shared" si="88"/>
        <v>0.19109371143500184</v>
      </c>
    </row>
    <row r="1018" spans="1:13">
      <c r="A1018" s="100" t="str">
        <f>VLOOKUP(C1018,Abstract!$E$4:$M$62,9,0)</f>
        <v>ACTIVE</v>
      </c>
      <c r="B1018" s="99" t="s">
        <v>138</v>
      </c>
      <c r="C1018" s="133" t="s">
        <v>88</v>
      </c>
      <c r="D1018" s="133" t="s">
        <v>461</v>
      </c>
      <c r="E1018" s="95" t="s">
        <v>164</v>
      </c>
      <c r="F1018" s="95" t="s">
        <v>165</v>
      </c>
      <c r="G1018" s="109">
        <v>3.4999999999999996E-3</v>
      </c>
      <c r="H1018" s="104">
        <f>VLOOKUP($E1018,'Stock statement'!$D$2:$P$384,13,)</f>
        <v>1939</v>
      </c>
      <c r="I1018" s="127">
        <v>2.5000000000000001E-2</v>
      </c>
      <c r="J1018" s="113">
        <v>1</v>
      </c>
      <c r="K1018" s="106">
        <f t="shared" si="87"/>
        <v>6.9561624999999987</v>
      </c>
      <c r="L1018" s="115"/>
      <c r="M1018" s="104">
        <f t="shared" si="88"/>
        <v>0.12320755019999997</v>
      </c>
    </row>
    <row r="1019" spans="1:13">
      <c r="A1019" s="100" t="str">
        <f>VLOOKUP(C1019,Abstract!$E$4:$M$62,9,0)</f>
        <v>ACTIVE</v>
      </c>
      <c r="B1019" s="99" t="s">
        <v>138</v>
      </c>
      <c r="C1019" s="133" t="s">
        <v>88</v>
      </c>
      <c r="D1019" s="133" t="s">
        <v>461</v>
      </c>
      <c r="E1019" s="95" t="s">
        <v>162</v>
      </c>
      <c r="F1019" s="95" t="s">
        <v>163</v>
      </c>
      <c r="G1019" s="109">
        <v>0.04</v>
      </c>
      <c r="H1019" s="104">
        <f>VLOOKUP($E1019,'Stock statement'!$D$2:$P$384,13,)</f>
        <v>348.44830167161894</v>
      </c>
      <c r="I1019" s="127">
        <v>2.5000000000000001E-2</v>
      </c>
      <c r="J1019" s="113">
        <v>1</v>
      </c>
      <c r="K1019" s="106">
        <f t="shared" si="87"/>
        <v>14.286380368536374</v>
      </c>
      <c r="L1019" s="115"/>
      <c r="M1019" s="104">
        <f t="shared" si="88"/>
        <v>0.25304036908751626</v>
      </c>
    </row>
    <row r="1020" spans="1:13">
      <c r="A1020" s="100" t="str">
        <f>VLOOKUP(C1020,Abstract!$E$4:$M$62,9,0)</f>
        <v>ACTIVE</v>
      </c>
      <c r="B1020" s="99" t="s">
        <v>138</v>
      </c>
      <c r="C1020" s="133" t="s">
        <v>88</v>
      </c>
      <c r="D1020" s="133" t="s">
        <v>461</v>
      </c>
      <c r="E1020" s="95" t="s">
        <v>166</v>
      </c>
      <c r="F1020" s="95" t="s">
        <v>167</v>
      </c>
      <c r="G1020" s="109">
        <v>2.5</v>
      </c>
      <c r="H1020" s="104">
        <f>VLOOKUP($E1020,'Stock statement'!$D$2:$P$384,13,)</f>
        <v>127.15913438761541</v>
      </c>
      <c r="I1020" s="127">
        <v>2.5000000000000001E-2</v>
      </c>
      <c r="J1020" s="113">
        <v>1</v>
      </c>
      <c r="K1020" s="106">
        <f t="shared" si="87"/>
        <v>325.84528186826446</v>
      </c>
      <c r="L1020" s="115"/>
      <c r="M1020" s="104">
        <f t="shared" si="88"/>
        <v>5.7713716324507001</v>
      </c>
    </row>
    <row r="1021" spans="1:13">
      <c r="A1021" s="100" t="str">
        <f>VLOOKUP(C1021,Abstract!$E$4:$M$62,9,0)</f>
        <v>ACTIVE</v>
      </c>
      <c r="B1021" s="99" t="s">
        <v>138</v>
      </c>
      <c r="C1021" s="133" t="s">
        <v>88</v>
      </c>
      <c r="D1021" s="133" t="s">
        <v>461</v>
      </c>
      <c r="E1021" s="95" t="s">
        <v>387</v>
      </c>
      <c r="F1021" s="95" t="s">
        <v>372</v>
      </c>
      <c r="G1021" s="109">
        <v>0.01</v>
      </c>
      <c r="H1021" s="104">
        <f>VLOOKUP($E1021,'Stock statement'!$D$2:$P$384,13,)</f>
        <v>911.16233108656354</v>
      </c>
      <c r="I1021" s="127">
        <v>2.5000000000000001E-2</v>
      </c>
      <c r="J1021" s="113">
        <v>1</v>
      </c>
      <c r="K1021" s="106">
        <f t="shared" si="87"/>
        <v>9.3394138936372748</v>
      </c>
      <c r="L1021" s="115"/>
      <c r="M1021" s="104">
        <f t="shared" si="88"/>
        <v>0.16541969888410341</v>
      </c>
    </row>
    <row r="1022" spans="1:13">
      <c r="A1022" s="100" t="str">
        <f>VLOOKUP(C1022,Abstract!$E$4:$M$62,9,0)</f>
        <v>ACTIVE</v>
      </c>
      <c r="B1022" s="99" t="s">
        <v>138</v>
      </c>
      <c r="C1022" s="133" t="s">
        <v>88</v>
      </c>
      <c r="D1022" s="133" t="s">
        <v>461</v>
      </c>
      <c r="E1022" s="95" t="s">
        <v>373</v>
      </c>
      <c r="F1022" s="95" t="s">
        <v>374</v>
      </c>
      <c r="G1022" s="109">
        <v>0.01</v>
      </c>
      <c r="H1022" s="104">
        <f>VLOOKUP($E1022,'Stock statement'!$D$2:$P$384,13,)</f>
        <v>1119.6565156623499</v>
      </c>
      <c r="I1022" s="127">
        <v>2.5000000000000001E-2</v>
      </c>
      <c r="J1022" s="113">
        <v>1</v>
      </c>
      <c r="K1022" s="106">
        <f t="shared" si="87"/>
        <v>11.476479285539087</v>
      </c>
      <c r="L1022" s="115"/>
      <c r="M1022" s="104">
        <f t="shared" si="88"/>
        <v>0.20327140110546829</v>
      </c>
    </row>
    <row r="1023" spans="1:13">
      <c r="A1023" s="100" t="str">
        <f>VLOOKUP(C1023,Abstract!$E$4:$M$62,9,0)</f>
        <v>ACTIVE</v>
      </c>
      <c r="B1023" s="99" t="s">
        <v>138</v>
      </c>
      <c r="C1023" s="133" t="s">
        <v>88</v>
      </c>
      <c r="D1023" s="133" t="s">
        <v>461</v>
      </c>
      <c r="E1023" s="95" t="s">
        <v>367</v>
      </c>
      <c r="F1023" s="95" t="s">
        <v>368</v>
      </c>
      <c r="G1023" s="109">
        <v>5</v>
      </c>
      <c r="H1023" s="104">
        <f>VLOOKUP($E1023,'Stock statement'!$D$2:$P$384,13,)</f>
        <v>160.1889709567478</v>
      </c>
      <c r="I1023" s="127">
        <v>2.5000000000000001E-2</v>
      </c>
      <c r="J1023" s="113">
        <v>1</v>
      </c>
      <c r="K1023" s="106">
        <f t="shared" si="87"/>
        <v>820.9684761533324</v>
      </c>
      <c r="L1023" s="115"/>
      <c r="M1023" s="104">
        <f t="shared" si="88"/>
        <v>14.540993649627822</v>
      </c>
    </row>
    <row r="1024" spans="1:13">
      <c r="A1024" s="100" t="str">
        <f>VLOOKUP(C1024,Abstract!$E$4:$M$62,9,0)</f>
        <v>ACTIVE</v>
      </c>
      <c r="B1024" s="99" t="s">
        <v>138</v>
      </c>
      <c r="C1024" s="133" t="s">
        <v>88</v>
      </c>
      <c r="D1024" s="133" t="s">
        <v>461</v>
      </c>
      <c r="E1024" s="95">
        <v>114476</v>
      </c>
      <c r="F1024" s="95" t="s">
        <v>172</v>
      </c>
      <c r="G1024" s="109">
        <v>6.5</v>
      </c>
      <c r="H1024" s="104">
        <f>VLOOKUP($E1024,'Stock statement'!$D$2:$P$384,13,)</f>
        <v>739.98731621274567</v>
      </c>
      <c r="I1024" s="127">
        <v>2.5000000000000001E-2</v>
      </c>
      <c r="J1024" s="113">
        <v>1</v>
      </c>
      <c r="K1024" s="106">
        <f t="shared" si="87"/>
        <v>4930.1654942674177</v>
      </c>
      <c r="L1024" s="115"/>
      <c r="M1024" s="104">
        <f t="shared" si="88"/>
        <v>87.323091234464499</v>
      </c>
    </row>
    <row r="1025" spans="1:13">
      <c r="A1025" s="100" t="str">
        <f>VLOOKUP(C1025,Abstract!$E$4:$M$62,9,0)</f>
        <v>ACTIVE</v>
      </c>
      <c r="B1025" s="99" t="s">
        <v>138</v>
      </c>
      <c r="C1025" s="133" t="s">
        <v>88</v>
      </c>
      <c r="D1025" s="133" t="s">
        <v>461</v>
      </c>
      <c r="E1025" s="95" t="s">
        <v>181</v>
      </c>
      <c r="F1025" s="95" t="s">
        <v>182</v>
      </c>
      <c r="G1025" s="109">
        <v>15</v>
      </c>
      <c r="H1025" s="104">
        <f>VLOOKUP($E1025,'Stock statement'!$D$2:$P$384,13,)</f>
        <v>17.110276913020375</v>
      </c>
      <c r="I1025" s="127">
        <v>2.5000000000000001E-2</v>
      </c>
      <c r="J1025" s="113">
        <v>1</v>
      </c>
      <c r="K1025" s="106">
        <f t="shared" si="87"/>
        <v>263.07050753768823</v>
      </c>
      <c r="L1025" s="115"/>
      <c r="M1025" s="104">
        <f t="shared" si="88"/>
        <v>4.6595048295075339</v>
      </c>
    </row>
    <row r="1026" spans="1:13">
      <c r="A1026" s="100" t="str">
        <f>VLOOKUP(C1026,Abstract!$E$4:$M$62,9,0)</f>
        <v>ACTIVE</v>
      </c>
      <c r="B1026" s="99" t="s">
        <v>138</v>
      </c>
      <c r="C1026" s="133" t="s">
        <v>88</v>
      </c>
      <c r="D1026" s="133" t="s">
        <v>461</v>
      </c>
      <c r="E1026" s="95" t="s">
        <v>173</v>
      </c>
      <c r="F1026" s="95" t="s">
        <v>174</v>
      </c>
      <c r="G1026" s="109">
        <v>0.1</v>
      </c>
      <c r="H1026" s="104">
        <f>VLOOKUP($E1026,'Stock statement'!$D$2:$P$384,13,)</f>
        <v>555.2517156766155</v>
      </c>
      <c r="I1026" s="127">
        <v>2.5000000000000001E-2</v>
      </c>
      <c r="J1026" s="113">
        <v>1</v>
      </c>
      <c r="K1026" s="106">
        <f t="shared" si="87"/>
        <v>56.913300856853084</v>
      </c>
      <c r="L1026" s="115"/>
      <c r="M1026" s="104">
        <f t="shared" si="88"/>
        <v>1.0080483847765818</v>
      </c>
    </row>
    <row r="1027" spans="1:13">
      <c r="A1027" s="100" t="str">
        <f>VLOOKUP(C1027,Abstract!$E$4:$M$62,9,0)</f>
        <v>ACTIVE</v>
      </c>
      <c r="B1027" s="99" t="s">
        <v>138</v>
      </c>
      <c r="C1027" s="133" t="s">
        <v>88</v>
      </c>
      <c r="D1027" s="133" t="s">
        <v>461</v>
      </c>
      <c r="E1027" s="95" t="s">
        <v>151</v>
      </c>
      <c r="F1027" s="95" t="s">
        <v>152</v>
      </c>
      <c r="G1027" s="109">
        <v>0.5</v>
      </c>
      <c r="H1027" s="104">
        <f>VLOOKUP($E1027,'Stock statement'!$D$2:$P$384,13,)</f>
        <v>762.38931335604309</v>
      </c>
      <c r="I1027" s="127">
        <v>2.5000000000000001E-2</v>
      </c>
      <c r="J1027" s="113">
        <v>1</v>
      </c>
      <c r="K1027" s="106">
        <f t="shared" si="87"/>
        <v>390.72452309497203</v>
      </c>
      <c r="L1027" s="115"/>
      <c r="M1027" s="104">
        <f t="shared" si="88"/>
        <v>6.9205127530581443</v>
      </c>
    </row>
    <row r="1028" spans="1:13">
      <c r="A1028" s="100" t="str">
        <f>VLOOKUP(C1028,Abstract!$E$4:$M$62,9,0)</f>
        <v>ACTIVE</v>
      </c>
      <c r="B1028" s="99" t="s">
        <v>183</v>
      </c>
      <c r="C1028" s="133" t="s">
        <v>88</v>
      </c>
      <c r="D1028" s="133" t="s">
        <v>461</v>
      </c>
      <c r="E1028" s="95">
        <v>214766</v>
      </c>
      <c r="F1028" s="95" t="s">
        <v>462</v>
      </c>
      <c r="G1028" s="109">
        <f>1000/(3.69*4800/1000)</f>
        <v>56.458897922312559</v>
      </c>
      <c r="H1028" s="104">
        <f>VLOOKUP($E1028,'Stock statement'!$D$2:$P$384,13,)</f>
        <v>37.887759164040467</v>
      </c>
      <c r="I1028" s="127">
        <v>6.0000000000000001E-3</v>
      </c>
      <c r="J1028" s="113">
        <v>1</v>
      </c>
      <c r="K1028" s="106">
        <f t="shared" si="87"/>
        <v>2151.9357339106091</v>
      </c>
      <c r="L1028" s="115"/>
      <c r="M1028" s="104">
        <f t="shared" si="88"/>
        <v>38.115085719024705</v>
      </c>
    </row>
    <row r="1029" spans="1:13">
      <c r="A1029" s="100" t="str">
        <f>VLOOKUP(C1029,Abstract!$E$4:$M$62,9,0)</f>
        <v>ACTIVE</v>
      </c>
      <c r="B1029" s="99" t="s">
        <v>183</v>
      </c>
      <c r="C1029" s="133" t="s">
        <v>88</v>
      </c>
      <c r="D1029" s="133" t="s">
        <v>461</v>
      </c>
      <c r="E1029" s="95">
        <v>214765</v>
      </c>
      <c r="F1029" s="95" t="s">
        <v>463</v>
      </c>
      <c r="G1029" s="109">
        <f>+G1028*4</f>
        <v>225.83559168925024</v>
      </c>
      <c r="H1029" s="104">
        <f>VLOOKUP($E1029,'Stock statement'!$D$2:$P$384,13,)</f>
        <v>11.215303514376995</v>
      </c>
      <c r="I1029" s="127">
        <v>6.0000000000000001E-3</v>
      </c>
      <c r="J1029" s="113">
        <v>1</v>
      </c>
      <c r="K1029" s="106">
        <f t="shared" si="87"/>
        <v>2548.0115933747197</v>
      </c>
      <c r="L1029" s="115"/>
      <c r="M1029" s="104">
        <f t="shared" si="88"/>
        <v>45.130381341853031</v>
      </c>
    </row>
    <row r="1030" spans="1:13">
      <c r="A1030" s="100" t="str">
        <f>VLOOKUP(C1030,Abstract!$E$4:$M$62,9,0)</f>
        <v>ACTIVE</v>
      </c>
      <c r="B1030" s="99" t="s">
        <v>183</v>
      </c>
      <c r="C1030" s="133" t="s">
        <v>88</v>
      </c>
      <c r="D1030" s="133" t="s">
        <v>461</v>
      </c>
      <c r="E1030" s="95">
        <v>214687</v>
      </c>
      <c r="F1030" s="95" t="s">
        <v>464</v>
      </c>
      <c r="G1030" s="109">
        <f>+G1028*1.189</f>
        <v>67.129629629629633</v>
      </c>
      <c r="H1030" s="104">
        <f>VLOOKUP($E1030,'Stock statement'!$D$2:$P$384,13,)</f>
        <v>204.01269374680615</v>
      </c>
      <c r="I1030" s="127">
        <v>1.7500000000000002E-2</v>
      </c>
      <c r="J1030" s="113">
        <v>1</v>
      </c>
      <c r="K1030" s="106">
        <f t="shared" si="87"/>
        <v>13934.964260958064</v>
      </c>
      <c r="L1030" s="115"/>
      <c r="M1030" s="104">
        <f t="shared" si="88"/>
        <v>246.81608699008922</v>
      </c>
    </row>
    <row r="1031" spans="1:13">
      <c r="A1031" s="100" t="str">
        <f>VLOOKUP(C1031,Abstract!$E$4:$M$62,9,0)</f>
        <v>ACTIVE</v>
      </c>
      <c r="B1031" s="99" t="s">
        <v>183</v>
      </c>
      <c r="C1031" s="133" t="s">
        <v>88</v>
      </c>
      <c r="D1031" s="133" t="s">
        <v>461</v>
      </c>
      <c r="E1031" s="95" t="s">
        <v>191</v>
      </c>
      <c r="F1031" s="95" t="s">
        <v>192</v>
      </c>
      <c r="G1031" s="109">
        <f>+G1028*0.042</f>
        <v>2.3712737127371275</v>
      </c>
      <c r="H1031" s="104">
        <f>VLOOKUP($E1031,'Stock statement'!$D$2:$P$384,13,)</f>
        <v>44.985440769279101</v>
      </c>
      <c r="I1031" s="127">
        <v>0.02</v>
      </c>
      <c r="J1031" s="113">
        <v>1</v>
      </c>
      <c r="K1031" s="106">
        <f t="shared" si="87"/>
        <v>108.80624901512628</v>
      </c>
      <c r="L1031" s="115"/>
      <c r="M1031" s="104">
        <f t="shared" si="88"/>
        <v>1.9271762825559167</v>
      </c>
    </row>
    <row r="1032" spans="1:13">
      <c r="A1032" s="100" t="str">
        <f>VLOOKUP(C1032,Abstract!$E$4:$M$62,9,0)</f>
        <v>ACTIVE</v>
      </c>
      <c r="B1032" s="99" t="s">
        <v>197</v>
      </c>
      <c r="C1032" s="133" t="s">
        <v>88</v>
      </c>
      <c r="D1032" s="133" t="s">
        <v>461</v>
      </c>
      <c r="E1032" s="95" t="s">
        <v>198</v>
      </c>
      <c r="F1032" s="95"/>
      <c r="G1032" s="109"/>
      <c r="H1032" s="104"/>
      <c r="I1032" s="127"/>
      <c r="J1032" s="113"/>
      <c r="K1032" s="106">
        <v>6180</v>
      </c>
      <c r="L1032" s="115">
        <f>SUM(K1012:K1032)</f>
        <v>51245.176598336264</v>
      </c>
      <c r="M1032" s="104">
        <f t="shared" si="88"/>
        <v>109.46016</v>
      </c>
    </row>
    <row r="1033" spans="1:13">
      <c r="A1033" s="100" t="str">
        <f>VLOOKUP(C1033,Abstract!$E$4:$M$62,9,0)</f>
        <v>No Sales</v>
      </c>
      <c r="B1033" s="99" t="s">
        <v>138</v>
      </c>
      <c r="C1033" s="133" t="s">
        <v>84</v>
      </c>
      <c r="D1033" s="133" t="s">
        <v>465</v>
      </c>
      <c r="E1033" s="95" t="s">
        <v>139</v>
      </c>
      <c r="F1033" s="95" t="s">
        <v>140</v>
      </c>
      <c r="G1033" s="109">
        <v>733.76499999999987</v>
      </c>
      <c r="H1033" s="104">
        <f>VLOOKUP($E1033,'Stock statement'!$D$2:$P$384,13,)</f>
        <v>0.34</v>
      </c>
      <c r="I1033" s="127">
        <v>2.5000000000000001E-2</v>
      </c>
      <c r="J1033" s="113">
        <v>1.0249999999999999</v>
      </c>
      <c r="K1033" s="106">
        <f t="shared" ref="K1033:K1063" si="89">+G1033*H1033*(1+I1033)*J1033</f>
        <v>262.1100300624999</v>
      </c>
      <c r="L1033" s="115"/>
      <c r="M1033" s="104">
        <f>K1033/$G$1055</f>
        <v>1.5097537731599995</v>
      </c>
    </row>
    <row r="1034" spans="1:13">
      <c r="A1034" s="100" t="str">
        <f>VLOOKUP(C1034,Abstract!$E$4:$M$62,9,0)</f>
        <v>No Sales</v>
      </c>
      <c r="B1034" s="99" t="s">
        <v>138</v>
      </c>
      <c r="C1034" s="133" t="s">
        <v>84</v>
      </c>
      <c r="D1034" s="133" t="s">
        <v>465</v>
      </c>
      <c r="E1034" s="95" t="s">
        <v>141</v>
      </c>
      <c r="F1034" s="95" t="s">
        <v>142</v>
      </c>
      <c r="G1034" s="109">
        <v>185.7</v>
      </c>
      <c r="H1034" s="104">
        <f>VLOOKUP($E1034,'Stock statement'!$D$2:$P$384,13,)</f>
        <v>94.278330452007026</v>
      </c>
      <c r="I1034" s="127">
        <v>2.5000000000000001E-2</v>
      </c>
      <c r="J1034" s="113">
        <v>1.0249999999999999</v>
      </c>
      <c r="K1034" s="106">
        <f t="shared" si="89"/>
        <v>18393.80244191267</v>
      </c>
      <c r="L1034" s="115"/>
      <c r="M1034" s="104">
        <f t="shared" ref="M1034:M1064" si="90">K1034/$G$1055</f>
        <v>105.94830206541698</v>
      </c>
    </row>
    <row r="1035" spans="1:13">
      <c r="A1035" s="100" t="str">
        <f>VLOOKUP(C1035,Abstract!$E$4:$M$62,9,0)</f>
        <v>No Sales</v>
      </c>
      <c r="B1035" s="99" t="s">
        <v>138</v>
      </c>
      <c r="C1035" s="133" t="s">
        <v>84</v>
      </c>
      <c r="D1035" s="133" t="s">
        <v>465</v>
      </c>
      <c r="E1035" s="95" t="s">
        <v>145</v>
      </c>
      <c r="F1035" s="95" t="s">
        <v>146</v>
      </c>
      <c r="G1035" s="109">
        <v>10</v>
      </c>
      <c r="H1035" s="104">
        <f>VLOOKUP($E1035,'Stock statement'!$D$2:$P$384,13,)</f>
        <v>151.08681180977209</v>
      </c>
      <c r="I1035" s="127">
        <v>2.5000000000000001E-2</v>
      </c>
      <c r="J1035" s="113">
        <v>1.0249999999999999</v>
      </c>
      <c r="K1035" s="106">
        <f t="shared" si="89"/>
        <v>1587.3558165764177</v>
      </c>
      <c r="L1035" s="115"/>
      <c r="M1035" s="104">
        <f t="shared" si="90"/>
        <v>9.1431695034801663</v>
      </c>
    </row>
    <row r="1036" spans="1:13">
      <c r="A1036" s="100" t="str">
        <f>VLOOKUP(C1036,Abstract!$E$4:$M$62,9,0)</f>
        <v>No Sales</v>
      </c>
      <c r="B1036" s="99" t="s">
        <v>138</v>
      </c>
      <c r="C1036" s="133" t="s">
        <v>84</v>
      </c>
      <c r="D1036" s="133" t="s">
        <v>465</v>
      </c>
      <c r="E1036" s="95" t="s">
        <v>149</v>
      </c>
      <c r="F1036" s="95" t="s">
        <v>150</v>
      </c>
      <c r="G1036" s="109">
        <v>0.125</v>
      </c>
      <c r="H1036" s="104">
        <f>VLOOKUP($E1036,'Stock statement'!$D$2:$P$384,13,)</f>
        <v>161.56941474217822</v>
      </c>
      <c r="I1036" s="127">
        <v>2.5000000000000001E-2</v>
      </c>
      <c r="J1036" s="113">
        <v>1.0249999999999999</v>
      </c>
      <c r="K1036" s="106">
        <f t="shared" si="89"/>
        <v>21.218608295437623</v>
      </c>
      <c r="L1036" s="115"/>
      <c r="M1036" s="104">
        <f t="shared" si="90"/>
        <v>0.1222191837817207</v>
      </c>
    </row>
    <row r="1037" spans="1:13">
      <c r="A1037" s="100" t="str">
        <f>VLOOKUP(C1037,Abstract!$E$4:$M$62,9,0)</f>
        <v>No Sales</v>
      </c>
      <c r="B1037" s="99" t="s">
        <v>138</v>
      </c>
      <c r="C1037" s="133" t="s">
        <v>84</v>
      </c>
      <c r="D1037" s="133" t="s">
        <v>465</v>
      </c>
      <c r="E1037" s="95" t="s">
        <v>151</v>
      </c>
      <c r="F1037" s="95" t="s">
        <v>152</v>
      </c>
      <c r="G1037" s="109">
        <v>2.5</v>
      </c>
      <c r="H1037" s="104">
        <f>VLOOKUP($E1037,'Stock statement'!$D$2:$P$384,13,)</f>
        <v>762.38931335604309</v>
      </c>
      <c r="I1037" s="127">
        <v>2.5000000000000001E-2</v>
      </c>
      <c r="J1037" s="113">
        <v>1.0249999999999999</v>
      </c>
      <c r="K1037" s="106">
        <f t="shared" si="89"/>
        <v>2002.4631808617316</v>
      </c>
      <c r="L1037" s="115"/>
      <c r="M1037" s="104">
        <f t="shared" si="90"/>
        <v>11.534187921763573</v>
      </c>
    </row>
    <row r="1038" spans="1:13">
      <c r="A1038" s="100" t="str">
        <f>VLOOKUP(C1038,Abstract!$E$4:$M$62,9,0)</f>
        <v>No Sales</v>
      </c>
      <c r="B1038" s="99" t="s">
        <v>138</v>
      </c>
      <c r="C1038" s="133" t="s">
        <v>84</v>
      </c>
      <c r="D1038" s="133" t="s">
        <v>465</v>
      </c>
      <c r="E1038" s="95" t="s">
        <v>157</v>
      </c>
      <c r="F1038" s="95" t="s">
        <v>158</v>
      </c>
      <c r="G1038" s="109">
        <v>1</v>
      </c>
      <c r="H1038" s="104">
        <f>VLOOKUP($E1038,'Stock statement'!$D$2:$P$384,13,)</f>
        <v>828.81974703846117</v>
      </c>
      <c r="I1038" s="127">
        <v>2.5000000000000001E-2</v>
      </c>
      <c r="J1038" s="113">
        <v>1.0249999999999999</v>
      </c>
      <c r="K1038" s="106">
        <f t="shared" si="89"/>
        <v>870.77874673228314</v>
      </c>
      <c r="L1038" s="115"/>
      <c r="M1038" s="104">
        <f t="shared" si="90"/>
        <v>5.0156855811779506</v>
      </c>
    </row>
    <row r="1039" spans="1:13">
      <c r="A1039" s="100" t="str">
        <f>VLOOKUP(C1039,Abstract!$E$4:$M$62,9,0)</f>
        <v>No Sales</v>
      </c>
      <c r="B1039" s="99" t="s">
        <v>138</v>
      </c>
      <c r="C1039" s="133" t="s">
        <v>84</v>
      </c>
      <c r="D1039" s="133" t="s">
        <v>465</v>
      </c>
      <c r="E1039" s="157">
        <v>115150</v>
      </c>
      <c r="F1039" s="95" t="s">
        <v>159</v>
      </c>
      <c r="G1039" s="109">
        <v>1</v>
      </c>
      <c r="H1039" s="104">
        <f>VLOOKUP($E1039,'Stock statement'!$D$2:$P$384,13,)</f>
        <v>456.30699446392703</v>
      </c>
      <c r="I1039" s="127">
        <v>2.5000000000000001E-2</v>
      </c>
      <c r="J1039" s="113">
        <v>1.0249999999999999</v>
      </c>
      <c r="K1039" s="106">
        <f t="shared" si="89"/>
        <v>479.40753605866325</v>
      </c>
      <c r="L1039" s="115"/>
      <c r="M1039" s="104">
        <f t="shared" si="90"/>
        <v>2.7613874076979004</v>
      </c>
    </row>
    <row r="1040" spans="1:13">
      <c r="A1040" s="100" t="str">
        <f>VLOOKUP(C1040,Abstract!$E$4:$M$62,9,0)</f>
        <v>No Sales</v>
      </c>
      <c r="B1040" s="99" t="s">
        <v>138</v>
      </c>
      <c r="C1040" s="133" t="s">
        <v>84</v>
      </c>
      <c r="D1040" s="133" t="s">
        <v>465</v>
      </c>
      <c r="E1040" s="95" t="s">
        <v>160</v>
      </c>
      <c r="F1040" s="95" t="s">
        <v>161</v>
      </c>
      <c r="G1040" s="109">
        <v>0.25</v>
      </c>
      <c r="H1040" s="104">
        <f>VLOOKUP($E1040,'Stock statement'!$D$2:$P$384,13,)</f>
        <v>3313.2387673094586</v>
      </c>
      <c r="I1040" s="127">
        <v>2.5000000000000001E-2</v>
      </c>
      <c r="J1040" s="113">
        <v>1.0249999999999999</v>
      </c>
      <c r="K1040" s="106">
        <f t="shared" si="89"/>
        <v>870.24286997612489</v>
      </c>
      <c r="L1040" s="115"/>
      <c r="M1040" s="104">
        <f t="shared" si="90"/>
        <v>5.0125989310624792</v>
      </c>
    </row>
    <row r="1041" spans="1:14">
      <c r="A1041" s="100" t="str">
        <f>VLOOKUP(C1041,Abstract!$E$4:$M$62,9,0)</f>
        <v>No Sales</v>
      </c>
      <c r="B1041" s="99" t="s">
        <v>138</v>
      </c>
      <c r="C1041" s="133" t="s">
        <v>84</v>
      </c>
      <c r="D1041" s="133" t="s">
        <v>465</v>
      </c>
      <c r="E1041" s="95" t="s">
        <v>143</v>
      </c>
      <c r="F1041" s="95" t="s">
        <v>144</v>
      </c>
      <c r="G1041" s="109">
        <v>5</v>
      </c>
      <c r="H1041" s="104">
        <f>VLOOKUP($E1041,'Stock statement'!$D$2:$P$384,13,)</f>
        <v>178.57970547017939</v>
      </c>
      <c r="I1041" s="127">
        <v>2.5000000000000001E-2</v>
      </c>
      <c r="J1041" s="113">
        <v>1.0249999999999999</v>
      </c>
      <c r="K1041" s="106">
        <f t="shared" si="89"/>
        <v>938.10151529803602</v>
      </c>
      <c r="L1041" s="115"/>
      <c r="M1041" s="104">
        <f t="shared" si="90"/>
        <v>5.4034647281166874</v>
      </c>
    </row>
    <row r="1042" spans="1:14">
      <c r="A1042" s="100" t="str">
        <f>VLOOKUP(C1042,Abstract!$E$4:$M$62,9,0)</f>
        <v>No Sales</v>
      </c>
      <c r="B1042" s="99" t="s">
        <v>138</v>
      </c>
      <c r="C1042" s="133" t="s">
        <v>84</v>
      </c>
      <c r="D1042" s="133" t="s">
        <v>465</v>
      </c>
      <c r="E1042" s="95" t="s">
        <v>166</v>
      </c>
      <c r="F1042" s="95" t="s">
        <v>167</v>
      </c>
      <c r="G1042" s="109">
        <v>2.5</v>
      </c>
      <c r="H1042" s="104">
        <f>VLOOKUP($E1042,'Stock statement'!$D$2:$P$384,13,)</f>
        <v>127.15913438761541</v>
      </c>
      <c r="I1042" s="127">
        <v>2.5000000000000001E-2</v>
      </c>
      <c r="J1042" s="113">
        <v>1.0249999999999999</v>
      </c>
      <c r="K1042" s="106">
        <f t="shared" si="89"/>
        <v>333.99141391497102</v>
      </c>
      <c r="L1042" s="115"/>
      <c r="M1042" s="104">
        <f t="shared" si="90"/>
        <v>1.923790544150233</v>
      </c>
    </row>
    <row r="1043" spans="1:14">
      <c r="A1043" s="100" t="str">
        <f>VLOOKUP(C1043,Abstract!$E$4:$M$62,9,0)</f>
        <v>No Sales</v>
      </c>
      <c r="B1043" s="99" t="s">
        <v>138</v>
      </c>
      <c r="C1043" s="133" t="s">
        <v>84</v>
      </c>
      <c r="D1043" s="133" t="s">
        <v>465</v>
      </c>
      <c r="E1043" s="95" t="s">
        <v>209</v>
      </c>
      <c r="F1043" s="95" t="s">
        <v>210</v>
      </c>
      <c r="G1043" s="109">
        <v>20</v>
      </c>
      <c r="H1043" s="104">
        <f>VLOOKUP($E1043,'Stock statement'!$D$2:$P$384,13,)</f>
        <v>220.67282625366343</v>
      </c>
      <c r="I1043" s="127">
        <v>2.5000000000000001E-2</v>
      </c>
      <c r="J1043" s="113">
        <v>1.0249999999999999</v>
      </c>
      <c r="K1043" s="106">
        <f t="shared" si="89"/>
        <v>4636.8877616551026</v>
      </c>
      <c r="L1043" s="115"/>
      <c r="M1043" s="104">
        <f t="shared" si="90"/>
        <v>26.708473507133391</v>
      </c>
    </row>
    <row r="1044" spans="1:14">
      <c r="A1044" s="100" t="str">
        <f>VLOOKUP(C1044,Abstract!$E$4:$M$62,9,0)</f>
        <v>No Sales</v>
      </c>
      <c r="B1044" s="99" t="s">
        <v>138</v>
      </c>
      <c r="C1044" s="133" t="s">
        <v>84</v>
      </c>
      <c r="D1044" s="133" t="s">
        <v>465</v>
      </c>
      <c r="E1044" s="95" t="s">
        <v>153</v>
      </c>
      <c r="F1044" s="95" t="s">
        <v>154</v>
      </c>
      <c r="G1044" s="109">
        <v>0.75</v>
      </c>
      <c r="H1044" s="104">
        <f>VLOOKUP($E1044,'Stock statement'!$D$2:$P$384,13,)</f>
        <v>84.206363687840948</v>
      </c>
      <c r="I1044" s="127">
        <v>2.5000000000000001E-2</v>
      </c>
      <c r="J1044" s="113">
        <v>1.0249999999999999</v>
      </c>
      <c r="K1044" s="106">
        <f t="shared" si="89"/>
        <v>66.351983137153411</v>
      </c>
      <c r="L1044" s="115"/>
      <c r="M1044" s="104">
        <f t="shared" si="90"/>
        <v>0.38218742287000362</v>
      </c>
    </row>
    <row r="1045" spans="1:14">
      <c r="A1045" s="100" t="str">
        <f>VLOOKUP(C1045,Abstract!$E$4:$M$62,9,0)</f>
        <v>No Sales</v>
      </c>
      <c r="B1045" s="99" t="s">
        <v>138</v>
      </c>
      <c r="C1045" s="133" t="s">
        <v>84</v>
      </c>
      <c r="D1045" s="133" t="s">
        <v>465</v>
      </c>
      <c r="E1045" s="95" t="s">
        <v>147</v>
      </c>
      <c r="F1045" s="95" t="s">
        <v>148</v>
      </c>
      <c r="G1045" s="109">
        <v>1</v>
      </c>
      <c r="H1045" s="104">
        <f>VLOOKUP($E1045,'Stock statement'!$D$2:$P$384,13,)</f>
        <v>353.50950483838068</v>
      </c>
      <c r="I1045" s="127">
        <v>2.5000000000000001E-2</v>
      </c>
      <c r="J1045" s="113">
        <v>1.0249999999999999</v>
      </c>
      <c r="K1045" s="106">
        <f t="shared" si="89"/>
        <v>371.40592352082365</v>
      </c>
      <c r="L1045" s="115"/>
      <c r="M1045" s="104">
        <f t="shared" si="90"/>
        <v>2.1392981194799443</v>
      </c>
    </row>
    <row r="1046" spans="1:14">
      <c r="A1046" s="100" t="str">
        <f>VLOOKUP(C1046,Abstract!$E$4:$M$62,9,0)</f>
        <v>No Sales</v>
      </c>
      <c r="B1046" s="99" t="s">
        <v>138</v>
      </c>
      <c r="C1046" s="133" t="s">
        <v>84</v>
      </c>
      <c r="D1046" s="133" t="s">
        <v>465</v>
      </c>
      <c r="E1046" s="95" t="s">
        <v>257</v>
      </c>
      <c r="F1046" s="95" t="s">
        <v>258</v>
      </c>
      <c r="G1046" s="109">
        <v>0.1</v>
      </c>
      <c r="H1046" s="104">
        <f>VLOOKUP($E1046,'Stock statement'!$D$2:$P$384,13,)</f>
        <v>1031.4407683596341</v>
      </c>
      <c r="I1046" s="127">
        <v>2.5000000000000001E-2</v>
      </c>
      <c r="J1046" s="113">
        <v>1.0249999999999999</v>
      </c>
      <c r="K1046" s="106">
        <f t="shared" si="89"/>
        <v>108.36574572578405</v>
      </c>
      <c r="L1046" s="115"/>
      <c r="M1046" s="104">
        <f t="shared" si="90"/>
        <v>0.62418669538051608</v>
      </c>
    </row>
    <row r="1047" spans="1:14">
      <c r="A1047" s="100" t="str">
        <f>VLOOKUP(C1047,Abstract!$E$4:$M$62,9,0)</f>
        <v>No Sales</v>
      </c>
      <c r="B1047" s="99" t="s">
        <v>138</v>
      </c>
      <c r="C1047" s="133" t="s">
        <v>84</v>
      </c>
      <c r="D1047" s="133" t="s">
        <v>465</v>
      </c>
      <c r="E1047" s="95" t="s">
        <v>177</v>
      </c>
      <c r="F1047" s="95" t="s">
        <v>178</v>
      </c>
      <c r="G1047" s="109">
        <v>0.1</v>
      </c>
      <c r="H1047" s="104">
        <f>VLOOKUP($E1047,'Stock statement'!$D$2:$P$384,13,)</f>
        <v>195.29212473407105</v>
      </c>
      <c r="I1047" s="127">
        <v>2.5000000000000001E-2</v>
      </c>
      <c r="J1047" s="113">
        <v>1.0249999999999999</v>
      </c>
      <c r="K1047" s="106">
        <f t="shared" si="89"/>
        <v>20.517878854873334</v>
      </c>
      <c r="L1047" s="115"/>
      <c r="M1047" s="104">
        <f t="shared" si="90"/>
        <v>0.11818298220407041</v>
      </c>
    </row>
    <row r="1048" spans="1:14">
      <c r="A1048" s="100" t="str">
        <f>VLOOKUP(C1048,Abstract!$E$4:$M$62,9,0)</f>
        <v>No Sales</v>
      </c>
      <c r="B1048" s="99" t="s">
        <v>138</v>
      </c>
      <c r="C1048" s="133" t="s">
        <v>84</v>
      </c>
      <c r="D1048" s="133" t="s">
        <v>465</v>
      </c>
      <c r="E1048" s="95" t="s">
        <v>217</v>
      </c>
      <c r="F1048" s="95" t="s">
        <v>218</v>
      </c>
      <c r="G1048" s="109">
        <v>0.1</v>
      </c>
      <c r="H1048" s="104">
        <f>VLOOKUP($E1048,'Stock statement'!$D$2:$P$384,13,)</f>
        <v>910.5767983004796</v>
      </c>
      <c r="I1048" s="127">
        <v>2.5000000000000001E-2</v>
      </c>
      <c r="J1048" s="113">
        <v>1.0249999999999999</v>
      </c>
      <c r="K1048" s="106">
        <f t="shared" si="89"/>
        <v>95.667474871444114</v>
      </c>
      <c r="L1048" s="115"/>
      <c r="M1048" s="104">
        <f t="shared" si="90"/>
        <v>0.55104465525951807</v>
      </c>
    </row>
    <row r="1049" spans="1:14">
      <c r="A1049" s="100" t="str">
        <f>VLOOKUP(C1049,Abstract!$E$4:$M$62,9,0)</f>
        <v>No Sales</v>
      </c>
      <c r="B1049" s="99" t="s">
        <v>138</v>
      </c>
      <c r="C1049" s="133" t="s">
        <v>84</v>
      </c>
      <c r="D1049" s="133" t="s">
        <v>465</v>
      </c>
      <c r="E1049" s="95" t="s">
        <v>259</v>
      </c>
      <c r="F1049" s="95" t="s">
        <v>466</v>
      </c>
      <c r="G1049" s="109">
        <v>0.06</v>
      </c>
      <c r="H1049" s="104">
        <f>VLOOKUP($E1049,'Stock statement'!$D$2:$P$384,13,)</f>
        <v>894.46244467712404</v>
      </c>
      <c r="I1049" s="127">
        <v>2.5000000000000001E-2</v>
      </c>
      <c r="J1049" s="113">
        <v>1.0249999999999999</v>
      </c>
      <c r="K1049" s="106">
        <f t="shared" si="89"/>
        <v>56.384676356334197</v>
      </c>
      <c r="L1049" s="115"/>
      <c r="M1049" s="104">
        <f t="shared" si="90"/>
        <v>0.32477573581248498</v>
      </c>
    </row>
    <row r="1050" spans="1:14">
      <c r="A1050" s="100" t="str">
        <f>VLOOKUP(C1050,Abstract!$E$4:$M$62,9,0)</f>
        <v>No Sales</v>
      </c>
      <c r="B1050" s="99" t="s">
        <v>138</v>
      </c>
      <c r="C1050" s="133" t="s">
        <v>84</v>
      </c>
      <c r="D1050" s="133" t="s">
        <v>465</v>
      </c>
      <c r="E1050" s="95" t="s">
        <v>155</v>
      </c>
      <c r="F1050" s="95" t="s">
        <v>156</v>
      </c>
      <c r="G1050" s="109">
        <v>15</v>
      </c>
      <c r="H1050" s="104">
        <f>VLOOKUP($E1050,'Stock statement'!$D$2:$P$384,13,)</f>
        <v>68.308211638055738</v>
      </c>
      <c r="I1050" s="127">
        <v>2.5000000000000001E-2</v>
      </c>
      <c r="J1050" s="113">
        <v>1.0249999999999999</v>
      </c>
      <c r="K1050" s="106">
        <f t="shared" si="89"/>
        <v>1076.4947227834843</v>
      </c>
      <c r="L1050" s="115"/>
      <c r="M1050" s="104">
        <f t="shared" si="90"/>
        <v>6.2006096032328699</v>
      </c>
    </row>
    <row r="1051" spans="1:14">
      <c r="A1051" s="100" t="str">
        <f>VLOOKUP(C1051,Abstract!$E$4:$M$62,9,0)</f>
        <v>No Sales</v>
      </c>
      <c r="B1051" s="99" t="s">
        <v>138</v>
      </c>
      <c r="C1051" s="133" t="s">
        <v>84</v>
      </c>
      <c r="D1051" s="133" t="s">
        <v>465</v>
      </c>
      <c r="E1051" s="95" t="s">
        <v>261</v>
      </c>
      <c r="F1051" s="95" t="s">
        <v>262</v>
      </c>
      <c r="G1051" s="109">
        <v>2.5</v>
      </c>
      <c r="H1051" s="104">
        <f>VLOOKUP($E1051,'Stock statement'!$D$2:$P$384,13,)</f>
        <v>0</v>
      </c>
      <c r="I1051" s="127">
        <v>2.5000000000000001E-2</v>
      </c>
      <c r="J1051" s="113">
        <v>1.0249999999999999</v>
      </c>
      <c r="K1051" s="106">
        <f t="shared" si="89"/>
        <v>0</v>
      </c>
      <c r="L1051" s="115"/>
      <c r="M1051" s="104">
        <f t="shared" si="90"/>
        <v>0</v>
      </c>
    </row>
    <row r="1052" spans="1:14">
      <c r="A1052" s="100" t="str">
        <f>VLOOKUP(C1052,Abstract!$E$4:$M$62,9,0)</f>
        <v>No Sales</v>
      </c>
      <c r="B1052" s="99" t="s">
        <v>138</v>
      </c>
      <c r="C1052" s="133" t="s">
        <v>84</v>
      </c>
      <c r="D1052" s="133" t="s">
        <v>465</v>
      </c>
      <c r="E1052" s="95" t="s">
        <v>263</v>
      </c>
      <c r="F1052" s="95" t="s">
        <v>264</v>
      </c>
      <c r="G1052" s="109">
        <v>6</v>
      </c>
      <c r="H1052" s="104">
        <f>VLOOKUP($E1052,'Stock statement'!$D$2:$P$384,13,)</f>
        <v>727.3911741078939</v>
      </c>
      <c r="I1052" s="127">
        <v>2.5000000000000001E-2</v>
      </c>
      <c r="J1052" s="113">
        <v>1.0249999999999999</v>
      </c>
      <c r="K1052" s="106">
        <f t="shared" si="89"/>
        <v>4585.2921137826361</v>
      </c>
      <c r="L1052" s="115"/>
      <c r="M1052" s="104">
        <f t="shared" si="90"/>
        <v>26.411282575387983</v>
      </c>
    </row>
    <row r="1053" spans="1:14">
      <c r="A1053" s="100" t="str">
        <f>VLOOKUP(C1053,Abstract!$E$4:$M$62,9,0)</f>
        <v>No Sales</v>
      </c>
      <c r="B1053" s="99" t="s">
        <v>138</v>
      </c>
      <c r="C1053" s="133" t="s">
        <v>84</v>
      </c>
      <c r="D1053" s="133" t="s">
        <v>465</v>
      </c>
      <c r="E1053" s="95" t="s">
        <v>173</v>
      </c>
      <c r="F1053" s="95" t="s">
        <v>174</v>
      </c>
      <c r="G1053" s="109">
        <v>0.05</v>
      </c>
      <c r="H1053" s="104">
        <f>VLOOKUP($E1053,'Stock statement'!$D$2:$P$384,13,)</f>
        <v>555.2517156766155</v>
      </c>
      <c r="I1053" s="127">
        <v>2.5000000000000001E-2</v>
      </c>
      <c r="J1053" s="113">
        <v>1.0249999999999999</v>
      </c>
      <c r="K1053" s="106">
        <f t="shared" si="89"/>
        <v>29.168066689137202</v>
      </c>
      <c r="L1053" s="115"/>
      <c r="M1053" s="104">
        <f t="shared" si="90"/>
        <v>0.16800806412943028</v>
      </c>
    </row>
    <row r="1054" spans="1:14">
      <c r="A1054" s="100" t="str">
        <f>VLOOKUP(C1054,Abstract!$E$4:$M$62,9,0)</f>
        <v>No Sales</v>
      </c>
      <c r="B1054" s="99" t="s">
        <v>138</v>
      </c>
      <c r="C1054" s="133" t="s">
        <v>84</v>
      </c>
      <c r="D1054" s="133" t="s">
        <v>465</v>
      </c>
      <c r="E1054" s="95" t="s">
        <v>181</v>
      </c>
      <c r="F1054" s="95" t="s">
        <v>182</v>
      </c>
      <c r="G1054" s="109">
        <v>12.5</v>
      </c>
      <c r="H1054" s="104">
        <f>VLOOKUP($E1054,'Stock statement'!$D$2:$P$384,13,)</f>
        <v>17.110276913020375</v>
      </c>
      <c r="I1054" s="127">
        <v>2.5000000000000001E-2</v>
      </c>
      <c r="J1054" s="113">
        <v>1.0249999999999999</v>
      </c>
      <c r="K1054" s="106">
        <f t="shared" si="89"/>
        <v>224.70605852177536</v>
      </c>
      <c r="L1054" s="115"/>
      <c r="M1054" s="104">
        <f t="shared" si="90"/>
        <v>1.2943068970854261</v>
      </c>
    </row>
    <row r="1055" spans="1:14">
      <c r="A1055" s="100" t="str">
        <f>VLOOKUP(C1055,Abstract!$E$4:$M$62,9,0)</f>
        <v>No Sales</v>
      </c>
      <c r="B1055" s="99" t="s">
        <v>183</v>
      </c>
      <c r="C1055" s="133" t="s">
        <v>84</v>
      </c>
      <c r="D1055" s="133" t="s">
        <v>465</v>
      </c>
      <c r="E1055" s="95" t="s">
        <v>290</v>
      </c>
      <c r="F1055" s="95" t="s">
        <v>467</v>
      </c>
      <c r="G1055" s="109">
        <v>173.61111111111111</v>
      </c>
      <c r="H1055" s="104">
        <f>VLOOKUP($E1055,'Stock statement'!$D$2:$P$384,13,)</f>
        <v>24.692365269461074</v>
      </c>
      <c r="I1055" s="127">
        <v>6.0000000000000001E-3</v>
      </c>
      <c r="J1055" s="113">
        <v>1</v>
      </c>
      <c r="K1055" s="106">
        <f t="shared" si="89"/>
        <v>4312.5901842149024</v>
      </c>
      <c r="L1055" s="115"/>
      <c r="M1055" s="104">
        <f t="shared" si="90"/>
        <v>24.840519461077836</v>
      </c>
    </row>
    <row r="1056" spans="1:14">
      <c r="A1056" s="100" t="str">
        <f>VLOOKUP(C1056,Abstract!$E$4:$M$62,9,0)</f>
        <v>No Sales</v>
      </c>
      <c r="B1056" s="99" t="s">
        <v>183</v>
      </c>
      <c r="C1056" s="133" t="s">
        <v>84</v>
      </c>
      <c r="D1056" s="133" t="s">
        <v>465</v>
      </c>
      <c r="E1056" s="95" t="s">
        <v>468</v>
      </c>
      <c r="F1056" s="95" t="s">
        <v>469</v>
      </c>
      <c r="G1056" s="109">
        <v>2083.3333333333335</v>
      </c>
      <c r="H1056" s="104">
        <f>VLOOKUP($E1056,'Stock statement'!$D$2:$P$384,13,)</f>
        <v>0</v>
      </c>
      <c r="I1056" s="127">
        <v>0.02</v>
      </c>
      <c r="J1056" s="113">
        <v>1</v>
      </c>
      <c r="K1056" s="106">
        <f t="shared" si="89"/>
        <v>0</v>
      </c>
      <c r="L1056" s="115"/>
      <c r="M1056" s="104">
        <f t="shared" si="90"/>
        <v>0</v>
      </c>
      <c r="N1056" s="145"/>
    </row>
    <row r="1057" spans="1:14">
      <c r="A1057" s="100" t="str">
        <f>VLOOKUP(C1057,Abstract!$E$4:$M$62,9,0)</f>
        <v>No Sales</v>
      </c>
      <c r="B1057" s="99" t="s">
        <v>183</v>
      </c>
      <c r="C1057" s="133" t="s">
        <v>84</v>
      </c>
      <c r="D1057" s="133" t="s">
        <v>465</v>
      </c>
      <c r="E1057" s="95" t="s">
        <v>292</v>
      </c>
      <c r="F1057" s="95" t="s">
        <v>293</v>
      </c>
      <c r="G1057" s="109">
        <v>12500</v>
      </c>
      <c r="H1057" s="104">
        <f>VLOOKUP($E1057,'Stock statement'!$D$2:$P$384,13,)</f>
        <v>3.1261620977354001</v>
      </c>
      <c r="I1057" s="127">
        <v>6.0000000000000001E-3</v>
      </c>
      <c r="J1057" s="113">
        <v>1</v>
      </c>
      <c r="K1057" s="106">
        <f t="shared" si="89"/>
        <v>39311.48837902266</v>
      </c>
      <c r="L1057" s="115"/>
      <c r="M1057" s="104">
        <f t="shared" si="90"/>
        <v>226.4341730631705</v>
      </c>
      <c r="N1057" s="145"/>
    </row>
    <row r="1058" spans="1:14">
      <c r="A1058" s="100" t="str">
        <f>VLOOKUP(C1058,Abstract!$E$4:$M$62,9,0)</f>
        <v>No Sales</v>
      </c>
      <c r="B1058" s="99" t="s">
        <v>183</v>
      </c>
      <c r="C1058" s="133" t="s">
        <v>84</v>
      </c>
      <c r="D1058" s="133" t="s">
        <v>465</v>
      </c>
      <c r="E1058" s="95" t="s">
        <v>294</v>
      </c>
      <c r="F1058" s="95" t="s">
        <v>295</v>
      </c>
      <c r="G1058" s="109">
        <v>12500</v>
      </c>
      <c r="H1058" s="104">
        <f>VLOOKUP($E1058,'Stock statement'!$D$2:$P$384,13,)</f>
        <v>3.5590061241147728</v>
      </c>
      <c r="I1058" s="127">
        <v>6.0000000000000001E-3</v>
      </c>
      <c r="J1058" s="113">
        <v>1</v>
      </c>
      <c r="K1058" s="106">
        <f t="shared" si="89"/>
        <v>44754.502010743265</v>
      </c>
      <c r="L1058" s="115"/>
      <c r="M1058" s="104">
        <f t="shared" si="90"/>
        <v>257.78593158188119</v>
      </c>
    </row>
    <row r="1059" spans="1:14">
      <c r="A1059" s="100" t="str">
        <f>VLOOKUP(C1059,Abstract!$E$4:$M$62,9,0)</f>
        <v>No Sales</v>
      </c>
      <c r="B1059" s="99" t="s">
        <v>183</v>
      </c>
      <c r="C1059" s="133" t="s">
        <v>84</v>
      </c>
      <c r="D1059" s="133" t="s">
        <v>465</v>
      </c>
      <c r="E1059" s="95" t="s">
        <v>296</v>
      </c>
      <c r="F1059" s="95" t="s">
        <v>297</v>
      </c>
      <c r="G1059" s="109">
        <v>12500</v>
      </c>
      <c r="H1059" s="104">
        <f>VLOOKUP($E1059,'Stock statement'!$D$2:$P$384,13,)</f>
        <v>1.2029985604933282</v>
      </c>
      <c r="I1059" s="127">
        <v>0.02</v>
      </c>
      <c r="J1059" s="113">
        <v>1</v>
      </c>
      <c r="K1059" s="106">
        <f t="shared" si="89"/>
        <v>15338.231646289936</v>
      </c>
      <c r="L1059" s="115"/>
      <c r="M1059" s="104">
        <f t="shared" si="90"/>
        <v>88.348214282630025</v>
      </c>
    </row>
    <row r="1060" spans="1:14">
      <c r="A1060" s="100" t="str">
        <f>VLOOKUP(C1060,Abstract!$E$4:$M$62,9,0)</f>
        <v>No Sales</v>
      </c>
      <c r="B1060" s="99" t="s">
        <v>183</v>
      </c>
      <c r="C1060" s="133" t="s">
        <v>84</v>
      </c>
      <c r="D1060" s="133" t="s">
        <v>465</v>
      </c>
      <c r="E1060" s="95" t="s">
        <v>298</v>
      </c>
      <c r="F1060" s="95" t="s">
        <v>299</v>
      </c>
      <c r="G1060" s="109">
        <v>12500</v>
      </c>
      <c r="H1060" s="104">
        <f>VLOOKUP($E1060,'Stock statement'!$D$2:$P$384,13,)</f>
        <v>0.91008493081490049</v>
      </c>
      <c r="I1060" s="127">
        <v>0.02</v>
      </c>
      <c r="J1060" s="113">
        <v>1</v>
      </c>
      <c r="K1060" s="106">
        <f t="shared" si="89"/>
        <v>11603.582867889982</v>
      </c>
      <c r="L1060" s="115"/>
      <c r="M1060" s="104">
        <f t="shared" si="90"/>
        <v>66.836637319046289</v>
      </c>
    </row>
    <row r="1061" spans="1:14">
      <c r="A1061" s="100" t="str">
        <f>VLOOKUP(C1061,Abstract!$E$4:$M$62,9,0)</f>
        <v>No Sales</v>
      </c>
      <c r="B1061" s="99" t="s">
        <v>197</v>
      </c>
      <c r="C1061" s="133" t="s">
        <v>84</v>
      </c>
      <c r="D1061" s="133" t="s">
        <v>465</v>
      </c>
      <c r="E1061" s="95" t="s">
        <v>191</v>
      </c>
      <c r="F1061" s="95" t="s">
        <v>192</v>
      </c>
      <c r="G1061" s="109">
        <v>4.3402777777777777</v>
      </c>
      <c r="H1061" s="104">
        <f>VLOOKUP($E1061,'Stock statement'!$D$2:$P$384,13,)</f>
        <v>44.985440769279101</v>
      </c>
      <c r="I1061" s="127">
        <v>0.02</v>
      </c>
      <c r="J1061" s="113">
        <v>1</v>
      </c>
      <c r="K1061" s="106">
        <f t="shared" si="89"/>
        <v>199.15429507232935</v>
      </c>
      <c r="L1061" s="115"/>
      <c r="M1061" s="104">
        <f t="shared" si="90"/>
        <v>1.147128739616617</v>
      </c>
    </row>
    <row r="1062" spans="1:14">
      <c r="A1062" s="100" t="str">
        <f>VLOOKUP(C1062,Abstract!$E$4:$M$62,9,0)</f>
        <v>No Sales</v>
      </c>
      <c r="B1062" s="99" t="s">
        <v>197</v>
      </c>
      <c r="C1062" s="133" t="s">
        <v>84</v>
      </c>
      <c r="D1062" s="133" t="s">
        <v>465</v>
      </c>
      <c r="E1062" s="95" t="s">
        <v>195</v>
      </c>
      <c r="F1062" s="95"/>
      <c r="G1062" s="109">
        <f>G1057</f>
        <v>12500</v>
      </c>
      <c r="H1062" s="104">
        <v>0.04</v>
      </c>
      <c r="I1062" s="127"/>
      <c r="J1062" s="113">
        <v>1</v>
      </c>
      <c r="K1062" s="106">
        <f t="shared" si="89"/>
        <v>500</v>
      </c>
      <c r="L1062" s="115"/>
      <c r="M1062" s="104">
        <f t="shared" si="90"/>
        <v>2.88</v>
      </c>
    </row>
    <row r="1063" spans="1:14">
      <c r="A1063" s="100" t="str">
        <f>VLOOKUP(C1063,Abstract!$E$4:$M$62,9,0)</f>
        <v>No Sales</v>
      </c>
      <c r="B1063" s="99" t="s">
        <v>197</v>
      </c>
      <c r="C1063" s="133" t="s">
        <v>84</v>
      </c>
      <c r="D1063" s="133" t="s">
        <v>465</v>
      </c>
      <c r="E1063" s="95" t="s">
        <v>196</v>
      </c>
      <c r="F1063" s="95"/>
      <c r="G1063" s="109">
        <f>G1062*24</f>
        <v>300000</v>
      </c>
      <c r="H1063" s="130">
        <v>1.6999999999999999E-3</v>
      </c>
      <c r="I1063" s="127"/>
      <c r="J1063" s="113">
        <v>1</v>
      </c>
      <c r="K1063" s="106">
        <f t="shared" si="89"/>
        <v>510</v>
      </c>
      <c r="L1063" s="115"/>
      <c r="M1063" s="104">
        <f t="shared" si="90"/>
        <v>2.9375999999999998</v>
      </c>
    </row>
    <row r="1064" spans="1:14">
      <c r="A1064" s="100" t="str">
        <f>VLOOKUP(C1064,Abstract!$E$4:$M$62,9,0)</f>
        <v>No Sales</v>
      </c>
      <c r="B1064" s="99" t="s">
        <v>197</v>
      </c>
      <c r="C1064" s="133" t="s">
        <v>84</v>
      </c>
      <c r="D1064" s="133" t="s">
        <v>465</v>
      </c>
      <c r="E1064" s="95" t="s">
        <v>440</v>
      </c>
      <c r="F1064" s="95"/>
      <c r="G1064" s="109"/>
      <c r="H1064" s="104"/>
      <c r="I1064" s="127"/>
      <c r="J1064" s="113"/>
      <c r="K1064" s="106">
        <v>9000</v>
      </c>
      <c r="L1064" s="115">
        <f>SUM(K1033:K1064)</f>
        <v>162560.26394882047</v>
      </c>
      <c r="M1064" s="104">
        <f t="shared" si="90"/>
        <v>51.839999999999996</v>
      </c>
    </row>
    <row r="1065" spans="1:14">
      <c r="A1065" s="100" t="str">
        <f>VLOOKUP(C1065,Abstract!$E$4:$M$62,9,0)</f>
        <v>ACTIVE</v>
      </c>
      <c r="B1065" s="99" t="s">
        <v>138</v>
      </c>
      <c r="C1065" s="133" t="s">
        <v>82</v>
      </c>
      <c r="D1065" s="133" t="s">
        <v>470</v>
      </c>
      <c r="E1065" s="95" t="s">
        <v>141</v>
      </c>
      <c r="F1065" s="95" t="s">
        <v>142</v>
      </c>
      <c r="G1065" s="109">
        <v>157.19999999999999</v>
      </c>
      <c r="H1065" s="104">
        <f>VLOOKUP($E1065,'Stock statement'!$D$2:$P$384,13,)</f>
        <v>94.278330452007026</v>
      </c>
      <c r="I1065" s="127">
        <v>2.5000000000000001E-2</v>
      </c>
      <c r="J1065" s="116">
        <v>1.0249999999999999</v>
      </c>
      <c r="K1065" s="106">
        <f>+G1065*H1065*(1+I1065)*J1065</f>
        <v>15570.844070375186</v>
      </c>
      <c r="L1065" s="115"/>
      <c r="M1065" s="104">
        <f>K1065/$G$1088</f>
        <v>179.37612369072212</v>
      </c>
    </row>
    <row r="1066" spans="1:14">
      <c r="A1066" s="100" t="str">
        <f>VLOOKUP(C1066,Abstract!$E$4:$M$62,9,0)</f>
        <v>ACTIVE</v>
      </c>
      <c r="B1066" s="99" t="s">
        <v>138</v>
      </c>
      <c r="C1066" s="133" t="s">
        <v>82</v>
      </c>
      <c r="D1066" s="133" t="s">
        <v>470</v>
      </c>
      <c r="E1066" s="95" t="s">
        <v>145</v>
      </c>
      <c r="F1066" s="95" t="s">
        <v>471</v>
      </c>
      <c r="G1066" s="109">
        <v>15</v>
      </c>
      <c r="H1066" s="104">
        <f>VLOOKUP($E1066,'Stock statement'!$D$2:$P$384,13,)</f>
        <v>151.08681180977209</v>
      </c>
      <c r="I1066" s="127">
        <v>2.5000000000000001E-2</v>
      </c>
      <c r="J1066" s="116">
        <v>1.0249999999999999</v>
      </c>
      <c r="K1066" s="106">
        <f t="shared" ref="K1066:K1089" si="91">+G1066*H1066*(1+I1066)*J1066</f>
        <v>2381.0337248646265</v>
      </c>
      <c r="L1066" s="115"/>
      <c r="M1066" s="104">
        <f t="shared" ref="M1066:M1090" si="92">K1066/$G$1088</f>
        <v>27.429508510440495</v>
      </c>
    </row>
    <row r="1067" spans="1:14">
      <c r="A1067" s="100" t="str">
        <f>VLOOKUP(C1067,Abstract!$E$4:$M$62,9,0)</f>
        <v>ACTIVE</v>
      </c>
      <c r="B1067" s="99" t="s">
        <v>138</v>
      </c>
      <c r="C1067" s="133" t="s">
        <v>82</v>
      </c>
      <c r="D1067" s="133" t="s">
        <v>470</v>
      </c>
      <c r="E1067" s="95" t="s">
        <v>149</v>
      </c>
      <c r="F1067" s="95" t="s">
        <v>150</v>
      </c>
      <c r="G1067" s="109">
        <v>0.125</v>
      </c>
      <c r="H1067" s="104">
        <f>VLOOKUP($E1067,'Stock statement'!$D$2:$P$384,13,)</f>
        <v>161.56941474217822</v>
      </c>
      <c r="I1067" s="127">
        <v>2.5000000000000001E-2</v>
      </c>
      <c r="J1067" s="116">
        <v>1.0249999999999999</v>
      </c>
      <c r="K1067" s="106">
        <f t="shared" si="91"/>
        <v>21.218608295437623</v>
      </c>
      <c r="L1067" s="115"/>
      <c r="M1067" s="104">
        <f t="shared" si="92"/>
        <v>0.24443836756344139</v>
      </c>
    </row>
    <row r="1068" spans="1:14">
      <c r="A1068" s="100" t="str">
        <f>VLOOKUP(C1068,Abstract!$E$4:$M$62,9,0)</f>
        <v>ACTIVE</v>
      </c>
      <c r="B1068" s="99" t="s">
        <v>138</v>
      </c>
      <c r="C1068" s="133" t="s">
        <v>82</v>
      </c>
      <c r="D1068" s="133" t="s">
        <v>470</v>
      </c>
      <c r="E1068" s="95" t="s">
        <v>151</v>
      </c>
      <c r="F1068" s="95" t="s">
        <v>310</v>
      </c>
      <c r="G1068" s="109">
        <v>2.75</v>
      </c>
      <c r="H1068" s="104">
        <f>VLOOKUP($E1068,'Stock statement'!$D$2:$P$384,13,)</f>
        <v>762.38931335604309</v>
      </c>
      <c r="I1068" s="127">
        <v>2.5000000000000001E-2</v>
      </c>
      <c r="J1068" s="116">
        <v>1.0249999999999999</v>
      </c>
      <c r="K1068" s="106">
        <f t="shared" si="91"/>
        <v>2202.7094989479046</v>
      </c>
      <c r="L1068" s="115"/>
      <c r="M1068" s="104">
        <f t="shared" si="92"/>
        <v>25.37521342787986</v>
      </c>
    </row>
    <row r="1069" spans="1:14">
      <c r="A1069" s="100" t="str">
        <f>VLOOKUP(C1069,Abstract!$E$4:$M$62,9,0)</f>
        <v>ACTIVE</v>
      </c>
      <c r="B1069" s="99" t="s">
        <v>138</v>
      </c>
      <c r="C1069" s="133" t="s">
        <v>82</v>
      </c>
      <c r="D1069" s="133" t="s">
        <v>470</v>
      </c>
      <c r="E1069" s="95" t="s">
        <v>157</v>
      </c>
      <c r="F1069" s="102" t="s">
        <v>158</v>
      </c>
      <c r="G1069" s="109">
        <v>0.875</v>
      </c>
      <c r="H1069" s="104">
        <f>VLOOKUP($E1069,'Stock statement'!$D$2:$P$384,13,)</f>
        <v>828.81974703846117</v>
      </c>
      <c r="I1069" s="127">
        <v>2.5000000000000001E-2</v>
      </c>
      <c r="J1069" s="116">
        <v>1.0249999999999999</v>
      </c>
      <c r="K1069" s="106">
        <f t="shared" si="91"/>
        <v>761.93140339074773</v>
      </c>
      <c r="L1069" s="115"/>
      <c r="M1069" s="104">
        <f t="shared" si="92"/>
        <v>8.7774497670614142</v>
      </c>
    </row>
    <row r="1070" spans="1:14">
      <c r="A1070" s="100" t="str">
        <f>VLOOKUP(C1070,Abstract!$E$4:$M$62,9,0)</f>
        <v>ACTIVE</v>
      </c>
      <c r="B1070" s="99" t="s">
        <v>138</v>
      </c>
      <c r="C1070" s="133" t="s">
        <v>82</v>
      </c>
      <c r="D1070" s="133" t="s">
        <v>470</v>
      </c>
      <c r="E1070" s="157">
        <v>115150</v>
      </c>
      <c r="F1070" s="36" t="s">
        <v>159</v>
      </c>
      <c r="G1070" s="109">
        <v>0.875</v>
      </c>
      <c r="H1070" s="104">
        <f>VLOOKUP($E1070,'Stock statement'!$D$2:$P$384,13,)</f>
        <v>456.30699446392703</v>
      </c>
      <c r="I1070" s="127">
        <v>2.5000000000000001E-2</v>
      </c>
      <c r="J1070" s="116">
        <v>1.0249999999999999</v>
      </c>
      <c r="K1070" s="106">
        <f t="shared" si="91"/>
        <v>419.48159405133038</v>
      </c>
      <c r="L1070" s="115"/>
      <c r="M1070" s="104">
        <f t="shared" si="92"/>
        <v>4.8324279634713259</v>
      </c>
    </row>
    <row r="1071" spans="1:14">
      <c r="A1071" s="100" t="str">
        <f>VLOOKUP(C1071,Abstract!$E$4:$M$62,9,0)</f>
        <v>ACTIVE</v>
      </c>
      <c r="B1071" s="99" t="s">
        <v>138</v>
      </c>
      <c r="C1071" s="133" t="s">
        <v>82</v>
      </c>
      <c r="D1071" s="133" t="s">
        <v>470</v>
      </c>
      <c r="E1071" s="95" t="s">
        <v>160</v>
      </c>
      <c r="F1071" s="95" t="s">
        <v>161</v>
      </c>
      <c r="G1071" s="109">
        <v>0.3</v>
      </c>
      <c r="H1071" s="104">
        <f>VLOOKUP($E1071,'Stock statement'!$D$2:$P$384,13,)</f>
        <v>3313.2387673094586</v>
      </c>
      <c r="I1071" s="127">
        <v>2.5000000000000001E-2</v>
      </c>
      <c r="J1071" s="116">
        <v>1.0249999999999999</v>
      </c>
      <c r="K1071" s="106">
        <f t="shared" si="91"/>
        <v>1044.2914439713497</v>
      </c>
      <c r="L1071" s="115"/>
      <c r="M1071" s="104">
        <f t="shared" si="92"/>
        <v>12.030237434549949</v>
      </c>
    </row>
    <row r="1072" spans="1:14">
      <c r="A1072" s="100" t="str">
        <f>VLOOKUP(C1072,Abstract!$E$4:$M$62,9,0)</f>
        <v>ACTIVE</v>
      </c>
      <c r="B1072" s="99" t="s">
        <v>138</v>
      </c>
      <c r="C1072" s="133" t="s">
        <v>82</v>
      </c>
      <c r="D1072" s="133" t="s">
        <v>470</v>
      </c>
      <c r="E1072" s="95" t="s">
        <v>166</v>
      </c>
      <c r="F1072" s="95" t="s">
        <v>167</v>
      </c>
      <c r="G1072" s="109">
        <v>2.5</v>
      </c>
      <c r="H1072" s="104">
        <f>VLOOKUP($E1072,'Stock statement'!$D$2:$P$384,13,)</f>
        <v>127.15913438761541</v>
      </c>
      <c r="I1072" s="127">
        <v>2.5000000000000001E-2</v>
      </c>
      <c r="J1072" s="116">
        <v>1.0249999999999999</v>
      </c>
      <c r="K1072" s="106">
        <f t="shared" si="91"/>
        <v>333.99141391497102</v>
      </c>
      <c r="L1072" s="115"/>
      <c r="M1072" s="104">
        <f t="shared" si="92"/>
        <v>3.847581088300466</v>
      </c>
    </row>
    <row r="1073" spans="1:13">
      <c r="A1073" s="100" t="str">
        <f>VLOOKUP(C1073,Abstract!$E$4:$M$62,9,0)</f>
        <v>ACTIVE</v>
      </c>
      <c r="B1073" s="99" t="s">
        <v>138</v>
      </c>
      <c r="C1073" s="133" t="s">
        <v>82</v>
      </c>
      <c r="D1073" s="133" t="s">
        <v>470</v>
      </c>
      <c r="E1073" s="95" t="s">
        <v>155</v>
      </c>
      <c r="F1073" s="95" t="s">
        <v>156</v>
      </c>
      <c r="G1073" s="109">
        <v>10</v>
      </c>
      <c r="H1073" s="104">
        <f>VLOOKUP($E1073,'Stock statement'!$D$2:$P$384,13,)</f>
        <v>68.308211638055738</v>
      </c>
      <c r="I1073" s="127">
        <v>2.5000000000000001E-2</v>
      </c>
      <c r="J1073" s="116">
        <v>1.0249999999999999</v>
      </c>
      <c r="K1073" s="106">
        <f t="shared" si="91"/>
        <v>717.66314852232301</v>
      </c>
      <c r="L1073" s="115"/>
      <c r="M1073" s="104">
        <f t="shared" si="92"/>
        <v>8.2674794709771611</v>
      </c>
    </row>
    <row r="1074" spans="1:13">
      <c r="A1074" s="100" t="str">
        <f>VLOOKUP(C1074,Abstract!$E$4:$M$62,9,0)</f>
        <v>ACTIVE</v>
      </c>
      <c r="B1074" s="99" t="s">
        <v>138</v>
      </c>
      <c r="C1074" s="133" t="s">
        <v>82</v>
      </c>
      <c r="D1074" s="133" t="s">
        <v>470</v>
      </c>
      <c r="E1074" s="95" t="s">
        <v>209</v>
      </c>
      <c r="F1074" s="95" t="s">
        <v>210</v>
      </c>
      <c r="G1074" s="109">
        <v>20</v>
      </c>
      <c r="H1074" s="104">
        <f>VLOOKUP($E1074,'Stock statement'!$D$2:$P$384,13,)</f>
        <v>220.67282625366343</v>
      </c>
      <c r="I1074" s="127">
        <v>2.5000000000000001E-2</v>
      </c>
      <c r="J1074" s="116">
        <v>1.0249999999999999</v>
      </c>
      <c r="K1074" s="106">
        <f t="shared" si="91"/>
        <v>4636.8877616551026</v>
      </c>
      <c r="L1074" s="115"/>
      <c r="M1074" s="104">
        <f t="shared" si="92"/>
        <v>53.416947014266782</v>
      </c>
    </row>
    <row r="1075" spans="1:13">
      <c r="A1075" s="100" t="str">
        <f>VLOOKUP(C1075,Abstract!$E$4:$M$62,9,0)</f>
        <v>ACTIVE</v>
      </c>
      <c r="B1075" s="99" t="s">
        <v>138</v>
      </c>
      <c r="C1075" s="133" t="s">
        <v>82</v>
      </c>
      <c r="D1075" s="133" t="s">
        <v>470</v>
      </c>
      <c r="E1075" s="95" t="s">
        <v>175</v>
      </c>
      <c r="F1075" s="95" t="s">
        <v>176</v>
      </c>
      <c r="G1075" s="109">
        <v>0.1</v>
      </c>
      <c r="H1075" s="104">
        <f>VLOOKUP($E1075,'Stock statement'!$D$2:$P$384,13,)</f>
        <v>1750.9314909799687</v>
      </c>
      <c r="I1075" s="127">
        <v>2.5000000000000001E-2</v>
      </c>
      <c r="J1075" s="116">
        <v>1.0249999999999999</v>
      </c>
      <c r="K1075" s="106">
        <f t="shared" si="91"/>
        <v>183.95723977108293</v>
      </c>
      <c r="L1075" s="115"/>
      <c r="M1075" s="104">
        <f t="shared" si="92"/>
        <v>2.1191874021628752</v>
      </c>
    </row>
    <row r="1076" spans="1:13">
      <c r="A1076" s="100" t="str">
        <f>VLOOKUP(C1076,Abstract!$E$4:$M$62,9,0)</f>
        <v>ACTIVE</v>
      </c>
      <c r="B1076" s="99" t="s">
        <v>138</v>
      </c>
      <c r="C1076" s="133" t="s">
        <v>82</v>
      </c>
      <c r="D1076" s="133" t="s">
        <v>470</v>
      </c>
      <c r="E1076" s="95" t="s">
        <v>177</v>
      </c>
      <c r="F1076" s="95" t="s">
        <v>178</v>
      </c>
      <c r="G1076" s="109">
        <v>0.1</v>
      </c>
      <c r="H1076" s="104">
        <f>VLOOKUP($E1076,'Stock statement'!$D$2:$P$384,13,)</f>
        <v>195.29212473407105</v>
      </c>
      <c r="I1076" s="127">
        <v>2.5000000000000001E-2</v>
      </c>
      <c r="J1076" s="116">
        <v>1.0249999999999999</v>
      </c>
      <c r="K1076" s="106">
        <f t="shared" si="91"/>
        <v>20.517878854873334</v>
      </c>
      <c r="L1076" s="115"/>
      <c r="M1076" s="104">
        <f t="shared" si="92"/>
        <v>0.23636596440814081</v>
      </c>
    </row>
    <row r="1077" spans="1:13">
      <c r="A1077" s="100" t="str">
        <f>VLOOKUP(C1077,Abstract!$E$4:$M$62,9,0)</f>
        <v>ACTIVE</v>
      </c>
      <c r="B1077" s="99" t="s">
        <v>138</v>
      </c>
      <c r="C1077" s="133" t="s">
        <v>82</v>
      </c>
      <c r="D1077" s="133" t="s">
        <v>470</v>
      </c>
      <c r="E1077" s="95" t="s">
        <v>173</v>
      </c>
      <c r="F1077" s="95" t="s">
        <v>174</v>
      </c>
      <c r="G1077" s="109">
        <v>0.1</v>
      </c>
      <c r="H1077" s="104">
        <f>VLOOKUP($E1077,'Stock statement'!$D$2:$P$384,13,)</f>
        <v>555.2517156766155</v>
      </c>
      <c r="I1077" s="127">
        <v>2.5000000000000001E-2</v>
      </c>
      <c r="J1077" s="116">
        <v>1.0249999999999999</v>
      </c>
      <c r="K1077" s="106">
        <f t="shared" si="91"/>
        <v>58.336133378274404</v>
      </c>
      <c r="L1077" s="115"/>
      <c r="M1077" s="104">
        <f t="shared" si="92"/>
        <v>0.67203225651772114</v>
      </c>
    </row>
    <row r="1078" spans="1:13">
      <c r="A1078" s="100" t="str">
        <f>VLOOKUP(C1078,Abstract!$E$4:$M$62,9,0)</f>
        <v>ACTIVE</v>
      </c>
      <c r="B1078" s="99" t="s">
        <v>138</v>
      </c>
      <c r="C1078" s="133" t="s">
        <v>82</v>
      </c>
      <c r="D1078" s="133" t="s">
        <v>470</v>
      </c>
      <c r="E1078" s="95">
        <v>114476</v>
      </c>
      <c r="F1078" s="95" t="s">
        <v>172</v>
      </c>
      <c r="G1078" s="109">
        <v>6</v>
      </c>
      <c r="H1078" s="104">
        <f>VLOOKUP($E1078,'Stock statement'!$D$2:$P$384,13,)</f>
        <v>739.98731621274567</v>
      </c>
      <c r="I1078" s="127">
        <v>2.5000000000000001E-2</v>
      </c>
      <c r="J1078" s="116">
        <v>1.0249999999999999</v>
      </c>
      <c r="K1078" s="106">
        <f t="shared" si="91"/>
        <v>4664.6950445760949</v>
      </c>
      <c r="L1078" s="115"/>
      <c r="M1078" s="104">
        <f t="shared" si="92"/>
        <v>53.737286913516613</v>
      </c>
    </row>
    <row r="1079" spans="1:13">
      <c r="A1079" s="100" t="str">
        <f>VLOOKUP(C1079,Abstract!$E$4:$M$62,9,0)</f>
        <v>ACTIVE</v>
      </c>
      <c r="B1079" s="99" t="s">
        <v>138</v>
      </c>
      <c r="C1079" s="133" t="s">
        <v>82</v>
      </c>
      <c r="D1079" s="133" t="s">
        <v>470</v>
      </c>
      <c r="E1079" s="95" t="s">
        <v>153</v>
      </c>
      <c r="F1079" s="95" t="s">
        <v>364</v>
      </c>
      <c r="G1079" s="109">
        <v>1</v>
      </c>
      <c r="H1079" s="104">
        <f>VLOOKUP($E1079,'Stock statement'!$D$2:$P$384,13,)</f>
        <v>84.206363687840948</v>
      </c>
      <c r="I1079" s="127">
        <v>2.5000000000000001E-2</v>
      </c>
      <c r="J1079" s="116">
        <v>1.0249999999999999</v>
      </c>
      <c r="K1079" s="106">
        <f t="shared" si="91"/>
        <v>88.469310849537877</v>
      </c>
      <c r="L1079" s="115"/>
      <c r="M1079" s="104">
        <f t="shared" si="92"/>
        <v>1.0191664609866764</v>
      </c>
    </row>
    <row r="1080" spans="1:13">
      <c r="A1080" s="100" t="str">
        <f>VLOOKUP(C1080,Abstract!$E$4:$M$62,9,0)</f>
        <v>ACTIVE</v>
      </c>
      <c r="B1080" s="99" t="s">
        <v>138</v>
      </c>
      <c r="C1080" s="133" t="s">
        <v>82</v>
      </c>
      <c r="D1080" s="133" t="s">
        <v>470</v>
      </c>
      <c r="E1080" s="95" t="s">
        <v>164</v>
      </c>
      <c r="F1080" s="95" t="s">
        <v>165</v>
      </c>
      <c r="G1080" s="109">
        <v>3.5000000000000005E-3</v>
      </c>
      <c r="H1080" s="104">
        <f>VLOOKUP($E1080,'Stock statement'!$D$2:$P$384,13,)</f>
        <v>1939</v>
      </c>
      <c r="I1080" s="127">
        <v>2.5000000000000001E-2</v>
      </c>
      <c r="J1080" s="116">
        <v>1.0249999999999999</v>
      </c>
      <c r="K1080" s="106">
        <f t="shared" si="91"/>
        <v>7.1300665624999997</v>
      </c>
      <c r="L1080" s="115"/>
      <c r="M1080" s="104">
        <f t="shared" si="92"/>
        <v>8.2138366800000001E-2</v>
      </c>
    </row>
    <row r="1081" spans="1:13">
      <c r="A1081" s="100" t="str">
        <f>VLOOKUP(C1081,Abstract!$E$4:$M$62,9,0)</f>
        <v>ACTIVE</v>
      </c>
      <c r="B1081" s="99" t="s">
        <v>138</v>
      </c>
      <c r="C1081" s="133" t="s">
        <v>82</v>
      </c>
      <c r="D1081" s="133" t="s">
        <v>470</v>
      </c>
      <c r="E1081" s="95" t="s">
        <v>162</v>
      </c>
      <c r="F1081" s="95" t="s">
        <v>163</v>
      </c>
      <c r="G1081" s="109">
        <v>0.04</v>
      </c>
      <c r="H1081" s="104">
        <f>VLOOKUP($E1081,'Stock statement'!$D$2:$P$384,13,)</f>
        <v>348.44830167161894</v>
      </c>
      <c r="I1081" s="127">
        <v>2.5000000000000001E-2</v>
      </c>
      <c r="J1081" s="116">
        <v>1.0249999999999999</v>
      </c>
      <c r="K1081" s="106">
        <f t="shared" si="91"/>
        <v>14.643539877749783</v>
      </c>
      <c r="L1081" s="115"/>
      <c r="M1081" s="104">
        <f t="shared" si="92"/>
        <v>0.16869357939167751</v>
      </c>
    </row>
    <row r="1082" spans="1:13">
      <c r="A1082" s="100" t="str">
        <f>VLOOKUP(C1082,Abstract!$E$4:$M$62,9,0)</f>
        <v>ACTIVE</v>
      </c>
      <c r="B1082" s="99" t="s">
        <v>138</v>
      </c>
      <c r="C1082" s="133" t="s">
        <v>82</v>
      </c>
      <c r="D1082" s="133" t="s">
        <v>470</v>
      </c>
      <c r="E1082" s="95" t="s">
        <v>143</v>
      </c>
      <c r="F1082" s="95" t="s">
        <v>144</v>
      </c>
      <c r="G1082" s="109">
        <v>5</v>
      </c>
      <c r="H1082" s="104">
        <f>VLOOKUP($E1082,'Stock statement'!$D$2:$P$384,13,)</f>
        <v>178.57970547017939</v>
      </c>
      <c r="I1082" s="127">
        <v>2.5000000000000001E-2</v>
      </c>
      <c r="J1082" s="116">
        <v>1.0249999999999999</v>
      </c>
      <c r="K1082" s="106">
        <f>+G1082*H1082*(1+I1082)*J1082</f>
        <v>938.10151529803602</v>
      </c>
      <c r="L1082" s="115"/>
      <c r="M1082" s="104">
        <f t="shared" si="92"/>
        <v>10.806929456233375</v>
      </c>
    </row>
    <row r="1083" spans="1:13">
      <c r="A1083" s="100" t="str">
        <f>VLOOKUP(C1083,Abstract!$E$4:$M$62,9,0)</f>
        <v>ACTIVE</v>
      </c>
      <c r="B1083" s="99" t="s">
        <v>138</v>
      </c>
      <c r="C1083" s="133" t="s">
        <v>82</v>
      </c>
      <c r="D1083" s="133" t="s">
        <v>470</v>
      </c>
      <c r="E1083" s="95" t="s">
        <v>147</v>
      </c>
      <c r="F1083" s="95" t="s">
        <v>148</v>
      </c>
      <c r="G1083" s="109">
        <v>1</v>
      </c>
      <c r="H1083" s="104">
        <f>VLOOKUP($E1083,'Stock statement'!$D$2:$P$384,13,)</f>
        <v>353.50950483838068</v>
      </c>
      <c r="I1083" s="127">
        <v>2.5000000000000001E-2</v>
      </c>
      <c r="J1083" s="116">
        <v>1.0249999999999999</v>
      </c>
      <c r="K1083" s="106">
        <f t="shared" si="91"/>
        <v>371.40592352082365</v>
      </c>
      <c r="L1083" s="115"/>
      <c r="M1083" s="104">
        <f t="shared" si="92"/>
        <v>4.2785962389598886</v>
      </c>
    </row>
    <row r="1084" spans="1:13">
      <c r="A1084" s="100" t="str">
        <f>VLOOKUP(C1084,Abstract!$E$4:$M$62,9,0)</f>
        <v>ACTIVE</v>
      </c>
      <c r="B1084" s="99" t="s">
        <v>138</v>
      </c>
      <c r="C1084" s="133" t="s">
        <v>82</v>
      </c>
      <c r="D1084" s="133" t="s">
        <v>470</v>
      </c>
      <c r="E1084" s="95" t="s">
        <v>179</v>
      </c>
      <c r="F1084" s="95" t="s">
        <v>180</v>
      </c>
      <c r="G1084" s="109">
        <v>0.5</v>
      </c>
      <c r="H1084" s="104">
        <f>VLOOKUP($E1084,'Stock statement'!$D$2:$P$384,13,)</f>
        <v>1036.4956269221443</v>
      </c>
      <c r="I1084" s="127">
        <v>2.5000000000000001E-2</v>
      </c>
      <c r="J1084" s="116">
        <v>1.0249999999999999</v>
      </c>
      <c r="K1084" s="106">
        <f t="shared" si="91"/>
        <v>544.48410901753891</v>
      </c>
      <c r="L1084" s="115"/>
      <c r="M1084" s="104">
        <f t="shared" si="92"/>
        <v>6.2724569358820483</v>
      </c>
    </row>
    <row r="1085" spans="1:13">
      <c r="A1085" s="100" t="str">
        <f>VLOOKUP(C1085,Abstract!$E$4:$M$62,9,0)</f>
        <v>ACTIVE</v>
      </c>
      <c r="B1085" s="99" t="s">
        <v>138</v>
      </c>
      <c r="C1085" s="133" t="s">
        <v>82</v>
      </c>
      <c r="D1085" s="133" t="s">
        <v>470</v>
      </c>
      <c r="E1085" s="95" t="s">
        <v>181</v>
      </c>
      <c r="F1085" s="95" t="s">
        <v>182</v>
      </c>
      <c r="G1085" s="109">
        <v>12.5</v>
      </c>
      <c r="H1085" s="104">
        <f>VLOOKUP($E1085,'Stock statement'!$D$2:$P$384,13,)</f>
        <v>17.110276913020375</v>
      </c>
      <c r="I1085" s="127">
        <v>2.5000000000000001E-2</v>
      </c>
      <c r="J1085" s="116">
        <v>1.0249999999999999</v>
      </c>
      <c r="K1085" s="106">
        <f t="shared" si="91"/>
        <v>224.70605852177536</v>
      </c>
      <c r="L1085" s="115"/>
      <c r="M1085" s="104">
        <f t="shared" si="92"/>
        <v>2.5886137941708522</v>
      </c>
    </row>
    <row r="1086" spans="1:13">
      <c r="A1086" s="100" t="str">
        <f>VLOOKUP(C1086,Abstract!$E$4:$M$62,9,0)</f>
        <v>ACTIVE</v>
      </c>
      <c r="B1086" s="99" t="s">
        <v>138</v>
      </c>
      <c r="C1086" s="133" t="s">
        <v>82</v>
      </c>
      <c r="D1086" s="133" t="s">
        <v>470</v>
      </c>
      <c r="E1086" s="95" t="s">
        <v>139</v>
      </c>
      <c r="F1086" s="95" t="s">
        <v>472</v>
      </c>
      <c r="G1086" s="109">
        <v>764.03150000000005</v>
      </c>
      <c r="H1086" s="104">
        <f>VLOOKUP($E1086,'Stock statement'!$D$2:$P$384,13,)</f>
        <v>0.34</v>
      </c>
      <c r="I1086" s="127">
        <v>2.5000000000000001E-2</v>
      </c>
      <c r="J1086" s="116">
        <v>1.0249999999999999</v>
      </c>
      <c r="K1086" s="106">
        <f t="shared" si="91"/>
        <v>272.92160219374995</v>
      </c>
      <c r="L1086" s="115"/>
      <c r="M1086" s="104">
        <f t="shared" si="92"/>
        <v>3.1440568572719991</v>
      </c>
    </row>
    <row r="1087" spans="1:13">
      <c r="A1087" s="100" t="str">
        <f>VLOOKUP(C1087,Abstract!$E$4:$M$62,9,0)</f>
        <v>ACTIVE</v>
      </c>
      <c r="B1087" s="99" t="s">
        <v>183</v>
      </c>
      <c r="C1087" s="133" t="s">
        <v>82</v>
      </c>
      <c r="D1087" s="133" t="s">
        <v>470</v>
      </c>
      <c r="E1087" s="95">
        <v>214256</v>
      </c>
      <c r="F1087" s="95" t="s">
        <v>473</v>
      </c>
      <c r="G1087" s="109">
        <f>(1000/(1920*6)*1000)*0.647</f>
        <v>56.16319444444445</v>
      </c>
      <c r="H1087" s="104">
        <f>VLOOKUP($E1087,'Stock statement'!$D$2:$P$384,13,)</f>
        <v>236.45632218812293</v>
      </c>
      <c r="I1087" s="127">
        <v>1.7500000000000002E-2</v>
      </c>
      <c r="J1087" s="113">
        <v>1</v>
      </c>
      <c r="K1087" s="106">
        <f t="shared" si="91"/>
        <v>13512.544892681473</v>
      </c>
      <c r="L1087" s="115"/>
      <c r="M1087" s="104">
        <f t="shared" si="92"/>
        <v>155.66451716369056</v>
      </c>
    </row>
    <row r="1088" spans="1:13">
      <c r="A1088" s="100" t="str">
        <f>VLOOKUP(C1088,Abstract!$E$4:$M$62,9,0)</f>
        <v>ACTIVE</v>
      </c>
      <c r="B1088" s="99" t="s">
        <v>183</v>
      </c>
      <c r="C1088" s="133" t="s">
        <v>82</v>
      </c>
      <c r="D1088" s="133" t="s">
        <v>470</v>
      </c>
      <c r="E1088" s="95">
        <v>214378</v>
      </c>
      <c r="F1088" s="95" t="s">
        <v>406</v>
      </c>
      <c r="G1088" s="109">
        <f>1000/(1920*6)*1000</f>
        <v>86.805555555555557</v>
      </c>
      <c r="H1088" s="104">
        <f>VLOOKUP($E1088,'Stock statement'!$D$2:$P$384,13,)</f>
        <v>40.951267360929606</v>
      </c>
      <c r="I1088" s="127">
        <v>6.0000000000000001E-3</v>
      </c>
      <c r="J1088" s="113">
        <v>1</v>
      </c>
      <c r="K1088" s="106">
        <f t="shared" si="91"/>
        <v>3576.1262990534015</v>
      </c>
      <c r="L1088" s="115"/>
      <c r="M1088" s="104">
        <f t="shared" si="92"/>
        <v>41.196974965095187</v>
      </c>
    </row>
    <row r="1089" spans="1:13">
      <c r="A1089" s="100" t="str">
        <f>VLOOKUP(C1089,Abstract!$E$4:$M$62,9,0)</f>
        <v>ACTIVE</v>
      </c>
      <c r="B1089" s="99" t="s">
        <v>183</v>
      </c>
      <c r="C1089" s="133" t="s">
        <v>82</v>
      </c>
      <c r="D1089" s="133" t="s">
        <v>470</v>
      </c>
      <c r="E1089" s="95" t="s">
        <v>191</v>
      </c>
      <c r="F1089" s="95" t="s">
        <v>192</v>
      </c>
      <c r="G1089" s="109">
        <f>+G1088*0.04</f>
        <v>3.4722222222222223</v>
      </c>
      <c r="H1089" s="104">
        <f>VLOOKUP($E1089,'Stock statement'!$D$2:$P$384,13,)</f>
        <v>44.985440769279101</v>
      </c>
      <c r="I1089" s="127">
        <v>0.02</v>
      </c>
      <c r="J1089" s="113">
        <v>1</v>
      </c>
      <c r="K1089" s="106">
        <f t="shared" si="91"/>
        <v>159.32343605786349</v>
      </c>
      <c r="L1089" s="115"/>
      <c r="M1089" s="104">
        <f t="shared" si="92"/>
        <v>1.8354059833865874</v>
      </c>
    </row>
    <row r="1090" spans="1:13">
      <c r="A1090" s="100" t="str">
        <f>VLOOKUP(C1090,Abstract!$E$4:$M$62,9,0)</f>
        <v>ACTIVE</v>
      </c>
      <c r="B1090" s="99" t="s">
        <v>197</v>
      </c>
      <c r="C1090" s="133" t="s">
        <v>82</v>
      </c>
      <c r="D1090" s="133" t="s">
        <v>470</v>
      </c>
      <c r="E1090" s="95" t="s">
        <v>440</v>
      </c>
      <c r="F1090" s="95"/>
      <c r="G1090" s="109"/>
      <c r="H1090" s="104"/>
      <c r="I1090" s="127"/>
      <c r="J1090" s="113"/>
      <c r="K1090" s="106">
        <v>6180</v>
      </c>
      <c r="L1090" s="115">
        <f>SUM(K1065:K1090)</f>
        <v>58907.415718203745</v>
      </c>
      <c r="M1090" s="104">
        <f t="shared" si="92"/>
        <v>71.193600000000004</v>
      </c>
    </row>
    <row r="1091" spans="1:13">
      <c r="A1091" s="100" t="str">
        <f>VLOOKUP(C1091,Abstract!$E$4:$M$62,9,0)</f>
        <v>No Sales</v>
      </c>
      <c r="B1091" s="99" t="s">
        <v>138</v>
      </c>
      <c r="C1091" s="133" t="s">
        <v>98</v>
      </c>
      <c r="D1091" s="133" t="s">
        <v>99</v>
      </c>
      <c r="E1091" s="95" t="s">
        <v>139</v>
      </c>
      <c r="F1091" s="95" t="s">
        <v>472</v>
      </c>
      <c r="G1091" s="109">
        <v>763.75</v>
      </c>
      <c r="H1091" s="104">
        <f>VLOOKUP($E1091,'Stock statement'!$D$2:$P$384,13,)</f>
        <v>0.34</v>
      </c>
      <c r="I1091" s="127">
        <v>2.5000000000000001E-2</v>
      </c>
      <c r="J1091" s="113">
        <v>1.0249999999999999</v>
      </c>
      <c r="K1091" s="106">
        <f>+G1091*H1091*(1+I1091)*J1091</f>
        <v>272.82104687499998</v>
      </c>
      <c r="L1091" s="115"/>
      <c r="M1091" s="104">
        <f>K1091/$G$1111</f>
        <v>3.1428984599999996</v>
      </c>
    </row>
    <row r="1092" spans="1:13">
      <c r="A1092" s="100" t="str">
        <f>VLOOKUP(C1092,Abstract!$E$4:$M$62,9,0)</f>
        <v>No Sales</v>
      </c>
      <c r="B1092" s="99" t="s">
        <v>138</v>
      </c>
      <c r="C1092" s="133" t="s">
        <v>98</v>
      </c>
      <c r="D1092" s="133" t="s">
        <v>99</v>
      </c>
      <c r="E1092" s="95" t="s">
        <v>141</v>
      </c>
      <c r="F1092" s="95" t="s">
        <v>142</v>
      </c>
      <c r="G1092" s="109">
        <v>157.19999999999999</v>
      </c>
      <c r="H1092" s="104">
        <f>VLOOKUP($E1092,'Stock statement'!$D$2:$P$384,13,)</f>
        <v>94.278330452007026</v>
      </c>
      <c r="I1092" s="127">
        <v>2.5000000000000001E-2</v>
      </c>
      <c r="J1092" s="113">
        <v>1.0249999999999999</v>
      </c>
      <c r="K1092" s="106">
        <f t="shared" ref="K1092:K1113" si="93">+G1092*H1092*(1+I1092)*J1092</f>
        <v>15570.844070375186</v>
      </c>
      <c r="L1092" s="115"/>
      <c r="M1092" s="104">
        <f t="shared" ref="M1092:M1114" si="94">K1092/$G$1111</f>
        <v>179.37612369072212</v>
      </c>
    </row>
    <row r="1093" spans="1:13">
      <c r="A1093" s="100" t="str">
        <f>VLOOKUP(C1093,Abstract!$E$4:$M$62,9,0)</f>
        <v>No Sales</v>
      </c>
      <c r="B1093" s="99" t="s">
        <v>138</v>
      </c>
      <c r="C1093" s="133" t="s">
        <v>98</v>
      </c>
      <c r="D1093" s="133" t="s">
        <v>99</v>
      </c>
      <c r="E1093" s="95" t="s">
        <v>145</v>
      </c>
      <c r="F1093" s="95" t="s">
        <v>471</v>
      </c>
      <c r="G1093" s="109">
        <v>15</v>
      </c>
      <c r="H1093" s="104">
        <f>VLOOKUP($E1093,'Stock statement'!$D$2:$P$384,13,)</f>
        <v>151.08681180977209</v>
      </c>
      <c r="I1093" s="127">
        <v>2.5000000000000001E-2</v>
      </c>
      <c r="J1093" s="113">
        <v>1.0249999999999999</v>
      </c>
      <c r="K1093" s="106">
        <f t="shared" si="93"/>
        <v>2381.0337248646265</v>
      </c>
      <c r="L1093" s="115"/>
      <c r="M1093" s="104">
        <f t="shared" si="94"/>
        <v>27.429508510440495</v>
      </c>
    </row>
    <row r="1094" spans="1:13">
      <c r="A1094" s="100" t="str">
        <f>VLOOKUP(C1094,Abstract!$E$4:$M$62,9,0)</f>
        <v>No Sales</v>
      </c>
      <c r="B1094" s="99" t="s">
        <v>138</v>
      </c>
      <c r="C1094" s="133" t="s">
        <v>98</v>
      </c>
      <c r="D1094" s="133" t="s">
        <v>99</v>
      </c>
      <c r="E1094" s="95" t="s">
        <v>143</v>
      </c>
      <c r="F1094" s="95" t="s">
        <v>144</v>
      </c>
      <c r="G1094" s="109">
        <v>5</v>
      </c>
      <c r="H1094" s="104">
        <f>VLOOKUP($E1094,'Stock statement'!$D$2:$P$384,13,)</f>
        <v>178.57970547017939</v>
      </c>
      <c r="I1094" s="127">
        <v>2.5000000000000001E-2</v>
      </c>
      <c r="J1094" s="113">
        <v>1.0249999999999999</v>
      </c>
      <c r="K1094" s="106">
        <f t="shared" si="93"/>
        <v>938.10151529803602</v>
      </c>
      <c r="L1094" s="115"/>
      <c r="M1094" s="104">
        <f t="shared" si="94"/>
        <v>10.806929456233375</v>
      </c>
    </row>
    <row r="1095" spans="1:13">
      <c r="A1095" s="100" t="str">
        <f>VLOOKUP(C1095,Abstract!$E$4:$M$62,9,0)</f>
        <v>No Sales</v>
      </c>
      <c r="B1095" s="99" t="s">
        <v>138</v>
      </c>
      <c r="C1095" s="133" t="s">
        <v>98</v>
      </c>
      <c r="D1095" s="133" t="s">
        <v>99</v>
      </c>
      <c r="E1095" s="95" t="s">
        <v>149</v>
      </c>
      <c r="F1095" s="95" t="s">
        <v>150</v>
      </c>
      <c r="G1095" s="109">
        <f>0.125+0.025</f>
        <v>0.15</v>
      </c>
      <c r="H1095" s="104">
        <f>VLOOKUP($E1095,'Stock statement'!$D$2:$P$384,13,)</f>
        <v>161.56941474217822</v>
      </c>
      <c r="I1095" s="127">
        <v>2.5000000000000001E-2</v>
      </c>
      <c r="J1095" s="113">
        <v>1.0249999999999999</v>
      </c>
      <c r="K1095" s="106">
        <f t="shared" si="93"/>
        <v>25.462329954525146</v>
      </c>
      <c r="L1095" s="115"/>
      <c r="M1095" s="104">
        <f t="shared" si="94"/>
        <v>0.2933260410761297</v>
      </c>
    </row>
    <row r="1096" spans="1:13">
      <c r="A1096" s="100" t="str">
        <f>VLOOKUP(C1096,Abstract!$E$4:$M$62,9,0)</f>
        <v>No Sales</v>
      </c>
      <c r="B1096" s="99" t="s">
        <v>138</v>
      </c>
      <c r="C1096" s="133" t="s">
        <v>98</v>
      </c>
      <c r="D1096" s="133" t="s">
        <v>99</v>
      </c>
      <c r="E1096" s="95" t="s">
        <v>151</v>
      </c>
      <c r="F1096" s="95" t="s">
        <v>310</v>
      </c>
      <c r="G1096" s="109">
        <v>2.75</v>
      </c>
      <c r="H1096" s="104">
        <f>VLOOKUP($E1096,'Stock statement'!$D$2:$P$384,13,)</f>
        <v>762.38931335604309</v>
      </c>
      <c r="I1096" s="127">
        <v>2.5000000000000001E-2</v>
      </c>
      <c r="J1096" s="113">
        <v>1.0249999999999999</v>
      </c>
      <c r="K1096" s="106">
        <f t="shared" si="93"/>
        <v>2202.7094989479046</v>
      </c>
      <c r="L1096" s="115"/>
      <c r="M1096" s="104">
        <f t="shared" si="94"/>
        <v>25.37521342787986</v>
      </c>
    </row>
    <row r="1097" spans="1:13">
      <c r="A1097" s="100" t="str">
        <f>VLOOKUP(C1097,Abstract!$E$4:$M$62,9,0)</f>
        <v>No Sales</v>
      </c>
      <c r="B1097" s="99" t="s">
        <v>138</v>
      </c>
      <c r="C1097" s="133" t="s">
        <v>98</v>
      </c>
      <c r="D1097" s="133" t="s">
        <v>99</v>
      </c>
      <c r="E1097" s="95" t="s">
        <v>157</v>
      </c>
      <c r="F1097" s="95" t="s">
        <v>158</v>
      </c>
      <c r="G1097" s="109">
        <v>0.875</v>
      </c>
      <c r="H1097" s="104">
        <f>VLOOKUP($E1097,'Stock statement'!$D$2:$P$384,13,)</f>
        <v>828.81974703846117</v>
      </c>
      <c r="I1097" s="127">
        <v>2.5000000000000001E-2</v>
      </c>
      <c r="J1097" s="113">
        <v>1.0249999999999999</v>
      </c>
      <c r="K1097" s="106">
        <f t="shared" si="93"/>
        <v>761.93140339074773</v>
      </c>
      <c r="L1097" s="115"/>
      <c r="M1097" s="104">
        <f t="shared" si="94"/>
        <v>8.7774497670614142</v>
      </c>
    </row>
    <row r="1098" spans="1:13">
      <c r="A1098" s="100" t="str">
        <f>VLOOKUP(C1098,Abstract!$E$4:$M$62,9,0)</f>
        <v>No Sales</v>
      </c>
      <c r="B1098" s="99" t="s">
        <v>138</v>
      </c>
      <c r="C1098" s="133" t="s">
        <v>98</v>
      </c>
      <c r="D1098" s="133" t="s">
        <v>99</v>
      </c>
      <c r="E1098" s="157">
        <v>115150</v>
      </c>
      <c r="F1098" s="95" t="s">
        <v>159</v>
      </c>
      <c r="G1098" s="109">
        <v>0.875</v>
      </c>
      <c r="H1098" s="104">
        <f>VLOOKUP($E1098,'Stock statement'!$D$2:$P$384,13,)</f>
        <v>456.30699446392703</v>
      </c>
      <c r="I1098" s="127">
        <v>2.5000000000000001E-2</v>
      </c>
      <c r="J1098" s="113">
        <v>1.0249999999999999</v>
      </c>
      <c r="K1098" s="106">
        <f t="shared" si="93"/>
        <v>419.48159405133038</v>
      </c>
      <c r="L1098" s="115"/>
      <c r="M1098" s="104">
        <f t="shared" si="94"/>
        <v>4.8324279634713259</v>
      </c>
    </row>
    <row r="1099" spans="1:13">
      <c r="A1099" s="100" t="str">
        <f>VLOOKUP(C1099,Abstract!$E$4:$M$62,9,0)</f>
        <v>No Sales</v>
      </c>
      <c r="B1099" s="99" t="s">
        <v>138</v>
      </c>
      <c r="C1099" s="133" t="s">
        <v>98</v>
      </c>
      <c r="D1099" s="133" t="s">
        <v>99</v>
      </c>
      <c r="E1099" s="95" t="s">
        <v>160</v>
      </c>
      <c r="F1099" s="95" t="s">
        <v>161</v>
      </c>
      <c r="G1099" s="109">
        <v>0.3</v>
      </c>
      <c r="H1099" s="104">
        <f>VLOOKUP($E1099,'Stock statement'!$D$2:$P$384,13,)</f>
        <v>3313.2387673094586</v>
      </c>
      <c r="I1099" s="127">
        <v>2.5000000000000001E-2</v>
      </c>
      <c r="J1099" s="113">
        <v>1.0249999999999999</v>
      </c>
      <c r="K1099" s="106">
        <f t="shared" si="93"/>
        <v>1044.2914439713497</v>
      </c>
      <c r="L1099" s="115"/>
      <c r="M1099" s="104">
        <f t="shared" si="94"/>
        <v>12.030237434549949</v>
      </c>
    </row>
    <row r="1100" spans="1:13">
      <c r="A1100" s="100" t="str">
        <f>VLOOKUP(C1100,Abstract!$E$4:$M$62,9,0)</f>
        <v>No Sales</v>
      </c>
      <c r="B1100" s="99" t="s">
        <v>138</v>
      </c>
      <c r="C1100" s="133" t="s">
        <v>98</v>
      </c>
      <c r="D1100" s="133" t="s">
        <v>99</v>
      </c>
      <c r="E1100" s="95" t="s">
        <v>166</v>
      </c>
      <c r="F1100" s="95" t="s">
        <v>167</v>
      </c>
      <c r="G1100" s="109">
        <v>2.5</v>
      </c>
      <c r="H1100" s="104">
        <f>VLOOKUP($E1100,'Stock statement'!$D$2:$P$384,13,)</f>
        <v>127.15913438761541</v>
      </c>
      <c r="I1100" s="127">
        <v>2.5000000000000001E-2</v>
      </c>
      <c r="J1100" s="113">
        <v>1.0249999999999999</v>
      </c>
      <c r="K1100" s="106">
        <f t="shared" si="93"/>
        <v>333.99141391497102</v>
      </c>
      <c r="L1100" s="115"/>
      <c r="M1100" s="104">
        <f t="shared" si="94"/>
        <v>3.847581088300466</v>
      </c>
    </row>
    <row r="1101" spans="1:13">
      <c r="A1101" s="100" t="str">
        <f>VLOOKUP(C1101,Abstract!$E$4:$M$62,9,0)</f>
        <v>No Sales</v>
      </c>
      <c r="B1101" s="99" t="s">
        <v>138</v>
      </c>
      <c r="C1101" s="133" t="s">
        <v>98</v>
      </c>
      <c r="D1101" s="133" t="s">
        <v>99</v>
      </c>
      <c r="E1101" s="95" t="s">
        <v>209</v>
      </c>
      <c r="F1101" s="95" t="s">
        <v>210</v>
      </c>
      <c r="G1101" s="109">
        <v>20</v>
      </c>
      <c r="H1101" s="104">
        <f>VLOOKUP($E1101,'Stock statement'!$D$2:$P$384,13,)</f>
        <v>220.67282625366343</v>
      </c>
      <c r="I1101" s="127">
        <v>2.5000000000000001E-2</v>
      </c>
      <c r="J1101" s="113">
        <v>1.0249999999999999</v>
      </c>
      <c r="K1101" s="106">
        <f t="shared" si="93"/>
        <v>4636.8877616551026</v>
      </c>
      <c r="L1101" s="115"/>
      <c r="M1101" s="104">
        <f t="shared" si="94"/>
        <v>53.416947014266782</v>
      </c>
    </row>
    <row r="1102" spans="1:13">
      <c r="A1102" s="100" t="str">
        <f>VLOOKUP(C1102,Abstract!$E$4:$M$62,9,0)</f>
        <v>No Sales</v>
      </c>
      <c r="B1102" s="99" t="s">
        <v>138</v>
      </c>
      <c r="C1102" s="133" t="s">
        <v>98</v>
      </c>
      <c r="D1102" s="133" t="s">
        <v>99</v>
      </c>
      <c r="E1102" s="95" t="s">
        <v>173</v>
      </c>
      <c r="F1102" s="95" t="s">
        <v>174</v>
      </c>
      <c r="G1102" s="109">
        <v>0.1</v>
      </c>
      <c r="H1102" s="104">
        <f>VLOOKUP($E1102,'Stock statement'!$D$2:$P$384,13,)</f>
        <v>555.2517156766155</v>
      </c>
      <c r="I1102" s="127">
        <v>2.5000000000000001E-2</v>
      </c>
      <c r="J1102" s="113">
        <v>1.0249999999999999</v>
      </c>
      <c r="K1102" s="106">
        <f t="shared" si="93"/>
        <v>58.336133378274404</v>
      </c>
      <c r="L1102" s="115"/>
      <c r="M1102" s="104">
        <f t="shared" si="94"/>
        <v>0.67203225651772114</v>
      </c>
    </row>
    <row r="1103" spans="1:13">
      <c r="A1103" s="100" t="str">
        <f>VLOOKUP(C1103,Abstract!$E$4:$M$62,9,0)</f>
        <v>No Sales</v>
      </c>
      <c r="B1103" s="99" t="s">
        <v>138</v>
      </c>
      <c r="C1103" s="133" t="s">
        <v>98</v>
      </c>
      <c r="D1103" s="133" t="s">
        <v>99</v>
      </c>
      <c r="E1103" s="95" t="s">
        <v>153</v>
      </c>
      <c r="F1103" s="95" t="s">
        <v>154</v>
      </c>
      <c r="G1103" s="109">
        <v>1</v>
      </c>
      <c r="H1103" s="104">
        <f>VLOOKUP($E1103,'Stock statement'!$D$2:$P$384,13,)</f>
        <v>84.206363687840948</v>
      </c>
      <c r="I1103" s="127">
        <v>2.5000000000000001E-2</v>
      </c>
      <c r="J1103" s="113">
        <v>1.0249999999999999</v>
      </c>
      <c r="K1103" s="106">
        <f t="shared" si="93"/>
        <v>88.469310849537877</v>
      </c>
      <c r="L1103" s="115"/>
      <c r="M1103" s="104">
        <f t="shared" si="94"/>
        <v>1.0191664609866764</v>
      </c>
    </row>
    <row r="1104" spans="1:13">
      <c r="A1104" s="100" t="str">
        <f>VLOOKUP(C1104,Abstract!$E$4:$M$62,9,0)</f>
        <v>No Sales</v>
      </c>
      <c r="B1104" s="99" t="s">
        <v>138</v>
      </c>
      <c r="C1104" s="133" t="s">
        <v>98</v>
      </c>
      <c r="D1104" s="133" t="s">
        <v>99</v>
      </c>
      <c r="E1104" s="95" t="s">
        <v>147</v>
      </c>
      <c r="F1104" s="95" t="s">
        <v>148</v>
      </c>
      <c r="G1104" s="109">
        <v>1</v>
      </c>
      <c r="H1104" s="104">
        <f>VLOOKUP($E1104,'Stock statement'!$D$2:$P$384,13,)</f>
        <v>353.50950483838068</v>
      </c>
      <c r="I1104" s="127">
        <v>2.5000000000000001E-2</v>
      </c>
      <c r="J1104" s="113">
        <v>1.0249999999999999</v>
      </c>
      <c r="K1104" s="106">
        <f t="shared" si="93"/>
        <v>371.40592352082365</v>
      </c>
      <c r="L1104" s="115"/>
      <c r="M1104" s="104">
        <f t="shared" si="94"/>
        <v>4.2785962389598886</v>
      </c>
    </row>
    <row r="1105" spans="1:13">
      <c r="A1105" s="100" t="str">
        <f>VLOOKUP(C1105,Abstract!$E$4:$M$62,9,0)</f>
        <v>No Sales</v>
      </c>
      <c r="B1105" s="99" t="s">
        <v>138</v>
      </c>
      <c r="C1105" s="133" t="s">
        <v>98</v>
      </c>
      <c r="D1105" s="133" t="s">
        <v>99</v>
      </c>
      <c r="E1105" s="95" t="s">
        <v>179</v>
      </c>
      <c r="F1105" s="95" t="s">
        <v>180</v>
      </c>
      <c r="G1105" s="109">
        <v>0.5</v>
      </c>
      <c r="H1105" s="104">
        <f>VLOOKUP($E1105,'Stock statement'!$D$2:$P$384,13,)</f>
        <v>1036.4956269221443</v>
      </c>
      <c r="I1105" s="127">
        <v>2.5000000000000001E-2</v>
      </c>
      <c r="J1105" s="113">
        <v>1.0249999999999999</v>
      </c>
      <c r="K1105" s="106">
        <f t="shared" si="93"/>
        <v>544.48410901753891</v>
      </c>
      <c r="L1105" s="115"/>
      <c r="M1105" s="104">
        <f t="shared" si="94"/>
        <v>6.2724569358820483</v>
      </c>
    </row>
    <row r="1106" spans="1:13">
      <c r="A1106" s="100" t="str">
        <f>VLOOKUP(C1106,Abstract!$E$4:$M$62,9,0)</f>
        <v>No Sales</v>
      </c>
      <c r="B1106" s="99" t="s">
        <v>138</v>
      </c>
      <c r="C1106" s="133" t="s">
        <v>98</v>
      </c>
      <c r="D1106" s="133" t="s">
        <v>99</v>
      </c>
      <c r="E1106" s="95" t="s">
        <v>155</v>
      </c>
      <c r="F1106" s="95" t="s">
        <v>156</v>
      </c>
      <c r="G1106" s="109">
        <v>10</v>
      </c>
      <c r="H1106" s="104">
        <f>VLOOKUP($E1106,'Stock statement'!$D$2:$P$384,13,)</f>
        <v>68.308211638055738</v>
      </c>
      <c r="I1106" s="127">
        <v>2.5000000000000001E-2</v>
      </c>
      <c r="J1106" s="113">
        <v>1.0249999999999999</v>
      </c>
      <c r="K1106" s="106">
        <f t="shared" si="93"/>
        <v>717.66314852232301</v>
      </c>
      <c r="L1106" s="115"/>
      <c r="M1106" s="104">
        <f t="shared" si="94"/>
        <v>8.2674794709771611</v>
      </c>
    </row>
    <row r="1107" spans="1:13">
      <c r="A1107" s="100" t="str">
        <f>VLOOKUP(C1107,Abstract!$E$4:$M$62,9,0)</f>
        <v>No Sales</v>
      </c>
      <c r="B1107" s="99" t="s">
        <v>138</v>
      </c>
      <c r="C1107" s="133" t="s">
        <v>98</v>
      </c>
      <c r="D1107" s="133" t="s">
        <v>99</v>
      </c>
      <c r="E1107" s="95" t="s">
        <v>339</v>
      </c>
      <c r="F1107" s="95" t="s">
        <v>340</v>
      </c>
      <c r="G1107" s="109">
        <v>5.85</v>
      </c>
      <c r="H1107" s="104">
        <f>VLOOKUP($E1107,'Stock statement'!$D$2:$P$384,13,)</f>
        <v>890.49821899777828</v>
      </c>
      <c r="I1107" s="127">
        <v>2.5000000000000001E-2</v>
      </c>
      <c r="J1107" s="113">
        <v>1.0249999999999999</v>
      </c>
      <c r="K1107" s="106">
        <f t="shared" si="93"/>
        <v>5473.1411943070625</v>
      </c>
      <c r="L1107" s="115"/>
      <c r="M1107" s="104">
        <f t="shared" si="94"/>
        <v>63.050586558417358</v>
      </c>
    </row>
    <row r="1108" spans="1:13">
      <c r="A1108" s="100" t="str">
        <f>VLOOKUP(C1108,Abstract!$E$4:$M$62,9,0)</f>
        <v>No Sales</v>
      </c>
      <c r="B1108" s="99" t="s">
        <v>138</v>
      </c>
      <c r="C1108" s="133" t="s">
        <v>98</v>
      </c>
      <c r="D1108" s="133" t="s">
        <v>99</v>
      </c>
      <c r="E1108" s="95" t="s">
        <v>341</v>
      </c>
      <c r="F1108" s="95" t="s">
        <v>342</v>
      </c>
      <c r="G1108" s="109">
        <v>0.65</v>
      </c>
      <c r="H1108" s="104">
        <f>VLOOKUP($E1108,'Stock statement'!$D$2:$P$384,13,)</f>
        <v>927.16271256930133</v>
      </c>
      <c r="I1108" s="127">
        <v>2.5000000000000001E-2</v>
      </c>
      <c r="J1108" s="113">
        <v>1.0249999999999999</v>
      </c>
      <c r="K1108" s="106">
        <f t="shared" si="93"/>
        <v>633.16521118052935</v>
      </c>
      <c r="L1108" s="115"/>
      <c r="M1108" s="104">
        <f t="shared" si="94"/>
        <v>7.2940632327996981</v>
      </c>
    </row>
    <row r="1109" spans="1:13">
      <c r="A1109" s="100" t="str">
        <f>VLOOKUP(C1109,Abstract!$E$4:$M$62,9,0)</f>
        <v>No Sales</v>
      </c>
      <c r="B1109" s="99" t="s">
        <v>138</v>
      </c>
      <c r="C1109" s="133" t="s">
        <v>98</v>
      </c>
      <c r="D1109" s="133" t="s">
        <v>99</v>
      </c>
      <c r="E1109" s="95" t="s">
        <v>181</v>
      </c>
      <c r="F1109" s="95" t="s">
        <v>182</v>
      </c>
      <c r="G1109" s="109">
        <v>12.5</v>
      </c>
      <c r="H1109" s="104">
        <f>VLOOKUP($E1109,'Stock statement'!$D$2:$P$384,13,)</f>
        <v>17.110276913020375</v>
      </c>
      <c r="I1109" s="127">
        <v>2.5000000000000001E-2</v>
      </c>
      <c r="J1109" s="113">
        <v>1.0249999999999999</v>
      </c>
      <c r="K1109" s="106">
        <f>+G1109*H1109*(1+I1109)*J1109</f>
        <v>224.70605852177536</v>
      </c>
      <c r="L1109" s="115"/>
      <c r="M1109" s="104">
        <f t="shared" si="94"/>
        <v>2.5886137941708522</v>
      </c>
    </row>
    <row r="1110" spans="1:13">
      <c r="A1110" s="100" t="str">
        <f>VLOOKUP(C1110,Abstract!$E$4:$M$62,9,0)</f>
        <v>No Sales</v>
      </c>
      <c r="B1110" s="99" t="s">
        <v>183</v>
      </c>
      <c r="C1110" s="133" t="s">
        <v>98</v>
      </c>
      <c r="D1110" s="133" t="s">
        <v>99</v>
      </c>
      <c r="E1110" s="95">
        <v>214258</v>
      </c>
      <c r="F1110" s="95" t="s">
        <v>402</v>
      </c>
      <c r="G1110" s="109">
        <f>(1000/(1920*6)*1000)*0.647</f>
        <v>56.16319444444445</v>
      </c>
      <c r="H1110" s="104">
        <f>VLOOKUP($E1110,'Stock statement'!$D$2:$P$384,13,)</f>
        <v>240.93516000703059</v>
      </c>
      <c r="I1110" s="127">
        <v>1.7500000000000002E-2</v>
      </c>
      <c r="J1110" s="113">
        <v>1</v>
      </c>
      <c r="K1110" s="106">
        <f t="shared" si="93"/>
        <v>13768.492784177815</v>
      </c>
      <c r="L1110" s="115"/>
      <c r="M1110" s="104">
        <f t="shared" si="94"/>
        <v>158.61303687372842</v>
      </c>
    </row>
    <row r="1111" spans="1:13">
      <c r="A1111" s="100" t="str">
        <f>VLOOKUP(C1111,Abstract!$E$4:$M$62,9,0)</f>
        <v>No Sales</v>
      </c>
      <c r="B1111" s="99" t="s">
        <v>183</v>
      </c>
      <c r="C1111" s="133" t="s">
        <v>98</v>
      </c>
      <c r="D1111" s="133" t="s">
        <v>99</v>
      </c>
      <c r="E1111" s="95">
        <v>214893</v>
      </c>
      <c r="F1111" s="95" t="s">
        <v>474</v>
      </c>
      <c r="G1111" s="109">
        <f>G1110/0.647</f>
        <v>86.805555555555557</v>
      </c>
      <c r="H1111" s="104">
        <f>VLOOKUP($E1111,'Stock statement'!$D$2:$P$384,13,)</f>
        <v>0</v>
      </c>
      <c r="I1111" s="127">
        <v>6.0000000000000001E-3</v>
      </c>
      <c r="J1111" s="113">
        <v>1</v>
      </c>
      <c r="K1111" s="106">
        <f t="shared" si="93"/>
        <v>0</v>
      </c>
      <c r="L1111" s="115"/>
      <c r="M1111" s="104">
        <f t="shared" si="94"/>
        <v>0</v>
      </c>
    </row>
    <row r="1112" spans="1:13">
      <c r="A1112" s="100" t="str">
        <f>VLOOKUP(C1112,Abstract!$E$4:$M$62,9,0)</f>
        <v>No Sales</v>
      </c>
      <c r="B1112" s="99" t="s">
        <v>183</v>
      </c>
      <c r="C1112" s="133" t="s">
        <v>98</v>
      </c>
      <c r="D1112" s="133" t="s">
        <v>99</v>
      </c>
      <c r="E1112" s="95">
        <v>115468</v>
      </c>
      <c r="F1112" s="95" t="s">
        <v>475</v>
      </c>
      <c r="G1112" s="109">
        <f>(G1111*4)/144</f>
        <v>2.4112654320987654</v>
      </c>
      <c r="H1112" s="104">
        <f>VLOOKUP($E1112,'Stock statement'!$D$2:$P$384,13,)</f>
        <v>0</v>
      </c>
      <c r="I1112" s="127">
        <v>0.01</v>
      </c>
      <c r="J1112" s="113">
        <v>1</v>
      </c>
      <c r="K1112" s="106">
        <f t="shared" si="93"/>
        <v>0</v>
      </c>
      <c r="L1112" s="115"/>
      <c r="M1112" s="104">
        <f t="shared" si="94"/>
        <v>0</v>
      </c>
    </row>
    <row r="1113" spans="1:13">
      <c r="A1113" s="100" t="str">
        <f>VLOOKUP(C1113,Abstract!$E$4:$M$62,9,0)</f>
        <v>No Sales</v>
      </c>
      <c r="B1113" s="99" t="s">
        <v>183</v>
      </c>
      <c r="C1113" s="133" t="s">
        <v>98</v>
      </c>
      <c r="D1113" s="133" t="s">
        <v>99</v>
      </c>
      <c r="E1113" s="95" t="s">
        <v>191</v>
      </c>
      <c r="F1113" s="95" t="s">
        <v>192</v>
      </c>
      <c r="G1113" s="109">
        <v>1.7361111111111112</v>
      </c>
      <c r="H1113" s="104">
        <f>VLOOKUP($E1113,'Stock statement'!$D$2:$P$384,13,)</f>
        <v>44.985440769279101</v>
      </c>
      <c r="I1113" s="127">
        <v>6.0000000000000001E-3</v>
      </c>
      <c r="J1113" s="113">
        <v>1</v>
      </c>
      <c r="K1113" s="106">
        <f t="shared" si="93"/>
        <v>78.568321899122878</v>
      </c>
      <c r="L1113" s="115"/>
      <c r="M1113" s="104">
        <f t="shared" si="94"/>
        <v>0.90510706827789555</v>
      </c>
    </row>
    <row r="1114" spans="1:13">
      <c r="A1114" s="100" t="str">
        <f>VLOOKUP(C1114,Abstract!$E$4:$M$62,9,0)</f>
        <v>No Sales</v>
      </c>
      <c r="B1114" s="99" t="s">
        <v>197</v>
      </c>
      <c r="C1114" s="133" t="s">
        <v>98</v>
      </c>
      <c r="D1114" s="133" t="s">
        <v>99</v>
      </c>
      <c r="E1114" s="95" t="s">
        <v>440</v>
      </c>
      <c r="F1114" s="95"/>
      <c r="G1114" s="109"/>
      <c r="H1114" s="104"/>
      <c r="I1114" s="127"/>
      <c r="J1114" s="113"/>
      <c r="K1114" s="106">
        <v>6180</v>
      </c>
      <c r="L1114" s="115">
        <f>SUM(K1091:K1114)</f>
        <v>56725.987998673583</v>
      </c>
      <c r="M1114" s="104">
        <f t="shared" si="94"/>
        <v>71.193600000000004</v>
      </c>
    </row>
    <row r="1115" spans="1:13">
      <c r="A1115" s="100" t="str">
        <f>VLOOKUP(C1115,Abstract!$E$4:$M$62,9,0)</f>
        <v>ACTIVE</v>
      </c>
      <c r="B1115" s="99" t="s">
        <v>138</v>
      </c>
      <c r="C1115" s="133" t="s">
        <v>94</v>
      </c>
      <c r="D1115" s="133" t="s">
        <v>95</v>
      </c>
      <c r="E1115" s="95" t="s">
        <v>139</v>
      </c>
      <c r="F1115" s="95" t="s">
        <v>472</v>
      </c>
      <c r="G1115" s="109">
        <v>763.75</v>
      </c>
      <c r="H1115" s="104">
        <f>VLOOKUP($E1115,'Stock statement'!$D$2:$P$384,13,)</f>
        <v>0.34</v>
      </c>
      <c r="I1115" s="127">
        <v>2.5000000000000001E-2</v>
      </c>
      <c r="J1115" s="116">
        <v>1.0249999999999999</v>
      </c>
      <c r="K1115" s="106">
        <f>+G1115*H1115*(1+I1115)*J1115</f>
        <v>272.82104687499998</v>
      </c>
      <c r="L1115" s="115"/>
      <c r="M1115" s="104">
        <f>K1115/$G$1135</f>
        <v>3.1428984599999996</v>
      </c>
    </row>
    <row r="1116" spans="1:13">
      <c r="A1116" s="100" t="str">
        <f>VLOOKUP(C1116,Abstract!$E$4:$M$62,9,0)</f>
        <v>ACTIVE</v>
      </c>
      <c r="B1116" s="99" t="s">
        <v>138</v>
      </c>
      <c r="C1116" s="133" t="s">
        <v>94</v>
      </c>
      <c r="D1116" s="133" t="s">
        <v>95</v>
      </c>
      <c r="E1116" s="95" t="s">
        <v>141</v>
      </c>
      <c r="F1116" s="95" t="s">
        <v>142</v>
      </c>
      <c r="G1116" s="109">
        <v>157.19999999999999</v>
      </c>
      <c r="H1116" s="104">
        <f>VLOOKUP($E1116,'Stock statement'!$D$2:$P$384,13,)</f>
        <v>94.278330452007026</v>
      </c>
      <c r="I1116" s="127">
        <v>2.5000000000000001E-2</v>
      </c>
      <c r="J1116" s="116">
        <v>1.0249999999999999</v>
      </c>
      <c r="K1116" s="106">
        <f t="shared" ref="K1116:K1132" si="95">+G1116*H1116*(1+I1116)*J1116</f>
        <v>15570.844070375186</v>
      </c>
      <c r="L1116" s="115"/>
      <c r="M1116" s="104">
        <f t="shared" ref="M1116:M1137" si="96">K1116/$G$1135</f>
        <v>179.37612369072212</v>
      </c>
    </row>
    <row r="1117" spans="1:13">
      <c r="A1117" s="100" t="str">
        <f>VLOOKUP(C1117,Abstract!$E$4:$M$62,9,0)</f>
        <v>ACTIVE</v>
      </c>
      <c r="B1117" s="99" t="s">
        <v>138</v>
      </c>
      <c r="C1117" s="133" t="s">
        <v>94</v>
      </c>
      <c r="D1117" s="133" t="s">
        <v>95</v>
      </c>
      <c r="E1117" s="95" t="s">
        <v>145</v>
      </c>
      <c r="F1117" s="95" t="s">
        <v>471</v>
      </c>
      <c r="G1117" s="109">
        <v>15</v>
      </c>
      <c r="H1117" s="104">
        <f>VLOOKUP($E1117,'Stock statement'!$D$2:$P$384,13,)</f>
        <v>151.08681180977209</v>
      </c>
      <c r="I1117" s="127">
        <v>2.5000000000000001E-2</v>
      </c>
      <c r="J1117" s="116">
        <v>1.0249999999999999</v>
      </c>
      <c r="K1117" s="106">
        <f t="shared" si="95"/>
        <v>2381.0337248646265</v>
      </c>
      <c r="L1117" s="115"/>
      <c r="M1117" s="104">
        <f t="shared" si="96"/>
        <v>27.429508510440495</v>
      </c>
    </row>
    <row r="1118" spans="1:13">
      <c r="A1118" s="100" t="str">
        <f>VLOOKUP(C1118,Abstract!$E$4:$M$62,9,0)</f>
        <v>ACTIVE</v>
      </c>
      <c r="B1118" s="99" t="s">
        <v>138</v>
      </c>
      <c r="C1118" s="133" t="s">
        <v>94</v>
      </c>
      <c r="D1118" s="133" t="s">
        <v>95</v>
      </c>
      <c r="E1118" s="95" t="s">
        <v>143</v>
      </c>
      <c r="F1118" s="95" t="s">
        <v>144</v>
      </c>
      <c r="G1118" s="109">
        <v>5</v>
      </c>
      <c r="H1118" s="104">
        <f>VLOOKUP($E1118,'Stock statement'!$D$2:$P$384,13,)</f>
        <v>178.57970547017939</v>
      </c>
      <c r="I1118" s="127">
        <v>2.5000000000000001E-2</v>
      </c>
      <c r="J1118" s="116">
        <v>1.0249999999999999</v>
      </c>
      <c r="K1118" s="106">
        <f t="shared" si="95"/>
        <v>938.10151529803602</v>
      </c>
      <c r="L1118" s="115"/>
      <c r="M1118" s="104">
        <f t="shared" si="96"/>
        <v>10.806929456233375</v>
      </c>
    </row>
    <row r="1119" spans="1:13">
      <c r="A1119" s="100" t="str">
        <f>VLOOKUP(C1119,Abstract!$E$4:$M$62,9,0)</f>
        <v>ACTIVE</v>
      </c>
      <c r="B1119" s="99" t="s">
        <v>138</v>
      </c>
      <c r="C1119" s="133" t="s">
        <v>94</v>
      </c>
      <c r="D1119" s="133" t="s">
        <v>95</v>
      </c>
      <c r="E1119" s="95" t="s">
        <v>149</v>
      </c>
      <c r="F1119" s="95" t="s">
        <v>150</v>
      </c>
      <c r="G1119" s="109">
        <f>0.125+0.025</f>
        <v>0.15</v>
      </c>
      <c r="H1119" s="104">
        <f>VLOOKUP($E1119,'Stock statement'!$D$2:$P$384,13,)</f>
        <v>161.56941474217822</v>
      </c>
      <c r="I1119" s="127">
        <v>2.5000000000000001E-2</v>
      </c>
      <c r="J1119" s="116">
        <v>1.0249999999999999</v>
      </c>
      <c r="K1119" s="106">
        <f t="shared" si="95"/>
        <v>25.462329954525146</v>
      </c>
      <c r="L1119" s="115"/>
      <c r="M1119" s="104">
        <f t="shared" si="96"/>
        <v>0.2933260410761297</v>
      </c>
    </row>
    <row r="1120" spans="1:13">
      <c r="A1120" s="100" t="str">
        <f>VLOOKUP(C1120,Abstract!$E$4:$M$62,9,0)</f>
        <v>ACTIVE</v>
      </c>
      <c r="B1120" s="99" t="s">
        <v>138</v>
      </c>
      <c r="C1120" s="133" t="s">
        <v>94</v>
      </c>
      <c r="D1120" s="133" t="s">
        <v>95</v>
      </c>
      <c r="E1120" s="95" t="s">
        <v>151</v>
      </c>
      <c r="F1120" s="95" t="s">
        <v>310</v>
      </c>
      <c r="G1120" s="109">
        <v>2.75</v>
      </c>
      <c r="H1120" s="104">
        <f>VLOOKUP($E1120,'Stock statement'!$D$2:$P$384,13,)</f>
        <v>762.38931335604309</v>
      </c>
      <c r="I1120" s="127">
        <v>2.5000000000000001E-2</v>
      </c>
      <c r="J1120" s="116">
        <v>1.0249999999999999</v>
      </c>
      <c r="K1120" s="106">
        <f t="shared" si="95"/>
        <v>2202.7094989479046</v>
      </c>
      <c r="L1120" s="115"/>
      <c r="M1120" s="104">
        <f t="shared" si="96"/>
        <v>25.37521342787986</v>
      </c>
    </row>
    <row r="1121" spans="1:13">
      <c r="A1121" s="100" t="str">
        <f>VLOOKUP(C1121,Abstract!$E$4:$M$62,9,0)</f>
        <v>ACTIVE</v>
      </c>
      <c r="B1121" s="99" t="s">
        <v>138</v>
      </c>
      <c r="C1121" s="133" t="s">
        <v>94</v>
      </c>
      <c r="D1121" s="133" t="s">
        <v>95</v>
      </c>
      <c r="E1121" s="95" t="s">
        <v>157</v>
      </c>
      <c r="F1121" s="102" t="s">
        <v>158</v>
      </c>
      <c r="G1121" s="109">
        <v>0.875</v>
      </c>
      <c r="H1121" s="104">
        <f>VLOOKUP($E1121,'Stock statement'!$D$2:$P$384,13,)</f>
        <v>828.81974703846117</v>
      </c>
      <c r="I1121" s="127">
        <v>2.5000000000000001E-2</v>
      </c>
      <c r="J1121" s="116">
        <v>1.0249999999999999</v>
      </c>
      <c r="K1121" s="106">
        <f t="shared" si="95"/>
        <v>761.93140339074773</v>
      </c>
      <c r="L1121" s="115"/>
      <c r="M1121" s="104">
        <f t="shared" si="96"/>
        <v>8.7774497670614142</v>
      </c>
    </row>
    <row r="1122" spans="1:13">
      <c r="A1122" s="100" t="str">
        <f>VLOOKUP(C1122,Abstract!$E$4:$M$62,9,0)</f>
        <v>ACTIVE</v>
      </c>
      <c r="B1122" s="99" t="s">
        <v>138</v>
      </c>
      <c r="C1122" s="133" t="s">
        <v>94</v>
      </c>
      <c r="D1122" s="133" t="s">
        <v>95</v>
      </c>
      <c r="E1122" s="157">
        <v>115150</v>
      </c>
      <c r="F1122" s="36" t="s">
        <v>159</v>
      </c>
      <c r="G1122" s="109">
        <v>0.875</v>
      </c>
      <c r="H1122" s="104">
        <f>VLOOKUP($E1122,'Stock statement'!$D$2:$P$384,13,)</f>
        <v>456.30699446392703</v>
      </c>
      <c r="I1122" s="127">
        <v>2.5000000000000001E-2</v>
      </c>
      <c r="J1122" s="116">
        <v>1.0249999999999999</v>
      </c>
      <c r="K1122" s="106">
        <f t="shared" si="95"/>
        <v>419.48159405133038</v>
      </c>
      <c r="L1122" s="115"/>
      <c r="M1122" s="104">
        <f t="shared" si="96"/>
        <v>4.8324279634713259</v>
      </c>
    </row>
    <row r="1123" spans="1:13">
      <c r="A1123" s="100" t="str">
        <f>VLOOKUP(C1123,Abstract!$E$4:$M$62,9,0)</f>
        <v>ACTIVE</v>
      </c>
      <c r="B1123" s="99" t="s">
        <v>138</v>
      </c>
      <c r="C1123" s="133" t="s">
        <v>94</v>
      </c>
      <c r="D1123" s="133" t="s">
        <v>95</v>
      </c>
      <c r="E1123" s="95" t="s">
        <v>160</v>
      </c>
      <c r="F1123" s="95" t="s">
        <v>161</v>
      </c>
      <c r="G1123" s="109">
        <v>0.3</v>
      </c>
      <c r="H1123" s="104">
        <f>VLOOKUP($E1123,'Stock statement'!$D$2:$P$384,13,)</f>
        <v>3313.2387673094586</v>
      </c>
      <c r="I1123" s="127">
        <v>2.5000000000000001E-2</v>
      </c>
      <c r="J1123" s="116">
        <v>1.0249999999999999</v>
      </c>
      <c r="K1123" s="106">
        <f t="shared" si="95"/>
        <v>1044.2914439713497</v>
      </c>
      <c r="L1123" s="115"/>
      <c r="M1123" s="104">
        <f t="shared" si="96"/>
        <v>12.030237434549949</v>
      </c>
    </row>
    <row r="1124" spans="1:13">
      <c r="A1124" s="100" t="str">
        <f>VLOOKUP(C1124,Abstract!$E$4:$M$62,9,0)</f>
        <v>ACTIVE</v>
      </c>
      <c r="B1124" s="99" t="s">
        <v>138</v>
      </c>
      <c r="C1124" s="133" t="s">
        <v>94</v>
      </c>
      <c r="D1124" s="133" t="s">
        <v>95</v>
      </c>
      <c r="E1124" s="95" t="s">
        <v>166</v>
      </c>
      <c r="F1124" s="95" t="s">
        <v>167</v>
      </c>
      <c r="G1124" s="109">
        <v>2.5</v>
      </c>
      <c r="H1124" s="104">
        <f>VLOOKUP($E1124,'Stock statement'!$D$2:$P$384,13,)</f>
        <v>127.15913438761541</v>
      </c>
      <c r="I1124" s="127">
        <v>2.5000000000000001E-2</v>
      </c>
      <c r="J1124" s="116">
        <v>1.0249999999999999</v>
      </c>
      <c r="K1124" s="106">
        <f t="shared" si="95"/>
        <v>333.99141391497102</v>
      </c>
      <c r="L1124" s="115"/>
      <c r="M1124" s="104">
        <f t="shared" si="96"/>
        <v>3.847581088300466</v>
      </c>
    </row>
    <row r="1125" spans="1:13">
      <c r="A1125" s="100" t="str">
        <f>VLOOKUP(C1125,Abstract!$E$4:$M$62,9,0)</f>
        <v>ACTIVE</v>
      </c>
      <c r="B1125" s="99" t="s">
        <v>138</v>
      </c>
      <c r="C1125" s="133" t="s">
        <v>94</v>
      </c>
      <c r="D1125" s="133" t="s">
        <v>95</v>
      </c>
      <c r="E1125" s="95" t="s">
        <v>209</v>
      </c>
      <c r="F1125" s="95" t="s">
        <v>210</v>
      </c>
      <c r="G1125" s="109">
        <v>20</v>
      </c>
      <c r="H1125" s="104">
        <f>VLOOKUP($E1125,'Stock statement'!$D$2:$P$384,13,)</f>
        <v>220.67282625366343</v>
      </c>
      <c r="I1125" s="127">
        <v>2.5000000000000001E-2</v>
      </c>
      <c r="J1125" s="116">
        <v>1.0249999999999999</v>
      </c>
      <c r="K1125" s="106">
        <f t="shared" si="95"/>
        <v>4636.8877616551026</v>
      </c>
      <c r="L1125" s="115"/>
      <c r="M1125" s="104">
        <f t="shared" si="96"/>
        <v>53.416947014266782</v>
      </c>
    </row>
    <row r="1126" spans="1:13">
      <c r="A1126" s="100" t="str">
        <f>VLOOKUP(C1126,Abstract!$E$4:$M$62,9,0)</f>
        <v>ACTIVE</v>
      </c>
      <c r="B1126" s="99" t="s">
        <v>138</v>
      </c>
      <c r="C1126" s="133" t="s">
        <v>94</v>
      </c>
      <c r="D1126" s="133" t="s">
        <v>95</v>
      </c>
      <c r="E1126" s="95" t="s">
        <v>173</v>
      </c>
      <c r="F1126" s="95" t="s">
        <v>174</v>
      </c>
      <c r="G1126" s="109">
        <v>0.1</v>
      </c>
      <c r="H1126" s="104">
        <f>VLOOKUP($E1126,'Stock statement'!$D$2:$P$384,13,)</f>
        <v>555.2517156766155</v>
      </c>
      <c r="I1126" s="127">
        <v>2.5000000000000001E-2</v>
      </c>
      <c r="J1126" s="116">
        <v>1.0249999999999999</v>
      </c>
      <c r="K1126" s="106">
        <f t="shared" si="95"/>
        <v>58.336133378274404</v>
      </c>
      <c r="L1126" s="115"/>
      <c r="M1126" s="104">
        <f t="shared" si="96"/>
        <v>0.67203225651772114</v>
      </c>
    </row>
    <row r="1127" spans="1:13">
      <c r="A1127" s="100" t="str">
        <f>VLOOKUP(C1127,Abstract!$E$4:$M$62,9,0)</f>
        <v>ACTIVE</v>
      </c>
      <c r="B1127" s="99" t="s">
        <v>138</v>
      </c>
      <c r="C1127" s="133" t="s">
        <v>94</v>
      </c>
      <c r="D1127" s="133" t="s">
        <v>95</v>
      </c>
      <c r="E1127" s="95" t="s">
        <v>153</v>
      </c>
      <c r="F1127" s="95" t="s">
        <v>154</v>
      </c>
      <c r="G1127" s="109">
        <v>1</v>
      </c>
      <c r="H1127" s="104">
        <f>VLOOKUP($E1127,'Stock statement'!$D$2:$P$384,13,)</f>
        <v>84.206363687840948</v>
      </c>
      <c r="I1127" s="127">
        <v>2.5000000000000001E-2</v>
      </c>
      <c r="J1127" s="116">
        <v>1.0249999999999999</v>
      </c>
      <c r="K1127" s="106">
        <f t="shared" si="95"/>
        <v>88.469310849537877</v>
      </c>
      <c r="L1127" s="115"/>
      <c r="M1127" s="104">
        <f t="shared" si="96"/>
        <v>1.0191664609866764</v>
      </c>
    </row>
    <row r="1128" spans="1:13">
      <c r="A1128" s="100" t="str">
        <f>VLOOKUP(C1128,Abstract!$E$4:$M$62,9,0)</f>
        <v>ACTIVE</v>
      </c>
      <c r="B1128" s="99" t="s">
        <v>138</v>
      </c>
      <c r="C1128" s="133" t="s">
        <v>94</v>
      </c>
      <c r="D1128" s="133" t="s">
        <v>95</v>
      </c>
      <c r="E1128" s="95" t="s">
        <v>147</v>
      </c>
      <c r="F1128" s="95" t="s">
        <v>148</v>
      </c>
      <c r="G1128" s="109">
        <v>1</v>
      </c>
      <c r="H1128" s="104">
        <f>VLOOKUP($E1128,'Stock statement'!$D$2:$P$384,13,)</f>
        <v>353.50950483838068</v>
      </c>
      <c r="I1128" s="127">
        <v>2.5000000000000001E-2</v>
      </c>
      <c r="J1128" s="116">
        <v>1.0249999999999999</v>
      </c>
      <c r="K1128" s="106">
        <f t="shared" si="95"/>
        <v>371.40592352082365</v>
      </c>
      <c r="L1128" s="115"/>
      <c r="M1128" s="104">
        <f t="shared" si="96"/>
        <v>4.2785962389598886</v>
      </c>
    </row>
    <row r="1129" spans="1:13">
      <c r="A1129" s="100" t="str">
        <f>VLOOKUP(C1129,Abstract!$E$4:$M$62,9,0)</f>
        <v>ACTIVE</v>
      </c>
      <c r="B1129" s="99" t="s">
        <v>138</v>
      </c>
      <c r="C1129" s="133" t="s">
        <v>94</v>
      </c>
      <c r="D1129" s="133" t="s">
        <v>95</v>
      </c>
      <c r="E1129" s="95" t="s">
        <v>179</v>
      </c>
      <c r="F1129" s="95" t="s">
        <v>180</v>
      </c>
      <c r="G1129" s="109">
        <v>0.5</v>
      </c>
      <c r="H1129" s="104">
        <f>VLOOKUP($E1129,'Stock statement'!$D$2:$P$384,13,)</f>
        <v>1036.4956269221443</v>
      </c>
      <c r="I1129" s="127">
        <v>2.5000000000000001E-2</v>
      </c>
      <c r="J1129" s="116">
        <v>1.0249999999999999</v>
      </c>
      <c r="K1129" s="106">
        <f t="shared" si="95"/>
        <v>544.48410901753891</v>
      </c>
      <c r="L1129" s="115"/>
      <c r="M1129" s="104">
        <f t="shared" si="96"/>
        <v>6.2724569358820483</v>
      </c>
    </row>
    <row r="1130" spans="1:13">
      <c r="A1130" s="100" t="str">
        <f>VLOOKUP(C1130,Abstract!$E$4:$M$62,9,0)</f>
        <v>ACTIVE</v>
      </c>
      <c r="B1130" s="99" t="s">
        <v>138</v>
      </c>
      <c r="C1130" s="133" t="s">
        <v>94</v>
      </c>
      <c r="D1130" s="133" t="s">
        <v>95</v>
      </c>
      <c r="E1130" s="95" t="s">
        <v>155</v>
      </c>
      <c r="F1130" s="95" t="s">
        <v>156</v>
      </c>
      <c r="G1130" s="109">
        <v>10</v>
      </c>
      <c r="H1130" s="104">
        <f>VLOOKUP($E1130,'Stock statement'!$D$2:$P$384,13,)</f>
        <v>68.308211638055738</v>
      </c>
      <c r="I1130" s="127">
        <v>2.5000000000000001E-2</v>
      </c>
      <c r="J1130" s="116">
        <v>1.0249999999999999</v>
      </c>
      <c r="K1130" s="106">
        <f t="shared" si="95"/>
        <v>717.66314852232301</v>
      </c>
      <c r="L1130" s="115"/>
      <c r="M1130" s="104">
        <f t="shared" si="96"/>
        <v>8.2674794709771611</v>
      </c>
    </row>
    <row r="1131" spans="1:13">
      <c r="A1131" s="100" t="str">
        <f>VLOOKUP(C1131,Abstract!$E$4:$M$62,9,0)</f>
        <v>ACTIVE</v>
      </c>
      <c r="B1131" s="99" t="s">
        <v>138</v>
      </c>
      <c r="C1131" s="133" t="s">
        <v>94</v>
      </c>
      <c r="D1131" s="133" t="s">
        <v>95</v>
      </c>
      <c r="E1131" s="95" t="s">
        <v>339</v>
      </c>
      <c r="F1131" s="95" t="s">
        <v>340</v>
      </c>
      <c r="G1131" s="109">
        <v>5.85</v>
      </c>
      <c r="H1131" s="104">
        <f>VLOOKUP($E1131,'Stock statement'!$D$2:$P$384,13,)</f>
        <v>890.49821899777828</v>
      </c>
      <c r="I1131" s="127">
        <v>2.5000000000000001E-2</v>
      </c>
      <c r="J1131" s="116">
        <v>1.0249999999999999</v>
      </c>
      <c r="K1131" s="106">
        <f t="shared" si="95"/>
        <v>5473.1411943070625</v>
      </c>
      <c r="L1131" s="115"/>
      <c r="M1131" s="104">
        <f t="shared" si="96"/>
        <v>63.050586558417358</v>
      </c>
    </row>
    <row r="1132" spans="1:13">
      <c r="A1132" s="100" t="str">
        <f>VLOOKUP(C1132,Abstract!$E$4:$M$62,9,0)</f>
        <v>ACTIVE</v>
      </c>
      <c r="B1132" s="99" t="s">
        <v>138</v>
      </c>
      <c r="C1132" s="133" t="s">
        <v>94</v>
      </c>
      <c r="D1132" s="133" t="s">
        <v>95</v>
      </c>
      <c r="E1132" s="95" t="s">
        <v>341</v>
      </c>
      <c r="F1132" s="95" t="s">
        <v>342</v>
      </c>
      <c r="G1132" s="109">
        <v>0.65</v>
      </c>
      <c r="H1132" s="104">
        <f>VLOOKUP($E1132,'Stock statement'!$D$2:$P$384,13,)</f>
        <v>927.16271256930133</v>
      </c>
      <c r="I1132" s="127">
        <v>2.5000000000000001E-2</v>
      </c>
      <c r="J1132" s="116">
        <v>1.0249999999999999</v>
      </c>
      <c r="K1132" s="106">
        <f t="shared" si="95"/>
        <v>633.16521118052935</v>
      </c>
      <c r="L1132" s="115"/>
      <c r="M1132" s="104">
        <f t="shared" si="96"/>
        <v>7.2940632327996981</v>
      </c>
    </row>
    <row r="1133" spans="1:13">
      <c r="A1133" s="100" t="str">
        <f>VLOOKUP(C1133,Abstract!$E$4:$M$62,9,0)</f>
        <v>ACTIVE</v>
      </c>
      <c r="B1133" s="99" t="s">
        <v>138</v>
      </c>
      <c r="C1133" s="133" t="s">
        <v>94</v>
      </c>
      <c r="D1133" s="133" t="s">
        <v>95</v>
      </c>
      <c r="E1133" s="95" t="s">
        <v>181</v>
      </c>
      <c r="F1133" s="95" t="s">
        <v>182</v>
      </c>
      <c r="G1133" s="109">
        <v>12.5</v>
      </c>
      <c r="H1133" s="104">
        <f>VLOOKUP($E1133,'Stock statement'!$D$2:$P$384,13,)</f>
        <v>17.110276913020375</v>
      </c>
      <c r="I1133" s="127">
        <v>2.5000000000000001E-2</v>
      </c>
      <c r="J1133" s="116">
        <v>1.0249999999999999</v>
      </c>
      <c r="K1133" s="106">
        <f>+G1133*H1133*(1+I1133)*J1133</f>
        <v>224.70605852177536</v>
      </c>
      <c r="L1133" s="115"/>
      <c r="M1133" s="104">
        <f t="shared" si="96"/>
        <v>2.5886137941708522</v>
      </c>
    </row>
    <row r="1134" spans="1:13">
      <c r="A1134" s="100" t="str">
        <f>VLOOKUP(C1134,Abstract!$E$4:$M$62,9,0)</f>
        <v>ACTIVE</v>
      </c>
      <c r="B1134" s="99" t="s">
        <v>183</v>
      </c>
      <c r="C1134" s="133" t="s">
        <v>94</v>
      </c>
      <c r="D1134" s="133" t="s">
        <v>95</v>
      </c>
      <c r="E1134" s="95">
        <v>214258</v>
      </c>
      <c r="F1134" s="95" t="s">
        <v>402</v>
      </c>
      <c r="G1134" s="109">
        <f>(1000/(1920*6)*1000)*0.647</f>
        <v>56.16319444444445</v>
      </c>
      <c r="H1134" s="104">
        <f>VLOOKUP($E1134,'Stock statement'!$D$2:$P$384,13,)</f>
        <v>240.93516000703059</v>
      </c>
      <c r="I1134" s="127">
        <v>1.7500000000000002E-2</v>
      </c>
      <c r="J1134" s="113">
        <v>1</v>
      </c>
      <c r="K1134" s="106">
        <f>+G1134*H1134*(1+I1134)*J1134</f>
        <v>13768.492784177815</v>
      </c>
      <c r="L1134" s="115"/>
      <c r="M1134" s="104">
        <f t="shared" si="96"/>
        <v>158.61303687372842</v>
      </c>
    </row>
    <row r="1135" spans="1:13">
      <c r="A1135" s="100" t="str">
        <f>VLOOKUP(C1135,Abstract!$E$4:$M$62,9,0)</f>
        <v>ACTIVE</v>
      </c>
      <c r="B1135" s="99" t="s">
        <v>183</v>
      </c>
      <c r="C1135" s="133" t="s">
        <v>94</v>
      </c>
      <c r="D1135" s="133" t="s">
        <v>95</v>
      </c>
      <c r="E1135" s="95">
        <v>214379</v>
      </c>
      <c r="F1135" s="95" t="s">
        <v>403</v>
      </c>
      <c r="G1135" s="109">
        <f>G1134/0.647</f>
        <v>86.805555555555557</v>
      </c>
      <c r="H1135" s="104">
        <f>VLOOKUP($E1135,'Stock statement'!$D$2:$P$384,13,)</f>
        <v>40.879116117850955</v>
      </c>
      <c r="I1135" s="127">
        <v>6.0000000000000001E-3</v>
      </c>
      <c r="J1135" s="113">
        <v>1</v>
      </c>
      <c r="K1135" s="106">
        <f>+G1135*H1135*(1+I1135)*J1135</f>
        <v>3569.8255915414984</v>
      </c>
      <c r="L1135" s="115"/>
      <c r="M1135" s="104">
        <f t="shared" si="96"/>
        <v>41.124390814558062</v>
      </c>
    </row>
    <row r="1136" spans="1:13">
      <c r="A1136" s="100" t="str">
        <f>VLOOKUP(C1136,Abstract!$E$4:$M$62,9,0)</f>
        <v>ACTIVE</v>
      </c>
      <c r="B1136" s="99" t="s">
        <v>183</v>
      </c>
      <c r="C1136" s="133" t="s">
        <v>94</v>
      </c>
      <c r="D1136" s="133" t="s">
        <v>95</v>
      </c>
      <c r="E1136" s="95" t="s">
        <v>191</v>
      </c>
      <c r="F1136" s="95" t="s">
        <v>192</v>
      </c>
      <c r="G1136" s="109">
        <f>G1135*0.02</f>
        <v>1.7361111111111112</v>
      </c>
      <c r="H1136" s="104">
        <f>VLOOKUP($E1136,'Stock statement'!$D$2:$P$384,13,)</f>
        <v>44.985440769279101</v>
      </c>
      <c r="I1136" s="127">
        <v>6.0000000000000001E-3</v>
      </c>
      <c r="J1136" s="113">
        <v>1</v>
      </c>
      <c r="K1136" s="106">
        <f>+G1136*H1136*(1+I1136)*J1136</f>
        <v>78.568321899122878</v>
      </c>
      <c r="L1136" s="115"/>
      <c r="M1136" s="104">
        <f t="shared" si="96"/>
        <v>0.90510706827789555</v>
      </c>
    </row>
    <row r="1137" spans="1:15">
      <c r="A1137" s="100" t="str">
        <f>VLOOKUP(C1137,Abstract!$E$4:$M$62,9,0)</f>
        <v>ACTIVE</v>
      </c>
      <c r="B1137" s="99" t="s">
        <v>197</v>
      </c>
      <c r="C1137" s="133" t="s">
        <v>94</v>
      </c>
      <c r="D1137" s="133" t="s">
        <v>95</v>
      </c>
      <c r="E1137" s="95" t="s">
        <v>440</v>
      </c>
      <c r="F1137" s="95"/>
      <c r="G1137" s="109"/>
      <c r="H1137" s="104"/>
      <c r="I1137" s="127"/>
      <c r="J1137" s="113"/>
      <c r="K1137" s="106">
        <v>6180</v>
      </c>
      <c r="L1137" s="115">
        <f>SUM(K1115:K1137)</f>
        <v>60295.813590215083</v>
      </c>
      <c r="M1137" s="104">
        <f t="shared" si="96"/>
        <v>71.193600000000004</v>
      </c>
    </row>
    <row r="1138" spans="1:15">
      <c r="A1138" s="100" t="str">
        <f>VLOOKUP(C1138,Abstract!$E$4:$M$62,9,0)</f>
        <v>No Sales</v>
      </c>
      <c r="B1138" s="99" t="s">
        <v>138</v>
      </c>
      <c r="C1138" s="133" t="s">
        <v>92</v>
      </c>
      <c r="D1138" s="133" t="s">
        <v>476</v>
      </c>
      <c r="E1138" s="95" t="s">
        <v>141</v>
      </c>
      <c r="F1138" s="95" t="s">
        <v>142</v>
      </c>
      <c r="G1138" s="109">
        <v>157.19999999999999</v>
      </c>
      <c r="H1138" s="104">
        <f>VLOOKUP($E1138,'Stock statement'!$D$2:$P$384,13,)</f>
        <v>94.278330452007026</v>
      </c>
      <c r="I1138" s="127">
        <v>2.5000000000000001E-2</v>
      </c>
      <c r="J1138" s="116">
        <v>1.0249999999999999</v>
      </c>
      <c r="K1138" s="106">
        <f>+G1138*H1138*(1+I1138)*J1138</f>
        <v>15570.844070375186</v>
      </c>
      <c r="L1138" s="115"/>
      <c r="M1138" s="104">
        <f>K1138/$G$1161</f>
        <v>179.37612369072212</v>
      </c>
      <c r="N1138" s="3">
        <v>17830.09409605254</v>
      </c>
      <c r="O1138" s="3">
        <f>K1138-N1138</f>
        <v>-2259.2500256773546</v>
      </c>
    </row>
    <row r="1139" spans="1:15">
      <c r="A1139" s="100" t="str">
        <f>VLOOKUP(C1139,Abstract!$E$4:$M$62,9,0)</f>
        <v>No Sales</v>
      </c>
      <c r="B1139" s="99" t="s">
        <v>138</v>
      </c>
      <c r="C1139" s="133" t="s">
        <v>92</v>
      </c>
      <c r="D1139" s="133" t="s">
        <v>476</v>
      </c>
      <c r="E1139" s="95" t="s">
        <v>145</v>
      </c>
      <c r="F1139" s="95" t="s">
        <v>471</v>
      </c>
      <c r="G1139" s="109">
        <v>15</v>
      </c>
      <c r="H1139" s="104">
        <f>VLOOKUP($E1139,'Stock statement'!$D$2:$P$384,13,)</f>
        <v>151.08681180977209</v>
      </c>
      <c r="I1139" s="127">
        <v>2.5000000000000001E-2</v>
      </c>
      <c r="J1139" s="116">
        <v>1.0249999999999999</v>
      </c>
      <c r="K1139" s="106">
        <f t="shared" ref="K1139:K1164" si="97">+G1139*H1139*(1+I1139)*J1139</f>
        <v>2381.0337248646265</v>
      </c>
      <c r="L1139" s="115"/>
      <c r="M1139" s="104">
        <f t="shared" ref="M1139:M1166" si="98">K1139/$G$1161</f>
        <v>27.429508510440495</v>
      </c>
      <c r="N1139" s="3">
        <v>2622.6764529942971</v>
      </c>
      <c r="O1139" s="3">
        <f t="shared" ref="O1139:O1166" si="99">K1139-N1139</f>
        <v>-241.64272812967056</v>
      </c>
    </row>
    <row r="1140" spans="1:15">
      <c r="A1140" s="100" t="str">
        <f>VLOOKUP(C1140,Abstract!$E$4:$M$62,9,0)</f>
        <v>No Sales</v>
      </c>
      <c r="B1140" s="99" t="s">
        <v>138</v>
      </c>
      <c r="C1140" s="133" t="s">
        <v>92</v>
      </c>
      <c r="D1140" s="133" t="s">
        <v>476</v>
      </c>
      <c r="E1140" s="95" t="s">
        <v>308</v>
      </c>
      <c r="F1140" s="95" t="s">
        <v>309</v>
      </c>
      <c r="G1140" s="109">
        <v>1E-3</v>
      </c>
      <c r="H1140" s="104">
        <f>VLOOKUP($E1140,'Stock statement'!$D$2:$P$384,13,)</f>
        <v>0</v>
      </c>
      <c r="I1140" s="127">
        <v>2.5000000000000001E-2</v>
      </c>
      <c r="J1140" s="116">
        <v>1.0249999999999999</v>
      </c>
      <c r="K1140" s="106">
        <f t="shared" si="97"/>
        <v>0</v>
      </c>
      <c r="L1140" s="115"/>
      <c r="M1140" s="104">
        <f t="shared" si="98"/>
        <v>0</v>
      </c>
      <c r="N1140" s="3">
        <v>0.20118067916666663</v>
      </c>
      <c r="O1140" s="3">
        <f t="shared" si="99"/>
        <v>-0.20118067916666663</v>
      </c>
    </row>
    <row r="1141" spans="1:15">
      <c r="A1141" s="100" t="str">
        <f>VLOOKUP(C1141,Abstract!$E$4:$M$62,9,0)</f>
        <v>No Sales</v>
      </c>
      <c r="B1141" s="99" t="s">
        <v>138</v>
      </c>
      <c r="C1141" s="133" t="s">
        <v>92</v>
      </c>
      <c r="D1141" s="133" t="s">
        <v>476</v>
      </c>
      <c r="E1141" s="95" t="s">
        <v>149</v>
      </c>
      <c r="F1141" s="95" t="s">
        <v>150</v>
      </c>
      <c r="G1141" s="109">
        <v>0.15</v>
      </c>
      <c r="H1141" s="104">
        <f>VLOOKUP($E1141,'Stock statement'!$D$2:$P$384,13,)</f>
        <v>161.56941474217822</v>
      </c>
      <c r="I1141" s="127">
        <v>2.5000000000000001E-2</v>
      </c>
      <c r="J1141" s="116">
        <v>1.0249999999999999</v>
      </c>
      <c r="K1141" s="106">
        <f t="shared" si="97"/>
        <v>25.462329954525146</v>
      </c>
      <c r="L1141" s="115"/>
      <c r="M1141" s="104">
        <f t="shared" si="98"/>
        <v>0.2933260410761297</v>
      </c>
      <c r="N1141" s="3">
        <v>36.943367560955814</v>
      </c>
      <c r="O1141" s="3">
        <f t="shared" si="99"/>
        <v>-11.481037606430668</v>
      </c>
    </row>
    <row r="1142" spans="1:15">
      <c r="A1142" s="100" t="str">
        <f>VLOOKUP(C1142,Abstract!$E$4:$M$62,9,0)</f>
        <v>No Sales</v>
      </c>
      <c r="B1142" s="99" t="s">
        <v>138</v>
      </c>
      <c r="C1142" s="133" t="s">
        <v>92</v>
      </c>
      <c r="D1142" s="133" t="s">
        <v>476</v>
      </c>
      <c r="E1142" s="95" t="s">
        <v>151</v>
      </c>
      <c r="F1142" s="95" t="s">
        <v>310</v>
      </c>
      <c r="G1142" s="109">
        <v>2.75</v>
      </c>
      <c r="H1142" s="104">
        <f>VLOOKUP($E1142,'Stock statement'!$D$2:$P$384,13,)</f>
        <v>762.38931335604309</v>
      </c>
      <c r="I1142" s="127">
        <v>2.5000000000000001E-2</v>
      </c>
      <c r="J1142" s="116">
        <v>1.0249999999999999</v>
      </c>
      <c r="K1142" s="106">
        <f t="shared" si="97"/>
        <v>2202.7094989479046</v>
      </c>
      <c r="L1142" s="115"/>
      <c r="M1142" s="104">
        <f t="shared" si="98"/>
        <v>25.37521342787986</v>
      </c>
      <c r="N1142" s="3">
        <v>2190.0275738617543</v>
      </c>
      <c r="O1142" s="3">
        <f t="shared" si="99"/>
        <v>12.681925086150386</v>
      </c>
    </row>
    <row r="1143" spans="1:15">
      <c r="A1143" s="100" t="str">
        <f>VLOOKUP(C1143,Abstract!$E$4:$M$62,9,0)</f>
        <v>No Sales</v>
      </c>
      <c r="B1143" s="99" t="s">
        <v>138</v>
      </c>
      <c r="C1143" s="133" t="s">
        <v>92</v>
      </c>
      <c r="D1143" s="133" t="s">
        <v>476</v>
      </c>
      <c r="E1143" s="95" t="s">
        <v>153</v>
      </c>
      <c r="F1143" s="95" t="s">
        <v>349</v>
      </c>
      <c r="G1143" s="109">
        <v>1</v>
      </c>
      <c r="H1143" s="104">
        <f>VLOOKUP($E1143,'Stock statement'!$D$2:$P$384,13,)</f>
        <v>84.206363687840948</v>
      </c>
      <c r="I1143" s="127">
        <v>2.5000000000000001E-2</v>
      </c>
      <c r="J1143" s="116">
        <v>1.0249999999999999</v>
      </c>
      <c r="K1143" s="106">
        <f t="shared" si="97"/>
        <v>88.469310849537877</v>
      </c>
      <c r="L1143" s="115"/>
      <c r="M1143" s="104">
        <f t="shared" si="98"/>
        <v>1.0191664609866764</v>
      </c>
      <c r="N1143" s="3">
        <v>86.72404168143332</v>
      </c>
      <c r="O1143" s="3">
        <f t="shared" si="99"/>
        <v>1.7452691681045565</v>
      </c>
    </row>
    <row r="1144" spans="1:15">
      <c r="A1144" s="100" t="str">
        <f>VLOOKUP(C1144,Abstract!$E$4:$M$62,9,0)</f>
        <v>No Sales</v>
      </c>
      <c r="B1144" s="99" t="s">
        <v>138</v>
      </c>
      <c r="C1144" s="133" t="s">
        <v>92</v>
      </c>
      <c r="D1144" s="133" t="s">
        <v>476</v>
      </c>
      <c r="E1144" s="95" t="s">
        <v>155</v>
      </c>
      <c r="F1144" s="95" t="s">
        <v>156</v>
      </c>
      <c r="G1144" s="109">
        <v>10</v>
      </c>
      <c r="H1144" s="104">
        <f>VLOOKUP($E1144,'Stock statement'!$D$2:$P$384,13,)</f>
        <v>68.308211638055738</v>
      </c>
      <c r="I1144" s="127">
        <v>2.5000000000000001E-2</v>
      </c>
      <c r="J1144" s="116">
        <v>1.0249999999999999</v>
      </c>
      <c r="K1144" s="106">
        <f t="shared" si="97"/>
        <v>717.66314852232301</v>
      </c>
      <c r="L1144" s="115"/>
      <c r="M1144" s="104">
        <f t="shared" si="98"/>
        <v>8.2674794709771611</v>
      </c>
      <c r="N1144" s="3">
        <v>806.68212718435711</v>
      </c>
      <c r="O1144" s="3">
        <f t="shared" si="99"/>
        <v>-89.018978662034101</v>
      </c>
    </row>
    <row r="1145" spans="1:15">
      <c r="A1145" s="100" t="str">
        <f>VLOOKUP(C1145,Abstract!$E$4:$M$62,9,0)</f>
        <v>No Sales</v>
      </c>
      <c r="B1145" s="99" t="s">
        <v>138</v>
      </c>
      <c r="C1145" s="133" t="s">
        <v>92</v>
      </c>
      <c r="D1145" s="133" t="s">
        <v>476</v>
      </c>
      <c r="E1145" s="95" t="s">
        <v>157</v>
      </c>
      <c r="F1145" s="95" t="s">
        <v>477</v>
      </c>
      <c r="G1145" s="109">
        <v>0.875</v>
      </c>
      <c r="H1145" s="104">
        <f>VLOOKUP($E1145,'Stock statement'!$D$2:$P$384,13,)</f>
        <v>828.81974703846117</v>
      </c>
      <c r="I1145" s="127">
        <v>2.5000000000000001E-2</v>
      </c>
      <c r="J1145" s="116">
        <v>1.0249999999999999</v>
      </c>
      <c r="K1145" s="106">
        <f t="shared" si="97"/>
        <v>761.93140339074773</v>
      </c>
      <c r="L1145" s="115"/>
      <c r="M1145" s="104">
        <f t="shared" si="98"/>
        <v>8.7774497670614142</v>
      </c>
      <c r="N1145" s="3">
        <v>767.83226299439787</v>
      </c>
      <c r="O1145" s="3">
        <f t="shared" si="99"/>
        <v>-5.9008596036501331</v>
      </c>
    </row>
    <row r="1146" spans="1:15">
      <c r="A1146" s="100" t="str">
        <f>VLOOKUP(C1146,Abstract!$E$4:$M$62,9,0)</f>
        <v>No Sales</v>
      </c>
      <c r="B1146" s="99" t="s">
        <v>138</v>
      </c>
      <c r="C1146" s="133" t="s">
        <v>92</v>
      </c>
      <c r="D1146" s="133" t="s">
        <v>476</v>
      </c>
      <c r="E1146" s="157">
        <v>115150</v>
      </c>
      <c r="F1146" s="95" t="s">
        <v>159</v>
      </c>
      <c r="G1146" s="109">
        <v>0.875</v>
      </c>
      <c r="H1146" s="104">
        <f>VLOOKUP($E1146,'Stock statement'!$D$2:$P$384,13,)</f>
        <v>456.30699446392703</v>
      </c>
      <c r="I1146" s="127">
        <v>2.5000000000000001E-2</v>
      </c>
      <c r="J1146" s="116">
        <v>1.0249999999999999</v>
      </c>
      <c r="K1146" s="106">
        <f t="shared" si="97"/>
        <v>419.48159405133038</v>
      </c>
      <c r="L1146" s="115"/>
      <c r="M1146" s="104">
        <f t="shared" si="98"/>
        <v>4.8324279634713259</v>
      </c>
      <c r="N1146" s="3">
        <v>418.40062262985401</v>
      </c>
      <c r="O1146" s="3">
        <f t="shared" si="99"/>
        <v>1.080971421476363</v>
      </c>
    </row>
    <row r="1147" spans="1:15">
      <c r="A1147" s="100" t="str">
        <f>VLOOKUP(C1147,Abstract!$E$4:$M$62,9,0)</f>
        <v>No Sales</v>
      </c>
      <c r="B1147" s="99" t="s">
        <v>138</v>
      </c>
      <c r="C1147" s="133" t="s">
        <v>92</v>
      </c>
      <c r="D1147" s="133" t="s">
        <v>476</v>
      </c>
      <c r="E1147" s="95" t="s">
        <v>160</v>
      </c>
      <c r="F1147" s="95" t="s">
        <v>161</v>
      </c>
      <c r="G1147" s="109">
        <v>0.3</v>
      </c>
      <c r="H1147" s="104">
        <f>VLOOKUP($E1147,'Stock statement'!$D$2:$P$384,13,)</f>
        <v>3313.2387673094586</v>
      </c>
      <c r="I1147" s="127">
        <v>2.5000000000000001E-2</v>
      </c>
      <c r="J1147" s="116">
        <v>1.0249999999999999</v>
      </c>
      <c r="K1147" s="106">
        <f t="shared" si="97"/>
        <v>1044.2914439713497</v>
      </c>
      <c r="L1147" s="115"/>
      <c r="M1147" s="104">
        <f t="shared" si="98"/>
        <v>12.030237434549949</v>
      </c>
      <c r="N1147" s="3">
        <v>1056.6857061865173</v>
      </c>
      <c r="O1147" s="3">
        <f t="shared" si="99"/>
        <v>-12.394262215167601</v>
      </c>
    </row>
    <row r="1148" spans="1:15">
      <c r="A1148" s="100" t="str">
        <f>VLOOKUP(C1148,Abstract!$E$4:$M$62,9,0)</f>
        <v>No Sales</v>
      </c>
      <c r="B1148" s="99" t="s">
        <v>138</v>
      </c>
      <c r="C1148" s="133" t="s">
        <v>92</v>
      </c>
      <c r="D1148" s="133" t="s">
        <v>476</v>
      </c>
      <c r="E1148" s="95" t="s">
        <v>147</v>
      </c>
      <c r="F1148" s="95" t="s">
        <v>148</v>
      </c>
      <c r="G1148" s="109">
        <v>0.5</v>
      </c>
      <c r="H1148" s="104">
        <f>VLOOKUP($E1148,'Stock statement'!$D$2:$P$384,13,)</f>
        <v>353.50950483838068</v>
      </c>
      <c r="I1148" s="127">
        <v>2.5000000000000001E-2</v>
      </c>
      <c r="J1148" s="116">
        <v>1.0249999999999999</v>
      </c>
      <c r="K1148" s="106">
        <f t="shared" si="97"/>
        <v>185.70296176041182</v>
      </c>
      <c r="L1148" s="115"/>
      <c r="M1148" s="104">
        <f t="shared" si="98"/>
        <v>2.1392981194799443</v>
      </c>
      <c r="N1148" s="3">
        <v>222.38230503192671</v>
      </c>
      <c r="O1148" s="3">
        <f t="shared" si="99"/>
        <v>-36.679343271514881</v>
      </c>
    </row>
    <row r="1149" spans="1:15">
      <c r="A1149" s="100" t="str">
        <f>VLOOKUP(C1149,Abstract!$E$4:$M$62,9,0)</f>
        <v>No Sales</v>
      </c>
      <c r="B1149" s="99" t="s">
        <v>138</v>
      </c>
      <c r="C1149" s="133" t="s">
        <v>92</v>
      </c>
      <c r="D1149" s="133" t="s">
        <v>476</v>
      </c>
      <c r="E1149" s="95">
        <v>115071</v>
      </c>
      <c r="F1149" s="95" t="s">
        <v>311</v>
      </c>
      <c r="G1149" s="109">
        <v>0.6</v>
      </c>
      <c r="H1149" s="104">
        <f>VLOOKUP($E1149,'Stock statement'!$D$2:$P$384,13,)</f>
        <v>195.04600880394028</v>
      </c>
      <c r="I1149" s="127">
        <v>2.5000000000000001E-2</v>
      </c>
      <c r="J1149" s="116">
        <v>1.0249999999999999</v>
      </c>
      <c r="K1149" s="106">
        <f t="shared" si="97"/>
        <v>122.95212779978382</v>
      </c>
      <c r="L1149" s="115"/>
      <c r="M1149" s="104">
        <f t="shared" si="98"/>
        <v>1.4164085122535097</v>
      </c>
      <c r="N1149" s="3">
        <v>123.18182647365973</v>
      </c>
      <c r="O1149" s="3">
        <f t="shared" si="99"/>
        <v>-0.2296986738759017</v>
      </c>
    </row>
    <row r="1150" spans="1:15">
      <c r="A1150" s="100" t="str">
        <f>VLOOKUP(C1150,Abstract!$E$4:$M$62,9,0)</f>
        <v>No Sales</v>
      </c>
      <c r="B1150" s="99" t="s">
        <v>138</v>
      </c>
      <c r="C1150" s="133" t="s">
        <v>92</v>
      </c>
      <c r="D1150" s="133" t="s">
        <v>476</v>
      </c>
      <c r="E1150" s="95" t="s">
        <v>166</v>
      </c>
      <c r="F1150" s="95" t="s">
        <v>167</v>
      </c>
      <c r="G1150" s="109">
        <v>2.5</v>
      </c>
      <c r="H1150" s="104">
        <f>VLOOKUP($E1150,'Stock statement'!$D$2:$P$384,13,)</f>
        <v>127.15913438761541</v>
      </c>
      <c r="I1150" s="127">
        <v>2.5000000000000001E-2</v>
      </c>
      <c r="J1150" s="116">
        <v>1.0249999999999999</v>
      </c>
      <c r="K1150" s="106">
        <f t="shared" si="97"/>
        <v>333.99141391497102</v>
      </c>
      <c r="L1150" s="115"/>
      <c r="M1150" s="104">
        <f t="shared" si="98"/>
        <v>3.847581088300466</v>
      </c>
      <c r="N1150" s="3">
        <v>330.16120026714225</v>
      </c>
      <c r="O1150" s="3">
        <f t="shared" si="99"/>
        <v>3.8302136478287707</v>
      </c>
    </row>
    <row r="1151" spans="1:15">
      <c r="A1151" s="100" t="str">
        <f>VLOOKUP(C1151,Abstract!$E$4:$M$62,9,0)</f>
        <v>No Sales</v>
      </c>
      <c r="B1151" s="99" t="s">
        <v>138</v>
      </c>
      <c r="C1151" s="133" t="s">
        <v>92</v>
      </c>
      <c r="D1151" s="133" t="s">
        <v>476</v>
      </c>
      <c r="E1151" s="95" t="s">
        <v>209</v>
      </c>
      <c r="F1151" s="95" t="s">
        <v>210</v>
      </c>
      <c r="G1151" s="109">
        <v>20</v>
      </c>
      <c r="H1151" s="104">
        <f>VLOOKUP($E1151,'Stock statement'!$D$2:$P$384,13,)</f>
        <v>220.67282625366343</v>
      </c>
      <c r="I1151" s="127">
        <v>2.5000000000000001E-2</v>
      </c>
      <c r="J1151" s="116">
        <v>1.0249999999999999</v>
      </c>
      <c r="K1151" s="106">
        <f t="shared" si="97"/>
        <v>4636.8877616551026</v>
      </c>
      <c r="L1151" s="115"/>
      <c r="M1151" s="104">
        <f t="shared" si="98"/>
        <v>53.416947014266782</v>
      </c>
      <c r="N1151" s="3">
        <v>5360.7794295555414</v>
      </c>
      <c r="O1151" s="3">
        <f t="shared" si="99"/>
        <v>-723.89166790043873</v>
      </c>
    </row>
    <row r="1152" spans="1:15">
      <c r="A1152" s="100" t="str">
        <f>VLOOKUP(C1152,Abstract!$E$4:$M$62,9,0)</f>
        <v>No Sales</v>
      </c>
      <c r="B1152" s="99" t="s">
        <v>138</v>
      </c>
      <c r="C1152" s="133" t="s">
        <v>92</v>
      </c>
      <c r="D1152" s="133" t="s">
        <v>476</v>
      </c>
      <c r="E1152" s="95" t="s">
        <v>352</v>
      </c>
      <c r="F1152" s="95" t="s">
        <v>353</v>
      </c>
      <c r="G1152" s="109">
        <v>0.01</v>
      </c>
      <c r="H1152" s="104">
        <f>VLOOKUP($E1152,'Stock statement'!$D$2:$P$384,13,)</f>
        <v>3003.7807644658751</v>
      </c>
      <c r="I1152" s="127">
        <v>2.5000000000000001E-2</v>
      </c>
      <c r="J1152" s="116">
        <v>1.0249999999999999</v>
      </c>
      <c r="K1152" s="106">
        <f t="shared" si="97"/>
        <v>31.558471656669596</v>
      </c>
      <c r="L1152" s="115"/>
      <c r="M1152" s="104">
        <f t="shared" si="98"/>
        <v>0.36355359348483374</v>
      </c>
      <c r="N1152" s="3">
        <v>31.5584716566696</v>
      </c>
      <c r="O1152" s="3">
        <f t="shared" si="99"/>
        <v>0</v>
      </c>
    </row>
    <row r="1153" spans="1:15">
      <c r="A1153" s="100" t="str">
        <f>VLOOKUP(C1153,Abstract!$E$4:$M$62,9,0)</f>
        <v>No Sales</v>
      </c>
      <c r="B1153" s="99" t="s">
        <v>138</v>
      </c>
      <c r="C1153" s="133" t="s">
        <v>92</v>
      </c>
      <c r="D1153" s="133" t="s">
        <v>476</v>
      </c>
      <c r="E1153" s="95" t="s">
        <v>354</v>
      </c>
      <c r="F1153" s="95" t="s">
        <v>355</v>
      </c>
      <c r="G1153" s="109">
        <v>0.01</v>
      </c>
      <c r="H1153" s="104">
        <f>VLOOKUP($E1153,'Stock statement'!$D$2:$P$384,13,)</f>
        <v>257.60769230769233</v>
      </c>
      <c r="I1153" s="127">
        <v>2.5000000000000001E-2</v>
      </c>
      <c r="J1153" s="116">
        <v>1.0249999999999999</v>
      </c>
      <c r="K1153" s="106">
        <f t="shared" si="97"/>
        <v>2.7064908173076923</v>
      </c>
      <c r="L1153" s="115"/>
      <c r="M1153" s="104">
        <f t="shared" si="98"/>
        <v>3.1178774215384616E-2</v>
      </c>
      <c r="N1153" s="3">
        <v>2.7064908173076923</v>
      </c>
      <c r="O1153" s="3">
        <f t="shared" si="99"/>
        <v>0</v>
      </c>
    </row>
    <row r="1154" spans="1:15">
      <c r="A1154" s="100" t="str">
        <f>VLOOKUP(C1154,Abstract!$E$4:$M$62,9,0)</f>
        <v>No Sales</v>
      </c>
      <c r="B1154" s="99" t="s">
        <v>138</v>
      </c>
      <c r="C1154" s="133" t="s">
        <v>92</v>
      </c>
      <c r="D1154" s="133" t="s">
        <v>476</v>
      </c>
      <c r="E1154" s="95" t="s">
        <v>339</v>
      </c>
      <c r="F1154" s="95" t="s">
        <v>356</v>
      </c>
      <c r="G1154" s="109">
        <v>5.85</v>
      </c>
      <c r="H1154" s="104">
        <f>VLOOKUP($E1154,'Stock statement'!$D$2:$P$384,13,)</f>
        <v>890.49821899777828</v>
      </c>
      <c r="I1154" s="127">
        <v>2.5000000000000001E-2</v>
      </c>
      <c r="J1154" s="116">
        <v>1.0249999999999999</v>
      </c>
      <c r="K1154" s="106">
        <f t="shared" si="97"/>
        <v>5473.1411943070625</v>
      </c>
      <c r="L1154" s="115"/>
      <c r="M1154" s="104">
        <f t="shared" si="98"/>
        <v>63.050586558417358</v>
      </c>
      <c r="N1154" s="3">
        <v>5471.7993387053939</v>
      </c>
      <c r="O1154" s="3">
        <f t="shared" si="99"/>
        <v>1.3418556016686125</v>
      </c>
    </row>
    <row r="1155" spans="1:15">
      <c r="A1155" s="100" t="str">
        <f>VLOOKUP(C1155,Abstract!$E$4:$M$62,9,0)</f>
        <v>No Sales</v>
      </c>
      <c r="B1155" s="99" t="s">
        <v>138</v>
      </c>
      <c r="C1155" s="133" t="s">
        <v>92</v>
      </c>
      <c r="D1155" s="133" t="s">
        <v>476</v>
      </c>
      <c r="E1155" s="95" t="s">
        <v>341</v>
      </c>
      <c r="F1155" s="95" t="s">
        <v>357</v>
      </c>
      <c r="G1155" s="109">
        <v>0.65</v>
      </c>
      <c r="H1155" s="104">
        <f>VLOOKUP($E1155,'Stock statement'!$D$2:$P$384,13,)</f>
        <v>927.16271256930133</v>
      </c>
      <c r="I1155" s="127">
        <v>2.5000000000000001E-2</v>
      </c>
      <c r="J1155" s="116">
        <v>1.0249999999999999</v>
      </c>
      <c r="K1155" s="106">
        <f t="shared" si="97"/>
        <v>633.16521118052935</v>
      </c>
      <c r="L1155" s="115"/>
      <c r="M1155" s="104">
        <f t="shared" si="98"/>
        <v>7.2940632327996981</v>
      </c>
      <c r="N1155" s="3">
        <v>625.7066852525362</v>
      </c>
      <c r="O1155" s="3">
        <f t="shared" si="99"/>
        <v>7.4585259279931506</v>
      </c>
    </row>
    <row r="1156" spans="1:15">
      <c r="A1156" s="100" t="str">
        <f>VLOOKUP(C1156,Abstract!$E$4:$M$62,9,0)</f>
        <v>No Sales</v>
      </c>
      <c r="B1156" s="99" t="s">
        <v>138</v>
      </c>
      <c r="C1156" s="133" t="s">
        <v>92</v>
      </c>
      <c r="D1156" s="133" t="s">
        <v>476</v>
      </c>
      <c r="E1156" s="95" t="s">
        <v>173</v>
      </c>
      <c r="F1156" s="95" t="s">
        <v>174</v>
      </c>
      <c r="G1156" s="109">
        <v>0.1</v>
      </c>
      <c r="H1156" s="104">
        <f>VLOOKUP($E1156,'Stock statement'!$D$2:$P$384,13,)</f>
        <v>555.2517156766155</v>
      </c>
      <c r="I1156" s="127">
        <v>2.5000000000000001E-2</v>
      </c>
      <c r="J1156" s="116">
        <v>1.0249999999999999</v>
      </c>
      <c r="K1156" s="106">
        <f>+G1156*H1156*(1+I1156)*J1156</f>
        <v>58.336133378274404</v>
      </c>
      <c r="L1156" s="115"/>
      <c r="M1156" s="104">
        <f t="shared" si="98"/>
        <v>0.67203225651772114</v>
      </c>
      <c r="N1156" s="3">
        <v>56.963108285824447</v>
      </c>
      <c r="O1156" s="3">
        <f t="shared" si="99"/>
        <v>1.3730250924499572</v>
      </c>
    </row>
    <row r="1157" spans="1:15">
      <c r="A1157" s="100" t="str">
        <f>VLOOKUP(C1157,Abstract!$E$4:$M$62,9,0)</f>
        <v>No Sales</v>
      </c>
      <c r="B1157" s="99" t="s">
        <v>138</v>
      </c>
      <c r="C1157" s="133" t="s">
        <v>92</v>
      </c>
      <c r="D1157" s="133" t="s">
        <v>476</v>
      </c>
      <c r="E1157" s="95" t="s">
        <v>181</v>
      </c>
      <c r="F1157" s="95" t="s">
        <v>182</v>
      </c>
      <c r="G1157" s="109">
        <v>12.5</v>
      </c>
      <c r="H1157" s="104">
        <f>VLOOKUP($E1157,'Stock statement'!$D$2:$P$384,13,)</f>
        <v>17.110276913020375</v>
      </c>
      <c r="I1157" s="127">
        <v>2.5000000000000001E-2</v>
      </c>
      <c r="J1157" s="116">
        <v>1.0249999999999999</v>
      </c>
      <c r="K1157" s="106">
        <f t="shared" si="97"/>
        <v>224.70605852177536</v>
      </c>
      <c r="L1157" s="115"/>
      <c r="M1157" s="104">
        <f t="shared" si="98"/>
        <v>2.5886137941708522</v>
      </c>
      <c r="N1157" s="3">
        <v>224.44969388778816</v>
      </c>
      <c r="O1157" s="3">
        <f t="shared" si="99"/>
        <v>0.25636463398720366</v>
      </c>
    </row>
    <row r="1158" spans="1:15">
      <c r="A1158" s="100" t="str">
        <f>VLOOKUP(C1158,Abstract!$E$4:$M$62,9,0)</f>
        <v>No Sales</v>
      </c>
      <c r="B1158" s="99" t="s">
        <v>138</v>
      </c>
      <c r="C1158" s="133" t="s">
        <v>92</v>
      </c>
      <c r="D1158" s="133" t="s">
        <v>476</v>
      </c>
      <c r="E1158" s="95" t="s">
        <v>139</v>
      </c>
      <c r="F1158" s="95" t="s">
        <v>472</v>
      </c>
      <c r="G1158" s="109">
        <v>769.12</v>
      </c>
      <c r="H1158" s="104">
        <f>VLOOKUP($E1158,'Stock statement'!$D$2:$P$384,13,)</f>
        <v>0.34</v>
      </c>
      <c r="I1158" s="127">
        <v>2.5000000000000001E-2</v>
      </c>
      <c r="J1158" s="116">
        <v>1.0249999999999999</v>
      </c>
      <c r="K1158" s="106">
        <f t="shared" si="97"/>
        <v>274.73927799999996</v>
      </c>
      <c r="L1158" s="115"/>
      <c r="M1158" s="104">
        <f t="shared" si="98"/>
        <v>3.1649964825599994</v>
      </c>
      <c r="N1158" s="3">
        <v>274.73949019903654</v>
      </c>
      <c r="O1158" s="3">
        <f t="shared" si="99"/>
        <v>-2.1219903658220574E-4</v>
      </c>
    </row>
    <row r="1159" spans="1:15">
      <c r="A1159" s="100" t="str">
        <f>VLOOKUP(C1159,Abstract!$E$4:$M$62,9,0)</f>
        <v>No Sales</v>
      </c>
      <c r="B1159" s="99" t="s">
        <v>138</v>
      </c>
      <c r="C1159" s="133" t="s">
        <v>92</v>
      </c>
      <c r="D1159" s="133" t="s">
        <v>476</v>
      </c>
      <c r="E1159" s="95">
        <v>110037</v>
      </c>
      <c r="F1159" s="95" t="s">
        <v>316</v>
      </c>
      <c r="G1159" s="109">
        <v>8.9999999999999993E-3</v>
      </c>
      <c r="H1159" s="104">
        <f>VLOOKUP($E1159,'Stock statement'!$D$2:$P$384,13,)</f>
        <v>204</v>
      </c>
      <c r="I1159" s="127">
        <v>2.5000000000000001E-2</v>
      </c>
      <c r="J1159" s="116">
        <v>1.0249999999999999</v>
      </c>
      <c r="K1159" s="106">
        <f t="shared" si="97"/>
        <v>1.9289474999999996</v>
      </c>
      <c r="L1159" s="115"/>
      <c r="M1159" s="104">
        <f t="shared" si="98"/>
        <v>2.2221475199999993E-2</v>
      </c>
      <c r="N1159" s="3">
        <v>1.9573143749999995</v>
      </c>
      <c r="O1159" s="3">
        <f t="shared" si="99"/>
        <v>-2.8366874999999903E-2</v>
      </c>
    </row>
    <row r="1160" spans="1:15">
      <c r="A1160" s="100" t="str">
        <f>VLOOKUP(C1160,Abstract!$E$4:$M$62,9,0)</f>
        <v>No Sales</v>
      </c>
      <c r="B1160" s="99" t="s">
        <v>138</v>
      </c>
      <c r="C1160" s="133" t="s">
        <v>92</v>
      </c>
      <c r="D1160" s="133" t="s">
        <v>476</v>
      </c>
      <c r="E1160" s="95">
        <v>214255</v>
      </c>
      <c r="F1160" s="95" t="s">
        <v>381</v>
      </c>
      <c r="G1160" s="109">
        <f>(1000/(1920*6)*1000)*0.647</f>
        <v>56.16319444444445</v>
      </c>
      <c r="H1160" s="104">
        <f>VLOOKUP($E1160,'Stock statement'!$D$2:$P$384,13,)</f>
        <v>241.69834568582721</v>
      </c>
      <c r="I1160" s="127">
        <v>1.7500000000000002E-2</v>
      </c>
      <c r="J1160" s="113">
        <v>1</v>
      </c>
      <c r="K1160" s="106">
        <f t="shared" si="97"/>
        <v>13812.105831402605</v>
      </c>
      <c r="L1160" s="115"/>
      <c r="M1160" s="104">
        <f t="shared" si="98"/>
        <v>159.115459177758</v>
      </c>
      <c r="N1160" s="3">
        <v>15045.695842097013</v>
      </c>
      <c r="O1160" s="3">
        <f t="shared" si="99"/>
        <v>-1233.5900106944082</v>
      </c>
    </row>
    <row r="1161" spans="1:15">
      <c r="A1161" s="100" t="str">
        <f>VLOOKUP(C1161,Abstract!$E$4:$M$62,9,0)</f>
        <v>No Sales</v>
      </c>
      <c r="B1161" s="99" t="s">
        <v>183</v>
      </c>
      <c r="C1161" s="133" t="s">
        <v>92</v>
      </c>
      <c r="D1161" s="133" t="s">
        <v>476</v>
      </c>
      <c r="E1161" s="95">
        <v>214851</v>
      </c>
      <c r="F1161" s="95" t="s">
        <v>478</v>
      </c>
      <c r="G1161" s="109">
        <f>G1160/0.647</f>
        <v>86.805555555555557</v>
      </c>
      <c r="H1161" s="104">
        <f>VLOOKUP($E1161,'Stock statement'!$D$2:$P$384,13,)</f>
        <v>0</v>
      </c>
      <c r="I1161" s="127">
        <v>6.0000000000000001E-3</v>
      </c>
      <c r="J1161" s="113">
        <v>1</v>
      </c>
      <c r="K1161" s="106">
        <f t="shared" si="97"/>
        <v>0</v>
      </c>
      <c r="L1161" s="115"/>
      <c r="M1161" s="104">
        <f t="shared" si="98"/>
        <v>0</v>
      </c>
      <c r="N1161" s="3">
        <v>2564.776041666667</v>
      </c>
      <c r="O1161" s="3">
        <f t="shared" si="99"/>
        <v>-2564.776041666667</v>
      </c>
    </row>
    <row r="1162" spans="1:15">
      <c r="A1162" s="100" t="str">
        <f>VLOOKUP(C1162,Abstract!$E$4:$M$62,9,0)</f>
        <v>No Sales</v>
      </c>
      <c r="B1162" s="99" t="s">
        <v>183</v>
      </c>
      <c r="C1162" s="133" t="s">
        <v>92</v>
      </c>
      <c r="D1162" s="133" t="s">
        <v>476</v>
      </c>
      <c r="E1162" s="95">
        <v>214852</v>
      </c>
      <c r="F1162" s="95" t="s">
        <v>479</v>
      </c>
      <c r="G1162" s="109">
        <f>G1161*2</f>
        <v>173.61111111111111</v>
      </c>
      <c r="H1162" s="104">
        <f>VLOOKUP($E1162,'Stock statement'!$D$2:$P$384,13,)</f>
        <v>0</v>
      </c>
      <c r="I1162" s="127">
        <v>6.0000000000000001E-3</v>
      </c>
      <c r="J1162" s="113">
        <v>1</v>
      </c>
      <c r="K1162" s="106">
        <f t="shared" si="97"/>
        <v>0</v>
      </c>
      <c r="L1162" s="115"/>
      <c r="M1162" s="104">
        <f t="shared" si="98"/>
        <v>0</v>
      </c>
      <c r="N1162" s="3">
        <v>2382.2638888888896</v>
      </c>
      <c r="O1162" s="3">
        <f t="shared" si="99"/>
        <v>-2382.2638888888896</v>
      </c>
    </row>
    <row r="1163" spans="1:15">
      <c r="A1163" s="100" t="str">
        <f>VLOOKUP(C1163,Abstract!$E$4:$M$62,9,0)</f>
        <v>No Sales</v>
      </c>
      <c r="B1163" s="99" t="s">
        <v>183</v>
      </c>
      <c r="C1163" s="133" t="s">
        <v>92</v>
      </c>
      <c r="D1163" s="133" t="s">
        <v>476</v>
      </c>
      <c r="E1163" s="95">
        <v>115448</v>
      </c>
      <c r="F1163" s="95" t="s">
        <v>480</v>
      </c>
      <c r="G1163" s="109">
        <f>(G1162*6)/144</f>
        <v>7.2337962962962967</v>
      </c>
      <c r="H1163" s="104">
        <f>VLOOKUP($E1163,'Stock statement'!$D$2:$P$384,13,)</f>
        <v>0</v>
      </c>
      <c r="I1163" s="127">
        <v>6.0000000000000001E-3</v>
      </c>
      <c r="J1163" s="113">
        <v>1</v>
      </c>
      <c r="K1163" s="106">
        <f>+G1163*H1163*(1+I1163)*J1163</f>
        <v>0</v>
      </c>
      <c r="L1163" s="115"/>
      <c r="M1163" s="104">
        <f t="shared" si="98"/>
        <v>0</v>
      </c>
      <c r="N1163" s="3">
        <v>6555.4624797453716</v>
      </c>
      <c r="O1163" s="3">
        <f t="shared" si="99"/>
        <v>-6555.4624797453716</v>
      </c>
    </row>
    <row r="1164" spans="1:15">
      <c r="A1164" s="100" t="str">
        <f>VLOOKUP(C1164,Abstract!$E$4:$M$62,9,0)</f>
        <v>No Sales</v>
      </c>
      <c r="B1164" s="99" t="s">
        <v>183</v>
      </c>
      <c r="C1164" s="133" t="s">
        <v>92</v>
      </c>
      <c r="D1164" s="133" t="s">
        <v>476</v>
      </c>
      <c r="E1164" s="95" t="s">
        <v>192</v>
      </c>
      <c r="F1164" s="95" t="s">
        <v>192</v>
      </c>
      <c r="G1164" s="109">
        <f>+G1162*0.04</f>
        <v>6.9444444444444446</v>
      </c>
      <c r="H1164" s="104">
        <f>VLOOKUP($E1164,'Stock statement'!$D$2:$P$384,13,)</f>
        <v>44.985440769279101</v>
      </c>
      <c r="I1164" s="127">
        <v>0.02</v>
      </c>
      <c r="J1164" s="113">
        <v>1</v>
      </c>
      <c r="K1164" s="106">
        <f t="shared" si="97"/>
        <v>318.64687211572698</v>
      </c>
      <c r="L1164" s="115"/>
      <c r="M1164" s="104">
        <f t="shared" si="98"/>
        <v>3.6708119667731749</v>
      </c>
      <c r="N1164" s="3">
        <v>318.00768206251917</v>
      </c>
      <c r="O1164" s="3">
        <f t="shared" si="99"/>
        <v>0.63919005320781253</v>
      </c>
    </row>
    <row r="1165" spans="1:15">
      <c r="A1165" s="100" t="str">
        <f>VLOOKUP(C1165,Abstract!$E$4:$M$62,9,0)</f>
        <v>No Sales</v>
      </c>
      <c r="B1165" s="99" t="s">
        <v>197</v>
      </c>
      <c r="C1165" s="133" t="s">
        <v>92</v>
      </c>
      <c r="D1165" s="133" t="s">
        <v>476</v>
      </c>
      <c r="E1165" s="95" t="s">
        <v>440</v>
      </c>
      <c r="F1165" s="95"/>
      <c r="G1165" s="109"/>
      <c r="H1165" s="104"/>
      <c r="I1165" s="127"/>
      <c r="J1165" s="113"/>
      <c r="K1165" s="106">
        <v>6180</v>
      </c>
      <c r="L1165" s="115"/>
      <c r="M1165" s="104">
        <f t="shared" si="98"/>
        <v>71.193600000000004</v>
      </c>
      <c r="N1165" s="3">
        <v>6180</v>
      </c>
      <c r="O1165" s="3">
        <f t="shared" si="99"/>
        <v>0</v>
      </c>
    </row>
    <row r="1166" spans="1:15">
      <c r="A1166" s="100" t="str">
        <f>VLOOKUP(C1166,Abstract!$E$4:$M$62,9,0)</f>
        <v>No Sales</v>
      </c>
      <c r="B1166" s="99" t="s">
        <v>197</v>
      </c>
      <c r="C1166" s="133" t="s">
        <v>92</v>
      </c>
      <c r="D1166" s="133" t="s">
        <v>476</v>
      </c>
      <c r="E1166" s="95" t="s">
        <v>347</v>
      </c>
      <c r="F1166" s="95"/>
      <c r="G1166" s="109"/>
      <c r="H1166" s="104"/>
      <c r="I1166" s="127"/>
      <c r="J1166" s="113"/>
      <c r="K1166" s="106">
        <f>214</f>
        <v>214</v>
      </c>
      <c r="L1166" s="115">
        <f>SUM(K1138:K1166)</f>
        <v>55716.455278937749</v>
      </c>
      <c r="M1166" s="104">
        <f t="shared" si="98"/>
        <v>2.4652799999999999</v>
      </c>
      <c r="N1166" s="3">
        <v>214</v>
      </c>
      <c r="O1166" s="3">
        <f t="shared" si="99"/>
        <v>0</v>
      </c>
    </row>
    <row r="1167" spans="1:15">
      <c r="A1167" s="100" t="str">
        <f>VLOOKUP(C1167,Abstract!$E$4:$M$62,9,0)</f>
        <v>ACTIVE</v>
      </c>
      <c r="B1167" s="99" t="s">
        <v>138</v>
      </c>
      <c r="C1167" s="133" t="s">
        <v>96</v>
      </c>
      <c r="D1167" s="133" t="s">
        <v>481</v>
      </c>
      <c r="E1167" s="95" t="s">
        <v>141</v>
      </c>
      <c r="F1167" s="95" t="s">
        <v>142</v>
      </c>
      <c r="G1167" s="109">
        <v>192.77</v>
      </c>
      <c r="H1167" s="104">
        <f>VLOOKUP($E1167,'Stock statement'!$D$2:$P$384,13,)</f>
        <v>94.278330452007026</v>
      </c>
      <c r="I1167" s="127">
        <v>2.5000000000000001E-2</v>
      </c>
      <c r="J1167" s="116">
        <v>1.0249999999999999</v>
      </c>
      <c r="K1167" s="106">
        <f>+G1167*H1167*(1+I1167)*J1167</f>
        <v>19094.094220395833</v>
      </c>
      <c r="L1167" s="115"/>
      <c r="M1167" s="104">
        <f>K1167/$G$1193</f>
        <v>164.97297406421998</v>
      </c>
    </row>
    <row r="1168" spans="1:15">
      <c r="A1168" s="100" t="str">
        <f>VLOOKUP(C1168,Abstract!$E$4:$M$62,9,0)</f>
        <v>ACTIVE</v>
      </c>
      <c r="B1168" s="99" t="s">
        <v>138</v>
      </c>
      <c r="C1168" s="133" t="s">
        <v>96</v>
      </c>
      <c r="D1168" s="133" t="s">
        <v>481</v>
      </c>
      <c r="E1168" s="95" t="s">
        <v>145</v>
      </c>
      <c r="F1168" s="95" t="s">
        <v>146</v>
      </c>
      <c r="G1168" s="109">
        <v>10</v>
      </c>
      <c r="H1168" s="104">
        <f>VLOOKUP($E1168,'Stock statement'!$D$2:$P$384,13,)</f>
        <v>151.08681180977209</v>
      </c>
      <c r="I1168" s="127">
        <v>2.5000000000000001E-2</v>
      </c>
      <c r="J1168" s="116">
        <v>1.0249999999999999</v>
      </c>
      <c r="K1168" s="106">
        <f>+G1168*H1168*(1+I1168)*J1168</f>
        <v>1587.3558165764177</v>
      </c>
      <c r="L1168" s="115"/>
      <c r="M1168" s="104">
        <f t="shared" ref="M1168:M1195" si="100">K1168/$G$1193</f>
        <v>13.714754255220248</v>
      </c>
    </row>
    <row r="1169" spans="1:13">
      <c r="A1169" s="100" t="str">
        <f>VLOOKUP(C1169,Abstract!$E$4:$M$62,9,0)</f>
        <v>ACTIVE</v>
      </c>
      <c r="B1169" s="99" t="s">
        <v>138</v>
      </c>
      <c r="C1169" s="133" t="s">
        <v>96</v>
      </c>
      <c r="D1169" s="133" t="s">
        <v>481</v>
      </c>
      <c r="E1169" s="95" t="s">
        <v>482</v>
      </c>
      <c r="F1169" s="95" t="s">
        <v>483</v>
      </c>
      <c r="G1169" s="109">
        <v>0.5</v>
      </c>
      <c r="H1169" s="104">
        <f>VLOOKUP($E1169,'Stock statement'!$D$2:$P$384,13,)</f>
        <v>1722.552326984485</v>
      </c>
      <c r="I1169" s="127">
        <v>2.5000000000000001E-2</v>
      </c>
      <c r="J1169" s="116">
        <v>1.0249999999999999</v>
      </c>
      <c r="K1169" s="106">
        <f t="shared" ref="K1169:K1194" si="101">+G1169*H1169*(1+I1169)*J1169</f>
        <v>904.87826926903711</v>
      </c>
      <c r="L1169" s="115"/>
      <c r="M1169" s="104">
        <f t="shared" si="100"/>
        <v>7.8181482464844798</v>
      </c>
    </row>
    <row r="1170" spans="1:13">
      <c r="A1170" s="100" t="str">
        <f>VLOOKUP(C1170,Abstract!$E$4:$M$62,9,0)</f>
        <v>ACTIVE</v>
      </c>
      <c r="B1170" s="99" t="s">
        <v>138</v>
      </c>
      <c r="C1170" s="133" t="s">
        <v>96</v>
      </c>
      <c r="D1170" s="133" t="s">
        <v>481</v>
      </c>
      <c r="E1170" s="95" t="s">
        <v>484</v>
      </c>
      <c r="F1170" s="95" t="s">
        <v>485</v>
      </c>
      <c r="G1170" s="109">
        <v>3.5</v>
      </c>
      <c r="H1170" s="104">
        <f>VLOOKUP($E1170,'Stock statement'!$D$2:$P$384,13,)</f>
        <v>320.21540031763823</v>
      </c>
      <c r="I1170" s="127">
        <v>2.5000000000000001E-2</v>
      </c>
      <c r="J1170" s="116">
        <v>1.0249999999999999</v>
      </c>
      <c r="K1170" s="106">
        <f t="shared" si="101"/>
        <v>1177.492067355515</v>
      </c>
      <c r="L1170" s="115"/>
      <c r="M1170" s="104">
        <f t="shared" si="100"/>
        <v>10.173531461951649</v>
      </c>
    </row>
    <row r="1171" spans="1:13">
      <c r="A1171" s="100" t="str">
        <f>VLOOKUP(C1171,Abstract!$E$4:$M$62,9,0)</f>
        <v>ACTIVE</v>
      </c>
      <c r="B1171" s="99" t="s">
        <v>138</v>
      </c>
      <c r="C1171" s="133" t="s">
        <v>96</v>
      </c>
      <c r="D1171" s="133" t="s">
        <v>481</v>
      </c>
      <c r="E1171" s="95" t="s">
        <v>149</v>
      </c>
      <c r="F1171" s="95" t="s">
        <v>150</v>
      </c>
      <c r="G1171" s="109">
        <v>0.75</v>
      </c>
      <c r="H1171" s="104">
        <f>VLOOKUP($E1171,'Stock statement'!$D$2:$P$384,13,)</f>
        <v>161.56941474217822</v>
      </c>
      <c r="I1171" s="127">
        <v>2.5000000000000001E-2</v>
      </c>
      <c r="J1171" s="116">
        <v>1.0249999999999999</v>
      </c>
      <c r="K1171" s="106">
        <f t="shared" si="101"/>
        <v>127.31164977262573</v>
      </c>
      <c r="L1171" s="115"/>
      <c r="M1171" s="104">
        <f t="shared" si="100"/>
        <v>1.0999726540354862</v>
      </c>
    </row>
    <row r="1172" spans="1:13">
      <c r="A1172" s="100" t="str">
        <f>VLOOKUP(C1172,Abstract!$E$4:$M$62,9,0)</f>
        <v>ACTIVE</v>
      </c>
      <c r="B1172" s="99" t="s">
        <v>138</v>
      </c>
      <c r="C1172" s="133" t="s">
        <v>96</v>
      </c>
      <c r="D1172" s="133" t="s">
        <v>481</v>
      </c>
      <c r="E1172" s="95" t="s">
        <v>147</v>
      </c>
      <c r="F1172" s="95" t="s">
        <v>486</v>
      </c>
      <c r="G1172" s="109">
        <v>1</v>
      </c>
      <c r="H1172" s="104">
        <f>VLOOKUP($E1172,'Stock statement'!$D$2:$P$384,13,)</f>
        <v>353.50950483838068</v>
      </c>
      <c r="I1172" s="127">
        <v>2.5000000000000001E-2</v>
      </c>
      <c r="J1172" s="116">
        <v>1.0249999999999999</v>
      </c>
      <c r="K1172" s="106">
        <f t="shared" si="101"/>
        <v>371.40592352082365</v>
      </c>
      <c r="L1172" s="115"/>
      <c r="M1172" s="104">
        <f t="shared" si="100"/>
        <v>3.208947179219916</v>
      </c>
    </row>
    <row r="1173" spans="1:13">
      <c r="A1173" s="100" t="str">
        <f>VLOOKUP(C1173,Abstract!$E$4:$M$62,9,0)</f>
        <v>ACTIVE</v>
      </c>
      <c r="B1173" s="99" t="s">
        <v>138</v>
      </c>
      <c r="C1173" s="133" t="s">
        <v>96</v>
      </c>
      <c r="D1173" s="133" t="s">
        <v>481</v>
      </c>
      <c r="E1173" s="95" t="s">
        <v>306</v>
      </c>
      <c r="F1173" s="95" t="s">
        <v>487</v>
      </c>
      <c r="G1173" s="109">
        <v>2.5</v>
      </c>
      <c r="H1173" s="104">
        <f>VLOOKUP($E1173,'Stock statement'!$D$2:$P$384,13,)</f>
        <v>225.96058764692856</v>
      </c>
      <c r="I1173" s="127">
        <v>2.5000000000000001E-2</v>
      </c>
      <c r="J1173" s="116">
        <v>1.0249999999999999</v>
      </c>
      <c r="K1173" s="106">
        <f t="shared" si="101"/>
        <v>593.49960599138581</v>
      </c>
      <c r="L1173" s="115"/>
      <c r="M1173" s="104">
        <f t="shared" si="100"/>
        <v>5.1278365957655732</v>
      </c>
    </row>
    <row r="1174" spans="1:13">
      <c r="A1174" s="100" t="str">
        <f>VLOOKUP(C1174,Abstract!$E$4:$M$62,9,0)</f>
        <v>ACTIVE</v>
      </c>
      <c r="B1174" s="99" t="s">
        <v>138</v>
      </c>
      <c r="C1174" s="133" t="s">
        <v>96</v>
      </c>
      <c r="D1174" s="133" t="s">
        <v>481</v>
      </c>
      <c r="E1174" s="95" t="s">
        <v>151</v>
      </c>
      <c r="F1174" s="95" t="s">
        <v>152</v>
      </c>
      <c r="G1174" s="109">
        <v>3</v>
      </c>
      <c r="H1174" s="104">
        <f>VLOOKUP($E1174,'Stock statement'!$D$2:$P$384,13,)</f>
        <v>762.38931335604309</v>
      </c>
      <c r="I1174" s="127">
        <v>2.5000000000000001E-2</v>
      </c>
      <c r="J1174" s="116">
        <v>1.0249999999999999</v>
      </c>
      <c r="K1174" s="106">
        <f t="shared" si="101"/>
        <v>2402.9558170340779</v>
      </c>
      <c r="L1174" s="115"/>
      <c r="M1174" s="104">
        <f t="shared" si="100"/>
        <v>20.761538259174433</v>
      </c>
    </row>
    <row r="1175" spans="1:13">
      <c r="A1175" s="100" t="str">
        <f>VLOOKUP(C1175,Abstract!$E$4:$M$62,9,0)</f>
        <v>ACTIVE</v>
      </c>
      <c r="B1175" s="99" t="s">
        <v>138</v>
      </c>
      <c r="C1175" s="133" t="s">
        <v>96</v>
      </c>
      <c r="D1175" s="133" t="s">
        <v>481</v>
      </c>
      <c r="E1175" s="95" t="s">
        <v>153</v>
      </c>
      <c r="F1175" s="95" t="s">
        <v>154</v>
      </c>
      <c r="G1175" s="109">
        <v>0.75</v>
      </c>
      <c r="H1175" s="104">
        <f>VLOOKUP($E1175,'Stock statement'!$D$2:$P$384,13,)</f>
        <v>84.206363687840948</v>
      </c>
      <c r="I1175" s="127">
        <v>2.5000000000000001E-2</v>
      </c>
      <c r="J1175" s="116">
        <v>1.0249999999999999</v>
      </c>
      <c r="K1175" s="106">
        <f t="shared" si="101"/>
        <v>66.351983137153411</v>
      </c>
      <c r="L1175" s="115"/>
      <c r="M1175" s="104">
        <f t="shared" si="100"/>
        <v>0.57328113430500549</v>
      </c>
    </row>
    <row r="1176" spans="1:13">
      <c r="A1176" s="100" t="str">
        <f>VLOOKUP(C1176,Abstract!$E$4:$M$62,9,0)</f>
        <v>ACTIVE</v>
      </c>
      <c r="B1176" s="99" t="s">
        <v>138</v>
      </c>
      <c r="C1176" s="133" t="s">
        <v>96</v>
      </c>
      <c r="D1176" s="133" t="s">
        <v>481</v>
      </c>
      <c r="E1176" s="95" t="s">
        <v>157</v>
      </c>
      <c r="F1176" s="95" t="s">
        <v>158</v>
      </c>
      <c r="G1176" s="109">
        <v>1</v>
      </c>
      <c r="H1176" s="104">
        <f>VLOOKUP($E1176,'Stock statement'!$D$2:$P$384,13,)</f>
        <v>828.81974703846117</v>
      </c>
      <c r="I1176" s="127">
        <v>2.5000000000000001E-2</v>
      </c>
      <c r="J1176" s="116">
        <v>1.0249999999999999</v>
      </c>
      <c r="K1176" s="106">
        <f t="shared" si="101"/>
        <v>870.77874673228314</v>
      </c>
      <c r="L1176" s="115"/>
      <c r="M1176" s="104">
        <f t="shared" si="100"/>
        <v>7.5235283717669255</v>
      </c>
    </row>
    <row r="1177" spans="1:13">
      <c r="A1177" s="100" t="str">
        <f>VLOOKUP(C1177,Abstract!$E$4:$M$62,9,0)</f>
        <v>ACTIVE</v>
      </c>
      <c r="B1177" s="99" t="s">
        <v>138</v>
      </c>
      <c r="C1177" s="133" t="s">
        <v>96</v>
      </c>
      <c r="D1177" s="133" t="s">
        <v>481</v>
      </c>
      <c r="E1177" s="157">
        <v>115150</v>
      </c>
      <c r="F1177" s="95" t="s">
        <v>159</v>
      </c>
      <c r="G1177" s="109">
        <v>1</v>
      </c>
      <c r="H1177" s="104">
        <f>VLOOKUP($E1177,'Stock statement'!$D$2:$P$384,13,)</f>
        <v>456.30699446392703</v>
      </c>
      <c r="I1177" s="127">
        <v>2.5000000000000001E-2</v>
      </c>
      <c r="J1177" s="116">
        <v>1.0249999999999999</v>
      </c>
      <c r="K1177" s="106">
        <f t="shared" si="101"/>
        <v>479.40753605866325</v>
      </c>
      <c r="L1177" s="115"/>
      <c r="M1177" s="104">
        <f t="shared" si="100"/>
        <v>4.1420811115468501</v>
      </c>
    </row>
    <row r="1178" spans="1:13">
      <c r="A1178" s="100" t="str">
        <f>VLOOKUP(C1178,Abstract!$E$4:$M$62,9,0)</f>
        <v>ACTIVE</v>
      </c>
      <c r="B1178" s="99" t="s">
        <v>138</v>
      </c>
      <c r="C1178" s="133" t="s">
        <v>96</v>
      </c>
      <c r="D1178" s="133" t="s">
        <v>481</v>
      </c>
      <c r="E1178" s="95" t="s">
        <v>160</v>
      </c>
      <c r="F1178" s="95" t="s">
        <v>161</v>
      </c>
      <c r="G1178" s="109">
        <v>0.5</v>
      </c>
      <c r="H1178" s="104">
        <f>VLOOKUP($E1178,'Stock statement'!$D$2:$P$384,13,)</f>
        <v>3313.2387673094586</v>
      </c>
      <c r="I1178" s="127">
        <v>2.5000000000000001E-2</v>
      </c>
      <c r="J1178" s="116">
        <v>1.0249999999999999</v>
      </c>
      <c r="K1178" s="106">
        <f t="shared" si="101"/>
        <v>1740.4857399522498</v>
      </c>
      <c r="L1178" s="115"/>
      <c r="M1178" s="104">
        <f t="shared" si="100"/>
        <v>15.037796793187438</v>
      </c>
    </row>
    <row r="1179" spans="1:13">
      <c r="A1179" s="100" t="str">
        <f>VLOOKUP(C1179,Abstract!$E$4:$M$62,9,0)</f>
        <v>ACTIVE</v>
      </c>
      <c r="B1179" s="99" t="s">
        <v>138</v>
      </c>
      <c r="C1179" s="133" t="s">
        <v>96</v>
      </c>
      <c r="D1179" s="133" t="s">
        <v>481</v>
      </c>
      <c r="E1179" s="95" t="s">
        <v>166</v>
      </c>
      <c r="F1179" s="95" t="s">
        <v>167</v>
      </c>
      <c r="G1179" s="109">
        <v>2.5</v>
      </c>
      <c r="H1179" s="104">
        <f>VLOOKUP($E1179,'Stock statement'!$D$2:$P$384,13,)</f>
        <v>127.15913438761541</v>
      </c>
      <c r="I1179" s="127">
        <v>2.5000000000000001E-2</v>
      </c>
      <c r="J1179" s="116">
        <v>1.0249999999999999</v>
      </c>
      <c r="K1179" s="106">
        <f t="shared" si="101"/>
        <v>333.99141391497102</v>
      </c>
      <c r="L1179" s="115"/>
      <c r="M1179" s="104">
        <f t="shared" si="100"/>
        <v>2.8856858162253496</v>
      </c>
    </row>
    <row r="1180" spans="1:13">
      <c r="A1180" s="100" t="str">
        <f>VLOOKUP(C1180,Abstract!$E$4:$M$62,9,0)</f>
        <v>ACTIVE</v>
      </c>
      <c r="B1180" s="99" t="s">
        <v>138</v>
      </c>
      <c r="C1180" s="133" t="s">
        <v>96</v>
      </c>
      <c r="D1180" s="133" t="s">
        <v>481</v>
      </c>
      <c r="E1180" s="95" t="s">
        <v>488</v>
      </c>
      <c r="F1180" s="95" t="s">
        <v>489</v>
      </c>
      <c r="G1180" s="109">
        <v>5</v>
      </c>
      <c r="H1180" s="104">
        <f>VLOOKUP($E1180,'Stock statement'!$D$2:$P$384,13,)</f>
        <v>156</v>
      </c>
      <c r="I1180" s="127">
        <v>2.5000000000000001E-2</v>
      </c>
      <c r="J1180" s="116">
        <v>1.0249999999999999</v>
      </c>
      <c r="K1180" s="106">
        <f t="shared" si="101"/>
        <v>819.48749999999984</v>
      </c>
      <c r="L1180" s="115"/>
      <c r="M1180" s="104">
        <f t="shared" si="100"/>
        <v>7.0803719999999979</v>
      </c>
    </row>
    <row r="1181" spans="1:13">
      <c r="A1181" s="100" t="str">
        <f>VLOOKUP(C1181,Abstract!$E$4:$M$62,9,0)</f>
        <v>ACTIVE</v>
      </c>
      <c r="B1181" s="99" t="s">
        <v>138</v>
      </c>
      <c r="C1181" s="133" t="s">
        <v>96</v>
      </c>
      <c r="D1181" s="133" t="s">
        <v>481</v>
      </c>
      <c r="E1181" s="95">
        <v>115379</v>
      </c>
      <c r="F1181" s="95" t="s">
        <v>490</v>
      </c>
      <c r="G1181" s="109">
        <v>40</v>
      </c>
      <c r="H1181" s="104">
        <f>VLOOKUP($E1181,'Stock statement'!$D$2:$P$384,13,)</f>
        <v>298</v>
      </c>
      <c r="I1181" s="127">
        <v>2.5000000000000001E-2</v>
      </c>
      <c r="J1181" s="116">
        <v>1.0249999999999999</v>
      </c>
      <c r="K1181" s="106">
        <f t="shared" si="101"/>
        <v>12523.449999999997</v>
      </c>
      <c r="L1181" s="115"/>
      <c r="M1181" s="104">
        <f t="shared" si="100"/>
        <v>108.20260799999997</v>
      </c>
    </row>
    <row r="1182" spans="1:13">
      <c r="A1182" s="100" t="str">
        <f>VLOOKUP(C1182,Abstract!$E$4:$M$62,9,0)</f>
        <v>ACTIVE</v>
      </c>
      <c r="B1182" s="99" t="s">
        <v>138</v>
      </c>
      <c r="C1182" s="133" t="s">
        <v>96</v>
      </c>
      <c r="D1182" s="133" t="s">
        <v>481</v>
      </c>
      <c r="E1182" s="95" t="s">
        <v>173</v>
      </c>
      <c r="F1182" s="95" t="s">
        <v>174</v>
      </c>
      <c r="G1182" s="109">
        <v>0.2</v>
      </c>
      <c r="H1182" s="104">
        <f>VLOOKUP($E1182,'Stock statement'!$D$2:$P$384,13,)</f>
        <v>555.2517156766155</v>
      </c>
      <c r="I1182" s="127">
        <v>2.5000000000000001E-2</v>
      </c>
      <c r="J1182" s="116">
        <v>1.0249999999999999</v>
      </c>
      <c r="K1182" s="106">
        <f t="shared" si="101"/>
        <v>116.67226675654881</v>
      </c>
      <c r="L1182" s="115"/>
      <c r="M1182" s="104">
        <f t="shared" si="100"/>
        <v>1.0080483847765815</v>
      </c>
    </row>
    <row r="1183" spans="1:13">
      <c r="A1183" s="100" t="str">
        <f>VLOOKUP(C1183,Abstract!$E$4:$M$62,9,0)</f>
        <v>ACTIVE</v>
      </c>
      <c r="B1183" s="99" t="s">
        <v>138</v>
      </c>
      <c r="C1183" s="133" t="s">
        <v>96</v>
      </c>
      <c r="D1183" s="133" t="s">
        <v>481</v>
      </c>
      <c r="E1183" s="95" t="s">
        <v>491</v>
      </c>
      <c r="F1183" s="95" t="s">
        <v>492</v>
      </c>
      <c r="G1183" s="109">
        <v>0.125</v>
      </c>
      <c r="H1183" s="104">
        <f>VLOOKUP($E1183,'Stock statement'!$D$2:$P$384,13,)</f>
        <v>4330.5600000000004</v>
      </c>
      <c r="I1183" s="127">
        <v>2.5000000000000001E-2</v>
      </c>
      <c r="J1183" s="116">
        <v>1.0249999999999999</v>
      </c>
      <c r="K1183" s="106">
        <f t="shared" si="101"/>
        <v>568.72432499999991</v>
      </c>
      <c r="L1183" s="115"/>
      <c r="M1183" s="104">
        <f t="shared" si="100"/>
        <v>4.9137781679999986</v>
      </c>
    </row>
    <row r="1184" spans="1:13">
      <c r="A1184" s="100" t="str">
        <f>VLOOKUP(C1184,Abstract!$E$4:$M$62,9,0)</f>
        <v>ACTIVE</v>
      </c>
      <c r="B1184" s="99" t="s">
        <v>138</v>
      </c>
      <c r="C1184" s="133" t="s">
        <v>96</v>
      </c>
      <c r="D1184" s="133" t="s">
        <v>481</v>
      </c>
      <c r="E1184" s="95" t="s">
        <v>393</v>
      </c>
      <c r="F1184" s="95" t="s">
        <v>493</v>
      </c>
      <c r="G1184" s="109">
        <v>0.125</v>
      </c>
      <c r="H1184" s="104">
        <f>VLOOKUP($E1184,'Stock statement'!$D$2:$P$384,13,)</f>
        <v>411.25781249999994</v>
      </c>
      <c r="I1184" s="127">
        <v>2.5000000000000001E-2</v>
      </c>
      <c r="J1184" s="116">
        <v>1.0249999999999999</v>
      </c>
      <c r="K1184" s="106">
        <f>+G1184*H1184*(1+I1184)*J1184</f>
        <v>54.009717407226546</v>
      </c>
      <c r="L1184" s="115"/>
      <c r="M1184" s="104">
        <f t="shared" si="100"/>
        <v>0.46664395839843731</v>
      </c>
    </row>
    <row r="1185" spans="1:13">
      <c r="A1185" s="100" t="str">
        <f>VLOOKUP(C1185,Abstract!$E$4:$M$62,9,0)</f>
        <v>ACTIVE</v>
      </c>
      <c r="B1185" s="99" t="s">
        <v>138</v>
      </c>
      <c r="C1185" s="133" t="s">
        <v>96</v>
      </c>
      <c r="D1185" s="133" t="s">
        <v>481</v>
      </c>
      <c r="E1185" s="95" t="s">
        <v>494</v>
      </c>
      <c r="F1185" s="95" t="s">
        <v>495</v>
      </c>
      <c r="G1185" s="109">
        <v>0.01</v>
      </c>
      <c r="H1185" s="104">
        <f>VLOOKUP($E1185,'Stock statement'!$D$2:$P$384,13,)</f>
        <v>0</v>
      </c>
      <c r="I1185" s="127">
        <v>2.5000000000000001E-2</v>
      </c>
      <c r="J1185" s="116">
        <v>1.0249999999999999</v>
      </c>
      <c r="K1185" s="106">
        <f t="shared" si="101"/>
        <v>0</v>
      </c>
      <c r="L1185" s="115"/>
      <c r="M1185" s="104">
        <f t="shared" si="100"/>
        <v>0</v>
      </c>
    </row>
    <row r="1186" spans="1:13">
      <c r="A1186" s="100" t="str">
        <f>VLOOKUP(C1186,Abstract!$E$4:$M$62,9,0)</f>
        <v>ACTIVE</v>
      </c>
      <c r="B1186" s="99" t="s">
        <v>138</v>
      </c>
      <c r="C1186" s="133" t="s">
        <v>96</v>
      </c>
      <c r="D1186" s="133" t="s">
        <v>481</v>
      </c>
      <c r="E1186" s="95" t="s">
        <v>496</v>
      </c>
      <c r="F1186" s="95" t="s">
        <v>497</v>
      </c>
      <c r="G1186" s="109">
        <v>0.1</v>
      </c>
      <c r="H1186" s="104">
        <f>VLOOKUP($E1186,'Stock statement'!$D$2:$P$384,13,)</f>
        <v>386</v>
      </c>
      <c r="I1186" s="127">
        <v>2.5000000000000001E-2</v>
      </c>
      <c r="J1186" s="116">
        <v>1.0249999999999999</v>
      </c>
      <c r="K1186" s="106">
        <f t="shared" si="101"/>
        <v>40.554124999999992</v>
      </c>
      <c r="L1186" s="115"/>
      <c r="M1186" s="104">
        <f t="shared" si="100"/>
        <v>0.35038763999999989</v>
      </c>
    </row>
    <row r="1187" spans="1:13">
      <c r="A1187" s="100" t="str">
        <f>VLOOKUP(C1187,Abstract!$E$4:$M$62,9,0)</f>
        <v>ACTIVE</v>
      </c>
      <c r="B1187" s="99" t="s">
        <v>138</v>
      </c>
      <c r="C1187" s="133" t="s">
        <v>96</v>
      </c>
      <c r="D1187" s="133" t="s">
        <v>481</v>
      </c>
      <c r="E1187" s="95" t="s">
        <v>219</v>
      </c>
      <c r="F1187" s="95" t="s">
        <v>498</v>
      </c>
      <c r="G1187" s="109">
        <v>6.7999999999999991E-2</v>
      </c>
      <c r="H1187" s="104">
        <f>VLOOKUP($E1187,'Stock statement'!$D$2:$P$384,13,)</f>
        <v>549.27282042136164</v>
      </c>
      <c r="I1187" s="127">
        <v>2.5000000000000001E-2</v>
      </c>
      <c r="J1187" s="116">
        <v>1.0249999999999999</v>
      </c>
      <c r="K1187" s="106">
        <f t="shared" si="101"/>
        <v>39.241423472953123</v>
      </c>
      <c r="L1187" s="115"/>
      <c r="M1187" s="104">
        <f t="shared" si="100"/>
        <v>0.33904589880631497</v>
      </c>
    </row>
    <row r="1188" spans="1:13">
      <c r="A1188" s="100" t="str">
        <f>VLOOKUP(C1188,Abstract!$E$4:$M$62,9,0)</f>
        <v>ACTIVE</v>
      </c>
      <c r="B1188" s="99" t="s">
        <v>138</v>
      </c>
      <c r="C1188" s="133" t="s">
        <v>96</v>
      </c>
      <c r="D1188" s="133" t="s">
        <v>481</v>
      </c>
      <c r="E1188" s="95" t="s">
        <v>155</v>
      </c>
      <c r="F1188" s="95" t="s">
        <v>156</v>
      </c>
      <c r="G1188" s="109">
        <v>15</v>
      </c>
      <c r="H1188" s="104">
        <f>VLOOKUP($E1188,'Stock statement'!$D$2:$P$384,13,)</f>
        <v>68.308211638055738</v>
      </c>
      <c r="I1188" s="127">
        <v>2.5000000000000001E-2</v>
      </c>
      <c r="J1188" s="116">
        <v>1.0249999999999999</v>
      </c>
      <c r="K1188" s="106">
        <f t="shared" si="101"/>
        <v>1076.4947227834843</v>
      </c>
      <c r="L1188" s="115"/>
      <c r="M1188" s="104">
        <f t="shared" si="100"/>
        <v>9.3009144048493049</v>
      </c>
    </row>
    <row r="1189" spans="1:13">
      <c r="A1189" s="100" t="str">
        <f>VLOOKUP(C1189,Abstract!$E$4:$M$62,9,0)</f>
        <v>ACTIVE</v>
      </c>
      <c r="B1189" s="99" t="s">
        <v>138</v>
      </c>
      <c r="C1189" s="133" t="s">
        <v>96</v>
      </c>
      <c r="D1189" s="133" t="s">
        <v>481</v>
      </c>
      <c r="E1189" s="95" t="s">
        <v>499</v>
      </c>
      <c r="F1189" s="95" t="s">
        <v>500</v>
      </c>
      <c r="G1189" s="109">
        <v>5</v>
      </c>
      <c r="H1189" s="104">
        <f>VLOOKUP($E1189,'Stock statement'!$D$2:$P$384,13,)</f>
        <v>775</v>
      </c>
      <c r="I1189" s="127">
        <v>2.5000000000000001E-2</v>
      </c>
      <c r="J1189" s="116">
        <v>1.0249999999999999</v>
      </c>
      <c r="K1189" s="106">
        <f t="shared" si="101"/>
        <v>4071.1718749999991</v>
      </c>
      <c r="L1189" s="115"/>
      <c r="M1189" s="104">
        <f t="shared" si="100"/>
        <v>35.174924999999988</v>
      </c>
    </row>
    <row r="1190" spans="1:13">
      <c r="A1190" s="100" t="str">
        <f>VLOOKUP(C1190,Abstract!$E$4:$M$62,9,0)</f>
        <v>ACTIVE</v>
      </c>
      <c r="B1190" s="99" t="s">
        <v>138</v>
      </c>
      <c r="C1190" s="133" t="s">
        <v>96</v>
      </c>
      <c r="D1190" s="133" t="s">
        <v>481</v>
      </c>
      <c r="E1190" s="95" t="s">
        <v>181</v>
      </c>
      <c r="F1190" s="95" t="s">
        <v>446</v>
      </c>
      <c r="G1190" s="109">
        <v>6.875</v>
      </c>
      <c r="H1190" s="104">
        <f>VLOOKUP($E1190,'Stock statement'!$D$2:$P$384,13,)</f>
        <v>17.110276913020375</v>
      </c>
      <c r="I1190" s="127">
        <v>2.5000000000000001E-2</v>
      </c>
      <c r="J1190" s="116">
        <v>1.0249999999999999</v>
      </c>
      <c r="K1190" s="106">
        <f t="shared" si="101"/>
        <v>123.58833218697644</v>
      </c>
      <c r="L1190" s="115"/>
      <c r="M1190" s="104">
        <f t="shared" si="100"/>
        <v>1.0678031900954763</v>
      </c>
    </row>
    <row r="1191" spans="1:13">
      <c r="A1191" s="100" t="str">
        <f>VLOOKUP(C1191,Abstract!$E$4:$M$62,9,0)</f>
        <v>ACTIVE</v>
      </c>
      <c r="B1191" s="99" t="s">
        <v>138</v>
      </c>
      <c r="C1191" s="133" t="s">
        <v>96</v>
      </c>
      <c r="D1191" s="133" t="s">
        <v>481</v>
      </c>
      <c r="E1191" s="95" t="s">
        <v>139</v>
      </c>
      <c r="F1191" s="95" t="s">
        <v>140</v>
      </c>
      <c r="G1191" s="109">
        <v>707.72699999999998</v>
      </c>
      <c r="H1191" s="104">
        <f>VLOOKUP($E1191,'Stock statement'!$D$2:$P$384,13,)</f>
        <v>0.34</v>
      </c>
      <c r="I1191" s="127">
        <v>2.5000000000000001E-2</v>
      </c>
      <c r="J1191" s="116">
        <v>1.0249999999999999</v>
      </c>
      <c r="K1191" s="106">
        <f t="shared" si="101"/>
        <v>252.80893098749996</v>
      </c>
      <c r="L1191" s="115"/>
      <c r="M1191" s="104">
        <f t="shared" si="100"/>
        <v>2.1842691637319995</v>
      </c>
    </row>
    <row r="1192" spans="1:13">
      <c r="A1192" s="100" t="str">
        <f>VLOOKUP(C1192,Abstract!$E$4:$M$62,9,0)</f>
        <v>ACTIVE</v>
      </c>
      <c r="B1192" s="99" t="s">
        <v>183</v>
      </c>
      <c r="C1192" s="133" t="s">
        <v>96</v>
      </c>
      <c r="D1192" s="133" t="s">
        <v>481</v>
      </c>
      <c r="E1192" s="95" t="s">
        <v>501</v>
      </c>
      <c r="F1192" s="95" t="s">
        <v>502</v>
      </c>
      <c r="G1192" s="109">
        <f>(1000/(1440*6)*1000)*0.581</f>
        <v>67.245370370370367</v>
      </c>
      <c r="H1192" s="104">
        <f>VLOOKUP($E1192,'Stock statement'!$D$2:$P$384,13,)</f>
        <v>0</v>
      </c>
      <c r="I1192" s="127">
        <v>1.7500000000000002E-2</v>
      </c>
      <c r="J1192" s="106">
        <v>1</v>
      </c>
      <c r="K1192" s="106">
        <f t="shared" si="101"/>
        <v>0</v>
      </c>
      <c r="L1192" s="115"/>
      <c r="M1192" s="104">
        <f t="shared" si="100"/>
        <v>0</v>
      </c>
    </row>
    <row r="1193" spans="1:13">
      <c r="A1193" s="100" t="str">
        <f>VLOOKUP(C1193,Abstract!$E$4:$M$62,9,0)</f>
        <v>ACTIVE</v>
      </c>
      <c r="B1193" s="99" t="s">
        <v>183</v>
      </c>
      <c r="C1193" s="133" t="s">
        <v>96</v>
      </c>
      <c r="D1193" s="133" t="s">
        <v>481</v>
      </c>
      <c r="E1193" s="95" t="s">
        <v>503</v>
      </c>
      <c r="F1193" s="95" t="s">
        <v>338</v>
      </c>
      <c r="G1193" s="109">
        <f>1000/(1440*6)*1000</f>
        <v>115.74074074074075</v>
      </c>
      <c r="H1193" s="104">
        <f>VLOOKUP($E1193,'Stock statement'!$D$2:$P$384,13,)</f>
        <v>0</v>
      </c>
      <c r="I1193" s="127">
        <v>6.0000000000000001E-3</v>
      </c>
      <c r="J1193" s="106">
        <v>1</v>
      </c>
      <c r="K1193" s="106">
        <f t="shared" si="101"/>
        <v>0</v>
      </c>
      <c r="L1193" s="115"/>
      <c r="M1193" s="104">
        <f t="shared" si="100"/>
        <v>0</v>
      </c>
    </row>
    <row r="1194" spans="1:13">
      <c r="A1194" s="100" t="str">
        <f>VLOOKUP(C1194,Abstract!$E$4:$M$62,9,0)</f>
        <v>ACTIVE</v>
      </c>
      <c r="B1194" s="99" t="s">
        <v>183</v>
      </c>
      <c r="C1194" s="133" t="s">
        <v>96</v>
      </c>
      <c r="D1194" s="133" t="s">
        <v>481</v>
      </c>
      <c r="E1194" s="95" t="s">
        <v>191</v>
      </c>
      <c r="F1194" s="95" t="s">
        <v>192</v>
      </c>
      <c r="G1194" s="109">
        <v>2.0833333333333335</v>
      </c>
      <c r="H1194" s="104">
        <f>VLOOKUP($E1194,'Stock statement'!$D$2:$P$384,13,)</f>
        <v>44.985440769279101</v>
      </c>
      <c r="I1194" s="127">
        <v>0.02</v>
      </c>
      <c r="J1194" s="106">
        <v>1</v>
      </c>
      <c r="K1194" s="106">
        <f t="shared" si="101"/>
        <v>95.594061634718102</v>
      </c>
      <c r="L1194" s="115"/>
      <c r="M1194" s="104">
        <f t="shared" si="100"/>
        <v>0.8259326925239644</v>
      </c>
    </row>
    <row r="1195" spans="1:13">
      <c r="A1195" s="100" t="str">
        <f>VLOOKUP(C1195,Abstract!$E$4:$M$62,9,0)</f>
        <v>ACTIVE</v>
      </c>
      <c r="B1195" s="99" t="s">
        <v>197</v>
      </c>
      <c r="C1195" s="133" t="s">
        <v>96</v>
      </c>
      <c r="D1195" s="133" t="s">
        <v>481</v>
      </c>
      <c r="E1195" s="95" t="s">
        <v>440</v>
      </c>
      <c r="F1195" s="95"/>
      <c r="G1195" s="109"/>
      <c r="H1195" s="104"/>
      <c r="I1195" s="127"/>
      <c r="J1195" s="106"/>
      <c r="K1195" s="106">
        <v>6180</v>
      </c>
      <c r="L1195" s="115">
        <f>SUM(K1167:K1195)</f>
        <v>55711.806069940452</v>
      </c>
      <c r="M1195" s="104">
        <f t="shared" si="100"/>
        <v>53.395199999999996</v>
      </c>
    </row>
    <row r="1196" spans="1:13">
      <c r="A1196" s="100" t="str">
        <f>VLOOKUP(C1196,Abstract!$E$4:$M$62,9,0)</f>
        <v>No Sales</v>
      </c>
      <c r="B1196" s="99" t="s">
        <v>138</v>
      </c>
      <c r="C1196" s="133" t="s">
        <v>102</v>
      </c>
      <c r="D1196" s="133" t="s">
        <v>103</v>
      </c>
      <c r="E1196" s="95" t="s">
        <v>141</v>
      </c>
      <c r="F1196" s="95" t="s">
        <v>142</v>
      </c>
      <c r="G1196" s="109">
        <v>185.7</v>
      </c>
      <c r="H1196" s="104">
        <f>VLOOKUP($E1196,'Stock statement'!$D$2:$P$384,13,)</f>
        <v>94.278330452007026</v>
      </c>
      <c r="I1196" s="127">
        <v>2.5000000000000001E-2</v>
      </c>
      <c r="J1196" s="106">
        <v>1.0249999999999999</v>
      </c>
      <c r="K1196" s="106">
        <f>+G1196*H1196*(1+I1196)*J1196</f>
        <v>18393.80244191267</v>
      </c>
      <c r="L1196" s="115"/>
      <c r="M1196" s="104">
        <f>K1196/$G$1214</f>
        <v>143.47165904691883</v>
      </c>
    </row>
    <row r="1197" spans="1:13">
      <c r="A1197" s="100" t="str">
        <f>VLOOKUP(C1197,Abstract!$E$4:$M$62,9,0)</f>
        <v>No Sales</v>
      </c>
      <c r="B1197" s="99" t="s">
        <v>138</v>
      </c>
      <c r="C1197" s="133" t="s">
        <v>102</v>
      </c>
      <c r="D1197" s="133" t="s">
        <v>103</v>
      </c>
      <c r="E1197" s="95" t="s">
        <v>145</v>
      </c>
      <c r="F1197" s="95" t="s">
        <v>146</v>
      </c>
      <c r="G1197" s="109">
        <v>10</v>
      </c>
      <c r="H1197" s="104">
        <f>VLOOKUP($E1197,'Stock statement'!$D$2:$P$384,13,)</f>
        <v>151.08681180977209</v>
      </c>
      <c r="I1197" s="127">
        <v>2.5000000000000001E-2</v>
      </c>
      <c r="J1197" s="106">
        <v>1.0249999999999999</v>
      </c>
      <c r="K1197" s="106">
        <f t="shared" ref="K1197:K1220" si="102">+G1197*H1197*(1+I1197)*J1197</f>
        <v>1587.3558165764177</v>
      </c>
      <c r="L1197" s="115"/>
      <c r="M1197" s="104">
        <f t="shared" ref="M1197:M1221" si="103">K1197/$G$1214</f>
        <v>12.381375369296059</v>
      </c>
    </row>
    <row r="1198" spans="1:13">
      <c r="A1198" s="100" t="str">
        <f>VLOOKUP(C1198,Abstract!$E$4:$M$62,9,0)</f>
        <v>No Sales</v>
      </c>
      <c r="B1198" s="99" t="s">
        <v>138</v>
      </c>
      <c r="C1198" s="133" t="s">
        <v>102</v>
      </c>
      <c r="D1198" s="133" t="s">
        <v>103</v>
      </c>
      <c r="E1198" s="95" t="s">
        <v>155</v>
      </c>
      <c r="F1198" s="95" t="s">
        <v>156</v>
      </c>
      <c r="G1198" s="109">
        <v>20</v>
      </c>
      <c r="H1198" s="104">
        <f>VLOOKUP($E1198,'Stock statement'!$D$2:$P$384,13,)</f>
        <v>68.308211638055738</v>
      </c>
      <c r="I1198" s="127">
        <v>2.5000000000000001E-2</v>
      </c>
      <c r="J1198" s="106">
        <v>1.0249999999999999</v>
      </c>
      <c r="K1198" s="106">
        <f t="shared" si="102"/>
        <v>1435.326297044646</v>
      </c>
      <c r="L1198" s="115"/>
      <c r="M1198" s="104">
        <f t="shared" si="103"/>
        <v>11.195545116948239</v>
      </c>
    </row>
    <row r="1199" spans="1:13">
      <c r="A1199" s="100" t="str">
        <f>VLOOKUP(C1199,Abstract!$E$4:$M$62,9,0)</f>
        <v>No Sales</v>
      </c>
      <c r="B1199" s="99" t="s">
        <v>138</v>
      </c>
      <c r="C1199" s="133" t="s">
        <v>102</v>
      </c>
      <c r="D1199" s="133" t="s">
        <v>103</v>
      </c>
      <c r="E1199" s="95" t="s">
        <v>166</v>
      </c>
      <c r="F1199" s="95" t="s">
        <v>418</v>
      </c>
      <c r="G1199" s="109">
        <v>2.5</v>
      </c>
      <c r="H1199" s="104">
        <f>VLOOKUP($E1199,'Stock statement'!$D$2:$P$384,13,)</f>
        <v>127.15913438761541</v>
      </c>
      <c r="I1199" s="127">
        <v>2.5000000000000001E-2</v>
      </c>
      <c r="J1199" s="106">
        <v>1.0249999999999999</v>
      </c>
      <c r="K1199" s="106">
        <f t="shared" si="102"/>
        <v>333.99141391497102</v>
      </c>
      <c r="L1199" s="115"/>
      <c r="M1199" s="104">
        <f t="shared" si="103"/>
        <v>2.6051330285367738</v>
      </c>
    </row>
    <row r="1200" spans="1:13">
      <c r="A1200" s="100" t="str">
        <f>VLOOKUP(C1200,Abstract!$E$4:$M$62,9,0)</f>
        <v>No Sales</v>
      </c>
      <c r="B1200" s="99" t="s">
        <v>138</v>
      </c>
      <c r="C1200" s="133" t="s">
        <v>102</v>
      </c>
      <c r="D1200" s="133" t="s">
        <v>103</v>
      </c>
      <c r="E1200" s="95" t="s">
        <v>143</v>
      </c>
      <c r="F1200" s="95" t="s">
        <v>144</v>
      </c>
      <c r="G1200" s="109">
        <v>10</v>
      </c>
      <c r="H1200" s="104">
        <f>VLOOKUP($E1200,'Stock statement'!$D$2:$P$384,13,)</f>
        <v>178.57970547017939</v>
      </c>
      <c r="I1200" s="127">
        <v>2.5000000000000001E-2</v>
      </c>
      <c r="J1200" s="106">
        <v>1.0249999999999999</v>
      </c>
      <c r="K1200" s="106">
        <f t="shared" si="102"/>
        <v>1876.203030596072</v>
      </c>
      <c r="L1200" s="115"/>
      <c r="M1200" s="104">
        <f t="shared" si="103"/>
        <v>14.634383638649362</v>
      </c>
    </row>
    <row r="1201" spans="1:13">
      <c r="A1201" s="100" t="str">
        <f>VLOOKUP(C1201,Abstract!$E$4:$M$62,9,0)</f>
        <v>No Sales</v>
      </c>
      <c r="B1201" s="99" t="s">
        <v>138</v>
      </c>
      <c r="C1201" s="133" t="s">
        <v>102</v>
      </c>
      <c r="D1201" s="133" t="s">
        <v>103</v>
      </c>
      <c r="E1201" s="95" t="s">
        <v>149</v>
      </c>
      <c r="F1201" s="95" t="s">
        <v>150</v>
      </c>
      <c r="G1201" s="109">
        <v>0.125</v>
      </c>
      <c r="H1201" s="104">
        <f>VLOOKUP($E1201,'Stock statement'!$D$2:$P$384,13,)</f>
        <v>161.56941474217822</v>
      </c>
      <c r="I1201" s="127">
        <v>2.5000000000000001E-2</v>
      </c>
      <c r="J1201" s="106">
        <v>1.0249999999999999</v>
      </c>
      <c r="K1201" s="106">
        <f t="shared" si="102"/>
        <v>21.218608295437623</v>
      </c>
      <c r="L1201" s="115"/>
      <c r="M1201" s="104">
        <f t="shared" si="103"/>
        <v>0.16550514470441346</v>
      </c>
    </row>
    <row r="1202" spans="1:13">
      <c r="A1202" s="100" t="str">
        <f>VLOOKUP(C1202,Abstract!$E$4:$M$62,9,0)</f>
        <v>No Sales</v>
      </c>
      <c r="B1202" s="99" t="s">
        <v>138</v>
      </c>
      <c r="C1202" s="133" t="s">
        <v>102</v>
      </c>
      <c r="D1202" s="133" t="s">
        <v>103</v>
      </c>
      <c r="E1202" s="95">
        <v>114271</v>
      </c>
      <c r="F1202" s="95" t="s">
        <v>419</v>
      </c>
      <c r="G1202" s="109">
        <v>30</v>
      </c>
      <c r="H1202" s="104">
        <f>VLOOKUP($E1202,'Stock statement'!$D$2:$P$384,13,)</f>
        <v>407.26831661471198</v>
      </c>
      <c r="I1202" s="127">
        <v>2.5000000000000001E-2</v>
      </c>
      <c r="J1202" s="106">
        <v>1.0249999999999999</v>
      </c>
      <c r="K1202" s="106">
        <f t="shared" si="102"/>
        <v>12836.588254299952</v>
      </c>
      <c r="L1202" s="115"/>
      <c r="M1202" s="104">
        <f t="shared" si="103"/>
        <v>100.12538838353963</v>
      </c>
    </row>
    <row r="1203" spans="1:13">
      <c r="A1203" s="100" t="str">
        <f>VLOOKUP(C1203,Abstract!$E$4:$M$62,9,0)</f>
        <v>No Sales</v>
      </c>
      <c r="B1203" s="99" t="s">
        <v>138</v>
      </c>
      <c r="C1203" s="133" t="s">
        <v>102</v>
      </c>
      <c r="D1203" s="133" t="s">
        <v>103</v>
      </c>
      <c r="E1203" s="95" t="s">
        <v>157</v>
      </c>
      <c r="F1203" s="95" t="s">
        <v>158</v>
      </c>
      <c r="G1203" s="109">
        <v>1</v>
      </c>
      <c r="H1203" s="104">
        <f>VLOOKUP($E1203,'Stock statement'!$D$2:$P$384,13,)</f>
        <v>828.81974703846117</v>
      </c>
      <c r="I1203" s="127">
        <v>2.5000000000000001E-2</v>
      </c>
      <c r="J1203" s="106">
        <v>1.0249999999999999</v>
      </c>
      <c r="K1203" s="106">
        <f t="shared" si="102"/>
        <v>870.77874673228314</v>
      </c>
      <c r="L1203" s="115"/>
      <c r="M1203" s="104">
        <f t="shared" si="103"/>
        <v>6.7920742245118086</v>
      </c>
    </row>
    <row r="1204" spans="1:13">
      <c r="A1204" s="100" t="str">
        <f>VLOOKUP(C1204,Abstract!$E$4:$M$62,9,0)</f>
        <v>No Sales</v>
      </c>
      <c r="B1204" s="99" t="s">
        <v>138</v>
      </c>
      <c r="C1204" s="133" t="s">
        <v>102</v>
      </c>
      <c r="D1204" s="133" t="s">
        <v>103</v>
      </c>
      <c r="E1204" s="157">
        <v>115150</v>
      </c>
      <c r="F1204" s="95" t="s">
        <v>159</v>
      </c>
      <c r="G1204" s="109">
        <v>1</v>
      </c>
      <c r="H1204" s="104">
        <f>VLOOKUP($E1204,'Stock statement'!$D$2:$P$384,13,)</f>
        <v>456.30699446392703</v>
      </c>
      <c r="I1204" s="127">
        <v>2.5000000000000001E-2</v>
      </c>
      <c r="J1204" s="106">
        <v>1.0249999999999999</v>
      </c>
      <c r="K1204" s="106">
        <f t="shared" si="102"/>
        <v>479.40753605866325</v>
      </c>
      <c r="L1204" s="115"/>
      <c r="M1204" s="104">
        <f t="shared" si="103"/>
        <v>3.7393787812575736</v>
      </c>
    </row>
    <row r="1205" spans="1:13">
      <c r="A1205" s="100" t="str">
        <f>VLOOKUP(C1205,Abstract!$E$4:$M$62,9,0)</f>
        <v>No Sales</v>
      </c>
      <c r="B1205" s="99" t="s">
        <v>138</v>
      </c>
      <c r="C1205" s="133" t="s">
        <v>102</v>
      </c>
      <c r="D1205" s="133" t="s">
        <v>103</v>
      </c>
      <c r="E1205" s="95" t="s">
        <v>160</v>
      </c>
      <c r="F1205" s="95" t="s">
        <v>161</v>
      </c>
      <c r="G1205" s="109">
        <v>0.25</v>
      </c>
      <c r="H1205" s="104">
        <f>VLOOKUP($E1205,'Stock statement'!$D$2:$P$384,13,)</f>
        <v>3313.2387673094586</v>
      </c>
      <c r="I1205" s="127">
        <v>2.5000000000000001E-2</v>
      </c>
      <c r="J1205" s="106">
        <v>1.0249999999999999</v>
      </c>
      <c r="K1205" s="106">
        <f t="shared" si="102"/>
        <v>870.24286997612489</v>
      </c>
      <c r="L1205" s="115"/>
      <c r="M1205" s="104">
        <f t="shared" si="103"/>
        <v>6.7878943858137744</v>
      </c>
    </row>
    <row r="1206" spans="1:13">
      <c r="A1206" s="100" t="str">
        <f>VLOOKUP(C1206,Abstract!$E$4:$M$62,9,0)</f>
        <v>No Sales</v>
      </c>
      <c r="B1206" s="99" t="s">
        <v>138</v>
      </c>
      <c r="C1206" s="133" t="s">
        <v>102</v>
      </c>
      <c r="D1206" s="133" t="s">
        <v>103</v>
      </c>
      <c r="E1206" s="95">
        <v>115152</v>
      </c>
      <c r="F1206" s="95" t="s">
        <v>420</v>
      </c>
      <c r="G1206" s="109">
        <v>40</v>
      </c>
      <c r="H1206" s="104">
        <f>VLOOKUP($E1206,'Stock statement'!$D$2:$P$384,13,)</f>
        <v>341.17565217391302</v>
      </c>
      <c r="I1206" s="127">
        <v>2.5000000000000001E-2</v>
      </c>
      <c r="J1206" s="106">
        <v>1.0249999999999999</v>
      </c>
      <c r="K1206" s="106">
        <f t="shared" si="102"/>
        <v>14337.906782608692</v>
      </c>
      <c r="L1206" s="115"/>
      <c r="M1206" s="104">
        <f t="shared" si="103"/>
        <v>111.8356729043478</v>
      </c>
    </row>
    <row r="1207" spans="1:13">
      <c r="A1207" s="100" t="str">
        <f>VLOOKUP(C1207,Abstract!$E$4:$M$62,9,0)</f>
        <v>No Sales</v>
      </c>
      <c r="B1207" s="99" t="s">
        <v>138</v>
      </c>
      <c r="C1207" s="133" t="s">
        <v>102</v>
      </c>
      <c r="D1207" s="133" t="s">
        <v>103</v>
      </c>
      <c r="E1207" s="157">
        <v>115321</v>
      </c>
      <c r="F1207" s="95" t="s">
        <v>421</v>
      </c>
      <c r="G1207" s="109">
        <v>7</v>
      </c>
      <c r="H1207" s="104">
        <f>VLOOKUP($E1207,'Stock statement'!$D$2:$P$384,13,)</f>
        <v>983.99999999999977</v>
      </c>
      <c r="I1207" s="127">
        <v>2.5000000000000001E-2</v>
      </c>
      <c r="J1207" s="106">
        <v>1.0249999999999999</v>
      </c>
      <c r="K1207" s="106">
        <f t="shared" si="102"/>
        <v>7236.7049999999963</v>
      </c>
      <c r="L1207" s="115"/>
      <c r="M1207" s="104">
        <f t="shared" si="103"/>
        <v>56.446298999999975</v>
      </c>
    </row>
    <row r="1208" spans="1:13">
      <c r="A1208" s="100" t="str">
        <f>VLOOKUP(C1208,Abstract!$E$4:$M$62,9,0)</f>
        <v>No Sales</v>
      </c>
      <c r="B1208" s="99" t="s">
        <v>138</v>
      </c>
      <c r="C1208" s="133" t="s">
        <v>102</v>
      </c>
      <c r="D1208" s="133" t="s">
        <v>103</v>
      </c>
      <c r="E1208" s="95">
        <v>114273</v>
      </c>
      <c r="F1208" s="95" t="s">
        <v>422</v>
      </c>
      <c r="G1208" s="109">
        <v>20</v>
      </c>
      <c r="H1208" s="104">
        <f>VLOOKUP($E1208,'Stock statement'!$D$2:$P$384,13,)</f>
        <v>734.07091095950022</v>
      </c>
      <c r="I1208" s="127">
        <v>2.5000000000000001E-2</v>
      </c>
      <c r="J1208" s="106">
        <v>1.0249999999999999</v>
      </c>
      <c r="K1208" s="106">
        <f t="shared" si="102"/>
        <v>15424.665016536495</v>
      </c>
      <c r="L1208" s="115"/>
      <c r="M1208" s="104">
        <f t="shared" si="103"/>
        <v>120.31238712898467</v>
      </c>
    </row>
    <row r="1209" spans="1:13">
      <c r="A1209" s="100" t="str">
        <f>VLOOKUP(C1209,Abstract!$E$4:$M$62,9,0)</f>
        <v>No Sales</v>
      </c>
      <c r="B1209" s="99" t="s">
        <v>138</v>
      </c>
      <c r="C1209" s="133" t="s">
        <v>102</v>
      </c>
      <c r="D1209" s="133" t="s">
        <v>103</v>
      </c>
      <c r="E1209" s="95" t="s">
        <v>181</v>
      </c>
      <c r="F1209" s="95" t="s">
        <v>182</v>
      </c>
      <c r="G1209" s="109">
        <v>10</v>
      </c>
      <c r="H1209" s="104">
        <f>VLOOKUP($E1209,'Stock statement'!$D$2:$P$384,13,)</f>
        <v>17.110276913020375</v>
      </c>
      <c r="I1209" s="127">
        <v>2.5000000000000001E-2</v>
      </c>
      <c r="J1209" s="106">
        <v>1.0249999999999999</v>
      </c>
      <c r="K1209" s="106">
        <f t="shared" si="102"/>
        <v>179.76484681742028</v>
      </c>
      <c r="L1209" s="115"/>
      <c r="M1209" s="104">
        <f t="shared" si="103"/>
        <v>1.4021658051758781</v>
      </c>
    </row>
    <row r="1210" spans="1:13">
      <c r="A1210" s="100" t="str">
        <f>VLOOKUP(C1210,Abstract!$E$4:$M$62,9,0)</f>
        <v>No Sales</v>
      </c>
      <c r="B1210" s="99" t="s">
        <v>138</v>
      </c>
      <c r="C1210" s="133" t="s">
        <v>102</v>
      </c>
      <c r="D1210" s="133" t="s">
        <v>103</v>
      </c>
      <c r="E1210" s="95" t="s">
        <v>139</v>
      </c>
      <c r="F1210" s="95" t="s">
        <v>140</v>
      </c>
      <c r="G1210" s="109">
        <v>662.22499999999991</v>
      </c>
      <c r="H1210" s="104">
        <f>VLOOKUP($E1210,'Stock statement'!$D$2:$P$384,13,)</f>
        <v>0.34</v>
      </c>
      <c r="I1210" s="127">
        <v>2.5000000000000001E-2</v>
      </c>
      <c r="J1210" s="106">
        <v>1.0249999999999999</v>
      </c>
      <c r="K1210" s="106">
        <f t="shared" si="102"/>
        <v>236.55504781249996</v>
      </c>
      <c r="L1210" s="115"/>
      <c r="M1210" s="104">
        <f t="shared" si="103"/>
        <v>1.8451293729374998</v>
      </c>
    </row>
    <row r="1211" spans="1:13">
      <c r="A1211" s="100" t="str">
        <f>VLOOKUP(C1211,Abstract!$E$4:$M$62,9,0)</f>
        <v>No Sales</v>
      </c>
      <c r="B1211" s="99" t="s">
        <v>138</v>
      </c>
      <c r="C1211" s="133" t="s">
        <v>102</v>
      </c>
      <c r="D1211" s="133" t="s">
        <v>103</v>
      </c>
      <c r="E1211" s="157">
        <v>115322</v>
      </c>
      <c r="F1211" s="95" t="s">
        <v>423</v>
      </c>
      <c r="G1211" s="109">
        <v>0.1</v>
      </c>
      <c r="H1211" s="104">
        <f>VLOOKUP($E1211,'Stock statement'!$D$2:$P$384,13,)</f>
        <v>713.57285714285717</v>
      </c>
      <c r="I1211" s="127">
        <v>2.5000000000000001E-2</v>
      </c>
      <c r="J1211" s="106">
        <v>1.0249999999999999</v>
      </c>
      <c r="K1211" s="106">
        <f t="shared" si="102"/>
        <v>74.969748303571421</v>
      </c>
      <c r="L1211" s="115"/>
      <c r="M1211" s="104">
        <f t="shared" si="103"/>
        <v>0.58476403676785704</v>
      </c>
    </row>
    <row r="1212" spans="1:13">
      <c r="A1212" s="100" t="str">
        <f>VLOOKUP(C1212,Abstract!$E$4:$M$62,9,0)</f>
        <v>No Sales</v>
      </c>
      <c r="B1212" s="99" t="s">
        <v>138</v>
      </c>
      <c r="C1212" s="133" t="s">
        <v>102</v>
      </c>
      <c r="D1212" s="133" t="s">
        <v>103</v>
      </c>
      <c r="E1212" s="95">
        <v>115323</v>
      </c>
      <c r="F1212" s="95" t="s">
        <v>424</v>
      </c>
      <c r="G1212" s="109">
        <v>0.1</v>
      </c>
      <c r="H1212" s="104">
        <f>VLOOKUP($E1212,'Stock statement'!$D$2:$P$384,13,)</f>
        <v>2171.0526315789475</v>
      </c>
      <c r="I1212" s="127">
        <v>2.5000000000000001E-2</v>
      </c>
      <c r="J1212" s="106">
        <v>1.0249999999999999</v>
      </c>
      <c r="K1212" s="106">
        <f t="shared" si="102"/>
        <v>228.09621710526315</v>
      </c>
      <c r="L1212" s="115"/>
      <c r="M1212" s="104">
        <f t="shared" si="103"/>
        <v>1.7791504934210527</v>
      </c>
    </row>
    <row r="1213" spans="1:13">
      <c r="A1213" s="100" t="str">
        <f>VLOOKUP(C1213,Abstract!$E$4:$M$62,9,0)</f>
        <v>No Sales</v>
      </c>
      <c r="B1213" s="99" t="s">
        <v>183</v>
      </c>
      <c r="C1213" s="133" t="s">
        <v>102</v>
      </c>
      <c r="D1213" s="133" t="s">
        <v>103</v>
      </c>
      <c r="E1213" s="95">
        <v>214673</v>
      </c>
      <c r="F1213" s="95" t="s">
        <v>504</v>
      </c>
      <c r="G1213" s="109">
        <f>G1214*12</f>
        <v>1538.4615384615386</v>
      </c>
      <c r="H1213" s="104">
        <f>VLOOKUP($E1213,'Stock statement'!$D$2:$P$384,13,)</f>
        <v>15.814752475247525</v>
      </c>
      <c r="I1213" s="127">
        <v>6.0000000000000001E-3</v>
      </c>
      <c r="J1213" s="106">
        <v>1</v>
      </c>
      <c r="K1213" s="106">
        <f t="shared" si="102"/>
        <v>24476.370753998483</v>
      </c>
      <c r="L1213" s="115"/>
      <c r="M1213" s="104">
        <f t="shared" si="103"/>
        <v>190.91569188118817</v>
      </c>
    </row>
    <row r="1214" spans="1:13">
      <c r="A1214" s="100" t="str">
        <f>VLOOKUP(C1214,Abstract!$E$4:$M$62,9,0)</f>
        <v>No Sales</v>
      </c>
      <c r="B1214" s="99" t="s">
        <v>183</v>
      </c>
      <c r="C1214" s="133" t="s">
        <v>102</v>
      </c>
      <c r="D1214" s="133" t="s">
        <v>103</v>
      </c>
      <c r="E1214" s="95">
        <v>214709</v>
      </c>
      <c r="F1214" s="95" t="s">
        <v>505</v>
      </c>
      <c r="G1214" s="109">
        <f>1000/(0.65*12)</f>
        <v>128.2051282051282</v>
      </c>
      <c r="H1214" s="104">
        <f>VLOOKUP($E1214,'Stock statement'!$D$2:$P$384,13,)</f>
        <v>37.758622504640883</v>
      </c>
      <c r="I1214" s="127">
        <v>6.0000000000000001E-3</v>
      </c>
      <c r="J1214" s="106">
        <v>1</v>
      </c>
      <c r="K1214" s="106">
        <f t="shared" si="102"/>
        <v>4869.8941332908626</v>
      </c>
      <c r="L1214" s="115"/>
      <c r="M1214" s="104">
        <f t="shared" si="103"/>
        <v>37.98517423966873</v>
      </c>
    </row>
    <row r="1215" spans="1:13">
      <c r="A1215" s="100" t="str">
        <f>VLOOKUP(C1215,Abstract!$E$4:$M$62,9,0)</f>
        <v>No Sales</v>
      </c>
      <c r="B1215" s="99" t="s">
        <v>183</v>
      </c>
      <c r="C1215" s="133" t="s">
        <v>102</v>
      </c>
      <c r="D1215" s="133" t="s">
        <v>103</v>
      </c>
      <c r="E1215" s="95">
        <v>214702</v>
      </c>
      <c r="F1215" s="95" t="s">
        <v>506</v>
      </c>
      <c r="G1215" s="109">
        <f>G1214*12</f>
        <v>1538.4615384615386</v>
      </c>
      <c r="H1215" s="104">
        <f>VLOOKUP($E1215,'Stock statement'!$D$2:$P$384,13,)</f>
        <v>2.12</v>
      </c>
      <c r="I1215" s="127">
        <v>0.02</v>
      </c>
      <c r="J1215" s="106">
        <v>1</v>
      </c>
      <c r="K1215" s="106">
        <f t="shared" si="102"/>
        <v>3326.7692307692314</v>
      </c>
      <c r="L1215" s="115"/>
      <c r="M1215" s="104">
        <f t="shared" si="103"/>
        <v>25.948800000000006</v>
      </c>
    </row>
    <row r="1216" spans="1:13">
      <c r="A1216" s="100" t="str">
        <f>VLOOKUP(C1216,Abstract!$E$4:$M$62,9,0)</f>
        <v>No Sales</v>
      </c>
      <c r="B1216" s="99" t="s">
        <v>183</v>
      </c>
      <c r="C1216" s="133" t="s">
        <v>102</v>
      </c>
      <c r="D1216" s="133" t="s">
        <v>103</v>
      </c>
      <c r="E1216" s="95">
        <v>214701</v>
      </c>
      <c r="F1216" s="95" t="s">
        <v>507</v>
      </c>
      <c r="G1216" s="109">
        <f>G1214*12</f>
        <v>1538.4615384615386</v>
      </c>
      <c r="H1216" s="104">
        <f>VLOOKUP($E1216,'Stock statement'!$D$2:$P$384,13,)</f>
        <v>2.65</v>
      </c>
      <c r="I1216" s="127">
        <v>0.02</v>
      </c>
      <c r="J1216" s="106">
        <v>1</v>
      </c>
      <c r="K1216" s="106">
        <f t="shared" si="102"/>
        <v>4158.461538461539</v>
      </c>
      <c r="L1216" s="115"/>
      <c r="M1216" s="104">
        <f t="shared" si="103"/>
        <v>32.436000000000007</v>
      </c>
    </row>
    <row r="1217" spans="1:13">
      <c r="A1217" s="100" t="str">
        <f>VLOOKUP(C1217,Abstract!$E$4:$M$62,9,0)</f>
        <v>No Sales</v>
      </c>
      <c r="B1217" s="99" t="s">
        <v>183</v>
      </c>
      <c r="C1217" s="133" t="s">
        <v>102</v>
      </c>
      <c r="D1217" s="133" t="s">
        <v>103</v>
      </c>
      <c r="E1217" s="95">
        <v>214727</v>
      </c>
      <c r="F1217" s="95" t="s">
        <v>508</v>
      </c>
      <c r="G1217" s="109">
        <f>G1214*12</f>
        <v>1538.4615384615386</v>
      </c>
      <c r="H1217" s="104">
        <f>VLOOKUP($E1217,'Stock statement'!$D$2:$P$384,13,)</f>
        <v>0</v>
      </c>
      <c r="I1217" s="127">
        <v>6.0000000000000001E-3</v>
      </c>
      <c r="J1217" s="106">
        <v>1</v>
      </c>
      <c r="K1217" s="106">
        <f>+G1217*H1217*(1+I1217)*J1217</f>
        <v>0</v>
      </c>
      <c r="L1217" s="115"/>
      <c r="M1217" s="104">
        <f t="shared" si="103"/>
        <v>0</v>
      </c>
    </row>
    <row r="1218" spans="1:13">
      <c r="A1218" s="100" t="str">
        <f>VLOOKUP(C1218,Abstract!$E$4:$M$62,9,0)</f>
        <v>No Sales</v>
      </c>
      <c r="B1218" s="99" t="s">
        <v>183</v>
      </c>
      <c r="C1218" s="133" t="s">
        <v>102</v>
      </c>
      <c r="D1218" s="133" t="s">
        <v>103</v>
      </c>
      <c r="E1218" s="95" t="s">
        <v>192</v>
      </c>
      <c r="F1218" s="95" t="s">
        <v>192</v>
      </c>
      <c r="G1218" s="109">
        <f>+G1214*0.02</f>
        <v>2.5641025641025643</v>
      </c>
      <c r="H1218" s="104">
        <f>VLOOKUP($E1218,'Stock statement'!$D$2:$P$384,13,)</f>
        <v>44.985440769279101</v>
      </c>
      <c r="I1218" s="127">
        <v>0.02</v>
      </c>
      <c r="J1218" s="106">
        <v>1</v>
      </c>
      <c r="K1218" s="106">
        <f>+G1218*H1218*(1+I1218)*J1218</f>
        <v>117.65422970426843</v>
      </c>
      <c r="L1218" s="115"/>
      <c r="M1218" s="104">
        <f t="shared" si="103"/>
        <v>0.91770299169329372</v>
      </c>
    </row>
    <row r="1219" spans="1:13">
      <c r="A1219" s="100" t="str">
        <f>VLOOKUP(C1219,Abstract!$E$4:$M$62,9,0)</f>
        <v>No Sales</v>
      </c>
      <c r="B1219" s="99" t="s">
        <v>194</v>
      </c>
      <c r="C1219" s="133" t="s">
        <v>102</v>
      </c>
      <c r="D1219" s="133" t="s">
        <v>103</v>
      </c>
      <c r="E1219" s="95" t="s">
        <v>195</v>
      </c>
      <c r="F1219" s="95"/>
      <c r="G1219" s="109">
        <f>G1213</f>
        <v>1538.4615384615386</v>
      </c>
      <c r="H1219" s="104">
        <v>0.04</v>
      </c>
      <c r="I1219" s="127"/>
      <c r="J1219" s="106">
        <v>1</v>
      </c>
      <c r="K1219" s="106">
        <f t="shared" si="102"/>
        <v>61.538461538461547</v>
      </c>
      <c r="L1219" s="115"/>
      <c r="M1219" s="104">
        <f t="shared" si="103"/>
        <v>0.48000000000000009</v>
      </c>
    </row>
    <row r="1220" spans="1:13">
      <c r="A1220" s="100" t="str">
        <f>VLOOKUP(C1220,Abstract!$E$4:$M$62,9,0)</f>
        <v>No Sales</v>
      </c>
      <c r="B1220" s="99" t="s">
        <v>194</v>
      </c>
      <c r="C1220" s="133" t="s">
        <v>102</v>
      </c>
      <c r="D1220" s="133" t="s">
        <v>103</v>
      </c>
      <c r="E1220" s="95" t="s">
        <v>196</v>
      </c>
      <c r="F1220" s="95"/>
      <c r="G1220" s="109">
        <f>G1213*45</f>
        <v>69230.769230769234</v>
      </c>
      <c r="H1220" s="104">
        <f>0.0017</f>
        <v>1.6999999999999999E-3</v>
      </c>
      <c r="I1220" s="127"/>
      <c r="J1220" s="106">
        <v>1</v>
      </c>
      <c r="K1220" s="106">
        <f t="shared" si="102"/>
        <v>117.69230769230769</v>
      </c>
      <c r="L1220" s="115"/>
      <c r="M1220" s="104">
        <f t="shared" si="103"/>
        <v>0.91800000000000004</v>
      </c>
    </row>
    <row r="1221" spans="1:13">
      <c r="A1221" s="100" t="str">
        <f>VLOOKUP(C1221,Abstract!$E$4:$M$62,9,0)</f>
        <v>No Sales</v>
      </c>
      <c r="B1221" s="99" t="s">
        <v>197</v>
      </c>
      <c r="C1221" s="133" t="s">
        <v>102</v>
      </c>
      <c r="D1221" s="133" t="s">
        <v>103</v>
      </c>
      <c r="E1221" s="95" t="s">
        <v>440</v>
      </c>
      <c r="F1221" s="95"/>
      <c r="G1221" s="109"/>
      <c r="H1221" s="104"/>
      <c r="I1221" s="127"/>
      <c r="J1221" s="106"/>
      <c r="K1221" s="106">
        <v>9000</v>
      </c>
      <c r="L1221" s="115">
        <f>SUM(K1196:K1221)</f>
        <v>122551.95833004633</v>
      </c>
      <c r="M1221" s="104">
        <f t="shared" si="103"/>
        <v>70.2</v>
      </c>
    </row>
    <row r="1222" spans="1:13">
      <c r="A1222" s="100" t="str">
        <f>VLOOKUP(C1222,Abstract!$E$4:$M$62,9,0)</f>
        <v>No Sales</v>
      </c>
      <c r="B1222" s="99" t="s">
        <v>138</v>
      </c>
      <c r="C1222" s="133" t="s">
        <v>100</v>
      </c>
      <c r="D1222" s="133" t="s">
        <v>101</v>
      </c>
      <c r="E1222" s="95" t="s">
        <v>141</v>
      </c>
      <c r="F1222" s="95" t="s">
        <v>142</v>
      </c>
      <c r="G1222" s="109">
        <v>185.7</v>
      </c>
      <c r="H1222" s="104">
        <f>VLOOKUP($E1222,'Stock statement'!$D$2:$P$384,13,)</f>
        <v>94.278330452007026</v>
      </c>
      <c r="I1222" s="127">
        <v>2.5000000000000001E-2</v>
      </c>
      <c r="J1222" s="106">
        <v>1.0249999999999999</v>
      </c>
      <c r="K1222" s="106">
        <f>+G1222*H1222*(1+I1222)*J1222</f>
        <v>18393.80244191267</v>
      </c>
      <c r="L1222" s="115"/>
      <c r="M1222" s="104">
        <f>K1222/$G$1240</f>
        <v>150.09342792600739</v>
      </c>
    </row>
    <row r="1223" spans="1:13">
      <c r="A1223" s="100" t="str">
        <f>VLOOKUP(C1223,Abstract!$E$4:$M$62,9,0)</f>
        <v>No Sales</v>
      </c>
      <c r="B1223" s="99" t="s">
        <v>138</v>
      </c>
      <c r="C1223" s="133" t="s">
        <v>100</v>
      </c>
      <c r="D1223" s="133" t="s">
        <v>101</v>
      </c>
      <c r="E1223" s="95" t="s">
        <v>145</v>
      </c>
      <c r="F1223" s="95" t="s">
        <v>146</v>
      </c>
      <c r="G1223" s="109">
        <v>10</v>
      </c>
      <c r="H1223" s="104">
        <f>VLOOKUP($E1223,'Stock statement'!$D$2:$P$384,13,)</f>
        <v>151.08681180977209</v>
      </c>
      <c r="I1223" s="127">
        <v>2.5000000000000001E-2</v>
      </c>
      <c r="J1223" s="106">
        <v>1.0249999999999999</v>
      </c>
      <c r="K1223" s="106">
        <f t="shared" ref="K1223:K1242" si="104">+G1223*H1223*(1+I1223)*J1223</f>
        <v>1587.3558165764177</v>
      </c>
      <c r="L1223" s="115"/>
      <c r="M1223" s="104">
        <f t="shared" ref="M1223:M1248" si="105">K1223/$G$1240</f>
        <v>12.952823463263568</v>
      </c>
    </row>
    <row r="1224" spans="1:13">
      <c r="A1224" s="100" t="str">
        <f>VLOOKUP(C1224,Abstract!$E$4:$M$62,9,0)</f>
        <v>No Sales</v>
      </c>
      <c r="B1224" s="99" t="s">
        <v>138</v>
      </c>
      <c r="C1224" s="133" t="s">
        <v>100</v>
      </c>
      <c r="D1224" s="133" t="s">
        <v>101</v>
      </c>
      <c r="E1224" s="95" t="s">
        <v>155</v>
      </c>
      <c r="F1224" s="95" t="s">
        <v>156</v>
      </c>
      <c r="G1224" s="109">
        <v>20</v>
      </c>
      <c r="H1224" s="104">
        <f>VLOOKUP($E1224,'Stock statement'!$D$2:$P$384,13,)</f>
        <v>68.308211638055738</v>
      </c>
      <c r="I1224" s="127">
        <v>2.5000000000000001E-2</v>
      </c>
      <c r="J1224" s="106">
        <v>1.0249999999999999</v>
      </c>
      <c r="K1224" s="106">
        <f t="shared" si="104"/>
        <v>1435.326297044646</v>
      </c>
      <c r="L1224" s="115"/>
      <c r="M1224" s="104">
        <f t="shared" si="105"/>
        <v>11.712262583884312</v>
      </c>
    </row>
    <row r="1225" spans="1:13">
      <c r="A1225" s="100" t="str">
        <f>VLOOKUP(C1225,Abstract!$E$4:$M$62,9,0)</f>
        <v>No Sales</v>
      </c>
      <c r="B1225" s="99" t="s">
        <v>138</v>
      </c>
      <c r="C1225" s="133" t="s">
        <v>100</v>
      </c>
      <c r="D1225" s="133" t="s">
        <v>101</v>
      </c>
      <c r="E1225" s="95" t="s">
        <v>166</v>
      </c>
      <c r="F1225" s="95" t="s">
        <v>418</v>
      </c>
      <c r="G1225" s="109">
        <v>2.5</v>
      </c>
      <c r="H1225" s="104">
        <f>VLOOKUP($E1225,'Stock statement'!$D$2:$P$384,13,)</f>
        <v>127.15913438761541</v>
      </c>
      <c r="I1225" s="127">
        <v>2.5000000000000001E-2</v>
      </c>
      <c r="J1225" s="106">
        <v>1.0249999999999999</v>
      </c>
      <c r="K1225" s="106">
        <f t="shared" si="104"/>
        <v>333.99141391497102</v>
      </c>
      <c r="L1225" s="115"/>
      <c r="M1225" s="104">
        <f t="shared" si="105"/>
        <v>2.7253699375461635</v>
      </c>
    </row>
    <row r="1226" spans="1:13">
      <c r="A1226" s="100" t="str">
        <f>VLOOKUP(C1226,Abstract!$E$4:$M$62,9,0)</f>
        <v>No Sales</v>
      </c>
      <c r="B1226" s="99" t="s">
        <v>138</v>
      </c>
      <c r="C1226" s="133" t="s">
        <v>100</v>
      </c>
      <c r="D1226" s="133" t="s">
        <v>101</v>
      </c>
      <c r="E1226" s="95" t="s">
        <v>143</v>
      </c>
      <c r="F1226" s="95" t="s">
        <v>144</v>
      </c>
      <c r="G1226" s="109">
        <v>10</v>
      </c>
      <c r="H1226" s="104">
        <f>VLOOKUP($E1226,'Stock statement'!$D$2:$P$384,13,)</f>
        <v>178.57970547017939</v>
      </c>
      <c r="I1226" s="127">
        <v>2.5000000000000001E-2</v>
      </c>
      <c r="J1226" s="106">
        <v>1.0249999999999999</v>
      </c>
      <c r="K1226" s="106">
        <f t="shared" si="104"/>
        <v>1876.203030596072</v>
      </c>
      <c r="L1226" s="115"/>
      <c r="M1226" s="104">
        <f t="shared" si="105"/>
        <v>15.309816729663948</v>
      </c>
    </row>
    <row r="1227" spans="1:13">
      <c r="A1227" s="100" t="str">
        <f>VLOOKUP(C1227,Abstract!$E$4:$M$62,9,0)</f>
        <v>No Sales</v>
      </c>
      <c r="B1227" s="99" t="s">
        <v>138</v>
      </c>
      <c r="C1227" s="133" t="s">
        <v>100</v>
      </c>
      <c r="D1227" s="133" t="s">
        <v>101</v>
      </c>
      <c r="E1227" s="95" t="s">
        <v>149</v>
      </c>
      <c r="F1227" s="95" t="s">
        <v>150</v>
      </c>
      <c r="G1227" s="109">
        <v>0.125</v>
      </c>
      <c r="H1227" s="104">
        <f>VLOOKUP($E1227,'Stock statement'!$D$2:$P$384,13,)</f>
        <v>161.56941474217822</v>
      </c>
      <c r="I1227" s="127">
        <v>2.5000000000000001E-2</v>
      </c>
      <c r="J1227" s="106">
        <v>1.0249999999999999</v>
      </c>
      <c r="K1227" s="106">
        <f t="shared" si="104"/>
        <v>21.218608295437623</v>
      </c>
      <c r="L1227" s="115"/>
      <c r="M1227" s="104">
        <f t="shared" si="105"/>
        <v>0.17314384369077102</v>
      </c>
    </row>
    <row r="1228" spans="1:13">
      <c r="A1228" s="100" t="str">
        <f>VLOOKUP(C1228,Abstract!$E$4:$M$62,9,0)</f>
        <v>No Sales</v>
      </c>
      <c r="B1228" s="99" t="s">
        <v>138</v>
      </c>
      <c r="C1228" s="133" t="s">
        <v>100</v>
      </c>
      <c r="D1228" s="133" t="s">
        <v>101</v>
      </c>
      <c r="E1228" s="95">
        <v>114271</v>
      </c>
      <c r="F1228" s="95" t="s">
        <v>419</v>
      </c>
      <c r="G1228" s="109">
        <v>30</v>
      </c>
      <c r="H1228" s="104">
        <f>VLOOKUP($E1228,'Stock statement'!$D$2:$P$384,13,)</f>
        <v>407.26831661471198</v>
      </c>
      <c r="I1228" s="127">
        <v>2.5000000000000001E-2</v>
      </c>
      <c r="J1228" s="106">
        <v>1.0249999999999999</v>
      </c>
      <c r="K1228" s="106">
        <f t="shared" si="104"/>
        <v>12836.588254299952</v>
      </c>
      <c r="L1228" s="115"/>
      <c r="M1228" s="104">
        <f t="shared" si="105"/>
        <v>104.74656015508761</v>
      </c>
    </row>
    <row r="1229" spans="1:13">
      <c r="A1229" s="100" t="str">
        <f>VLOOKUP(C1229,Abstract!$E$4:$M$62,9,0)</f>
        <v>No Sales</v>
      </c>
      <c r="B1229" s="99" t="s">
        <v>138</v>
      </c>
      <c r="C1229" s="133" t="s">
        <v>100</v>
      </c>
      <c r="D1229" s="133" t="s">
        <v>101</v>
      </c>
      <c r="E1229" s="95" t="s">
        <v>157</v>
      </c>
      <c r="F1229" s="102" t="s">
        <v>158</v>
      </c>
      <c r="G1229" s="109">
        <v>1</v>
      </c>
      <c r="H1229" s="104">
        <f>VLOOKUP($E1229,'Stock statement'!$D$2:$P$384,13,)</f>
        <v>828.81974703846117</v>
      </c>
      <c r="I1229" s="127">
        <v>2.5000000000000001E-2</v>
      </c>
      <c r="J1229" s="106">
        <v>1.0249999999999999</v>
      </c>
      <c r="K1229" s="106">
        <f t="shared" si="104"/>
        <v>870.77874673228314</v>
      </c>
      <c r="L1229" s="115"/>
      <c r="M1229" s="104">
        <f t="shared" si="105"/>
        <v>7.1055545733354304</v>
      </c>
    </row>
    <row r="1230" spans="1:13">
      <c r="A1230" s="100" t="str">
        <f>VLOOKUP(C1230,Abstract!$E$4:$M$62,9,0)</f>
        <v>No Sales</v>
      </c>
      <c r="B1230" s="99" t="s">
        <v>138</v>
      </c>
      <c r="C1230" s="133" t="s">
        <v>100</v>
      </c>
      <c r="D1230" s="133" t="s">
        <v>101</v>
      </c>
      <c r="E1230" s="157">
        <v>115150</v>
      </c>
      <c r="F1230" s="36" t="s">
        <v>159</v>
      </c>
      <c r="G1230" s="109">
        <v>1</v>
      </c>
      <c r="H1230" s="104">
        <f>VLOOKUP($E1230,'Stock statement'!$D$2:$P$384,13,)</f>
        <v>456.30699446392703</v>
      </c>
      <c r="I1230" s="127">
        <v>2.5000000000000001E-2</v>
      </c>
      <c r="J1230" s="106">
        <v>1.0249999999999999</v>
      </c>
      <c r="K1230" s="106">
        <f t="shared" si="104"/>
        <v>479.40753605866325</v>
      </c>
      <c r="L1230" s="115"/>
      <c r="M1230" s="104">
        <f t="shared" si="105"/>
        <v>3.9119654942386921</v>
      </c>
    </row>
    <row r="1231" spans="1:13">
      <c r="A1231" s="100" t="str">
        <f>VLOOKUP(C1231,Abstract!$E$4:$M$62,9,0)</f>
        <v>No Sales</v>
      </c>
      <c r="B1231" s="99" t="s">
        <v>138</v>
      </c>
      <c r="C1231" s="133" t="s">
        <v>100</v>
      </c>
      <c r="D1231" s="133" t="s">
        <v>101</v>
      </c>
      <c r="E1231" s="95" t="s">
        <v>160</v>
      </c>
      <c r="F1231" s="95" t="s">
        <v>161</v>
      </c>
      <c r="G1231" s="109">
        <v>0.25</v>
      </c>
      <c r="H1231" s="104">
        <f>VLOOKUP($E1231,'Stock statement'!$D$2:$P$384,13,)</f>
        <v>3313.2387673094586</v>
      </c>
      <c r="I1231" s="127">
        <v>2.5000000000000001E-2</v>
      </c>
      <c r="J1231" s="106">
        <v>1.0249999999999999</v>
      </c>
      <c r="K1231" s="106">
        <f t="shared" si="104"/>
        <v>870.24286997612489</v>
      </c>
      <c r="L1231" s="115"/>
      <c r="M1231" s="104">
        <f t="shared" si="105"/>
        <v>7.1011818190051796</v>
      </c>
    </row>
    <row r="1232" spans="1:13">
      <c r="A1232" s="100" t="str">
        <f>VLOOKUP(C1232,Abstract!$E$4:$M$62,9,0)</f>
        <v>No Sales</v>
      </c>
      <c r="B1232" s="99" t="s">
        <v>138</v>
      </c>
      <c r="C1232" s="133" t="s">
        <v>100</v>
      </c>
      <c r="D1232" s="133" t="s">
        <v>101</v>
      </c>
      <c r="E1232" s="95">
        <v>115152</v>
      </c>
      <c r="F1232" s="95" t="s">
        <v>420</v>
      </c>
      <c r="G1232" s="109">
        <v>40</v>
      </c>
      <c r="H1232" s="104">
        <f>VLOOKUP($E1232,'Stock statement'!$D$2:$P$384,13,)</f>
        <v>341.17565217391302</v>
      </c>
      <c r="I1232" s="127">
        <v>2.5000000000000001E-2</v>
      </c>
      <c r="J1232" s="106">
        <v>1.0249999999999999</v>
      </c>
      <c r="K1232" s="106">
        <f t="shared" si="104"/>
        <v>14337.906782608692</v>
      </c>
      <c r="L1232" s="115"/>
      <c r="M1232" s="104">
        <f t="shared" si="105"/>
        <v>116.99731934608693</v>
      </c>
    </row>
    <row r="1233" spans="1:13">
      <c r="A1233" s="100" t="str">
        <f>VLOOKUP(C1233,Abstract!$E$4:$M$62,9,0)</f>
        <v>No Sales</v>
      </c>
      <c r="B1233" s="99" t="s">
        <v>138</v>
      </c>
      <c r="C1233" s="133" t="s">
        <v>100</v>
      </c>
      <c r="D1233" s="133" t="s">
        <v>101</v>
      </c>
      <c r="E1233" s="95">
        <v>115321</v>
      </c>
      <c r="F1233" s="95" t="s">
        <v>421</v>
      </c>
      <c r="G1233" s="109">
        <v>7</v>
      </c>
      <c r="H1233" s="104">
        <f>VLOOKUP($E1233,'Stock statement'!$D$2:$P$384,13,)</f>
        <v>983.99999999999977</v>
      </c>
      <c r="I1233" s="127">
        <v>2.5000000000000001E-2</v>
      </c>
      <c r="J1233" s="106">
        <v>1.0249999999999999</v>
      </c>
      <c r="K1233" s="106">
        <f t="shared" si="104"/>
        <v>7236.7049999999963</v>
      </c>
      <c r="L1233" s="115"/>
      <c r="M1233" s="104">
        <f t="shared" si="105"/>
        <v>59.051512799999969</v>
      </c>
    </row>
    <row r="1234" spans="1:13">
      <c r="A1234" s="100" t="str">
        <f>VLOOKUP(C1234,Abstract!$E$4:$M$62,9,0)</f>
        <v>No Sales</v>
      </c>
      <c r="B1234" s="99" t="s">
        <v>138</v>
      </c>
      <c r="C1234" s="133" t="s">
        <v>100</v>
      </c>
      <c r="D1234" s="133" t="s">
        <v>101</v>
      </c>
      <c r="E1234" s="95">
        <v>114273</v>
      </c>
      <c r="F1234" s="95" t="s">
        <v>422</v>
      </c>
      <c r="G1234" s="109">
        <v>20</v>
      </c>
      <c r="H1234" s="104">
        <f>VLOOKUP($E1234,'Stock statement'!$D$2:$P$384,13,)</f>
        <v>734.07091095950022</v>
      </c>
      <c r="I1234" s="127">
        <v>2.5000000000000001E-2</v>
      </c>
      <c r="J1234" s="106">
        <v>1.0249999999999999</v>
      </c>
      <c r="K1234" s="106">
        <f t="shared" si="104"/>
        <v>15424.665016536495</v>
      </c>
      <c r="L1234" s="115"/>
      <c r="M1234" s="104">
        <f t="shared" si="105"/>
        <v>125.8652665349378</v>
      </c>
    </row>
    <row r="1235" spans="1:13">
      <c r="A1235" s="100" t="str">
        <f>VLOOKUP(C1235,Abstract!$E$4:$M$62,9,0)</f>
        <v>No Sales</v>
      </c>
      <c r="B1235" s="99" t="s">
        <v>138</v>
      </c>
      <c r="C1235" s="133" t="s">
        <v>100</v>
      </c>
      <c r="D1235" s="133" t="s">
        <v>101</v>
      </c>
      <c r="E1235" s="95" t="s">
        <v>181</v>
      </c>
      <c r="F1235" s="95" t="s">
        <v>182</v>
      </c>
      <c r="G1235" s="109">
        <v>10</v>
      </c>
      <c r="H1235" s="104">
        <f>VLOOKUP($E1235,'Stock statement'!$D$2:$P$384,13,)</f>
        <v>17.110276913020375</v>
      </c>
      <c r="I1235" s="127">
        <v>2.5000000000000001E-2</v>
      </c>
      <c r="J1235" s="106">
        <v>1.0249999999999999</v>
      </c>
      <c r="K1235" s="106">
        <f t="shared" si="104"/>
        <v>179.76484681742028</v>
      </c>
      <c r="L1235" s="115"/>
      <c r="M1235" s="104">
        <f t="shared" si="105"/>
        <v>1.4668811500301495</v>
      </c>
    </row>
    <row r="1236" spans="1:13">
      <c r="A1236" s="100" t="str">
        <f>VLOOKUP(C1236,Abstract!$E$4:$M$62,9,0)</f>
        <v>No Sales</v>
      </c>
      <c r="B1236" s="99" t="s">
        <v>138</v>
      </c>
      <c r="C1236" s="133" t="s">
        <v>100</v>
      </c>
      <c r="D1236" s="133" t="s">
        <v>101</v>
      </c>
      <c r="E1236" s="95" t="s">
        <v>139</v>
      </c>
      <c r="F1236" s="95" t="s">
        <v>140</v>
      </c>
      <c r="G1236" s="109">
        <v>662.22499999999991</v>
      </c>
      <c r="H1236" s="104">
        <f>VLOOKUP($E1236,'Stock statement'!$D$2:$P$384,13,)</f>
        <v>0.34</v>
      </c>
      <c r="I1236" s="127">
        <v>2.5000000000000001E-2</v>
      </c>
      <c r="J1236" s="106">
        <v>1.0249999999999999</v>
      </c>
      <c r="K1236" s="106">
        <f t="shared" si="104"/>
        <v>236.55504781249996</v>
      </c>
      <c r="L1236" s="115"/>
      <c r="M1236" s="104">
        <f t="shared" si="105"/>
        <v>1.9302891901499997</v>
      </c>
    </row>
    <row r="1237" spans="1:13">
      <c r="A1237" s="100" t="str">
        <f>VLOOKUP(C1237,Abstract!$E$4:$M$62,9,0)</f>
        <v>No Sales</v>
      </c>
      <c r="B1237" s="99" t="s">
        <v>138</v>
      </c>
      <c r="C1237" s="133" t="s">
        <v>100</v>
      </c>
      <c r="D1237" s="133" t="s">
        <v>101</v>
      </c>
      <c r="E1237" s="95">
        <v>115322</v>
      </c>
      <c r="F1237" s="95" t="s">
        <v>423</v>
      </c>
      <c r="G1237" s="109">
        <v>0.1</v>
      </c>
      <c r="H1237" s="104">
        <f>VLOOKUP($E1237,'Stock statement'!$D$2:$P$384,13,)</f>
        <v>713.57285714285717</v>
      </c>
      <c r="I1237" s="127">
        <v>2.5000000000000001E-2</v>
      </c>
      <c r="J1237" s="106">
        <v>1.0249999999999999</v>
      </c>
      <c r="K1237" s="106">
        <f t="shared" si="104"/>
        <v>74.969748303571421</v>
      </c>
      <c r="L1237" s="115"/>
      <c r="M1237" s="104">
        <f t="shared" si="105"/>
        <v>0.61175314615714282</v>
      </c>
    </row>
    <row r="1238" spans="1:13">
      <c r="A1238" s="100" t="str">
        <f>VLOOKUP(C1238,Abstract!$E$4:$M$62,9,0)</f>
        <v>No Sales</v>
      </c>
      <c r="B1238" s="99" t="s">
        <v>138</v>
      </c>
      <c r="C1238" s="133" t="s">
        <v>100</v>
      </c>
      <c r="D1238" s="133" t="s">
        <v>101</v>
      </c>
      <c r="E1238" s="95">
        <v>115323</v>
      </c>
      <c r="F1238" s="95" t="s">
        <v>424</v>
      </c>
      <c r="G1238" s="109">
        <v>0.1</v>
      </c>
      <c r="H1238" s="104">
        <f>VLOOKUP($E1238,'Stock statement'!$D$2:$P$384,13,)</f>
        <v>2171.0526315789475</v>
      </c>
      <c r="I1238" s="127">
        <v>2.5000000000000001E-2</v>
      </c>
      <c r="J1238" s="106">
        <v>1.0249999999999999</v>
      </c>
      <c r="K1238" s="106">
        <f t="shared" si="104"/>
        <v>228.09621710526315</v>
      </c>
      <c r="L1238" s="115"/>
      <c r="M1238" s="104">
        <f t="shared" si="105"/>
        <v>1.8612651315789472</v>
      </c>
    </row>
    <row r="1239" spans="1:13">
      <c r="A1239" s="100" t="str">
        <f>VLOOKUP(C1239,Abstract!$E$4:$M$62,9,0)</f>
        <v>No Sales</v>
      </c>
      <c r="B1239" s="99" t="s">
        <v>183</v>
      </c>
      <c r="C1239" s="133" t="s">
        <v>100</v>
      </c>
      <c r="D1239" s="133" t="s">
        <v>101</v>
      </c>
      <c r="E1239" s="95">
        <v>214713</v>
      </c>
      <c r="F1239" s="95" t="s">
        <v>509</v>
      </c>
      <c r="G1239" s="109">
        <f>G1240*24</f>
        <v>2941.1764705882351</v>
      </c>
      <c r="H1239" s="104">
        <f>VLOOKUP($E1239,'Stock statement'!$D$2:$P$384,13,)</f>
        <v>10.57</v>
      </c>
      <c r="I1239" s="127">
        <v>6.0000000000000001E-3</v>
      </c>
      <c r="J1239" s="106">
        <v>1</v>
      </c>
      <c r="K1239" s="106">
        <f t="shared" si="104"/>
        <v>31274.764705882353</v>
      </c>
      <c r="L1239" s="115"/>
      <c r="M1239" s="104">
        <f t="shared" si="105"/>
        <v>255.20208</v>
      </c>
    </row>
    <row r="1240" spans="1:13">
      <c r="A1240" s="100" t="str">
        <f>VLOOKUP(C1240,Abstract!$E$4:$M$62,9,0)</f>
        <v>No Sales</v>
      </c>
      <c r="B1240" s="99" t="s">
        <v>183</v>
      </c>
      <c r="C1240" s="133" t="s">
        <v>100</v>
      </c>
      <c r="D1240" s="133" t="s">
        <v>101</v>
      </c>
      <c r="E1240" s="95">
        <v>214705</v>
      </c>
      <c r="F1240" s="95" t="s">
        <v>510</v>
      </c>
      <c r="G1240" s="109">
        <f>1000/(0.34*24)</f>
        <v>122.54901960784314</v>
      </c>
      <c r="H1240" s="104">
        <f>VLOOKUP($E1240,'Stock statement'!$D$2:$P$384,13,)</f>
        <v>27.07</v>
      </c>
      <c r="I1240" s="127">
        <v>6.0000000000000001E-3</v>
      </c>
      <c r="J1240" s="106">
        <v>1</v>
      </c>
      <c r="K1240" s="106">
        <f t="shared" si="104"/>
        <v>3337.3063725490197</v>
      </c>
      <c r="L1240" s="115"/>
      <c r="M1240" s="104">
        <f t="shared" si="105"/>
        <v>27.232420000000001</v>
      </c>
    </row>
    <row r="1241" spans="1:13">
      <c r="A1241" s="100" t="str">
        <f>VLOOKUP(C1241,Abstract!$E$4:$M$62,9,0)</f>
        <v>No Sales</v>
      </c>
      <c r="B1241" s="99" t="s">
        <v>183</v>
      </c>
      <c r="C1241" s="133" t="s">
        <v>100</v>
      </c>
      <c r="D1241" s="133" t="s">
        <v>101</v>
      </c>
      <c r="E1241" s="95">
        <v>214704</v>
      </c>
      <c r="F1241" s="95" t="s">
        <v>511</v>
      </c>
      <c r="G1241" s="109">
        <f>G1240*24</f>
        <v>2941.1764705882351</v>
      </c>
      <c r="H1241" s="104">
        <f>VLOOKUP($E1241,'Stock statement'!$D$2:$P$384,13,)</f>
        <v>2.44</v>
      </c>
      <c r="I1241" s="127">
        <v>0.02</v>
      </c>
      <c r="J1241" s="106">
        <v>1</v>
      </c>
      <c r="K1241" s="106">
        <f t="shared" si="104"/>
        <v>7320</v>
      </c>
      <c r="L1241" s="115"/>
      <c r="M1241" s="104">
        <f t="shared" si="105"/>
        <v>59.731200000000001</v>
      </c>
    </row>
    <row r="1242" spans="1:13">
      <c r="A1242" s="100" t="str">
        <f>VLOOKUP(C1242,Abstract!$E$4:$M$62,9,0)</f>
        <v>No Sales</v>
      </c>
      <c r="B1242" s="99" t="s">
        <v>183</v>
      </c>
      <c r="C1242" s="133" t="s">
        <v>100</v>
      </c>
      <c r="D1242" s="133" t="s">
        <v>101</v>
      </c>
      <c r="E1242" s="95">
        <v>214703</v>
      </c>
      <c r="F1242" s="95" t="s">
        <v>512</v>
      </c>
      <c r="G1242" s="109">
        <f>G1240*24</f>
        <v>2941.1764705882351</v>
      </c>
      <c r="H1242" s="104">
        <f>VLOOKUP($E1242,'Stock statement'!$D$2:$P$384,13,)</f>
        <v>1.94</v>
      </c>
      <c r="I1242" s="127">
        <v>0.02</v>
      </c>
      <c r="J1242" s="106">
        <v>1</v>
      </c>
      <c r="K1242" s="106">
        <f t="shared" si="104"/>
        <v>5819.9999999999991</v>
      </c>
      <c r="L1242" s="115"/>
      <c r="M1242" s="104">
        <f t="shared" si="105"/>
        <v>47.491199999999992</v>
      </c>
    </row>
    <row r="1243" spans="1:13">
      <c r="A1243" s="100" t="str">
        <f>VLOOKUP(C1243,Abstract!$E$4:$M$62,9,0)</f>
        <v>No Sales</v>
      </c>
      <c r="B1243" s="99" t="s">
        <v>183</v>
      </c>
      <c r="C1243" s="133" t="s">
        <v>100</v>
      </c>
      <c r="D1243" s="133" t="s">
        <v>101</v>
      </c>
      <c r="E1243" s="95">
        <v>214714</v>
      </c>
      <c r="F1243" s="95" t="s">
        <v>513</v>
      </c>
      <c r="G1243" s="109">
        <f>G1240*24</f>
        <v>2941.1764705882351</v>
      </c>
      <c r="H1243" s="104">
        <f>VLOOKUP($E1243,'Stock statement'!$D$2:$P$384,13,)</f>
        <v>3.8119047619047612</v>
      </c>
      <c r="I1243" s="127">
        <v>6.0000000000000001E-3</v>
      </c>
      <c r="J1243" s="106">
        <v>1</v>
      </c>
      <c r="K1243" s="106">
        <f>+G1243*H1243*(1+I1243)*J1243</f>
        <v>11278.753501400559</v>
      </c>
      <c r="L1243" s="115"/>
      <c r="M1243" s="104">
        <f t="shared" si="105"/>
        <v>92.034628571428556</v>
      </c>
    </row>
    <row r="1244" spans="1:13">
      <c r="A1244" s="100" t="str">
        <f>VLOOKUP(C1244,Abstract!$E$4:$M$62,9,0)</f>
        <v>No Sales</v>
      </c>
      <c r="B1244" s="99" t="s">
        <v>183</v>
      </c>
      <c r="C1244" s="133" t="s">
        <v>100</v>
      </c>
      <c r="D1244" s="133" t="s">
        <v>101</v>
      </c>
      <c r="E1244" s="95">
        <v>213468</v>
      </c>
      <c r="F1244" s="95" t="s">
        <v>514</v>
      </c>
      <c r="G1244" s="109">
        <f>G1240*4</f>
        <v>490.19607843137254</v>
      </c>
      <c r="H1244" s="104">
        <f>VLOOKUP($E1244,'Stock statement'!$D$2:$P$384,13,)</f>
        <v>3</v>
      </c>
      <c r="I1244" s="127">
        <v>0.01</v>
      </c>
      <c r="J1244" s="106">
        <v>1</v>
      </c>
      <c r="K1244" s="106">
        <f>+G1244*H1244*(1+I1244)*J1244</f>
        <v>1485.2941176470588</v>
      </c>
      <c r="L1244" s="115"/>
      <c r="M1244" s="104">
        <f t="shared" si="105"/>
        <v>12.12</v>
      </c>
    </row>
    <row r="1245" spans="1:13">
      <c r="A1245" s="100" t="str">
        <f>VLOOKUP(C1245,Abstract!$E$4:$M$62,9,0)</f>
        <v>No Sales</v>
      </c>
      <c r="B1245" s="99" t="s">
        <v>183</v>
      </c>
      <c r="C1245" s="133" t="s">
        <v>100</v>
      </c>
      <c r="D1245" s="133" t="s">
        <v>101</v>
      </c>
      <c r="E1245" s="95" t="s">
        <v>192</v>
      </c>
      <c r="F1245" s="95" t="s">
        <v>192</v>
      </c>
      <c r="G1245" s="109">
        <f>+G1240*0.02</f>
        <v>2.4509803921568629</v>
      </c>
      <c r="H1245" s="104">
        <f>VLOOKUP($E1245,'Stock statement'!$D$2:$P$384,13,)</f>
        <v>44.985440769279101</v>
      </c>
      <c r="I1245" s="127">
        <v>0.02</v>
      </c>
      <c r="J1245" s="106">
        <v>1</v>
      </c>
      <c r="K1245" s="106">
        <f>+G1245*H1245*(1+I1245)*J1245</f>
        <v>112.46360192319776</v>
      </c>
      <c r="L1245" s="115"/>
      <c r="M1245" s="104">
        <f t="shared" si="105"/>
        <v>0.91770299169329372</v>
      </c>
    </row>
    <row r="1246" spans="1:13">
      <c r="A1246" s="100" t="str">
        <f>VLOOKUP(C1246,Abstract!$E$4:$M$62,9,0)</f>
        <v>No Sales</v>
      </c>
      <c r="B1246" s="99" t="s">
        <v>194</v>
      </c>
      <c r="C1246" s="133" t="s">
        <v>100</v>
      </c>
      <c r="D1246" s="133" t="s">
        <v>101</v>
      </c>
      <c r="E1246" s="95" t="s">
        <v>195</v>
      </c>
      <c r="F1246" s="95"/>
      <c r="G1246" s="109">
        <f>G1239</f>
        <v>2941.1764705882351</v>
      </c>
      <c r="H1246" s="104">
        <v>0.04</v>
      </c>
      <c r="I1246" s="127"/>
      <c r="J1246" s="106">
        <v>1</v>
      </c>
      <c r="K1246" s="106">
        <f>+G1246*H1246*(1+I1246)*J1246</f>
        <v>117.64705882352941</v>
      </c>
      <c r="L1246" s="115"/>
      <c r="M1246" s="104">
        <f t="shared" si="105"/>
        <v>0.96</v>
      </c>
    </row>
    <row r="1247" spans="1:13">
      <c r="A1247" s="100" t="str">
        <f>VLOOKUP(C1247,Abstract!$E$4:$M$62,9,0)</f>
        <v>No Sales</v>
      </c>
      <c r="B1247" s="99" t="s">
        <v>194</v>
      </c>
      <c r="C1247" s="133" t="s">
        <v>100</v>
      </c>
      <c r="D1247" s="133" t="s">
        <v>101</v>
      </c>
      <c r="E1247" s="95" t="s">
        <v>196</v>
      </c>
      <c r="F1247" s="95"/>
      <c r="G1247" s="109">
        <f>G1241*45</f>
        <v>132352.94117647057</v>
      </c>
      <c r="H1247" s="130">
        <v>1.6999999999999999E-3</v>
      </c>
      <c r="I1247" s="127"/>
      <c r="J1247" s="106">
        <v>1</v>
      </c>
      <c r="K1247" s="106">
        <f>+G1247*H1247*(1+I1247)*J1247</f>
        <v>224.99999999999997</v>
      </c>
      <c r="L1247" s="115"/>
      <c r="M1247" s="104">
        <f t="shared" si="105"/>
        <v>1.8359999999999999</v>
      </c>
    </row>
    <row r="1248" spans="1:13">
      <c r="A1248" s="100" t="str">
        <f>VLOOKUP(C1248,Abstract!$E$4:$M$62,9,0)</f>
        <v>No Sales</v>
      </c>
      <c r="B1248" s="99" t="s">
        <v>197</v>
      </c>
      <c r="C1248" s="133" t="s">
        <v>100</v>
      </c>
      <c r="D1248" s="133" t="s">
        <v>101</v>
      </c>
      <c r="E1248" s="95" t="s">
        <v>440</v>
      </c>
      <c r="F1248" s="95"/>
      <c r="G1248" s="109"/>
      <c r="H1248" s="104"/>
      <c r="I1248" s="127"/>
      <c r="J1248" s="106"/>
      <c r="K1248" s="106">
        <v>9000</v>
      </c>
      <c r="L1248" s="115">
        <f>SUM(K1222:K1248)</f>
        <v>146394.80703281687</v>
      </c>
      <c r="M1248" s="104">
        <f t="shared" si="105"/>
        <v>73.44</v>
      </c>
    </row>
    <row r="1249" spans="1:13">
      <c r="A1249" s="100" t="str">
        <f>VLOOKUP(C1249,Abstract!$E$4:$M$62,9,0)</f>
        <v>ACTIVE</v>
      </c>
      <c r="B1249" s="99" t="s">
        <v>138</v>
      </c>
      <c r="C1249" s="133" t="s">
        <v>106</v>
      </c>
      <c r="D1249" s="133" t="s">
        <v>515</v>
      </c>
      <c r="E1249" s="95" t="s">
        <v>139</v>
      </c>
      <c r="F1249" s="95" t="s">
        <v>472</v>
      </c>
      <c r="G1249" s="109">
        <v>763.75</v>
      </c>
      <c r="H1249" s="104">
        <f>VLOOKUP($E1249,'Stock statement'!$D$2:$P$384,13,)</f>
        <v>0.34</v>
      </c>
      <c r="I1249" s="127">
        <v>2.5000000000000001E-2</v>
      </c>
      <c r="J1249" s="106">
        <v>1.0249999999999999</v>
      </c>
      <c r="K1249" s="106">
        <f>+G1249*H1249*(1+I1249)*J1249</f>
        <v>272.82104687499998</v>
      </c>
      <c r="L1249" s="115"/>
      <c r="M1249" s="104">
        <f t="shared" ref="M1249:M1270" si="106">K1249/$G$1269</f>
        <v>3.2738525625000001</v>
      </c>
    </row>
    <row r="1250" spans="1:13">
      <c r="A1250" s="100" t="str">
        <f>VLOOKUP(C1250,Abstract!$E$4:$M$62,9,0)</f>
        <v>ACTIVE</v>
      </c>
      <c r="B1250" s="99" t="s">
        <v>138</v>
      </c>
      <c r="C1250" s="133" t="s">
        <v>106</v>
      </c>
      <c r="D1250" s="133" t="s">
        <v>515</v>
      </c>
      <c r="E1250" s="95" t="s">
        <v>141</v>
      </c>
      <c r="F1250" s="95" t="s">
        <v>142</v>
      </c>
      <c r="G1250" s="109">
        <v>157.19999999999999</v>
      </c>
      <c r="H1250" s="104">
        <f>VLOOKUP($E1250,'Stock statement'!$D$2:$P$384,13,)</f>
        <v>94.278330452007026</v>
      </c>
      <c r="I1250" s="127">
        <v>2.5000000000000001E-2</v>
      </c>
      <c r="J1250" s="106">
        <v>1.0249999999999999</v>
      </c>
      <c r="K1250" s="106">
        <f t="shared" ref="K1250:K1270" si="107">+G1250*H1250*(1+I1250)*J1250</f>
        <v>15570.844070375186</v>
      </c>
      <c r="L1250" s="115"/>
      <c r="M1250" s="104">
        <f t="shared" si="106"/>
        <v>186.85012884450225</v>
      </c>
    </row>
    <row r="1251" spans="1:13">
      <c r="A1251" s="100" t="str">
        <f>VLOOKUP(C1251,Abstract!$E$4:$M$62,9,0)</f>
        <v>ACTIVE</v>
      </c>
      <c r="B1251" s="99" t="s">
        <v>138</v>
      </c>
      <c r="C1251" s="133" t="s">
        <v>106</v>
      </c>
      <c r="D1251" s="133" t="s">
        <v>515</v>
      </c>
      <c r="E1251" s="95" t="s">
        <v>145</v>
      </c>
      <c r="F1251" s="95" t="s">
        <v>471</v>
      </c>
      <c r="G1251" s="109">
        <v>15</v>
      </c>
      <c r="H1251" s="104">
        <f>VLOOKUP($E1251,'Stock statement'!$D$2:$P$384,13,)</f>
        <v>151.08681180977209</v>
      </c>
      <c r="I1251" s="127">
        <v>2.5000000000000001E-2</v>
      </c>
      <c r="J1251" s="106">
        <v>1.0249999999999999</v>
      </c>
      <c r="K1251" s="106">
        <f t="shared" si="107"/>
        <v>2381.0337248646265</v>
      </c>
      <c r="L1251" s="115"/>
      <c r="M1251" s="104">
        <f t="shared" si="106"/>
        <v>28.572404698375518</v>
      </c>
    </row>
    <row r="1252" spans="1:13">
      <c r="A1252" s="100" t="str">
        <f>VLOOKUP(C1252,Abstract!$E$4:$M$62,9,0)</f>
        <v>ACTIVE</v>
      </c>
      <c r="B1252" s="99" t="s">
        <v>138</v>
      </c>
      <c r="C1252" s="133" t="s">
        <v>106</v>
      </c>
      <c r="D1252" s="133" t="s">
        <v>515</v>
      </c>
      <c r="E1252" s="95" t="s">
        <v>143</v>
      </c>
      <c r="F1252" s="95" t="s">
        <v>144</v>
      </c>
      <c r="G1252" s="109">
        <v>5</v>
      </c>
      <c r="H1252" s="104">
        <f>VLOOKUP($E1252,'Stock statement'!$D$2:$P$384,13,)</f>
        <v>178.57970547017939</v>
      </c>
      <c r="I1252" s="127">
        <v>2.5000000000000001E-2</v>
      </c>
      <c r="J1252" s="106">
        <v>1.0249999999999999</v>
      </c>
      <c r="K1252" s="106">
        <f t="shared" si="107"/>
        <v>938.10151529803602</v>
      </c>
      <c r="L1252" s="115"/>
      <c r="M1252" s="104">
        <f t="shared" si="106"/>
        <v>11.257218183576432</v>
      </c>
    </row>
    <row r="1253" spans="1:13">
      <c r="A1253" s="100" t="str">
        <f>VLOOKUP(C1253,Abstract!$E$4:$M$62,9,0)</f>
        <v>ACTIVE</v>
      </c>
      <c r="B1253" s="99" t="s">
        <v>138</v>
      </c>
      <c r="C1253" s="133" t="s">
        <v>106</v>
      </c>
      <c r="D1253" s="133" t="s">
        <v>515</v>
      </c>
      <c r="E1253" s="95" t="s">
        <v>149</v>
      </c>
      <c r="F1253" s="95" t="s">
        <v>150</v>
      </c>
      <c r="G1253" s="109">
        <f>0.125+0.025</f>
        <v>0.15</v>
      </c>
      <c r="H1253" s="104">
        <f>VLOOKUP($E1253,'Stock statement'!$D$2:$P$384,13,)</f>
        <v>161.56941474217822</v>
      </c>
      <c r="I1253" s="127">
        <v>2.5000000000000001E-2</v>
      </c>
      <c r="J1253" s="106">
        <v>1.0249999999999999</v>
      </c>
      <c r="K1253" s="106">
        <f t="shared" si="107"/>
        <v>25.462329954525146</v>
      </c>
      <c r="L1253" s="115"/>
      <c r="M1253" s="104">
        <f t="shared" si="106"/>
        <v>0.30554795945430174</v>
      </c>
    </row>
    <row r="1254" spans="1:13">
      <c r="A1254" s="100" t="str">
        <f>VLOOKUP(C1254,Abstract!$E$4:$M$62,9,0)</f>
        <v>ACTIVE</v>
      </c>
      <c r="B1254" s="99" t="s">
        <v>138</v>
      </c>
      <c r="C1254" s="133" t="s">
        <v>106</v>
      </c>
      <c r="D1254" s="133" t="s">
        <v>515</v>
      </c>
      <c r="E1254" s="95" t="s">
        <v>151</v>
      </c>
      <c r="F1254" s="95" t="s">
        <v>310</v>
      </c>
      <c r="G1254" s="109">
        <v>2.75</v>
      </c>
      <c r="H1254" s="104">
        <f>VLOOKUP($E1254,'Stock statement'!$D$2:$P$384,13,)</f>
        <v>762.38931335604309</v>
      </c>
      <c r="I1254" s="127">
        <v>2.5000000000000001E-2</v>
      </c>
      <c r="J1254" s="106">
        <v>1.0249999999999999</v>
      </c>
      <c r="K1254" s="106">
        <f t="shared" si="107"/>
        <v>2202.7094989479046</v>
      </c>
      <c r="L1254" s="115"/>
      <c r="M1254" s="104">
        <f t="shared" si="106"/>
        <v>26.432513987374858</v>
      </c>
    </row>
    <row r="1255" spans="1:13">
      <c r="A1255" s="100" t="str">
        <f>VLOOKUP(C1255,Abstract!$E$4:$M$62,9,0)</f>
        <v>ACTIVE</v>
      </c>
      <c r="B1255" s="99" t="s">
        <v>138</v>
      </c>
      <c r="C1255" s="133" t="s">
        <v>106</v>
      </c>
      <c r="D1255" s="133" t="s">
        <v>515</v>
      </c>
      <c r="E1255" s="95" t="s">
        <v>157</v>
      </c>
      <c r="F1255" s="102" t="s">
        <v>158</v>
      </c>
      <c r="G1255" s="109">
        <v>0.875</v>
      </c>
      <c r="H1255" s="104">
        <f>VLOOKUP($E1255,'Stock statement'!$D$2:$P$384,13,)</f>
        <v>828.81974703846117</v>
      </c>
      <c r="I1255" s="127">
        <v>2.5000000000000001E-2</v>
      </c>
      <c r="J1255" s="106">
        <v>1.0249999999999999</v>
      </c>
      <c r="K1255" s="106">
        <f t="shared" si="107"/>
        <v>761.93140339074773</v>
      </c>
      <c r="L1255" s="115"/>
      <c r="M1255" s="104">
        <f t="shared" si="106"/>
        <v>9.1431768406889731</v>
      </c>
    </row>
    <row r="1256" spans="1:13">
      <c r="A1256" s="100" t="str">
        <f>VLOOKUP(C1256,Abstract!$E$4:$M$62,9,0)</f>
        <v>ACTIVE</v>
      </c>
      <c r="B1256" s="99" t="s">
        <v>138</v>
      </c>
      <c r="C1256" s="133" t="s">
        <v>106</v>
      </c>
      <c r="D1256" s="133" t="s">
        <v>515</v>
      </c>
      <c r="E1256" s="157">
        <v>115150</v>
      </c>
      <c r="F1256" s="36" t="s">
        <v>159</v>
      </c>
      <c r="G1256" s="109">
        <v>0.875</v>
      </c>
      <c r="H1256" s="104">
        <f>VLOOKUP($E1256,'Stock statement'!$D$2:$P$384,13,)</f>
        <v>456.30699446392703</v>
      </c>
      <c r="I1256" s="127">
        <v>2.5000000000000001E-2</v>
      </c>
      <c r="J1256" s="106">
        <v>1.0249999999999999</v>
      </c>
      <c r="K1256" s="106">
        <f t="shared" si="107"/>
        <v>419.48159405133038</v>
      </c>
      <c r="L1256" s="115"/>
      <c r="M1256" s="104">
        <f t="shared" si="106"/>
        <v>5.033779128615965</v>
      </c>
    </row>
    <row r="1257" spans="1:13">
      <c r="A1257" s="100" t="str">
        <f>VLOOKUP(C1257,Abstract!$E$4:$M$62,9,0)</f>
        <v>ACTIVE</v>
      </c>
      <c r="B1257" s="99" t="s">
        <v>138</v>
      </c>
      <c r="C1257" s="133" t="s">
        <v>106</v>
      </c>
      <c r="D1257" s="133" t="s">
        <v>515</v>
      </c>
      <c r="E1257" s="95" t="s">
        <v>160</v>
      </c>
      <c r="F1257" s="95" t="s">
        <v>161</v>
      </c>
      <c r="G1257" s="109">
        <v>0.3</v>
      </c>
      <c r="H1257" s="104">
        <f>VLOOKUP($E1257,'Stock statement'!$D$2:$P$384,13,)</f>
        <v>3313.2387673094586</v>
      </c>
      <c r="I1257" s="127">
        <v>2.5000000000000001E-2</v>
      </c>
      <c r="J1257" s="106">
        <v>1.0249999999999999</v>
      </c>
      <c r="K1257" s="106">
        <f t="shared" si="107"/>
        <v>1044.2914439713497</v>
      </c>
      <c r="L1257" s="115"/>
      <c r="M1257" s="104">
        <f t="shared" si="106"/>
        <v>12.531497327656197</v>
      </c>
    </row>
    <row r="1258" spans="1:13">
      <c r="A1258" s="100" t="str">
        <f>VLOOKUP(C1258,Abstract!$E$4:$M$62,9,0)</f>
        <v>ACTIVE</v>
      </c>
      <c r="B1258" s="99" t="s">
        <v>138</v>
      </c>
      <c r="C1258" s="133" t="s">
        <v>106</v>
      </c>
      <c r="D1258" s="133" t="s">
        <v>515</v>
      </c>
      <c r="E1258" s="95" t="s">
        <v>166</v>
      </c>
      <c r="F1258" s="95" t="s">
        <v>167</v>
      </c>
      <c r="G1258" s="109">
        <v>2.5</v>
      </c>
      <c r="H1258" s="104">
        <f>VLOOKUP($E1258,'Stock statement'!$D$2:$P$384,13,)</f>
        <v>127.15913438761541</v>
      </c>
      <c r="I1258" s="127">
        <v>2.5000000000000001E-2</v>
      </c>
      <c r="J1258" s="106">
        <v>1.0249999999999999</v>
      </c>
      <c r="K1258" s="106">
        <f t="shared" si="107"/>
        <v>333.99141391497102</v>
      </c>
      <c r="L1258" s="115"/>
      <c r="M1258" s="104">
        <f t="shared" si="106"/>
        <v>4.0078969669796525</v>
      </c>
    </row>
    <row r="1259" spans="1:13">
      <c r="A1259" s="100" t="str">
        <f>VLOOKUP(C1259,Abstract!$E$4:$M$62,9,0)</f>
        <v>ACTIVE</v>
      </c>
      <c r="B1259" s="99" t="s">
        <v>138</v>
      </c>
      <c r="C1259" s="133" t="s">
        <v>106</v>
      </c>
      <c r="D1259" s="133" t="s">
        <v>515</v>
      </c>
      <c r="E1259" s="95" t="s">
        <v>209</v>
      </c>
      <c r="F1259" s="95" t="s">
        <v>210</v>
      </c>
      <c r="G1259" s="109">
        <v>20</v>
      </c>
      <c r="H1259" s="104">
        <f>VLOOKUP($E1259,'Stock statement'!$D$2:$P$384,13,)</f>
        <v>220.67282625366343</v>
      </c>
      <c r="I1259" s="127">
        <v>2.5000000000000001E-2</v>
      </c>
      <c r="J1259" s="106">
        <v>1.0249999999999999</v>
      </c>
      <c r="K1259" s="106">
        <f t="shared" si="107"/>
        <v>4636.8877616551026</v>
      </c>
      <c r="L1259" s="115"/>
      <c r="M1259" s="104">
        <f t="shared" si="106"/>
        <v>55.642653139861231</v>
      </c>
    </row>
    <row r="1260" spans="1:13">
      <c r="A1260" s="100" t="str">
        <f>VLOOKUP(C1260,Abstract!$E$4:$M$62,9,0)</f>
        <v>ACTIVE</v>
      </c>
      <c r="B1260" s="99" t="s">
        <v>138</v>
      </c>
      <c r="C1260" s="133" t="s">
        <v>106</v>
      </c>
      <c r="D1260" s="133" t="s">
        <v>515</v>
      </c>
      <c r="E1260" s="95" t="s">
        <v>173</v>
      </c>
      <c r="F1260" s="95" t="s">
        <v>174</v>
      </c>
      <c r="G1260" s="109">
        <v>0.1</v>
      </c>
      <c r="H1260" s="104">
        <f>VLOOKUP($E1260,'Stock statement'!$D$2:$P$384,13,)</f>
        <v>555.2517156766155</v>
      </c>
      <c r="I1260" s="127">
        <v>2.5000000000000001E-2</v>
      </c>
      <c r="J1260" s="106">
        <v>1.0249999999999999</v>
      </c>
      <c r="K1260" s="106">
        <f t="shared" si="107"/>
        <v>58.336133378274404</v>
      </c>
      <c r="L1260" s="115"/>
      <c r="M1260" s="104">
        <f t="shared" si="106"/>
        <v>0.70003360053929287</v>
      </c>
    </row>
    <row r="1261" spans="1:13">
      <c r="A1261" s="100" t="str">
        <f>VLOOKUP(C1261,Abstract!$E$4:$M$62,9,0)</f>
        <v>ACTIVE</v>
      </c>
      <c r="B1261" s="99" t="s">
        <v>138</v>
      </c>
      <c r="C1261" s="133" t="s">
        <v>106</v>
      </c>
      <c r="D1261" s="133" t="s">
        <v>515</v>
      </c>
      <c r="E1261" s="95" t="s">
        <v>153</v>
      </c>
      <c r="F1261" s="95" t="s">
        <v>154</v>
      </c>
      <c r="G1261" s="109">
        <v>1</v>
      </c>
      <c r="H1261" s="104">
        <f>VLOOKUP($E1261,'Stock statement'!$D$2:$P$384,13,)</f>
        <v>84.206363687840948</v>
      </c>
      <c r="I1261" s="127">
        <v>2.5000000000000001E-2</v>
      </c>
      <c r="J1261" s="106">
        <v>1.0249999999999999</v>
      </c>
      <c r="K1261" s="106">
        <f t="shared" si="107"/>
        <v>88.469310849537877</v>
      </c>
      <c r="L1261" s="115"/>
      <c r="M1261" s="104">
        <f t="shared" si="106"/>
        <v>1.0616317301944547</v>
      </c>
    </row>
    <row r="1262" spans="1:13">
      <c r="A1262" s="100" t="str">
        <f>VLOOKUP(C1262,Abstract!$E$4:$M$62,9,0)</f>
        <v>ACTIVE</v>
      </c>
      <c r="B1262" s="99" t="s">
        <v>138</v>
      </c>
      <c r="C1262" s="133" t="s">
        <v>106</v>
      </c>
      <c r="D1262" s="133" t="s">
        <v>515</v>
      </c>
      <c r="E1262" s="95" t="s">
        <v>147</v>
      </c>
      <c r="F1262" s="95" t="s">
        <v>148</v>
      </c>
      <c r="G1262" s="109">
        <v>1</v>
      </c>
      <c r="H1262" s="104">
        <f>VLOOKUP($E1262,'Stock statement'!$D$2:$P$384,13,)</f>
        <v>353.50950483838068</v>
      </c>
      <c r="I1262" s="127">
        <v>2.5000000000000001E-2</v>
      </c>
      <c r="J1262" s="106">
        <v>1.0249999999999999</v>
      </c>
      <c r="K1262" s="106">
        <f t="shared" si="107"/>
        <v>371.40592352082365</v>
      </c>
      <c r="L1262" s="115"/>
      <c r="M1262" s="104">
        <f t="shared" si="106"/>
        <v>4.4568710822498838</v>
      </c>
    </row>
    <row r="1263" spans="1:13">
      <c r="A1263" s="100" t="str">
        <f>VLOOKUP(C1263,Abstract!$E$4:$M$62,9,0)</f>
        <v>ACTIVE</v>
      </c>
      <c r="B1263" s="99" t="s">
        <v>138</v>
      </c>
      <c r="C1263" s="133" t="s">
        <v>106</v>
      </c>
      <c r="D1263" s="133" t="s">
        <v>515</v>
      </c>
      <c r="E1263" s="95" t="s">
        <v>179</v>
      </c>
      <c r="F1263" s="95" t="s">
        <v>180</v>
      </c>
      <c r="G1263" s="109">
        <v>0.5</v>
      </c>
      <c r="H1263" s="104">
        <f>VLOOKUP($E1263,'Stock statement'!$D$2:$P$384,13,)</f>
        <v>1036.4956269221443</v>
      </c>
      <c r="I1263" s="127">
        <v>2.5000000000000001E-2</v>
      </c>
      <c r="J1263" s="106">
        <v>1.0249999999999999</v>
      </c>
      <c r="K1263" s="106">
        <f t="shared" si="107"/>
        <v>544.48410901753891</v>
      </c>
      <c r="L1263" s="115"/>
      <c r="M1263" s="104">
        <f t="shared" si="106"/>
        <v>6.5338093082104676</v>
      </c>
    </row>
    <row r="1264" spans="1:13">
      <c r="A1264" s="100" t="str">
        <f>VLOOKUP(C1264,Abstract!$E$4:$M$62,9,0)</f>
        <v>ACTIVE</v>
      </c>
      <c r="B1264" s="99" t="s">
        <v>138</v>
      </c>
      <c r="C1264" s="133" t="s">
        <v>106</v>
      </c>
      <c r="D1264" s="133" t="s">
        <v>515</v>
      </c>
      <c r="E1264" s="95" t="s">
        <v>155</v>
      </c>
      <c r="F1264" s="95" t="s">
        <v>156</v>
      </c>
      <c r="G1264" s="109">
        <v>10</v>
      </c>
      <c r="H1264" s="104">
        <f>VLOOKUP($E1264,'Stock statement'!$D$2:$P$384,13,)</f>
        <v>68.308211638055738</v>
      </c>
      <c r="I1264" s="127">
        <v>2.5000000000000001E-2</v>
      </c>
      <c r="J1264" s="106">
        <v>1.0249999999999999</v>
      </c>
      <c r="K1264" s="106">
        <f t="shared" si="107"/>
        <v>717.66314852232301</v>
      </c>
      <c r="L1264" s="115"/>
      <c r="M1264" s="104">
        <f t="shared" si="106"/>
        <v>8.6119577822678774</v>
      </c>
    </row>
    <row r="1265" spans="1:13">
      <c r="A1265" s="100" t="str">
        <f>VLOOKUP(C1265,Abstract!$E$4:$M$62,9,0)</f>
        <v>ACTIVE</v>
      </c>
      <c r="B1265" s="99" t="s">
        <v>138</v>
      </c>
      <c r="C1265" s="133" t="s">
        <v>106</v>
      </c>
      <c r="D1265" s="133" t="s">
        <v>515</v>
      </c>
      <c r="E1265" s="95" t="s">
        <v>339</v>
      </c>
      <c r="F1265" s="95" t="s">
        <v>340</v>
      </c>
      <c r="G1265" s="109">
        <v>5.85</v>
      </c>
      <c r="H1265" s="104">
        <f>VLOOKUP($E1265,'Stock statement'!$D$2:$P$384,13,)</f>
        <v>890.49821899777828</v>
      </c>
      <c r="I1265" s="127">
        <v>2.5000000000000001E-2</v>
      </c>
      <c r="J1265" s="106">
        <v>1.0249999999999999</v>
      </c>
      <c r="K1265" s="106">
        <f t="shared" si="107"/>
        <v>5473.1411943070625</v>
      </c>
      <c r="L1265" s="115"/>
      <c r="M1265" s="104">
        <f t="shared" si="106"/>
        <v>65.677694331684748</v>
      </c>
    </row>
    <row r="1266" spans="1:13">
      <c r="A1266" s="100" t="str">
        <f>VLOOKUP(C1266,Abstract!$E$4:$M$62,9,0)</f>
        <v>ACTIVE</v>
      </c>
      <c r="B1266" s="99" t="s">
        <v>138</v>
      </c>
      <c r="C1266" s="133" t="s">
        <v>106</v>
      </c>
      <c r="D1266" s="133" t="s">
        <v>515</v>
      </c>
      <c r="E1266" s="95" t="s">
        <v>341</v>
      </c>
      <c r="F1266" s="95" t="s">
        <v>342</v>
      </c>
      <c r="G1266" s="109">
        <v>0.65</v>
      </c>
      <c r="H1266" s="104">
        <f>VLOOKUP($E1266,'Stock statement'!$D$2:$P$384,13,)</f>
        <v>927.16271256930133</v>
      </c>
      <c r="I1266" s="127">
        <v>2.5000000000000001E-2</v>
      </c>
      <c r="J1266" s="106">
        <v>1.0249999999999999</v>
      </c>
      <c r="K1266" s="106">
        <f t="shared" si="107"/>
        <v>633.16521118052935</v>
      </c>
      <c r="L1266" s="115"/>
      <c r="M1266" s="104">
        <f t="shared" si="106"/>
        <v>7.5979825341663529</v>
      </c>
    </row>
    <row r="1267" spans="1:13">
      <c r="A1267" s="100" t="str">
        <f>VLOOKUP(C1267,Abstract!$E$4:$M$62,9,0)</f>
        <v>ACTIVE</v>
      </c>
      <c r="B1267" s="99" t="s">
        <v>138</v>
      </c>
      <c r="C1267" s="133" t="s">
        <v>106</v>
      </c>
      <c r="D1267" s="133" t="s">
        <v>515</v>
      </c>
      <c r="E1267" s="95" t="s">
        <v>181</v>
      </c>
      <c r="F1267" s="95" t="s">
        <v>182</v>
      </c>
      <c r="G1267" s="109">
        <v>12.5</v>
      </c>
      <c r="H1267" s="104">
        <f>VLOOKUP($E1267,'Stock statement'!$D$2:$P$384,13,)</f>
        <v>17.110276913020375</v>
      </c>
      <c r="I1267" s="127">
        <v>2.5000000000000001E-2</v>
      </c>
      <c r="J1267" s="106">
        <v>1.0249999999999999</v>
      </c>
      <c r="K1267" s="106">
        <f>+G1267*H1267*(1+I1267)*J1267</f>
        <v>224.70605852177536</v>
      </c>
      <c r="L1267" s="115"/>
      <c r="M1267" s="104">
        <f t="shared" si="106"/>
        <v>2.6964727022613046</v>
      </c>
    </row>
    <row r="1268" spans="1:13">
      <c r="A1268" s="100" t="str">
        <f>VLOOKUP(C1268,Abstract!$E$4:$M$62,9,0)</f>
        <v>ACTIVE</v>
      </c>
      <c r="B1268" s="99" t="s">
        <v>183</v>
      </c>
      <c r="C1268" s="133" t="s">
        <v>106</v>
      </c>
      <c r="D1268" s="133" t="s">
        <v>515</v>
      </c>
      <c r="E1268" s="95">
        <v>214258</v>
      </c>
      <c r="F1268" s="95" t="s">
        <v>402</v>
      </c>
      <c r="G1268" s="109">
        <f>(1000/(2000*6)*1000)*0.674</f>
        <v>56.166666666666664</v>
      </c>
      <c r="H1268" s="104">
        <f>VLOOKUP($E1268,'Stock statement'!$D$2:$P$384,13,)</f>
        <v>240.93516000703059</v>
      </c>
      <c r="I1268" s="127">
        <v>1.7500000000000002E-2</v>
      </c>
      <c r="J1268" s="106">
        <v>1</v>
      </c>
      <c r="K1268" s="106">
        <f t="shared" si="107"/>
        <v>13769.344004751796</v>
      </c>
      <c r="L1268" s="115"/>
      <c r="M1268" s="104">
        <f t="shared" si="106"/>
        <v>165.23212805702155</v>
      </c>
    </row>
    <row r="1269" spans="1:13">
      <c r="A1269" s="100" t="str">
        <f>VLOOKUP(C1269,Abstract!$E$4:$M$62,9,0)</f>
        <v>ACTIVE</v>
      </c>
      <c r="B1269" s="99" t="s">
        <v>183</v>
      </c>
      <c r="C1269" s="133" t="s">
        <v>106</v>
      </c>
      <c r="D1269" s="133" t="s">
        <v>515</v>
      </c>
      <c r="E1269" s="95">
        <v>214959</v>
      </c>
      <c r="F1269" s="95" t="s">
        <v>516</v>
      </c>
      <c r="G1269" s="109">
        <f>G1268/0.674</f>
        <v>83.333333333333329</v>
      </c>
      <c r="H1269" s="104">
        <f>VLOOKUP($E1269,'Stock statement'!$D$2:$P$384,13,)</f>
        <v>41.01</v>
      </c>
      <c r="I1269" s="127">
        <v>6.0000000000000001E-3</v>
      </c>
      <c r="J1269" s="106">
        <v>1</v>
      </c>
      <c r="K1269" s="106">
        <f t="shared" si="107"/>
        <v>3438.0049999999997</v>
      </c>
      <c r="L1269" s="115"/>
      <c r="M1269" s="104">
        <f t="shared" si="106"/>
        <v>41.256059999999998</v>
      </c>
    </row>
    <row r="1270" spans="1:13">
      <c r="A1270" s="100" t="str">
        <f>VLOOKUP(C1270,Abstract!$E$4:$M$62,9,0)</f>
        <v>ACTIVE</v>
      </c>
      <c r="B1270" s="99" t="s">
        <v>183</v>
      </c>
      <c r="C1270" s="133" t="s">
        <v>106</v>
      </c>
      <c r="D1270" s="133" t="s">
        <v>515</v>
      </c>
      <c r="E1270" s="95" t="s">
        <v>191</v>
      </c>
      <c r="F1270" s="95" t="s">
        <v>192</v>
      </c>
      <c r="G1270" s="109">
        <f>G1269*0.022</f>
        <v>1.833333333333333</v>
      </c>
      <c r="H1270" s="104">
        <f>VLOOKUP($E1270,'Stock statement'!$D$2:$P$384,13,)</f>
        <v>44.985440769279101</v>
      </c>
      <c r="I1270" s="127">
        <v>0.02</v>
      </c>
      <c r="J1270" s="106">
        <v>1</v>
      </c>
      <c r="K1270" s="106">
        <f t="shared" si="107"/>
        <v>84.122774238551898</v>
      </c>
      <c r="L1270" s="115"/>
      <c r="M1270" s="104">
        <f t="shared" si="106"/>
        <v>1.0094732908626229</v>
      </c>
    </row>
    <row r="1271" spans="1:13">
      <c r="A1271" s="100" t="str">
        <f>VLOOKUP(C1271,Abstract!$E$4:$M$62,9,0)</f>
        <v>ACTIVE</v>
      </c>
      <c r="B1271" s="99" t="s">
        <v>197</v>
      </c>
      <c r="C1271" s="133" t="s">
        <v>106</v>
      </c>
      <c r="D1271" s="133" t="s">
        <v>515</v>
      </c>
      <c r="E1271" s="95" t="s">
        <v>440</v>
      </c>
      <c r="F1271" s="95"/>
      <c r="G1271" s="109"/>
      <c r="H1271" s="104"/>
      <c r="I1271" s="127"/>
      <c r="J1271" s="106"/>
      <c r="K1271" s="106">
        <v>6180</v>
      </c>
      <c r="L1271" s="115">
        <f>SUM(K1249:K1271)</f>
        <v>60170.398671586983</v>
      </c>
      <c r="M1271" s="104">
        <f>K1271/$G$1269</f>
        <v>74.160000000000011</v>
      </c>
    </row>
    <row r="1272" spans="1:13">
      <c r="A1272" s="100" t="str">
        <f>VLOOKUP(C1272,Abstract!$E$4:$M$62,9,0)</f>
        <v>ACTIVE</v>
      </c>
      <c r="B1272" s="99" t="s">
        <v>138</v>
      </c>
      <c r="C1272" s="133" t="s">
        <v>104</v>
      </c>
      <c r="D1272" s="133" t="s">
        <v>517</v>
      </c>
      <c r="E1272" s="95" t="s">
        <v>141</v>
      </c>
      <c r="F1272" s="95" t="s">
        <v>142</v>
      </c>
      <c r="G1272" s="109">
        <v>157.19999999999999</v>
      </c>
      <c r="H1272" s="104">
        <f>VLOOKUP($E1272,'Stock statement'!$D$2:$P$384,13,)</f>
        <v>94.278330452007026</v>
      </c>
      <c r="I1272" s="127">
        <v>2.5000000000000001E-2</v>
      </c>
      <c r="J1272" s="106">
        <v>1.0249999999999999</v>
      </c>
      <c r="K1272" s="106">
        <f>+G1272*H1272*(1+I1272)*J1272</f>
        <v>15570.844070375186</v>
      </c>
      <c r="L1272" s="115"/>
      <c r="M1272" s="104">
        <f t="shared" ref="M1272:M1298" si="108">K1272/$G$1295</f>
        <v>186.85012884450225</v>
      </c>
    </row>
    <row r="1273" spans="1:13">
      <c r="A1273" s="100" t="str">
        <f>VLOOKUP(C1273,Abstract!$E$4:$M$62,9,0)</f>
        <v>ACTIVE</v>
      </c>
      <c r="B1273" s="99" t="s">
        <v>138</v>
      </c>
      <c r="C1273" s="133" t="s">
        <v>104</v>
      </c>
      <c r="D1273" s="133" t="s">
        <v>517</v>
      </c>
      <c r="E1273" s="95" t="s">
        <v>145</v>
      </c>
      <c r="F1273" s="95" t="s">
        <v>471</v>
      </c>
      <c r="G1273" s="109">
        <v>15</v>
      </c>
      <c r="H1273" s="104">
        <f>VLOOKUP($E1273,'Stock statement'!$D$2:$P$384,13,)</f>
        <v>151.08681180977209</v>
      </c>
      <c r="I1273" s="127">
        <v>2.5000000000000001E-2</v>
      </c>
      <c r="J1273" s="106">
        <v>1.0249999999999999</v>
      </c>
      <c r="K1273" s="106">
        <f t="shared" ref="K1273:K1297" si="109">+G1273*H1273*(1+I1273)*J1273</f>
        <v>2381.0337248646265</v>
      </c>
      <c r="L1273" s="115"/>
      <c r="M1273" s="104">
        <f t="shared" si="108"/>
        <v>28.572404698375518</v>
      </c>
    </row>
    <row r="1274" spans="1:13">
      <c r="A1274" s="100" t="str">
        <f>VLOOKUP(C1274,Abstract!$E$4:$M$62,9,0)</f>
        <v>ACTIVE</v>
      </c>
      <c r="B1274" s="99" t="s">
        <v>138</v>
      </c>
      <c r="C1274" s="133" t="s">
        <v>104</v>
      </c>
      <c r="D1274" s="133" t="s">
        <v>517</v>
      </c>
      <c r="E1274" s="95" t="s">
        <v>308</v>
      </c>
      <c r="F1274" s="95" t="s">
        <v>309</v>
      </c>
      <c r="G1274" s="109">
        <v>1E-3</v>
      </c>
      <c r="H1274" s="104">
        <f>VLOOKUP($E1274,'Stock statement'!$D$2:$P$384,13,)</f>
        <v>0</v>
      </c>
      <c r="I1274" s="127">
        <v>2.5000000000000001E-2</v>
      </c>
      <c r="J1274" s="106">
        <v>1.0249999999999999</v>
      </c>
      <c r="K1274" s="106">
        <f t="shared" si="109"/>
        <v>0</v>
      </c>
      <c r="L1274" s="115"/>
      <c r="M1274" s="104">
        <f t="shared" si="108"/>
        <v>0</v>
      </c>
    </row>
    <row r="1275" spans="1:13">
      <c r="A1275" s="100" t="str">
        <f>VLOOKUP(C1275,Abstract!$E$4:$M$62,9,0)</f>
        <v>ACTIVE</v>
      </c>
      <c r="B1275" s="99" t="s">
        <v>138</v>
      </c>
      <c r="C1275" s="133" t="s">
        <v>104</v>
      </c>
      <c r="D1275" s="133" t="s">
        <v>517</v>
      </c>
      <c r="E1275" s="95" t="s">
        <v>149</v>
      </c>
      <c r="F1275" s="95" t="s">
        <v>150</v>
      </c>
      <c r="G1275" s="109">
        <v>0.15</v>
      </c>
      <c r="H1275" s="104">
        <f>VLOOKUP($E1275,'Stock statement'!$D$2:$P$384,13,)</f>
        <v>161.56941474217822</v>
      </c>
      <c r="I1275" s="127">
        <v>2.5000000000000001E-2</v>
      </c>
      <c r="J1275" s="106">
        <v>1.0249999999999999</v>
      </c>
      <c r="K1275" s="106">
        <f t="shared" si="109"/>
        <v>25.462329954525146</v>
      </c>
      <c r="L1275" s="115"/>
      <c r="M1275" s="104">
        <f t="shared" si="108"/>
        <v>0.30554795945430174</v>
      </c>
    </row>
    <row r="1276" spans="1:13">
      <c r="A1276" s="100" t="str">
        <f>VLOOKUP(C1276,Abstract!$E$4:$M$62,9,0)</f>
        <v>ACTIVE</v>
      </c>
      <c r="B1276" s="99" t="s">
        <v>138</v>
      </c>
      <c r="C1276" s="133" t="s">
        <v>104</v>
      </c>
      <c r="D1276" s="133" t="s">
        <v>517</v>
      </c>
      <c r="E1276" s="95" t="s">
        <v>151</v>
      </c>
      <c r="F1276" s="95" t="s">
        <v>310</v>
      </c>
      <c r="G1276" s="109">
        <v>2.75</v>
      </c>
      <c r="H1276" s="104">
        <f>VLOOKUP($E1276,'Stock statement'!$D$2:$P$384,13,)</f>
        <v>762.38931335604309</v>
      </c>
      <c r="I1276" s="127">
        <v>2.5000000000000001E-2</v>
      </c>
      <c r="J1276" s="106">
        <v>1.0249999999999999</v>
      </c>
      <c r="K1276" s="106">
        <f t="shared" si="109"/>
        <v>2202.7094989479046</v>
      </c>
      <c r="L1276" s="115"/>
      <c r="M1276" s="104">
        <f t="shared" si="108"/>
        <v>26.432513987374858</v>
      </c>
    </row>
    <row r="1277" spans="1:13">
      <c r="A1277" s="100" t="str">
        <f>VLOOKUP(C1277,Abstract!$E$4:$M$62,9,0)</f>
        <v>ACTIVE</v>
      </c>
      <c r="B1277" s="99" t="s">
        <v>138</v>
      </c>
      <c r="C1277" s="133" t="s">
        <v>104</v>
      </c>
      <c r="D1277" s="133" t="s">
        <v>517</v>
      </c>
      <c r="E1277" s="95" t="s">
        <v>153</v>
      </c>
      <c r="F1277" s="95" t="s">
        <v>349</v>
      </c>
      <c r="G1277" s="109">
        <v>1</v>
      </c>
      <c r="H1277" s="104">
        <f>VLOOKUP($E1277,'Stock statement'!$D$2:$P$384,13,)</f>
        <v>84.206363687840948</v>
      </c>
      <c r="I1277" s="127">
        <v>2.5000000000000001E-2</v>
      </c>
      <c r="J1277" s="106">
        <v>1.0249999999999999</v>
      </c>
      <c r="K1277" s="106">
        <f t="shared" si="109"/>
        <v>88.469310849537877</v>
      </c>
      <c r="L1277" s="115"/>
      <c r="M1277" s="104">
        <f t="shared" si="108"/>
        <v>1.0616317301944547</v>
      </c>
    </row>
    <row r="1278" spans="1:13">
      <c r="A1278" s="100" t="str">
        <f>VLOOKUP(C1278,Abstract!$E$4:$M$62,9,0)</f>
        <v>ACTIVE</v>
      </c>
      <c r="B1278" s="99" t="s">
        <v>138</v>
      </c>
      <c r="C1278" s="133" t="s">
        <v>104</v>
      </c>
      <c r="D1278" s="133" t="s">
        <v>517</v>
      </c>
      <c r="E1278" s="95" t="s">
        <v>155</v>
      </c>
      <c r="F1278" s="95" t="s">
        <v>156</v>
      </c>
      <c r="G1278" s="109">
        <v>10</v>
      </c>
      <c r="H1278" s="104">
        <f>VLOOKUP($E1278,'Stock statement'!$D$2:$P$384,13,)</f>
        <v>68.308211638055738</v>
      </c>
      <c r="I1278" s="127">
        <v>2.5000000000000001E-2</v>
      </c>
      <c r="J1278" s="106">
        <v>1.0249999999999999</v>
      </c>
      <c r="K1278" s="106">
        <f t="shared" si="109"/>
        <v>717.66314852232301</v>
      </c>
      <c r="L1278" s="115"/>
      <c r="M1278" s="104">
        <f t="shared" si="108"/>
        <v>8.6119577822678774</v>
      </c>
    </row>
    <row r="1279" spans="1:13">
      <c r="A1279" s="100" t="str">
        <f>VLOOKUP(C1279,Abstract!$E$4:$M$62,9,0)</f>
        <v>ACTIVE</v>
      </c>
      <c r="B1279" s="99" t="s">
        <v>138</v>
      </c>
      <c r="C1279" s="133" t="s">
        <v>104</v>
      </c>
      <c r="D1279" s="133" t="s">
        <v>517</v>
      </c>
      <c r="E1279" s="95" t="s">
        <v>157</v>
      </c>
      <c r="F1279" s="102" t="s">
        <v>158</v>
      </c>
      <c r="G1279" s="109">
        <v>0.875</v>
      </c>
      <c r="H1279" s="104">
        <f>VLOOKUP($E1279,'Stock statement'!$D$2:$P$384,13,)</f>
        <v>828.81974703846117</v>
      </c>
      <c r="I1279" s="127">
        <v>2.5000000000000001E-2</v>
      </c>
      <c r="J1279" s="106">
        <v>1.0249999999999999</v>
      </c>
      <c r="K1279" s="106">
        <f t="shared" si="109"/>
        <v>761.93140339074773</v>
      </c>
      <c r="L1279" s="115"/>
      <c r="M1279" s="104">
        <f t="shared" si="108"/>
        <v>9.1431768406889731</v>
      </c>
    </row>
    <row r="1280" spans="1:13">
      <c r="A1280" s="100" t="str">
        <f>VLOOKUP(C1280,Abstract!$E$4:$M$62,9,0)</f>
        <v>ACTIVE</v>
      </c>
      <c r="B1280" s="99" t="s">
        <v>138</v>
      </c>
      <c r="C1280" s="133" t="s">
        <v>104</v>
      </c>
      <c r="D1280" s="133" t="s">
        <v>517</v>
      </c>
      <c r="E1280" s="157">
        <v>115150</v>
      </c>
      <c r="F1280" s="36" t="s">
        <v>159</v>
      </c>
      <c r="G1280" s="109">
        <v>0.875</v>
      </c>
      <c r="H1280" s="104">
        <f>VLOOKUP($E1280,'Stock statement'!$D$2:$P$384,13,)</f>
        <v>456.30699446392703</v>
      </c>
      <c r="I1280" s="127">
        <v>2.5000000000000001E-2</v>
      </c>
      <c r="J1280" s="106">
        <v>1.0249999999999999</v>
      </c>
      <c r="K1280" s="106">
        <f t="shared" si="109"/>
        <v>419.48159405133038</v>
      </c>
      <c r="L1280" s="115"/>
      <c r="M1280" s="104">
        <f t="shared" si="108"/>
        <v>5.033779128615965</v>
      </c>
    </row>
    <row r="1281" spans="1:13">
      <c r="A1281" s="100" t="str">
        <f>VLOOKUP(C1281,Abstract!$E$4:$M$62,9,0)</f>
        <v>ACTIVE</v>
      </c>
      <c r="B1281" s="99" t="s">
        <v>138</v>
      </c>
      <c r="C1281" s="133" t="s">
        <v>104</v>
      </c>
      <c r="D1281" s="133" t="s">
        <v>517</v>
      </c>
      <c r="E1281" s="95" t="s">
        <v>160</v>
      </c>
      <c r="F1281" s="95" t="s">
        <v>161</v>
      </c>
      <c r="G1281" s="109">
        <v>0.3</v>
      </c>
      <c r="H1281" s="104">
        <f>VLOOKUP($E1281,'Stock statement'!$D$2:$P$384,13,)</f>
        <v>3313.2387673094586</v>
      </c>
      <c r="I1281" s="127">
        <v>2.5000000000000001E-2</v>
      </c>
      <c r="J1281" s="106">
        <v>1.0249999999999999</v>
      </c>
      <c r="K1281" s="106">
        <f t="shared" si="109"/>
        <v>1044.2914439713497</v>
      </c>
      <c r="L1281" s="115"/>
      <c r="M1281" s="104">
        <f t="shared" si="108"/>
        <v>12.531497327656197</v>
      </c>
    </row>
    <row r="1282" spans="1:13">
      <c r="A1282" s="100" t="str">
        <f>VLOOKUP(C1282,Abstract!$E$4:$M$62,9,0)</f>
        <v>ACTIVE</v>
      </c>
      <c r="B1282" s="99" t="s">
        <v>138</v>
      </c>
      <c r="C1282" s="133" t="s">
        <v>104</v>
      </c>
      <c r="D1282" s="133" t="s">
        <v>517</v>
      </c>
      <c r="E1282" s="95" t="s">
        <v>147</v>
      </c>
      <c r="F1282" s="95" t="s">
        <v>148</v>
      </c>
      <c r="G1282" s="109">
        <v>0.5</v>
      </c>
      <c r="H1282" s="104">
        <f>VLOOKUP($E1282,'Stock statement'!$D$2:$P$384,13,)</f>
        <v>353.50950483838068</v>
      </c>
      <c r="I1282" s="127">
        <v>2.5000000000000001E-2</v>
      </c>
      <c r="J1282" s="106">
        <v>1.0249999999999999</v>
      </c>
      <c r="K1282" s="106">
        <f t="shared" si="109"/>
        <v>185.70296176041182</v>
      </c>
      <c r="L1282" s="115"/>
      <c r="M1282" s="104">
        <f t="shared" si="108"/>
        <v>2.2284355411249419</v>
      </c>
    </row>
    <row r="1283" spans="1:13">
      <c r="A1283" s="100" t="str">
        <f>VLOOKUP(C1283,Abstract!$E$4:$M$62,9,0)</f>
        <v>ACTIVE</v>
      </c>
      <c r="B1283" s="99" t="s">
        <v>138</v>
      </c>
      <c r="C1283" s="133" t="s">
        <v>104</v>
      </c>
      <c r="D1283" s="133" t="s">
        <v>517</v>
      </c>
      <c r="E1283" s="95">
        <v>115071</v>
      </c>
      <c r="F1283" s="95" t="s">
        <v>311</v>
      </c>
      <c r="G1283" s="109">
        <v>0.6</v>
      </c>
      <c r="H1283" s="104">
        <f>VLOOKUP($E1283,'Stock statement'!$D$2:$P$384,13,)</f>
        <v>195.04600880394028</v>
      </c>
      <c r="I1283" s="127">
        <v>2.5000000000000001E-2</v>
      </c>
      <c r="J1283" s="106">
        <v>1.0249999999999999</v>
      </c>
      <c r="K1283" s="106">
        <f t="shared" si="109"/>
        <v>122.95212779978382</v>
      </c>
      <c r="L1283" s="115"/>
      <c r="M1283" s="104">
        <f t="shared" si="108"/>
        <v>1.475425533597406</v>
      </c>
    </row>
    <row r="1284" spans="1:13">
      <c r="A1284" s="100" t="str">
        <f>VLOOKUP(C1284,Abstract!$E$4:$M$62,9,0)</f>
        <v>ACTIVE</v>
      </c>
      <c r="B1284" s="99" t="s">
        <v>138</v>
      </c>
      <c r="C1284" s="133" t="s">
        <v>104</v>
      </c>
      <c r="D1284" s="133" t="s">
        <v>517</v>
      </c>
      <c r="E1284" s="95" t="s">
        <v>166</v>
      </c>
      <c r="F1284" s="95" t="s">
        <v>167</v>
      </c>
      <c r="G1284" s="109">
        <v>2.5</v>
      </c>
      <c r="H1284" s="104">
        <f>VLOOKUP($E1284,'Stock statement'!$D$2:$P$384,13,)</f>
        <v>127.15913438761541</v>
      </c>
      <c r="I1284" s="127">
        <v>2.5000000000000001E-2</v>
      </c>
      <c r="J1284" s="106">
        <v>1.0249999999999999</v>
      </c>
      <c r="K1284" s="106">
        <f t="shared" si="109"/>
        <v>333.99141391497102</v>
      </c>
      <c r="L1284" s="115"/>
      <c r="M1284" s="104">
        <f t="shared" si="108"/>
        <v>4.0078969669796525</v>
      </c>
    </row>
    <row r="1285" spans="1:13">
      <c r="A1285" s="100" t="str">
        <f>VLOOKUP(C1285,Abstract!$E$4:$M$62,9,0)</f>
        <v>ACTIVE</v>
      </c>
      <c r="B1285" s="99" t="s">
        <v>138</v>
      </c>
      <c r="C1285" s="133" t="s">
        <v>104</v>
      </c>
      <c r="D1285" s="133" t="s">
        <v>517</v>
      </c>
      <c r="E1285" s="95" t="s">
        <v>209</v>
      </c>
      <c r="F1285" s="95" t="s">
        <v>210</v>
      </c>
      <c r="G1285" s="109">
        <v>20</v>
      </c>
      <c r="H1285" s="104">
        <f>VLOOKUP($E1285,'Stock statement'!$D$2:$P$384,13,)</f>
        <v>220.67282625366343</v>
      </c>
      <c r="I1285" s="127">
        <v>2.5000000000000001E-2</v>
      </c>
      <c r="J1285" s="106">
        <v>1.0249999999999999</v>
      </c>
      <c r="K1285" s="106">
        <f t="shared" si="109"/>
        <v>4636.8877616551026</v>
      </c>
      <c r="L1285" s="115"/>
      <c r="M1285" s="104">
        <f t="shared" si="108"/>
        <v>55.642653139861231</v>
      </c>
    </row>
    <row r="1286" spans="1:13">
      <c r="A1286" s="100" t="str">
        <f>VLOOKUP(C1286,Abstract!$E$4:$M$62,9,0)</f>
        <v>ACTIVE</v>
      </c>
      <c r="B1286" s="99" t="s">
        <v>138</v>
      </c>
      <c r="C1286" s="133" t="s">
        <v>104</v>
      </c>
      <c r="D1286" s="133" t="s">
        <v>517</v>
      </c>
      <c r="E1286" s="95" t="s">
        <v>352</v>
      </c>
      <c r="F1286" s="95" t="s">
        <v>353</v>
      </c>
      <c r="G1286" s="109">
        <v>0.01</v>
      </c>
      <c r="H1286" s="104">
        <f>VLOOKUP($E1286,'Stock statement'!$D$2:$P$384,13,)</f>
        <v>3003.7807644658751</v>
      </c>
      <c r="I1286" s="127">
        <v>2.5000000000000001E-2</v>
      </c>
      <c r="J1286" s="106">
        <v>1.0249999999999999</v>
      </c>
      <c r="K1286" s="106">
        <f t="shared" si="109"/>
        <v>31.558471656669596</v>
      </c>
      <c r="L1286" s="115"/>
      <c r="M1286" s="104">
        <f t="shared" si="108"/>
        <v>0.37870165988003518</v>
      </c>
    </row>
    <row r="1287" spans="1:13">
      <c r="A1287" s="100" t="str">
        <f>VLOOKUP(C1287,Abstract!$E$4:$M$62,9,0)</f>
        <v>ACTIVE</v>
      </c>
      <c r="B1287" s="99" t="s">
        <v>138</v>
      </c>
      <c r="C1287" s="133" t="s">
        <v>104</v>
      </c>
      <c r="D1287" s="133" t="s">
        <v>517</v>
      </c>
      <c r="E1287" s="95" t="s">
        <v>354</v>
      </c>
      <c r="F1287" s="95" t="s">
        <v>355</v>
      </c>
      <c r="G1287" s="109">
        <v>0.01</v>
      </c>
      <c r="H1287" s="104">
        <f>VLOOKUP($E1287,'Stock statement'!$D$2:$P$384,13,)</f>
        <v>257.60769230769233</v>
      </c>
      <c r="I1287" s="127">
        <v>2.5000000000000001E-2</v>
      </c>
      <c r="J1287" s="106">
        <v>1.0249999999999999</v>
      </c>
      <c r="K1287" s="106">
        <f t="shared" si="109"/>
        <v>2.7064908173076923</v>
      </c>
      <c r="L1287" s="115"/>
      <c r="M1287" s="104">
        <f t="shared" si="108"/>
        <v>3.2477889807692312E-2</v>
      </c>
    </row>
    <row r="1288" spans="1:13">
      <c r="A1288" s="100" t="str">
        <f>VLOOKUP(C1288,Abstract!$E$4:$M$62,9,0)</f>
        <v>ACTIVE</v>
      </c>
      <c r="B1288" s="99" t="s">
        <v>138</v>
      </c>
      <c r="C1288" s="133" t="s">
        <v>104</v>
      </c>
      <c r="D1288" s="133" t="s">
        <v>517</v>
      </c>
      <c r="E1288" s="95" t="s">
        <v>339</v>
      </c>
      <c r="F1288" s="95" t="s">
        <v>356</v>
      </c>
      <c r="G1288" s="109">
        <v>5.85</v>
      </c>
      <c r="H1288" s="104">
        <f>VLOOKUP($E1288,'Stock statement'!$D$2:$P$384,13,)</f>
        <v>890.49821899777828</v>
      </c>
      <c r="I1288" s="127">
        <v>2.5000000000000001E-2</v>
      </c>
      <c r="J1288" s="106">
        <v>1.0249999999999999</v>
      </c>
      <c r="K1288" s="106">
        <f t="shared" si="109"/>
        <v>5473.1411943070625</v>
      </c>
      <c r="L1288" s="115"/>
      <c r="M1288" s="104">
        <f t="shared" si="108"/>
        <v>65.677694331684748</v>
      </c>
    </row>
    <row r="1289" spans="1:13">
      <c r="A1289" s="100" t="str">
        <f>VLOOKUP(C1289,Abstract!$E$4:$M$62,9,0)</f>
        <v>ACTIVE</v>
      </c>
      <c r="B1289" s="99" t="s">
        <v>138</v>
      </c>
      <c r="C1289" s="133" t="s">
        <v>104</v>
      </c>
      <c r="D1289" s="133" t="s">
        <v>517</v>
      </c>
      <c r="E1289" s="95" t="s">
        <v>341</v>
      </c>
      <c r="F1289" s="95" t="s">
        <v>357</v>
      </c>
      <c r="G1289" s="109">
        <v>0.65</v>
      </c>
      <c r="H1289" s="104">
        <f>VLOOKUP($E1289,'Stock statement'!$D$2:$P$384,13,)</f>
        <v>927.16271256930133</v>
      </c>
      <c r="I1289" s="127">
        <v>2.5000000000000001E-2</v>
      </c>
      <c r="J1289" s="106">
        <v>1.0249999999999999</v>
      </c>
      <c r="K1289" s="106">
        <f t="shared" si="109"/>
        <v>633.16521118052935</v>
      </c>
      <c r="L1289" s="115"/>
      <c r="M1289" s="104">
        <f t="shared" si="108"/>
        <v>7.5979825341663529</v>
      </c>
    </row>
    <row r="1290" spans="1:13">
      <c r="A1290" s="100" t="str">
        <f>VLOOKUP(C1290,Abstract!$E$4:$M$62,9,0)</f>
        <v>ACTIVE</v>
      </c>
      <c r="B1290" s="99" t="s">
        <v>138</v>
      </c>
      <c r="C1290" s="133" t="s">
        <v>104</v>
      </c>
      <c r="D1290" s="133" t="s">
        <v>517</v>
      </c>
      <c r="E1290" s="95" t="s">
        <v>173</v>
      </c>
      <c r="F1290" s="95" t="s">
        <v>174</v>
      </c>
      <c r="G1290" s="109">
        <v>0.1</v>
      </c>
      <c r="H1290" s="104">
        <f>VLOOKUP($E1290,'Stock statement'!$D$2:$P$384,13,)</f>
        <v>555.2517156766155</v>
      </c>
      <c r="I1290" s="127">
        <v>2.5000000000000001E-2</v>
      </c>
      <c r="J1290" s="106">
        <v>1.0249999999999999</v>
      </c>
      <c r="K1290" s="106">
        <f>+G1290*H1290*(1+I1290)*J1290</f>
        <v>58.336133378274404</v>
      </c>
      <c r="L1290" s="115"/>
      <c r="M1290" s="104">
        <f t="shared" si="108"/>
        <v>0.70003360053929287</v>
      </c>
    </row>
    <row r="1291" spans="1:13">
      <c r="A1291" s="100" t="str">
        <f>VLOOKUP(C1291,Abstract!$E$4:$M$62,9,0)</f>
        <v>ACTIVE</v>
      </c>
      <c r="B1291" s="99" t="s">
        <v>138</v>
      </c>
      <c r="C1291" s="133" t="s">
        <v>104</v>
      </c>
      <c r="D1291" s="133" t="s">
        <v>517</v>
      </c>
      <c r="E1291" s="95" t="s">
        <v>181</v>
      </c>
      <c r="F1291" s="95" t="s">
        <v>182</v>
      </c>
      <c r="G1291" s="109">
        <v>12.5</v>
      </c>
      <c r="H1291" s="104">
        <f>VLOOKUP($E1291,'Stock statement'!$D$2:$P$384,13,)</f>
        <v>17.110276913020375</v>
      </c>
      <c r="I1291" s="127">
        <v>2.5000000000000001E-2</v>
      </c>
      <c r="J1291" s="106">
        <v>1.0249999999999999</v>
      </c>
      <c r="K1291" s="106">
        <f t="shared" si="109"/>
        <v>224.70605852177536</v>
      </c>
      <c r="L1291" s="115"/>
      <c r="M1291" s="104">
        <f t="shared" si="108"/>
        <v>2.6964727022613046</v>
      </c>
    </row>
    <row r="1292" spans="1:13">
      <c r="A1292" s="100" t="str">
        <f>VLOOKUP(C1292,Abstract!$E$4:$M$62,9,0)</f>
        <v>ACTIVE</v>
      </c>
      <c r="B1292" s="99" t="s">
        <v>138</v>
      </c>
      <c r="C1292" s="133" t="s">
        <v>104</v>
      </c>
      <c r="D1292" s="133" t="s">
        <v>517</v>
      </c>
      <c r="E1292" s="95" t="s">
        <v>139</v>
      </c>
      <c r="F1292" s="95" t="s">
        <v>472</v>
      </c>
      <c r="G1292" s="109">
        <v>769.12</v>
      </c>
      <c r="H1292" s="104">
        <f>VLOOKUP($E1292,'Stock statement'!$D$2:$P$384,13,)</f>
        <v>0.34</v>
      </c>
      <c r="I1292" s="127">
        <v>2.5000000000000001E-2</v>
      </c>
      <c r="J1292" s="106">
        <v>1.0249999999999999</v>
      </c>
      <c r="K1292" s="106">
        <f t="shared" si="109"/>
        <v>274.73927799999996</v>
      </c>
      <c r="L1292" s="115"/>
      <c r="M1292" s="104">
        <f t="shared" si="108"/>
        <v>3.2968713359999997</v>
      </c>
    </row>
    <row r="1293" spans="1:13">
      <c r="A1293" s="100" t="str">
        <f>VLOOKUP(C1293,Abstract!$E$4:$M$62,9,0)</f>
        <v>ACTIVE</v>
      </c>
      <c r="B1293" s="99" t="s">
        <v>138</v>
      </c>
      <c r="C1293" s="133" t="s">
        <v>104</v>
      </c>
      <c r="D1293" s="133" t="s">
        <v>517</v>
      </c>
      <c r="E1293" s="95">
        <v>110037</v>
      </c>
      <c r="F1293" s="95" t="s">
        <v>316</v>
      </c>
      <c r="G1293" s="109">
        <v>8.9999999999999993E-3</v>
      </c>
      <c r="H1293" s="104">
        <f>VLOOKUP($E1293,'Stock statement'!$D$2:$P$384,13,)</f>
        <v>204</v>
      </c>
      <c r="I1293" s="127">
        <v>2.5000000000000001E-2</v>
      </c>
      <c r="J1293" s="106">
        <v>1.0249999999999999</v>
      </c>
      <c r="K1293" s="106">
        <f t="shared" si="109"/>
        <v>1.9289474999999996</v>
      </c>
      <c r="L1293" s="115"/>
      <c r="M1293" s="104">
        <f t="shared" si="108"/>
        <v>2.3147369999999997E-2</v>
      </c>
    </row>
    <row r="1294" spans="1:13">
      <c r="A1294" s="100" t="str">
        <f>VLOOKUP(C1294,Abstract!$E$4:$M$62,9,0)</f>
        <v>ACTIVE</v>
      </c>
      <c r="B1294" s="99" t="s">
        <v>183</v>
      </c>
      <c r="C1294" s="133" t="s">
        <v>104</v>
      </c>
      <c r="D1294" s="133" t="s">
        <v>517</v>
      </c>
      <c r="E1294" s="95">
        <v>214255</v>
      </c>
      <c r="F1294" s="95" t="s">
        <v>381</v>
      </c>
      <c r="G1294" s="109">
        <f>(1000/(2000*6)*1000)*0.674</f>
        <v>56.166666666666664</v>
      </c>
      <c r="H1294" s="104">
        <f>VLOOKUP($E1294,'Stock statement'!$D$2:$P$384,13,)</f>
        <v>241.69834568582721</v>
      </c>
      <c r="I1294" s="127">
        <v>1.7500000000000002E-2</v>
      </c>
      <c r="J1294" s="106">
        <v>1</v>
      </c>
      <c r="K1294" s="106">
        <f t="shared" si="109"/>
        <v>13812.959748300989</v>
      </c>
      <c r="L1294" s="115"/>
      <c r="M1294" s="104">
        <f t="shared" si="108"/>
        <v>165.75551697961188</v>
      </c>
    </row>
    <row r="1295" spans="1:13">
      <c r="A1295" s="100" t="str">
        <f>VLOOKUP(C1295,Abstract!$E$4:$M$62,9,0)</f>
        <v>ACTIVE</v>
      </c>
      <c r="B1295" s="99" t="s">
        <v>183</v>
      </c>
      <c r="C1295" s="133" t="s">
        <v>104</v>
      </c>
      <c r="D1295" s="133" t="s">
        <v>517</v>
      </c>
      <c r="E1295" s="95">
        <v>214961</v>
      </c>
      <c r="F1295" s="95" t="s">
        <v>478</v>
      </c>
      <c r="G1295" s="109">
        <f>G1294/0.674</f>
        <v>83.333333333333329</v>
      </c>
      <c r="H1295" s="104">
        <f>VLOOKUP($E1295,'Stock statement'!$D$2:$P$384,13,)</f>
        <v>29.956152032999416</v>
      </c>
      <c r="I1295" s="127">
        <v>6.0000000000000001E-3</v>
      </c>
      <c r="J1295" s="106">
        <v>1</v>
      </c>
      <c r="K1295" s="106">
        <f t="shared" si="109"/>
        <v>2511.3240787664513</v>
      </c>
      <c r="L1295" s="115"/>
      <c r="M1295" s="104">
        <f t="shared" si="108"/>
        <v>30.135888945197419</v>
      </c>
    </row>
    <row r="1296" spans="1:13">
      <c r="A1296" s="100" t="str">
        <f>VLOOKUP(C1296,Abstract!$E$4:$M$62,9,0)</f>
        <v>ACTIVE</v>
      </c>
      <c r="B1296" s="99" t="s">
        <v>183</v>
      </c>
      <c r="C1296" s="133" t="s">
        <v>104</v>
      </c>
      <c r="D1296" s="133" t="s">
        <v>517</v>
      </c>
      <c r="E1296" s="95">
        <v>214962</v>
      </c>
      <c r="F1296" s="95" t="s">
        <v>479</v>
      </c>
      <c r="G1296" s="109">
        <f>G1295*2</f>
        <v>166.66666666666666</v>
      </c>
      <c r="H1296" s="104">
        <f>VLOOKUP($E1296,'Stock statement'!$D$2:$P$384,13,)</f>
        <v>14.116640308391814</v>
      </c>
      <c r="I1296" s="127">
        <v>6.0000000000000001E-3</v>
      </c>
      <c r="J1296" s="106">
        <v>1</v>
      </c>
      <c r="K1296" s="106">
        <f t="shared" si="109"/>
        <v>2366.8900250403603</v>
      </c>
      <c r="L1296" s="115"/>
      <c r="M1296" s="104">
        <f t="shared" si="108"/>
        <v>28.402680300484327</v>
      </c>
    </row>
    <row r="1297" spans="1:13">
      <c r="A1297" s="100" t="str">
        <f>VLOOKUP(C1297,Abstract!$E$4:$M$62,9,0)</f>
        <v>ACTIVE</v>
      </c>
      <c r="B1297" s="99" t="s">
        <v>183</v>
      </c>
      <c r="C1297" s="133" t="s">
        <v>104</v>
      </c>
      <c r="D1297" s="133" t="s">
        <v>517</v>
      </c>
      <c r="E1297" s="95" t="s">
        <v>192</v>
      </c>
      <c r="F1297" s="95" t="s">
        <v>192</v>
      </c>
      <c r="G1297" s="109">
        <f>+G1296*0.04</f>
        <v>6.6666666666666661</v>
      </c>
      <c r="H1297" s="104">
        <f>VLOOKUP($E1297,'Stock statement'!$D$2:$P$384,13,)</f>
        <v>44.985440769279101</v>
      </c>
      <c r="I1297" s="127">
        <v>0.02</v>
      </c>
      <c r="J1297" s="106">
        <v>1</v>
      </c>
      <c r="K1297" s="106">
        <f t="shared" si="109"/>
        <v>305.90099723109785</v>
      </c>
      <c r="L1297" s="115"/>
      <c r="M1297" s="104">
        <f t="shared" si="108"/>
        <v>3.6708119667731745</v>
      </c>
    </row>
    <row r="1298" spans="1:13">
      <c r="A1298" s="100" t="str">
        <f>VLOOKUP(C1298,Abstract!$E$4:$M$62,9,0)</f>
        <v>ACTIVE</v>
      </c>
      <c r="B1298" s="99" t="s">
        <v>197</v>
      </c>
      <c r="C1298" s="133" t="s">
        <v>104</v>
      </c>
      <c r="D1298" s="133" t="s">
        <v>517</v>
      </c>
      <c r="E1298" s="95" t="s">
        <v>440</v>
      </c>
      <c r="F1298" s="95"/>
      <c r="G1298" s="109"/>
      <c r="H1298" s="104"/>
      <c r="I1298" s="127"/>
      <c r="J1298" s="106"/>
      <c r="K1298" s="106">
        <v>6180</v>
      </c>
      <c r="L1298" s="115"/>
      <c r="M1298" s="104">
        <f t="shared" si="108"/>
        <v>74.160000000000011</v>
      </c>
    </row>
    <row r="1299" spans="1:13">
      <c r="A1299" s="100" t="str">
        <f>VLOOKUP(C1299,Abstract!$E$4:$M$62,9,0)</f>
        <v>ACTIVE</v>
      </c>
      <c r="B1299" s="99" t="s">
        <v>197</v>
      </c>
      <c r="C1299" s="133" t="s">
        <v>104</v>
      </c>
      <c r="D1299" s="133" t="s">
        <v>517</v>
      </c>
      <c r="E1299" s="95" t="s">
        <v>518</v>
      </c>
      <c r="F1299" s="95"/>
      <c r="G1299" s="109"/>
      <c r="H1299" s="104"/>
      <c r="I1299" s="127"/>
      <c r="J1299" s="106"/>
      <c r="K1299" s="106">
        <v>221.25</v>
      </c>
      <c r="L1299" s="115">
        <f>SUM(K1272:K1299)</f>
        <v>60590.027424758315</v>
      </c>
      <c r="M1299" s="104">
        <f>K1299/$G$1295</f>
        <v>2.6550000000000002</v>
      </c>
    </row>
    <row r="1300" spans="1:13">
      <c r="A1300" s="100" t="str">
        <f>VLOOKUP(C1300,Abstract!$E$4:$M$62,9,0)</f>
        <v>ACTIVE</v>
      </c>
      <c r="B1300" s="99" t="s">
        <v>138</v>
      </c>
      <c r="C1300" s="133" t="s">
        <v>108</v>
      </c>
      <c r="D1300" s="133" t="s">
        <v>519</v>
      </c>
      <c r="E1300" s="95" t="s">
        <v>141</v>
      </c>
      <c r="F1300" s="95" t="s">
        <v>142</v>
      </c>
      <c r="G1300" s="109">
        <v>171.43</v>
      </c>
      <c r="H1300" s="104">
        <f>VLOOKUP($E1300,'Stock statement'!$D$2:$P$384,13,)</f>
        <v>94.278330452007026</v>
      </c>
      <c r="I1300" s="127">
        <v>2.5000000000000001E-2</v>
      </c>
      <c r="J1300" s="106">
        <v>1</v>
      </c>
      <c r="K1300" s="106">
        <f>+G1300*H1300*(1+I1300)*J1300</f>
        <v>16566.187544122255</v>
      </c>
      <c r="L1300" s="115"/>
      <c r="M1300" s="104">
        <f>K1300/$G$1318</f>
        <v>293.42031378149335</v>
      </c>
    </row>
    <row r="1301" spans="1:13">
      <c r="A1301" s="100" t="str">
        <f>VLOOKUP(C1301,Abstract!$E$4:$M$62,9,0)</f>
        <v>ACTIVE</v>
      </c>
      <c r="B1301" s="99" t="s">
        <v>138</v>
      </c>
      <c r="C1301" s="133" t="s">
        <v>108</v>
      </c>
      <c r="D1301" s="133" t="s">
        <v>519</v>
      </c>
      <c r="E1301" s="95" t="s">
        <v>145</v>
      </c>
      <c r="F1301" s="95" t="s">
        <v>520</v>
      </c>
      <c r="G1301" s="109">
        <v>7.5</v>
      </c>
      <c r="H1301" s="104">
        <f>VLOOKUP($E1301,'Stock statement'!$D$2:$P$384,13,)</f>
        <v>151.08681180977209</v>
      </c>
      <c r="I1301" s="127">
        <v>2.5000000000000001E-2</v>
      </c>
      <c r="J1301" s="106">
        <v>1</v>
      </c>
      <c r="K1301" s="106">
        <f t="shared" ref="K1301:K1321" si="110">+G1301*H1301*(1+I1301)*J1301</f>
        <v>1161.4798657876229</v>
      </c>
      <c r="L1301" s="115"/>
      <c r="M1301" s="104">
        <f t="shared" ref="M1301:M1322" si="111">K1301/$G$1318</f>
        <v>20.572131382830374</v>
      </c>
    </row>
    <row r="1302" spans="1:13">
      <c r="A1302" s="100" t="str">
        <f>VLOOKUP(C1302,Abstract!$E$4:$M$62,9,0)</f>
        <v>ACTIVE</v>
      </c>
      <c r="B1302" s="99" t="s">
        <v>138</v>
      </c>
      <c r="C1302" s="133" t="s">
        <v>108</v>
      </c>
      <c r="D1302" s="133" t="s">
        <v>519</v>
      </c>
      <c r="E1302" s="95" t="s">
        <v>155</v>
      </c>
      <c r="F1302" s="95" t="s">
        <v>156</v>
      </c>
      <c r="G1302" s="109">
        <v>15</v>
      </c>
      <c r="H1302" s="104">
        <f>VLOOKUP($E1302,'Stock statement'!$D$2:$P$384,13,)</f>
        <v>68.308211638055738</v>
      </c>
      <c r="I1302" s="127">
        <v>2.5000000000000001E-2</v>
      </c>
      <c r="J1302" s="106">
        <v>1</v>
      </c>
      <c r="K1302" s="106">
        <f t="shared" si="110"/>
        <v>1050.2387539351068</v>
      </c>
      <c r="L1302" s="115"/>
      <c r="M1302" s="104">
        <f t="shared" si="111"/>
        <v>18.601828809698613</v>
      </c>
    </row>
    <row r="1303" spans="1:13">
      <c r="A1303" s="100" t="str">
        <f>VLOOKUP(C1303,Abstract!$E$4:$M$62,9,0)</f>
        <v>ACTIVE</v>
      </c>
      <c r="B1303" s="99" t="s">
        <v>138</v>
      </c>
      <c r="C1303" s="133" t="s">
        <v>108</v>
      </c>
      <c r="D1303" s="133" t="s">
        <v>519</v>
      </c>
      <c r="E1303" s="95" t="s">
        <v>367</v>
      </c>
      <c r="F1303" s="95" t="s">
        <v>368</v>
      </c>
      <c r="G1303" s="109">
        <v>5</v>
      </c>
      <c r="H1303" s="104">
        <f>VLOOKUP($E1303,'Stock statement'!$D$2:$P$384,13,)</f>
        <v>160.1889709567478</v>
      </c>
      <c r="I1303" s="127">
        <v>2.5000000000000001E-2</v>
      </c>
      <c r="J1303" s="106">
        <v>1</v>
      </c>
      <c r="K1303" s="106">
        <f t="shared" si="110"/>
        <v>820.9684761533324</v>
      </c>
      <c r="L1303" s="115"/>
      <c r="M1303" s="104">
        <f t="shared" si="111"/>
        <v>14.540993649627822</v>
      </c>
    </row>
    <row r="1304" spans="1:13">
      <c r="A1304" s="100" t="str">
        <f>VLOOKUP(C1304,Abstract!$E$4:$M$62,9,0)</f>
        <v>ACTIVE</v>
      </c>
      <c r="B1304" s="99" t="s">
        <v>138</v>
      </c>
      <c r="C1304" s="133" t="s">
        <v>108</v>
      </c>
      <c r="D1304" s="133" t="s">
        <v>519</v>
      </c>
      <c r="E1304" s="95" t="s">
        <v>369</v>
      </c>
      <c r="F1304" s="95" t="s">
        <v>370</v>
      </c>
      <c r="G1304" s="109">
        <v>1</v>
      </c>
      <c r="H1304" s="104">
        <f>VLOOKUP($E1304,'Stock statement'!$D$2:$P$384,13,)</f>
        <v>425.0933053369933</v>
      </c>
      <c r="I1304" s="127">
        <v>2.5000000000000001E-2</v>
      </c>
      <c r="J1304" s="106">
        <v>1</v>
      </c>
      <c r="K1304" s="106">
        <f t="shared" si="110"/>
        <v>435.72063797041807</v>
      </c>
      <c r="L1304" s="115"/>
      <c r="M1304" s="104">
        <f t="shared" si="111"/>
        <v>7.7174839397320447</v>
      </c>
    </row>
    <row r="1305" spans="1:13">
      <c r="A1305" s="100" t="str">
        <f>VLOOKUP(C1305,Abstract!$E$4:$M$62,9,0)</f>
        <v>ACTIVE</v>
      </c>
      <c r="B1305" s="99" t="s">
        <v>138</v>
      </c>
      <c r="C1305" s="133" t="s">
        <v>108</v>
      </c>
      <c r="D1305" s="133" t="s">
        <v>519</v>
      </c>
      <c r="E1305" s="95" t="s">
        <v>153</v>
      </c>
      <c r="F1305" s="95" t="s">
        <v>349</v>
      </c>
      <c r="G1305" s="109">
        <v>0.125</v>
      </c>
      <c r="H1305" s="104">
        <f>VLOOKUP($E1305,'Stock statement'!$D$2:$P$384,13,)</f>
        <v>84.206363687840948</v>
      </c>
      <c r="I1305" s="127">
        <v>2.5000000000000001E-2</v>
      </c>
      <c r="J1305" s="106">
        <v>1</v>
      </c>
      <c r="K1305" s="106">
        <f t="shared" si="110"/>
        <v>10.788940347504621</v>
      </c>
      <c r="L1305" s="115"/>
      <c r="M1305" s="104">
        <f t="shared" si="111"/>
        <v>0.19109371143500184</v>
      </c>
    </row>
    <row r="1306" spans="1:13">
      <c r="A1306" s="100" t="str">
        <f>VLOOKUP(C1306,Abstract!$E$4:$M$62,9,0)</f>
        <v>ACTIVE</v>
      </c>
      <c r="B1306" s="99" t="s">
        <v>138</v>
      </c>
      <c r="C1306" s="133" t="s">
        <v>108</v>
      </c>
      <c r="D1306" s="133" t="s">
        <v>519</v>
      </c>
      <c r="E1306" s="95" t="s">
        <v>223</v>
      </c>
      <c r="F1306" s="95" t="s">
        <v>391</v>
      </c>
      <c r="G1306" s="109">
        <v>0.01</v>
      </c>
      <c r="H1306" s="104">
        <f>VLOOKUP($E1306,'Stock statement'!$D$2:$P$384,13,)</f>
        <v>661.66658982809031</v>
      </c>
      <c r="I1306" s="127">
        <v>2.5000000000000001E-2</v>
      </c>
      <c r="J1306" s="106">
        <v>1</v>
      </c>
      <c r="K1306" s="106">
        <f t="shared" si="110"/>
        <v>6.782082545737925</v>
      </c>
      <c r="L1306" s="115"/>
      <c r="M1306" s="104">
        <f t="shared" si="111"/>
        <v>0.12012424605011013</v>
      </c>
    </row>
    <row r="1307" spans="1:13">
      <c r="A1307" s="100" t="str">
        <f>VLOOKUP(C1307,Abstract!$E$4:$M$62,9,0)</f>
        <v>ACTIVE</v>
      </c>
      <c r="B1307" s="99" t="s">
        <v>138</v>
      </c>
      <c r="C1307" s="133" t="s">
        <v>108</v>
      </c>
      <c r="D1307" s="133" t="s">
        <v>519</v>
      </c>
      <c r="E1307" s="95" t="s">
        <v>219</v>
      </c>
      <c r="F1307" s="95" t="s">
        <v>220</v>
      </c>
      <c r="G1307" s="109">
        <v>4.9000000000000002E-2</v>
      </c>
      <c r="H1307" s="104">
        <f>VLOOKUP($E1307,'Stock statement'!$D$2:$P$384,13,)</f>
        <v>549.27282042136164</v>
      </c>
      <c r="I1307" s="127">
        <v>2.5000000000000001E-2</v>
      </c>
      <c r="J1307" s="106">
        <v>1</v>
      </c>
      <c r="K1307" s="106">
        <f t="shared" si="110"/>
        <v>27.587227405662887</v>
      </c>
      <c r="L1307" s="115"/>
      <c r="M1307" s="104">
        <f t="shared" si="111"/>
        <v>0.48862497180910103</v>
      </c>
    </row>
    <row r="1308" spans="1:13">
      <c r="A1308" s="100" t="str">
        <f>VLOOKUP(C1308,Abstract!$E$4:$M$62,9,0)</f>
        <v>ACTIVE</v>
      </c>
      <c r="B1308" s="99" t="s">
        <v>138</v>
      </c>
      <c r="C1308" s="133" t="s">
        <v>108</v>
      </c>
      <c r="D1308" s="133" t="s">
        <v>519</v>
      </c>
      <c r="E1308" s="95" t="s">
        <v>166</v>
      </c>
      <c r="F1308" s="95" t="s">
        <v>167</v>
      </c>
      <c r="G1308" s="109">
        <v>2.5</v>
      </c>
      <c r="H1308" s="104">
        <f>VLOOKUP($E1308,'Stock statement'!$D$2:$P$384,13,)</f>
        <v>127.15913438761541</v>
      </c>
      <c r="I1308" s="127">
        <v>2.5000000000000001E-2</v>
      </c>
      <c r="J1308" s="106">
        <v>1</v>
      </c>
      <c r="K1308" s="106">
        <f t="shared" si="110"/>
        <v>325.84528186826446</v>
      </c>
      <c r="L1308" s="115"/>
      <c r="M1308" s="104">
        <f t="shared" si="111"/>
        <v>5.7713716324507001</v>
      </c>
    </row>
    <row r="1309" spans="1:13">
      <c r="A1309" s="100" t="str">
        <f>VLOOKUP(C1309,Abstract!$E$4:$M$62,9,0)</f>
        <v>ACTIVE</v>
      </c>
      <c r="B1309" s="99" t="s">
        <v>138</v>
      </c>
      <c r="C1309" s="133" t="s">
        <v>108</v>
      </c>
      <c r="D1309" s="133" t="s">
        <v>519</v>
      </c>
      <c r="E1309" s="95" t="s">
        <v>221</v>
      </c>
      <c r="F1309" s="95" t="s">
        <v>521</v>
      </c>
      <c r="G1309" s="109">
        <v>0.1</v>
      </c>
      <c r="H1309" s="104">
        <f>VLOOKUP($E1309,'Stock statement'!$D$2:$P$384,13,)</f>
        <v>494.13931116123297</v>
      </c>
      <c r="I1309" s="127">
        <v>2.5000000000000001E-2</v>
      </c>
      <c r="J1309" s="106">
        <v>1</v>
      </c>
      <c r="K1309" s="106">
        <f t="shared" si="110"/>
        <v>50.649279394026379</v>
      </c>
      <c r="L1309" s="115"/>
      <c r="M1309" s="104">
        <f t="shared" si="111"/>
        <v>0.89710003662699522</v>
      </c>
    </row>
    <row r="1310" spans="1:13">
      <c r="A1310" s="100" t="str">
        <f>VLOOKUP(C1310,Abstract!$E$4:$M$62,9,0)</f>
        <v>ACTIVE</v>
      </c>
      <c r="B1310" s="99" t="s">
        <v>138</v>
      </c>
      <c r="C1310" s="133" t="s">
        <v>108</v>
      </c>
      <c r="D1310" s="133" t="s">
        <v>519</v>
      </c>
      <c r="E1310" s="95" t="s">
        <v>211</v>
      </c>
      <c r="F1310" s="95" t="s">
        <v>392</v>
      </c>
      <c r="G1310" s="109">
        <v>0.1</v>
      </c>
      <c r="H1310" s="104">
        <f>VLOOKUP($E1310,'Stock statement'!$D$2:$P$384,13,)</f>
        <v>1279.5862001575747</v>
      </c>
      <c r="I1310" s="127">
        <v>2.5000000000000001E-2</v>
      </c>
      <c r="J1310" s="106">
        <v>1</v>
      </c>
      <c r="K1310" s="106">
        <f t="shared" si="110"/>
        <v>131.15758551615141</v>
      </c>
      <c r="L1310" s="115"/>
      <c r="M1310" s="104">
        <f t="shared" si="111"/>
        <v>2.3230631546620737</v>
      </c>
    </row>
    <row r="1311" spans="1:13">
      <c r="A1311" s="100" t="str">
        <f>VLOOKUP(C1311,Abstract!$E$4:$M$62,9,0)</f>
        <v>ACTIVE</v>
      </c>
      <c r="B1311" s="99" t="s">
        <v>138</v>
      </c>
      <c r="C1311" s="133" t="s">
        <v>108</v>
      </c>
      <c r="D1311" s="133" t="s">
        <v>519</v>
      </c>
      <c r="E1311" s="95" t="s">
        <v>393</v>
      </c>
      <c r="F1311" s="95" t="s">
        <v>394</v>
      </c>
      <c r="G1311" s="109">
        <v>0.1</v>
      </c>
      <c r="H1311" s="104">
        <f>VLOOKUP($E1311,'Stock statement'!$D$2:$P$384,13,)</f>
        <v>411.25781249999994</v>
      </c>
      <c r="I1311" s="127">
        <v>2.5000000000000001E-2</v>
      </c>
      <c r="J1311" s="106">
        <v>1</v>
      </c>
      <c r="K1311" s="106">
        <f t="shared" si="110"/>
        <v>42.153925781249995</v>
      </c>
      <c r="L1311" s="115"/>
      <c r="M1311" s="104">
        <f t="shared" si="111"/>
        <v>0.74663033343749985</v>
      </c>
    </row>
    <row r="1312" spans="1:13">
      <c r="A1312" s="100" t="str">
        <f>VLOOKUP(C1312,Abstract!$E$4:$M$62,9,0)</f>
        <v>ACTIVE</v>
      </c>
      <c r="B1312" s="99" t="s">
        <v>138</v>
      </c>
      <c r="C1312" s="133" t="s">
        <v>108</v>
      </c>
      <c r="D1312" s="133" t="s">
        <v>519</v>
      </c>
      <c r="E1312" s="95" t="s">
        <v>217</v>
      </c>
      <c r="F1312" s="95" t="s">
        <v>218</v>
      </c>
      <c r="G1312" s="109">
        <v>0.1</v>
      </c>
      <c r="H1312" s="104">
        <f>VLOOKUP($E1312,'Stock statement'!$D$2:$P$384,13,)</f>
        <v>910.5767983004796</v>
      </c>
      <c r="I1312" s="127">
        <v>2.5000000000000001E-2</v>
      </c>
      <c r="J1312" s="106">
        <v>1</v>
      </c>
      <c r="K1312" s="106">
        <f t="shared" si="110"/>
        <v>93.334121825799144</v>
      </c>
      <c r="L1312" s="115"/>
      <c r="M1312" s="104">
        <f t="shared" si="111"/>
        <v>1.6531339657785544</v>
      </c>
    </row>
    <row r="1313" spans="1:13">
      <c r="A1313" s="100" t="str">
        <f>VLOOKUP(C1313,Abstract!$E$4:$M$62,9,0)</f>
        <v>ACTIVE</v>
      </c>
      <c r="B1313" s="99" t="s">
        <v>138</v>
      </c>
      <c r="C1313" s="133" t="s">
        <v>108</v>
      </c>
      <c r="D1313" s="133" t="s">
        <v>519</v>
      </c>
      <c r="E1313" s="95" t="s">
        <v>225</v>
      </c>
      <c r="F1313" s="95" t="s">
        <v>226</v>
      </c>
      <c r="G1313" s="109">
        <v>7</v>
      </c>
      <c r="H1313" s="104">
        <f>VLOOKUP($E1313,'Stock statement'!$D$2:$P$384,13,)</f>
        <v>770.99998748629207</v>
      </c>
      <c r="I1313" s="127">
        <v>2.5000000000000001E-2</v>
      </c>
      <c r="J1313" s="106">
        <v>1</v>
      </c>
      <c r="K1313" s="106">
        <f t="shared" si="110"/>
        <v>5531.9249102141448</v>
      </c>
      <c r="L1313" s="115"/>
      <c r="M1313" s="104">
        <f t="shared" si="111"/>
        <v>97.981454009712934</v>
      </c>
    </row>
    <row r="1314" spans="1:13">
      <c r="A1314" s="100" t="str">
        <f>VLOOKUP(C1314,Abstract!$E$4:$M$62,9,0)</f>
        <v>ACTIVE</v>
      </c>
      <c r="B1314" s="99" t="s">
        <v>138</v>
      </c>
      <c r="C1314" s="133" t="s">
        <v>108</v>
      </c>
      <c r="D1314" s="133" t="s">
        <v>519</v>
      </c>
      <c r="E1314" s="95" t="s">
        <v>181</v>
      </c>
      <c r="F1314" s="95" t="s">
        <v>182</v>
      </c>
      <c r="G1314" s="109">
        <v>15</v>
      </c>
      <c r="H1314" s="104">
        <f>VLOOKUP($E1314,'Stock statement'!$D$2:$P$384,13,)</f>
        <v>17.110276913020375</v>
      </c>
      <c r="I1314" s="127">
        <v>2.5000000000000001E-2</v>
      </c>
      <c r="J1314" s="106">
        <v>1</v>
      </c>
      <c r="K1314" s="106">
        <f t="shared" si="110"/>
        <v>263.07050753768823</v>
      </c>
      <c r="L1314" s="115"/>
      <c r="M1314" s="104">
        <f t="shared" si="111"/>
        <v>4.6595048295075339</v>
      </c>
    </row>
    <row r="1315" spans="1:13">
      <c r="A1315" s="100" t="str">
        <f>VLOOKUP(C1315,Abstract!$E$4:$M$62,9,0)</f>
        <v>ACTIVE</v>
      </c>
      <c r="B1315" s="99" t="s">
        <v>138</v>
      </c>
      <c r="C1315" s="133" t="s">
        <v>108</v>
      </c>
      <c r="D1315" s="133" t="s">
        <v>519</v>
      </c>
      <c r="E1315" s="95" t="s">
        <v>151</v>
      </c>
      <c r="F1315" s="95" t="s">
        <v>152</v>
      </c>
      <c r="G1315" s="109">
        <v>0.5</v>
      </c>
      <c r="H1315" s="104">
        <f>VLOOKUP($E1315,'Stock statement'!$D$2:$P$384,13,)</f>
        <v>762.38931335604309</v>
      </c>
      <c r="I1315" s="127">
        <v>2.5000000000000001E-2</v>
      </c>
      <c r="J1315" s="106">
        <v>1</v>
      </c>
      <c r="K1315" s="106">
        <f t="shared" si="110"/>
        <v>390.72452309497203</v>
      </c>
      <c r="L1315" s="115"/>
      <c r="M1315" s="104">
        <f t="shared" si="111"/>
        <v>6.9205127530581443</v>
      </c>
    </row>
    <row r="1316" spans="1:13">
      <c r="A1316" s="100" t="str">
        <f>VLOOKUP(C1316,Abstract!$E$4:$M$62,9,0)</f>
        <v>ACTIVE</v>
      </c>
      <c r="B1316" s="99" t="s">
        <v>138</v>
      </c>
      <c r="C1316" s="133" t="s">
        <v>108</v>
      </c>
      <c r="D1316" s="133" t="s">
        <v>519</v>
      </c>
      <c r="E1316" s="95" t="s">
        <v>173</v>
      </c>
      <c r="F1316" s="95" t="s">
        <v>522</v>
      </c>
      <c r="G1316" s="109">
        <v>0.1</v>
      </c>
      <c r="H1316" s="104">
        <f>VLOOKUP($E1316,'Stock statement'!$D$2:$P$384,13,)</f>
        <v>555.2517156766155</v>
      </c>
      <c r="I1316" s="127">
        <v>2.5000000000000001E-2</v>
      </c>
      <c r="J1316" s="106">
        <v>1</v>
      </c>
      <c r="K1316" s="106">
        <f t="shared" si="110"/>
        <v>56.913300856853084</v>
      </c>
      <c r="L1316" s="115"/>
      <c r="M1316" s="104">
        <f t="shared" si="111"/>
        <v>1.0080483847765818</v>
      </c>
    </row>
    <row r="1317" spans="1:13">
      <c r="A1317" s="100" t="str">
        <f>VLOOKUP(C1317,Abstract!$E$4:$M$62,9,0)</f>
        <v>ACTIVE</v>
      </c>
      <c r="B1317" s="99" t="s">
        <v>138</v>
      </c>
      <c r="C1317" s="133" t="s">
        <v>108</v>
      </c>
      <c r="D1317" s="133" t="s">
        <v>519</v>
      </c>
      <c r="E1317" s="95" t="s">
        <v>139</v>
      </c>
      <c r="F1317" s="95" t="s">
        <v>140</v>
      </c>
      <c r="G1317" s="109">
        <v>774.41</v>
      </c>
      <c r="H1317" s="104">
        <f>VLOOKUP($E1317,'Stock statement'!$D$2:$P$384,13,)</f>
        <v>0.34</v>
      </c>
      <c r="I1317" s="127">
        <v>2.5000000000000001E-2</v>
      </c>
      <c r="J1317" s="106">
        <v>1</v>
      </c>
      <c r="K1317" s="106">
        <f t="shared" si="110"/>
        <v>269.88188499999995</v>
      </c>
      <c r="L1317" s="115"/>
      <c r="M1317" s="104">
        <f t="shared" si="111"/>
        <v>4.7801479471199988</v>
      </c>
    </row>
    <row r="1318" spans="1:13">
      <c r="A1318" s="100" t="str">
        <f>VLOOKUP(C1318,Abstract!$E$4:$M$62,9,0)</f>
        <v>ACTIVE</v>
      </c>
      <c r="B1318" s="99" t="s">
        <v>183</v>
      </c>
      <c r="C1318" s="133" t="s">
        <v>108</v>
      </c>
      <c r="D1318" s="133" t="s">
        <v>519</v>
      </c>
      <c r="E1318" s="95">
        <v>214977</v>
      </c>
      <c r="F1318" s="95" t="s">
        <v>523</v>
      </c>
      <c r="G1318" s="109">
        <f>1000/(3.69*4800/1000)</f>
        <v>56.458897922312559</v>
      </c>
      <c r="H1318" s="104">
        <f>VLOOKUP($E1318,'Stock statement'!$D$2:$P$384,13,)</f>
        <v>36.832324442299786</v>
      </c>
      <c r="I1318" s="127">
        <v>6.0000000000000001E-3</v>
      </c>
      <c r="J1318" s="106">
        <v>1</v>
      </c>
      <c r="K1318" s="106">
        <f t="shared" si="110"/>
        <v>2091.9895206048773</v>
      </c>
      <c r="L1318" s="115"/>
      <c r="M1318" s="104">
        <f t="shared" si="111"/>
        <v>37.053318388953585</v>
      </c>
    </row>
    <row r="1319" spans="1:13">
      <c r="A1319" s="100" t="str">
        <f>VLOOKUP(C1319,Abstract!$E$4:$M$62,9,0)</f>
        <v>ACTIVE</v>
      </c>
      <c r="B1319" s="99" t="s">
        <v>183</v>
      </c>
      <c r="C1319" s="133" t="s">
        <v>108</v>
      </c>
      <c r="D1319" s="133" t="s">
        <v>519</v>
      </c>
      <c r="E1319" s="95">
        <v>214978</v>
      </c>
      <c r="F1319" s="95" t="s">
        <v>524</v>
      </c>
      <c r="G1319" s="109">
        <f>+G1318*4</f>
        <v>225.83559168925024</v>
      </c>
      <c r="H1319" s="104">
        <f>VLOOKUP($E1319,'Stock statement'!$D$2:$P$384,13,)</f>
        <v>10.479548121169694</v>
      </c>
      <c r="I1319" s="127">
        <v>6.0000000000000001E-3</v>
      </c>
      <c r="J1319" s="106">
        <v>1</v>
      </c>
      <c r="K1319" s="106">
        <f t="shared" si="110"/>
        <v>2380.8548802838104</v>
      </c>
      <c r="L1319" s="115"/>
      <c r="M1319" s="104">
        <f t="shared" si="111"/>
        <v>42.169701639586847</v>
      </c>
    </row>
    <row r="1320" spans="1:13">
      <c r="A1320" s="100" t="str">
        <f>VLOOKUP(C1320,Abstract!$E$4:$M$62,9,0)</f>
        <v>ACTIVE</v>
      </c>
      <c r="B1320" s="99" t="s">
        <v>183</v>
      </c>
      <c r="C1320" s="133" t="s">
        <v>108</v>
      </c>
      <c r="D1320" s="133" t="s">
        <v>519</v>
      </c>
      <c r="E1320" s="95">
        <v>214970</v>
      </c>
      <c r="F1320" s="95" t="s">
        <v>525</v>
      </c>
      <c r="G1320" s="109">
        <f>+G1318*1.189</f>
        <v>67.129629629629633</v>
      </c>
      <c r="H1320" s="104">
        <f>VLOOKUP($E1320,'Stock statement'!$D$2:$P$384,13,)</f>
        <v>208.23485138866636</v>
      </c>
      <c r="I1320" s="127">
        <v>1.7500000000000002E-2</v>
      </c>
      <c r="J1320" s="106">
        <v>1</v>
      </c>
      <c r="K1320" s="106">
        <f t="shared" si="110"/>
        <v>14223.356197571929</v>
      </c>
      <c r="L1320" s="115"/>
      <c r="M1320" s="104">
        <f t="shared" si="111"/>
        <v>251.924084971394</v>
      </c>
    </row>
    <row r="1321" spans="1:13">
      <c r="A1321" s="100" t="str">
        <f>VLOOKUP(C1321,Abstract!$E$4:$M$62,9,0)</f>
        <v>ACTIVE</v>
      </c>
      <c r="B1321" s="99" t="s">
        <v>183</v>
      </c>
      <c r="C1321" s="133" t="s">
        <v>108</v>
      </c>
      <c r="D1321" s="133" t="s">
        <v>519</v>
      </c>
      <c r="E1321" s="95" t="s">
        <v>191</v>
      </c>
      <c r="F1321" s="95" t="s">
        <v>192</v>
      </c>
      <c r="G1321" s="109">
        <f>+G1318*0.042</f>
        <v>2.3712737127371275</v>
      </c>
      <c r="H1321" s="104">
        <f>VLOOKUP($E1321,'Stock statement'!$D$2:$P$384,13,)</f>
        <v>44.985440769279101</v>
      </c>
      <c r="I1321" s="127">
        <v>0.02</v>
      </c>
      <c r="J1321" s="106">
        <v>1</v>
      </c>
      <c r="K1321" s="106">
        <f t="shared" si="110"/>
        <v>108.80624901512628</v>
      </c>
      <c r="L1321" s="115"/>
      <c r="M1321" s="104">
        <f t="shared" si="111"/>
        <v>1.9271762825559167</v>
      </c>
    </row>
    <row r="1322" spans="1:13">
      <c r="A1322" s="100" t="str">
        <f>VLOOKUP(C1322,Abstract!$E$4:$M$62,9,0)</f>
        <v>ACTIVE</v>
      </c>
      <c r="B1322" s="99" t="s">
        <v>197</v>
      </c>
      <c r="C1322" s="133" t="s">
        <v>108</v>
      </c>
      <c r="D1322" s="133" t="s">
        <v>519</v>
      </c>
      <c r="E1322" s="95" t="s">
        <v>198</v>
      </c>
      <c r="F1322" s="95"/>
      <c r="G1322" s="109"/>
      <c r="H1322" s="104"/>
      <c r="I1322" s="127"/>
      <c r="J1322" s="106"/>
      <c r="K1322" s="106">
        <v>6180</v>
      </c>
      <c r="L1322" s="115">
        <f>SUM(K1300:K1322)</f>
        <v>52220.415696832541</v>
      </c>
      <c r="M1322" s="104">
        <f t="shared" si="111"/>
        <v>109.46016</v>
      </c>
    </row>
    <row r="1323" spans="1:13">
      <c r="A1323" s="100" t="str">
        <f>VLOOKUP(C1323,Abstract!$E$4:$M$62,9,0)</f>
        <v>ACTIVE</v>
      </c>
      <c r="B1323" s="99" t="s">
        <v>138</v>
      </c>
      <c r="C1323" s="133" t="s">
        <v>110</v>
      </c>
      <c r="D1323" s="133" t="s">
        <v>526</v>
      </c>
      <c r="E1323" s="95" t="s">
        <v>139</v>
      </c>
      <c r="F1323" s="95" t="s">
        <v>140</v>
      </c>
      <c r="G1323" s="109">
        <v>741.16</v>
      </c>
      <c r="H1323" s="104">
        <f>VLOOKUP($E1323,'Stock statement'!$D$2:$P$384,13,)</f>
        <v>0.34</v>
      </c>
      <c r="I1323" s="127">
        <v>2.5000000000000001E-2</v>
      </c>
      <c r="J1323" s="106">
        <v>1.0249999999999999</v>
      </c>
      <c r="K1323" s="106">
        <f t="shared" ref="K1323:K1347" si="112">+G1323*H1323*(1+I1323)*J1323</f>
        <v>264.75161650000001</v>
      </c>
      <c r="L1323" s="115"/>
      <c r="M1323" s="104">
        <f>K1323/$G$1346</f>
        <v>3.8124232776000002</v>
      </c>
    </row>
    <row r="1324" spans="1:13">
      <c r="A1324" s="100" t="str">
        <f>VLOOKUP(C1324,Abstract!$E$4:$M$62,9,0)</f>
        <v>ACTIVE</v>
      </c>
      <c r="B1324" s="99" t="s">
        <v>138</v>
      </c>
      <c r="C1324" s="133" t="s">
        <v>110</v>
      </c>
      <c r="D1324" s="133" t="s">
        <v>526</v>
      </c>
      <c r="E1324" s="95" t="s">
        <v>141</v>
      </c>
      <c r="F1324" s="95" t="s">
        <v>142</v>
      </c>
      <c r="G1324" s="109">
        <v>185.7</v>
      </c>
      <c r="H1324" s="104">
        <f>VLOOKUP($E1324,'Stock statement'!$D$2:$P$384,13,)</f>
        <v>94.278330452007026</v>
      </c>
      <c r="I1324" s="127">
        <v>2.5000000000000001E-2</v>
      </c>
      <c r="J1324" s="106">
        <v>1.0249999999999999</v>
      </c>
      <c r="K1324" s="106">
        <f t="shared" si="112"/>
        <v>18393.80244191267</v>
      </c>
      <c r="L1324" s="115"/>
      <c r="M1324" s="104">
        <f t="shared" ref="M1324:M1348" si="113">K1324/$G$1346</f>
        <v>264.87075516354247</v>
      </c>
    </row>
    <row r="1325" spans="1:13">
      <c r="A1325" s="100" t="str">
        <f>VLOOKUP(C1325,Abstract!$E$4:$M$62,9,0)</f>
        <v>ACTIVE</v>
      </c>
      <c r="B1325" s="99" t="s">
        <v>138</v>
      </c>
      <c r="C1325" s="133" t="s">
        <v>110</v>
      </c>
      <c r="D1325" s="133" t="s">
        <v>526</v>
      </c>
      <c r="E1325" s="95" t="s">
        <v>145</v>
      </c>
      <c r="F1325" s="95" t="s">
        <v>146</v>
      </c>
      <c r="G1325" s="109">
        <v>10</v>
      </c>
      <c r="H1325" s="104">
        <f>VLOOKUP($E1325,'Stock statement'!$D$2:$P$384,13,)</f>
        <v>151.08681180977209</v>
      </c>
      <c r="I1325" s="127">
        <v>2.5000000000000001E-2</v>
      </c>
      <c r="J1325" s="106">
        <v>1.0249999999999999</v>
      </c>
      <c r="K1325" s="106">
        <f t="shared" si="112"/>
        <v>1587.3558165764177</v>
      </c>
      <c r="L1325" s="115"/>
      <c r="M1325" s="104">
        <f t="shared" si="113"/>
        <v>22.857923758700416</v>
      </c>
    </row>
    <row r="1326" spans="1:13">
      <c r="A1326" s="100" t="str">
        <f>VLOOKUP(C1326,Abstract!$E$4:$M$62,9,0)</f>
        <v>ACTIVE</v>
      </c>
      <c r="B1326" s="99" t="s">
        <v>138</v>
      </c>
      <c r="C1326" s="133" t="s">
        <v>110</v>
      </c>
      <c r="D1326" s="133" t="s">
        <v>526</v>
      </c>
      <c r="E1326" s="95" t="s">
        <v>149</v>
      </c>
      <c r="F1326" s="95" t="s">
        <v>150</v>
      </c>
      <c r="G1326" s="109">
        <v>0.125</v>
      </c>
      <c r="H1326" s="104">
        <f>VLOOKUP($E1326,'Stock statement'!$D$2:$P$384,13,)</f>
        <v>161.56941474217822</v>
      </c>
      <c r="I1326" s="127">
        <v>2.5000000000000001E-2</v>
      </c>
      <c r="J1326" s="106">
        <v>1.0249999999999999</v>
      </c>
      <c r="K1326" s="106">
        <f t="shared" si="112"/>
        <v>21.218608295437623</v>
      </c>
      <c r="L1326" s="115"/>
      <c r="M1326" s="104">
        <f t="shared" si="113"/>
        <v>0.3055479594543018</v>
      </c>
    </row>
    <row r="1327" spans="1:13">
      <c r="A1327" s="100" t="str">
        <f>VLOOKUP(C1327,Abstract!$E$4:$M$62,9,0)</f>
        <v>ACTIVE</v>
      </c>
      <c r="B1327" s="99" t="s">
        <v>138</v>
      </c>
      <c r="C1327" s="133" t="s">
        <v>110</v>
      </c>
      <c r="D1327" s="133" t="s">
        <v>526</v>
      </c>
      <c r="E1327" s="95" t="s">
        <v>151</v>
      </c>
      <c r="F1327" s="95" t="s">
        <v>152</v>
      </c>
      <c r="G1327" s="109">
        <v>2.5</v>
      </c>
      <c r="H1327" s="104">
        <f>VLOOKUP($E1327,'Stock statement'!$D$2:$P$384,13,)</f>
        <v>762.38931335604309</v>
      </c>
      <c r="I1327" s="127">
        <v>2.5000000000000001E-2</v>
      </c>
      <c r="J1327" s="106">
        <v>1.0249999999999999</v>
      </c>
      <c r="K1327" s="106">
        <f t="shared" si="112"/>
        <v>2002.4631808617316</v>
      </c>
      <c r="L1327" s="115"/>
      <c r="M1327" s="104">
        <f t="shared" si="113"/>
        <v>28.835469804408937</v>
      </c>
    </row>
    <row r="1328" spans="1:13">
      <c r="A1328" s="100" t="str">
        <f>VLOOKUP(C1328,Abstract!$E$4:$M$62,9,0)</f>
        <v>ACTIVE</v>
      </c>
      <c r="B1328" s="99" t="s">
        <v>138</v>
      </c>
      <c r="C1328" s="133" t="s">
        <v>110</v>
      </c>
      <c r="D1328" s="133" t="s">
        <v>526</v>
      </c>
      <c r="E1328" s="95" t="s">
        <v>157</v>
      </c>
      <c r="F1328" s="102" t="s">
        <v>158</v>
      </c>
      <c r="G1328" s="109">
        <v>1</v>
      </c>
      <c r="H1328" s="104">
        <f>VLOOKUP($E1328,'Stock statement'!$D$2:$P$384,13,)</f>
        <v>828.81974703846117</v>
      </c>
      <c r="I1328" s="127">
        <v>2.5000000000000001E-2</v>
      </c>
      <c r="J1328" s="106">
        <v>1.0249999999999999</v>
      </c>
      <c r="K1328" s="106">
        <f t="shared" si="112"/>
        <v>870.77874673228314</v>
      </c>
      <c r="L1328" s="115"/>
      <c r="M1328" s="104">
        <f t="shared" si="113"/>
        <v>12.539213952944877</v>
      </c>
    </row>
    <row r="1329" spans="1:13">
      <c r="A1329" s="100" t="str">
        <f>VLOOKUP(C1329,Abstract!$E$4:$M$62,9,0)</f>
        <v>ACTIVE</v>
      </c>
      <c r="B1329" s="99" t="s">
        <v>138</v>
      </c>
      <c r="C1329" s="133" t="s">
        <v>110</v>
      </c>
      <c r="D1329" s="133" t="s">
        <v>526</v>
      </c>
      <c r="E1329" s="157">
        <v>115150</v>
      </c>
      <c r="F1329" s="36" t="s">
        <v>159</v>
      </c>
      <c r="G1329" s="109">
        <v>1</v>
      </c>
      <c r="H1329" s="104">
        <f>VLOOKUP($E1329,'Stock statement'!$D$2:$P$384,13,)</f>
        <v>456.30699446392703</v>
      </c>
      <c r="I1329" s="127">
        <v>2.5000000000000001E-2</v>
      </c>
      <c r="J1329" s="106">
        <v>1.0249999999999999</v>
      </c>
      <c r="K1329" s="106">
        <f t="shared" si="112"/>
        <v>479.40753605866325</v>
      </c>
      <c r="L1329" s="115"/>
      <c r="M1329" s="104">
        <f t="shared" si="113"/>
        <v>6.9034685192447514</v>
      </c>
    </row>
    <row r="1330" spans="1:13">
      <c r="A1330" s="100" t="str">
        <f>VLOOKUP(C1330,Abstract!$E$4:$M$62,9,0)</f>
        <v>ACTIVE</v>
      </c>
      <c r="B1330" s="99" t="s">
        <v>138</v>
      </c>
      <c r="C1330" s="133" t="s">
        <v>110</v>
      </c>
      <c r="D1330" s="133" t="s">
        <v>526</v>
      </c>
      <c r="E1330" s="95" t="s">
        <v>160</v>
      </c>
      <c r="F1330" s="95" t="s">
        <v>161</v>
      </c>
      <c r="G1330" s="109">
        <v>0.25</v>
      </c>
      <c r="H1330" s="104">
        <f>VLOOKUP($E1330,'Stock statement'!$D$2:$P$384,13,)</f>
        <v>3313.2387673094586</v>
      </c>
      <c r="I1330" s="127">
        <v>2.5000000000000001E-2</v>
      </c>
      <c r="J1330" s="106">
        <v>1.0249999999999999</v>
      </c>
      <c r="K1330" s="106">
        <f t="shared" si="112"/>
        <v>870.24286997612489</v>
      </c>
      <c r="L1330" s="115"/>
      <c r="M1330" s="104">
        <f t="shared" si="113"/>
        <v>12.531497327656199</v>
      </c>
    </row>
    <row r="1331" spans="1:13">
      <c r="A1331" s="100" t="str">
        <f>VLOOKUP(C1331,Abstract!$E$4:$M$62,9,0)</f>
        <v>ACTIVE</v>
      </c>
      <c r="B1331" s="99" t="s">
        <v>138</v>
      </c>
      <c r="C1331" s="133" t="s">
        <v>110</v>
      </c>
      <c r="D1331" s="133" t="s">
        <v>526</v>
      </c>
      <c r="E1331" s="95" t="s">
        <v>166</v>
      </c>
      <c r="F1331" s="95" t="s">
        <v>167</v>
      </c>
      <c r="G1331" s="109">
        <v>2.5</v>
      </c>
      <c r="H1331" s="104">
        <f>VLOOKUP($E1331,'Stock statement'!$D$2:$P$384,13,)</f>
        <v>127.15913438761541</v>
      </c>
      <c r="I1331" s="127">
        <v>2.5000000000000001E-2</v>
      </c>
      <c r="J1331" s="106">
        <v>1.0249999999999999</v>
      </c>
      <c r="K1331" s="106">
        <f t="shared" si="112"/>
        <v>333.99141391497102</v>
      </c>
      <c r="L1331" s="115"/>
      <c r="M1331" s="104">
        <f t="shared" si="113"/>
        <v>4.8094763603755828</v>
      </c>
    </row>
    <row r="1332" spans="1:13">
      <c r="A1332" s="100" t="str">
        <f>VLOOKUP(C1332,Abstract!$E$4:$M$62,9,0)</f>
        <v>ACTIVE</v>
      </c>
      <c r="B1332" s="99" t="s">
        <v>138</v>
      </c>
      <c r="C1332" s="133" t="s">
        <v>110</v>
      </c>
      <c r="D1332" s="133" t="s">
        <v>526</v>
      </c>
      <c r="E1332" s="95" t="s">
        <v>209</v>
      </c>
      <c r="F1332" s="95" t="s">
        <v>210</v>
      </c>
      <c r="G1332" s="109">
        <v>20</v>
      </c>
      <c r="H1332" s="104">
        <f>VLOOKUP($E1332,'Stock statement'!$D$2:$P$384,13,)</f>
        <v>220.67282625366343</v>
      </c>
      <c r="I1332" s="127">
        <v>2.5000000000000001E-2</v>
      </c>
      <c r="J1332" s="106">
        <v>1.0249999999999999</v>
      </c>
      <c r="K1332" s="106">
        <f t="shared" si="112"/>
        <v>4636.8877616551026</v>
      </c>
      <c r="L1332" s="115"/>
      <c r="M1332" s="104">
        <f t="shared" si="113"/>
        <v>66.771183767833477</v>
      </c>
    </row>
    <row r="1333" spans="1:13">
      <c r="A1333" s="100" t="str">
        <f>VLOOKUP(C1333,Abstract!$E$4:$M$62,9,0)</f>
        <v>ACTIVE</v>
      </c>
      <c r="B1333" s="99" t="s">
        <v>138</v>
      </c>
      <c r="C1333" s="133" t="s">
        <v>110</v>
      </c>
      <c r="D1333" s="133" t="s">
        <v>526</v>
      </c>
      <c r="E1333" s="95" t="s">
        <v>153</v>
      </c>
      <c r="F1333" s="95" t="s">
        <v>154</v>
      </c>
      <c r="G1333" s="109">
        <v>0.75</v>
      </c>
      <c r="H1333" s="104">
        <f>VLOOKUP($E1333,'Stock statement'!$D$2:$P$384,13,)</f>
        <v>84.206363687840948</v>
      </c>
      <c r="I1333" s="127">
        <v>2.5000000000000001E-2</v>
      </c>
      <c r="J1333" s="106">
        <v>1.0249999999999999</v>
      </c>
      <c r="K1333" s="106">
        <f t="shared" si="112"/>
        <v>66.351983137153411</v>
      </c>
      <c r="L1333" s="115"/>
      <c r="M1333" s="104">
        <f t="shared" si="113"/>
        <v>0.95546855717500911</v>
      </c>
    </row>
    <row r="1334" spans="1:13">
      <c r="A1334" s="100" t="str">
        <f>VLOOKUP(C1334,Abstract!$E$4:$M$62,9,0)</f>
        <v>ACTIVE</v>
      </c>
      <c r="B1334" s="99" t="s">
        <v>138</v>
      </c>
      <c r="C1334" s="133" t="s">
        <v>110</v>
      </c>
      <c r="D1334" s="133" t="s">
        <v>526</v>
      </c>
      <c r="E1334" s="95" t="s">
        <v>147</v>
      </c>
      <c r="F1334" s="95" t="s">
        <v>148</v>
      </c>
      <c r="G1334" s="109">
        <v>1</v>
      </c>
      <c r="H1334" s="104">
        <f>VLOOKUP($E1334,'Stock statement'!$D$2:$P$384,13,)</f>
        <v>353.50950483838068</v>
      </c>
      <c r="I1334" s="127">
        <v>2.5000000000000001E-2</v>
      </c>
      <c r="J1334" s="106">
        <v>1.0249999999999999</v>
      </c>
      <c r="K1334" s="106">
        <f t="shared" si="112"/>
        <v>371.40592352082365</v>
      </c>
      <c r="L1334" s="115"/>
      <c r="M1334" s="104">
        <f t="shared" si="113"/>
        <v>5.3482452986998608</v>
      </c>
    </row>
    <row r="1335" spans="1:13">
      <c r="A1335" s="100" t="str">
        <f>VLOOKUP(C1335,Abstract!$E$4:$M$62,9,0)</f>
        <v>ACTIVE</v>
      </c>
      <c r="B1335" s="99" t="s">
        <v>138</v>
      </c>
      <c r="C1335" s="133" t="s">
        <v>110</v>
      </c>
      <c r="D1335" s="133" t="s">
        <v>526</v>
      </c>
      <c r="E1335" s="95" t="s">
        <v>211</v>
      </c>
      <c r="F1335" s="95" t="s">
        <v>212</v>
      </c>
      <c r="G1335" s="109">
        <v>0.1</v>
      </c>
      <c r="H1335" s="104">
        <f>VLOOKUP($E1335,'Stock statement'!$D$2:$P$384,13,)</f>
        <v>1279.5862001575747</v>
      </c>
      <c r="I1335" s="127">
        <v>2.5000000000000001E-2</v>
      </c>
      <c r="J1335" s="106">
        <v>1.0249999999999999</v>
      </c>
      <c r="K1335" s="106">
        <f t="shared" si="112"/>
        <v>134.43652515405518</v>
      </c>
      <c r="L1335" s="115"/>
      <c r="M1335" s="104">
        <f t="shared" si="113"/>
        <v>1.9358859622183946</v>
      </c>
    </row>
    <row r="1336" spans="1:13">
      <c r="A1336" s="100" t="str">
        <f>VLOOKUP(C1336,Abstract!$E$4:$M$62,9,0)</f>
        <v>ACTIVE</v>
      </c>
      <c r="B1336" s="99" t="s">
        <v>138</v>
      </c>
      <c r="C1336" s="133" t="s">
        <v>110</v>
      </c>
      <c r="D1336" s="133" t="s">
        <v>526</v>
      </c>
      <c r="E1336" s="95" t="s">
        <v>213</v>
      </c>
      <c r="F1336" s="95" t="s">
        <v>214</v>
      </c>
      <c r="G1336" s="109">
        <v>0.09</v>
      </c>
      <c r="H1336" s="104">
        <f>VLOOKUP($E1336,'Stock statement'!$D$2:$P$384,13,)</f>
        <v>674.683130739744</v>
      </c>
      <c r="I1336" s="127">
        <v>2.5000000000000001E-2</v>
      </c>
      <c r="J1336" s="106">
        <v>1.0249999999999999</v>
      </c>
      <c r="K1336" s="106">
        <f t="shared" si="112"/>
        <v>63.795506781009905</v>
      </c>
      <c r="L1336" s="115"/>
      <c r="M1336" s="104">
        <f t="shared" si="113"/>
        <v>0.91865529764654263</v>
      </c>
    </row>
    <row r="1337" spans="1:13">
      <c r="A1337" s="100" t="str">
        <f>VLOOKUP(C1337,Abstract!$E$4:$M$62,9,0)</f>
        <v>ACTIVE</v>
      </c>
      <c r="B1337" s="99" t="s">
        <v>138</v>
      </c>
      <c r="C1337" s="133" t="s">
        <v>110</v>
      </c>
      <c r="D1337" s="133" t="s">
        <v>526</v>
      </c>
      <c r="E1337" s="95" t="s">
        <v>215</v>
      </c>
      <c r="F1337" s="95" t="s">
        <v>216</v>
      </c>
      <c r="G1337" s="109">
        <v>0.09</v>
      </c>
      <c r="H1337" s="104">
        <f>VLOOKUP($E1337,'Stock statement'!$D$2:$P$384,13,)</f>
        <v>545.51731168806748</v>
      </c>
      <c r="I1337" s="127">
        <v>2.5000000000000001E-2</v>
      </c>
      <c r="J1337" s="106">
        <v>1.0249999999999999</v>
      </c>
      <c r="K1337" s="106">
        <f t="shared" si="112"/>
        <v>51.582071303304822</v>
      </c>
      <c r="L1337" s="115"/>
      <c r="M1337" s="104">
        <f t="shared" si="113"/>
        <v>0.74278182676758941</v>
      </c>
    </row>
    <row r="1338" spans="1:13">
      <c r="A1338" s="100" t="str">
        <f>VLOOKUP(C1338,Abstract!$E$4:$M$62,9,0)</f>
        <v>ACTIVE</v>
      </c>
      <c r="B1338" s="99" t="s">
        <v>138</v>
      </c>
      <c r="C1338" s="133" t="s">
        <v>110</v>
      </c>
      <c r="D1338" s="133" t="s">
        <v>526</v>
      </c>
      <c r="E1338" s="95" t="s">
        <v>217</v>
      </c>
      <c r="F1338" s="95" t="s">
        <v>218</v>
      </c>
      <c r="G1338" s="109">
        <v>0.1</v>
      </c>
      <c r="H1338" s="104">
        <f>VLOOKUP($E1338,'Stock statement'!$D$2:$P$384,13,)</f>
        <v>910.5767983004796</v>
      </c>
      <c r="I1338" s="127">
        <v>2.5000000000000001E-2</v>
      </c>
      <c r="J1338" s="106">
        <v>1.0249999999999999</v>
      </c>
      <c r="K1338" s="106">
        <f t="shared" si="112"/>
        <v>95.667474871444114</v>
      </c>
      <c r="L1338" s="115"/>
      <c r="M1338" s="104">
        <f t="shared" si="113"/>
        <v>1.3776116381487953</v>
      </c>
    </row>
    <row r="1339" spans="1:13">
      <c r="A1339" s="100" t="str">
        <f>VLOOKUP(C1339,Abstract!$E$4:$M$62,9,0)</f>
        <v>ACTIVE</v>
      </c>
      <c r="B1339" s="99" t="s">
        <v>138</v>
      </c>
      <c r="C1339" s="133" t="s">
        <v>110</v>
      </c>
      <c r="D1339" s="133" t="s">
        <v>526</v>
      </c>
      <c r="E1339" s="95" t="s">
        <v>155</v>
      </c>
      <c r="F1339" s="95" t="s">
        <v>156</v>
      </c>
      <c r="G1339" s="109">
        <v>15</v>
      </c>
      <c r="H1339" s="104">
        <f>VLOOKUP($E1339,'Stock statement'!$D$2:$P$384,13,)</f>
        <v>68.308211638055738</v>
      </c>
      <c r="I1339" s="127">
        <v>2.5000000000000001E-2</v>
      </c>
      <c r="J1339" s="106">
        <v>1.0249999999999999</v>
      </c>
      <c r="K1339" s="106">
        <f t="shared" si="112"/>
        <v>1076.4947227834843</v>
      </c>
      <c r="L1339" s="115"/>
      <c r="M1339" s="104">
        <f t="shared" si="113"/>
        <v>15.501524008082175</v>
      </c>
    </row>
    <row r="1340" spans="1:13">
      <c r="A1340" s="100" t="str">
        <f>VLOOKUP(C1340,Abstract!$E$4:$M$62,9,0)</f>
        <v>ACTIVE</v>
      </c>
      <c r="B1340" s="99" t="s">
        <v>138</v>
      </c>
      <c r="C1340" s="133" t="s">
        <v>110</v>
      </c>
      <c r="D1340" s="133" t="s">
        <v>526</v>
      </c>
      <c r="E1340" s="95" t="s">
        <v>219</v>
      </c>
      <c r="F1340" s="95" t="s">
        <v>220</v>
      </c>
      <c r="G1340" s="109">
        <v>2.5000000000000001E-2</v>
      </c>
      <c r="H1340" s="104">
        <f>VLOOKUP($E1340,'Stock statement'!$D$2:$P$384,13,)</f>
        <v>549.27282042136164</v>
      </c>
      <c r="I1340" s="127">
        <v>2.5000000000000001E-2</v>
      </c>
      <c r="J1340" s="106">
        <v>1.0249999999999999</v>
      </c>
      <c r="K1340" s="106">
        <f t="shared" si="112"/>
        <v>14.426993923879825</v>
      </c>
      <c r="L1340" s="115"/>
      <c r="M1340" s="104">
        <f t="shared" si="113"/>
        <v>0.2077487125038695</v>
      </c>
    </row>
    <row r="1341" spans="1:13">
      <c r="A1341" s="100" t="str">
        <f>VLOOKUP(C1341,Abstract!$E$4:$M$62,9,0)</f>
        <v>ACTIVE</v>
      </c>
      <c r="B1341" s="99" t="s">
        <v>138</v>
      </c>
      <c r="C1341" s="133" t="s">
        <v>110</v>
      </c>
      <c r="D1341" s="133" t="s">
        <v>526</v>
      </c>
      <c r="E1341" s="95" t="s">
        <v>221</v>
      </c>
      <c r="F1341" s="95" t="s">
        <v>222</v>
      </c>
      <c r="G1341" s="109">
        <v>0.1</v>
      </c>
      <c r="H1341" s="104">
        <f>VLOOKUP($E1341,'Stock statement'!$D$2:$P$384,13,)</f>
        <v>494.13931116123297</v>
      </c>
      <c r="I1341" s="127">
        <v>2.5000000000000001E-2</v>
      </c>
      <c r="J1341" s="106">
        <v>1.0249999999999999</v>
      </c>
      <c r="K1341" s="106">
        <f t="shared" si="112"/>
        <v>51.915511378877035</v>
      </c>
      <c r="L1341" s="115"/>
      <c r="M1341" s="104">
        <f t="shared" si="113"/>
        <v>0.74758336385582935</v>
      </c>
    </row>
    <row r="1342" spans="1:13">
      <c r="A1342" s="100" t="str">
        <f>VLOOKUP(C1342,Abstract!$E$4:$M$62,9,0)</f>
        <v>ACTIVE</v>
      </c>
      <c r="B1342" s="99" t="s">
        <v>138</v>
      </c>
      <c r="C1342" s="133" t="s">
        <v>110</v>
      </c>
      <c r="D1342" s="133" t="s">
        <v>526</v>
      </c>
      <c r="E1342" s="95" t="s">
        <v>223</v>
      </c>
      <c r="F1342" s="95" t="s">
        <v>224</v>
      </c>
      <c r="G1342" s="109">
        <v>0.01</v>
      </c>
      <c r="H1342" s="104">
        <f>VLOOKUP($E1342,'Stock statement'!$D$2:$P$384,13,)</f>
        <v>661.66658982809031</v>
      </c>
      <c r="I1342" s="127">
        <v>2.5000000000000001E-2</v>
      </c>
      <c r="J1342" s="106">
        <v>1.0249999999999999</v>
      </c>
      <c r="K1342" s="106">
        <f t="shared" si="112"/>
        <v>6.9516346093813723</v>
      </c>
      <c r="L1342" s="115"/>
      <c r="M1342" s="104">
        <f t="shared" si="113"/>
        <v>0.10010353837509177</v>
      </c>
    </row>
    <row r="1343" spans="1:13">
      <c r="A1343" s="100" t="str">
        <f>VLOOKUP(C1343,Abstract!$E$4:$M$62,9,0)</f>
        <v>ACTIVE</v>
      </c>
      <c r="B1343" s="99" t="s">
        <v>138</v>
      </c>
      <c r="C1343" s="133" t="s">
        <v>110</v>
      </c>
      <c r="D1343" s="133" t="s">
        <v>526</v>
      </c>
      <c r="E1343" s="95" t="s">
        <v>225</v>
      </c>
      <c r="F1343" s="95" t="s">
        <v>226</v>
      </c>
      <c r="G1343" s="109">
        <v>6</v>
      </c>
      <c r="H1343" s="104">
        <f>VLOOKUP($E1343,'Stock statement'!$D$2:$P$384,13,)</f>
        <v>770.99998748629207</v>
      </c>
      <c r="I1343" s="127">
        <v>2.5000000000000001E-2</v>
      </c>
      <c r="J1343" s="106">
        <v>1.0249999999999999</v>
      </c>
      <c r="K1343" s="106">
        <f t="shared" si="112"/>
        <v>4860.1911711167131</v>
      </c>
      <c r="L1343" s="115"/>
      <c r="M1343" s="104">
        <f t="shared" si="113"/>
        <v>69.986752864080671</v>
      </c>
    </row>
    <row r="1344" spans="1:13">
      <c r="A1344" s="100" t="str">
        <f>VLOOKUP(C1344,Abstract!$E$4:$M$62,9,0)</f>
        <v>ACTIVE</v>
      </c>
      <c r="B1344" s="99" t="s">
        <v>138</v>
      </c>
      <c r="C1344" s="133" t="s">
        <v>110</v>
      </c>
      <c r="D1344" s="133" t="s">
        <v>526</v>
      </c>
      <c r="E1344" s="95" t="s">
        <v>181</v>
      </c>
      <c r="F1344" s="95" t="s">
        <v>182</v>
      </c>
      <c r="G1344" s="109">
        <v>12.5</v>
      </c>
      <c r="H1344" s="104">
        <f>VLOOKUP($E1344,'Stock statement'!$D$2:$P$384,13,)</f>
        <v>17.110276913020375</v>
      </c>
      <c r="I1344" s="127">
        <v>2.5000000000000001E-2</v>
      </c>
      <c r="J1344" s="106">
        <v>1.0249999999999999</v>
      </c>
      <c r="K1344" s="106">
        <f t="shared" si="112"/>
        <v>224.70605852177536</v>
      </c>
      <c r="L1344" s="115"/>
      <c r="M1344" s="104">
        <f t="shared" si="113"/>
        <v>3.2357672427135653</v>
      </c>
    </row>
    <row r="1345" spans="1:13">
      <c r="A1345" s="100" t="str">
        <f>VLOOKUP(C1345,Abstract!$E$4:$M$62,9,0)</f>
        <v>ACTIVE</v>
      </c>
      <c r="B1345" s="99" t="s">
        <v>183</v>
      </c>
      <c r="C1345" s="133" t="s">
        <v>110</v>
      </c>
      <c r="D1345" s="133" t="s">
        <v>526</v>
      </c>
      <c r="E1345" s="95">
        <v>214954</v>
      </c>
      <c r="F1345" s="95" t="s">
        <v>527</v>
      </c>
      <c r="G1345" s="109">
        <f>(1000/(2400*6)*1000)*0.816</f>
        <v>56.666666666666664</v>
      </c>
      <c r="H1345" s="104">
        <f>VLOOKUP($E1345,'Stock statement'!$D$2:$P$384,13,)</f>
        <v>234</v>
      </c>
      <c r="I1345" s="127">
        <v>1.7500000000000002E-2</v>
      </c>
      <c r="J1345" s="106">
        <v>1</v>
      </c>
      <c r="K1345" s="106">
        <f t="shared" si="112"/>
        <v>13492.050000000001</v>
      </c>
      <c r="L1345" s="115"/>
      <c r="M1345" s="104">
        <f t="shared" si="113"/>
        <v>194.28552000000002</v>
      </c>
    </row>
    <row r="1346" spans="1:13">
      <c r="A1346" s="100" t="str">
        <f>VLOOKUP(C1346,Abstract!$E$4:$M$62,9,0)</f>
        <v>ACTIVE</v>
      </c>
      <c r="B1346" s="99" t="s">
        <v>183</v>
      </c>
      <c r="C1346" s="133" t="s">
        <v>110</v>
      </c>
      <c r="D1346" s="133" t="s">
        <v>526</v>
      </c>
      <c r="E1346" s="95">
        <v>214979</v>
      </c>
      <c r="F1346" s="95" t="s">
        <v>528</v>
      </c>
      <c r="G1346" s="109">
        <f>G1345/0.816</f>
        <v>69.444444444444443</v>
      </c>
      <c r="H1346" s="104">
        <f>VLOOKUP($E1346,'Stock statement'!$D$2:$P$384,13,)</f>
        <v>43.379999999999995</v>
      </c>
      <c r="I1346" s="127">
        <v>6.0000000000000001E-3</v>
      </c>
      <c r="J1346" s="106">
        <v>1</v>
      </c>
      <c r="K1346" s="106">
        <f t="shared" si="112"/>
        <v>3030.5749999999994</v>
      </c>
      <c r="L1346" s="115"/>
      <c r="M1346" s="104">
        <f t="shared" si="113"/>
        <v>43.64027999999999</v>
      </c>
    </row>
    <row r="1347" spans="1:13">
      <c r="A1347" s="100" t="str">
        <f>VLOOKUP(C1347,Abstract!$E$4:$M$62,9,0)</f>
        <v>ACTIVE</v>
      </c>
      <c r="B1347" s="99" t="s">
        <v>183</v>
      </c>
      <c r="C1347" s="133" t="s">
        <v>110</v>
      </c>
      <c r="D1347" s="133" t="s">
        <v>526</v>
      </c>
      <c r="E1347" s="95" t="s">
        <v>191</v>
      </c>
      <c r="F1347" s="95" t="s">
        <v>192</v>
      </c>
      <c r="G1347" s="109">
        <f>G1346*0.021</f>
        <v>1.4583333333333335</v>
      </c>
      <c r="H1347" s="104">
        <f>VLOOKUP($E1347,'Stock statement'!$D$2:$P$384,13,)</f>
        <v>44.985440769279101</v>
      </c>
      <c r="I1347" s="127">
        <v>0.02</v>
      </c>
      <c r="J1347" s="106">
        <v>1</v>
      </c>
      <c r="K1347" s="106">
        <f t="shared" si="112"/>
        <v>66.91584314430267</v>
      </c>
      <c r="L1347" s="115"/>
      <c r="M1347" s="104">
        <f t="shared" si="113"/>
        <v>0.96358814127795844</v>
      </c>
    </row>
    <row r="1348" spans="1:13">
      <c r="A1348" s="100" t="str">
        <f>VLOOKUP(C1348,Abstract!$E$4:$M$62,9,0)</f>
        <v>ACTIVE</v>
      </c>
      <c r="B1348" s="99" t="s">
        <v>197</v>
      </c>
      <c r="C1348" s="133" t="s">
        <v>110</v>
      </c>
      <c r="D1348" s="133" t="s">
        <v>526</v>
      </c>
      <c r="E1348" s="95" t="s">
        <v>198</v>
      </c>
      <c r="F1348" s="95"/>
      <c r="G1348" s="109"/>
      <c r="H1348" s="104"/>
      <c r="I1348" s="127"/>
      <c r="J1348" s="106"/>
      <c r="K1348" s="106">
        <v>6180</v>
      </c>
      <c r="L1348" s="115">
        <f>SUM(K1323:K1348)</f>
        <v>59248.366412729607</v>
      </c>
      <c r="M1348" s="104">
        <f t="shared" si="113"/>
        <v>88.992000000000004</v>
      </c>
    </row>
    <row r="1349" spans="1:13">
      <c r="A1349" s="100" t="str">
        <f>VLOOKUP(C1349,Abstract!$E$4:$M$62,9,0)</f>
        <v>No Sales</v>
      </c>
      <c r="B1349" s="99" t="s">
        <v>138</v>
      </c>
      <c r="C1349" s="133" t="s">
        <v>112</v>
      </c>
      <c r="D1349" s="133" t="s">
        <v>529</v>
      </c>
      <c r="E1349" s="95" t="s">
        <v>139</v>
      </c>
      <c r="F1349" s="95" t="s">
        <v>140</v>
      </c>
      <c r="G1349" s="109">
        <v>741.16</v>
      </c>
      <c r="H1349" s="104">
        <f>VLOOKUP($E1349,'Stock statement'!$D$2:$P$384,13,)</f>
        <v>0.34</v>
      </c>
      <c r="I1349" s="127">
        <v>2.5000000000000001E-2</v>
      </c>
      <c r="J1349" s="106">
        <v>1.0249999999999999</v>
      </c>
      <c r="K1349" s="106">
        <f t="shared" ref="K1349:K1381" si="114">+G1349*H1349*(1+I1349)*J1349</f>
        <v>264.75161650000001</v>
      </c>
      <c r="L1349" s="115"/>
      <c r="M1349" s="104">
        <f>K1349/$G$1371</f>
        <v>2.0650626086999999</v>
      </c>
    </row>
    <row r="1350" spans="1:13">
      <c r="A1350" s="100" t="str">
        <f>VLOOKUP(C1350,Abstract!$E$4:$M$62,9,0)</f>
        <v>No Sales</v>
      </c>
      <c r="B1350" s="99" t="s">
        <v>138</v>
      </c>
      <c r="C1350" s="133" t="s">
        <v>112</v>
      </c>
      <c r="D1350" s="133" t="s">
        <v>529</v>
      </c>
      <c r="E1350" s="95" t="s">
        <v>141</v>
      </c>
      <c r="F1350" s="95" t="s">
        <v>142</v>
      </c>
      <c r="G1350" s="109">
        <v>185.7</v>
      </c>
      <c r="H1350" s="104">
        <f>VLOOKUP($E1350,'Stock statement'!$D$2:$P$384,13,)</f>
        <v>94.278330452007026</v>
      </c>
      <c r="I1350" s="127">
        <v>2.5000000000000001E-2</v>
      </c>
      <c r="J1350" s="106">
        <v>1.0249999999999999</v>
      </c>
      <c r="K1350" s="106">
        <f t="shared" si="114"/>
        <v>18393.80244191267</v>
      </c>
      <c r="L1350" s="115"/>
      <c r="M1350" s="104">
        <f t="shared" ref="M1350:M1383" si="115">K1350/$G$1371</f>
        <v>143.47165904691883</v>
      </c>
    </row>
    <row r="1351" spans="1:13">
      <c r="A1351" s="100" t="str">
        <f>VLOOKUP(C1351,Abstract!$E$4:$M$62,9,0)</f>
        <v>No Sales</v>
      </c>
      <c r="B1351" s="99" t="s">
        <v>138</v>
      </c>
      <c r="C1351" s="133" t="s">
        <v>112</v>
      </c>
      <c r="D1351" s="133" t="s">
        <v>529</v>
      </c>
      <c r="E1351" s="95" t="s">
        <v>145</v>
      </c>
      <c r="F1351" s="95" t="s">
        <v>146</v>
      </c>
      <c r="G1351" s="109">
        <v>10</v>
      </c>
      <c r="H1351" s="104">
        <f>VLOOKUP($E1351,'Stock statement'!$D$2:$P$384,13,)</f>
        <v>151.08681180977209</v>
      </c>
      <c r="I1351" s="127">
        <v>2.5000000000000001E-2</v>
      </c>
      <c r="J1351" s="106">
        <v>1.0249999999999999</v>
      </c>
      <c r="K1351" s="106">
        <f t="shared" si="114"/>
        <v>1587.3558165764177</v>
      </c>
      <c r="L1351" s="115"/>
      <c r="M1351" s="104">
        <f t="shared" si="115"/>
        <v>12.381375369296059</v>
      </c>
    </row>
    <row r="1352" spans="1:13">
      <c r="A1352" s="100" t="str">
        <f>VLOOKUP(C1352,Abstract!$E$4:$M$62,9,0)</f>
        <v>No Sales</v>
      </c>
      <c r="B1352" s="99" t="s">
        <v>138</v>
      </c>
      <c r="C1352" s="133" t="s">
        <v>112</v>
      </c>
      <c r="D1352" s="133" t="s">
        <v>529</v>
      </c>
      <c r="E1352" s="95" t="s">
        <v>149</v>
      </c>
      <c r="F1352" s="95" t="s">
        <v>150</v>
      </c>
      <c r="G1352" s="109">
        <v>0.125</v>
      </c>
      <c r="H1352" s="104">
        <f>VLOOKUP($E1352,'Stock statement'!$D$2:$P$384,13,)</f>
        <v>161.56941474217822</v>
      </c>
      <c r="I1352" s="127">
        <v>2.5000000000000001E-2</v>
      </c>
      <c r="J1352" s="106">
        <v>1.0249999999999999</v>
      </c>
      <c r="K1352" s="106">
        <f t="shared" si="114"/>
        <v>21.218608295437623</v>
      </c>
      <c r="L1352" s="115"/>
      <c r="M1352" s="104">
        <f t="shared" si="115"/>
        <v>0.16550514470441346</v>
      </c>
    </row>
    <row r="1353" spans="1:13">
      <c r="A1353" s="100" t="str">
        <f>VLOOKUP(C1353,Abstract!$E$4:$M$62,9,0)</f>
        <v>No Sales</v>
      </c>
      <c r="B1353" s="99" t="s">
        <v>138</v>
      </c>
      <c r="C1353" s="133" t="s">
        <v>112</v>
      </c>
      <c r="D1353" s="133" t="s">
        <v>529</v>
      </c>
      <c r="E1353" s="95" t="s">
        <v>151</v>
      </c>
      <c r="F1353" s="95" t="s">
        <v>152</v>
      </c>
      <c r="G1353" s="109">
        <v>2.5</v>
      </c>
      <c r="H1353" s="104">
        <f>VLOOKUP($E1353,'Stock statement'!$D$2:$P$384,13,)</f>
        <v>762.38931335604309</v>
      </c>
      <c r="I1353" s="127">
        <v>2.5000000000000001E-2</v>
      </c>
      <c r="J1353" s="106">
        <v>1.0249999999999999</v>
      </c>
      <c r="K1353" s="106">
        <f t="shared" si="114"/>
        <v>2002.4631808617316</v>
      </c>
      <c r="L1353" s="115"/>
      <c r="M1353" s="104">
        <f t="shared" si="115"/>
        <v>15.619212810721507</v>
      </c>
    </row>
    <row r="1354" spans="1:13">
      <c r="A1354" s="100" t="str">
        <f>VLOOKUP(C1354,Abstract!$E$4:$M$62,9,0)</f>
        <v>No Sales</v>
      </c>
      <c r="B1354" s="99" t="s">
        <v>138</v>
      </c>
      <c r="C1354" s="133" t="s">
        <v>112</v>
      </c>
      <c r="D1354" s="133" t="s">
        <v>529</v>
      </c>
      <c r="E1354" s="95" t="s">
        <v>157</v>
      </c>
      <c r="F1354" s="95" t="s">
        <v>158</v>
      </c>
      <c r="G1354" s="109">
        <v>1</v>
      </c>
      <c r="H1354" s="104">
        <f>VLOOKUP($E1354,'Stock statement'!$D$2:$P$384,13,)</f>
        <v>828.81974703846117</v>
      </c>
      <c r="I1354" s="127">
        <v>2.5000000000000001E-2</v>
      </c>
      <c r="J1354" s="106">
        <v>1.0249999999999999</v>
      </c>
      <c r="K1354" s="106">
        <f t="shared" si="114"/>
        <v>870.77874673228314</v>
      </c>
      <c r="L1354" s="115"/>
      <c r="M1354" s="104">
        <f t="shared" si="115"/>
        <v>6.7920742245118086</v>
      </c>
    </row>
    <row r="1355" spans="1:13">
      <c r="A1355" s="100" t="str">
        <f>VLOOKUP(C1355,Abstract!$E$4:$M$62,9,0)</f>
        <v>No Sales</v>
      </c>
      <c r="B1355" s="99" t="s">
        <v>138</v>
      </c>
      <c r="C1355" s="133" t="s">
        <v>112</v>
      </c>
      <c r="D1355" s="133" t="s">
        <v>529</v>
      </c>
      <c r="E1355" s="157">
        <v>115150</v>
      </c>
      <c r="F1355" s="95" t="s">
        <v>159</v>
      </c>
      <c r="G1355" s="109">
        <v>1</v>
      </c>
      <c r="H1355" s="104">
        <f>VLOOKUP($E1355,'Stock statement'!$D$2:$P$384,13,)</f>
        <v>456.30699446392703</v>
      </c>
      <c r="I1355" s="127">
        <v>2.5000000000000001E-2</v>
      </c>
      <c r="J1355" s="106">
        <v>1.0249999999999999</v>
      </c>
      <c r="K1355" s="106">
        <f t="shared" si="114"/>
        <v>479.40753605866325</v>
      </c>
      <c r="L1355" s="115"/>
      <c r="M1355" s="104">
        <f t="shared" si="115"/>
        <v>3.7393787812575736</v>
      </c>
    </row>
    <row r="1356" spans="1:13">
      <c r="A1356" s="100" t="str">
        <f>VLOOKUP(C1356,Abstract!$E$4:$M$62,9,0)</f>
        <v>No Sales</v>
      </c>
      <c r="B1356" s="99" t="s">
        <v>138</v>
      </c>
      <c r="C1356" s="133" t="s">
        <v>112</v>
      </c>
      <c r="D1356" s="133" t="s">
        <v>529</v>
      </c>
      <c r="E1356" s="95" t="s">
        <v>160</v>
      </c>
      <c r="F1356" s="95" t="s">
        <v>161</v>
      </c>
      <c r="G1356" s="109">
        <v>0.25</v>
      </c>
      <c r="H1356" s="104">
        <f>VLOOKUP($E1356,'Stock statement'!$D$2:$P$384,13,)</f>
        <v>3313.2387673094586</v>
      </c>
      <c r="I1356" s="127">
        <v>2.5000000000000001E-2</v>
      </c>
      <c r="J1356" s="106">
        <v>1.0249999999999999</v>
      </c>
      <c r="K1356" s="106">
        <f t="shared" si="114"/>
        <v>870.24286997612489</v>
      </c>
      <c r="L1356" s="115"/>
      <c r="M1356" s="104">
        <f t="shared" si="115"/>
        <v>6.7878943858137744</v>
      </c>
    </row>
    <row r="1357" spans="1:13">
      <c r="A1357" s="100" t="str">
        <f>VLOOKUP(C1357,Abstract!$E$4:$M$62,9,0)</f>
        <v>No Sales</v>
      </c>
      <c r="B1357" s="99" t="s">
        <v>138</v>
      </c>
      <c r="C1357" s="133" t="s">
        <v>112</v>
      </c>
      <c r="D1357" s="133" t="s">
        <v>529</v>
      </c>
      <c r="E1357" s="95" t="s">
        <v>166</v>
      </c>
      <c r="F1357" s="95" t="s">
        <v>167</v>
      </c>
      <c r="G1357" s="109">
        <v>2.5</v>
      </c>
      <c r="H1357" s="104">
        <f>VLOOKUP($E1357,'Stock statement'!$D$2:$P$384,13,)</f>
        <v>127.15913438761541</v>
      </c>
      <c r="I1357" s="127">
        <v>2.5000000000000001E-2</v>
      </c>
      <c r="J1357" s="106">
        <v>1.0249999999999999</v>
      </c>
      <c r="K1357" s="106">
        <f t="shared" si="114"/>
        <v>333.99141391497102</v>
      </c>
      <c r="L1357" s="115"/>
      <c r="M1357" s="104">
        <f t="shared" si="115"/>
        <v>2.6051330285367738</v>
      </c>
    </row>
    <row r="1358" spans="1:13">
      <c r="A1358" s="100" t="str">
        <f>VLOOKUP(C1358,Abstract!$E$4:$M$62,9,0)</f>
        <v>No Sales</v>
      </c>
      <c r="B1358" s="99" t="s">
        <v>138</v>
      </c>
      <c r="C1358" s="133" t="s">
        <v>112</v>
      </c>
      <c r="D1358" s="133" t="s">
        <v>529</v>
      </c>
      <c r="E1358" s="95" t="s">
        <v>209</v>
      </c>
      <c r="F1358" s="95" t="s">
        <v>210</v>
      </c>
      <c r="G1358" s="109">
        <v>20</v>
      </c>
      <c r="H1358" s="104">
        <f>VLOOKUP($E1358,'Stock statement'!$D$2:$P$384,13,)</f>
        <v>220.67282625366343</v>
      </c>
      <c r="I1358" s="127">
        <v>2.5000000000000001E-2</v>
      </c>
      <c r="J1358" s="106">
        <v>1.0249999999999999</v>
      </c>
      <c r="K1358" s="106">
        <f t="shared" si="114"/>
        <v>4636.8877616551026</v>
      </c>
      <c r="L1358" s="115"/>
      <c r="M1358" s="104">
        <f t="shared" si="115"/>
        <v>36.167724540909802</v>
      </c>
    </row>
    <row r="1359" spans="1:13">
      <c r="A1359" s="100" t="str">
        <f>VLOOKUP(C1359,Abstract!$E$4:$M$62,9,0)</f>
        <v>No Sales</v>
      </c>
      <c r="B1359" s="99" t="s">
        <v>138</v>
      </c>
      <c r="C1359" s="133" t="s">
        <v>112</v>
      </c>
      <c r="D1359" s="133" t="s">
        <v>529</v>
      </c>
      <c r="E1359" s="95" t="s">
        <v>153</v>
      </c>
      <c r="F1359" s="95" t="s">
        <v>154</v>
      </c>
      <c r="G1359" s="109">
        <v>0.75</v>
      </c>
      <c r="H1359" s="104">
        <f>VLOOKUP($E1359,'Stock statement'!$D$2:$P$384,13,)</f>
        <v>84.206363687840948</v>
      </c>
      <c r="I1359" s="127">
        <v>2.5000000000000001E-2</v>
      </c>
      <c r="J1359" s="106">
        <v>1.0249999999999999</v>
      </c>
      <c r="K1359" s="106">
        <f t="shared" si="114"/>
        <v>66.351983137153411</v>
      </c>
      <c r="L1359" s="115"/>
      <c r="M1359" s="104">
        <f t="shared" si="115"/>
        <v>0.51754546846979665</v>
      </c>
    </row>
    <row r="1360" spans="1:13">
      <c r="A1360" s="100" t="str">
        <f>VLOOKUP(C1360,Abstract!$E$4:$M$62,9,0)</f>
        <v>No Sales</v>
      </c>
      <c r="B1360" s="99" t="s">
        <v>138</v>
      </c>
      <c r="C1360" s="133" t="s">
        <v>112</v>
      </c>
      <c r="D1360" s="133" t="s">
        <v>529</v>
      </c>
      <c r="E1360" s="95" t="s">
        <v>147</v>
      </c>
      <c r="F1360" s="95" t="s">
        <v>148</v>
      </c>
      <c r="G1360" s="109">
        <v>1</v>
      </c>
      <c r="H1360" s="104">
        <f>VLOOKUP($E1360,'Stock statement'!$D$2:$P$384,13,)</f>
        <v>353.50950483838068</v>
      </c>
      <c r="I1360" s="127">
        <v>2.5000000000000001E-2</v>
      </c>
      <c r="J1360" s="106">
        <v>1.0249999999999999</v>
      </c>
      <c r="K1360" s="106">
        <f t="shared" si="114"/>
        <v>371.40592352082365</v>
      </c>
      <c r="L1360" s="115"/>
      <c r="M1360" s="104">
        <f t="shared" si="115"/>
        <v>2.8969662034624246</v>
      </c>
    </row>
    <row r="1361" spans="1:13">
      <c r="A1361" s="100" t="str">
        <f>VLOOKUP(C1361,Abstract!$E$4:$M$62,9,0)</f>
        <v>No Sales</v>
      </c>
      <c r="B1361" s="99" t="s">
        <v>138</v>
      </c>
      <c r="C1361" s="133" t="s">
        <v>112</v>
      </c>
      <c r="D1361" s="133" t="s">
        <v>529</v>
      </c>
      <c r="E1361" s="95" t="s">
        <v>211</v>
      </c>
      <c r="F1361" s="95" t="s">
        <v>212</v>
      </c>
      <c r="G1361" s="109">
        <v>0.1</v>
      </c>
      <c r="H1361" s="104">
        <f>VLOOKUP($E1361,'Stock statement'!$D$2:$P$384,13,)</f>
        <v>1279.5862001575747</v>
      </c>
      <c r="I1361" s="127">
        <v>2.5000000000000001E-2</v>
      </c>
      <c r="J1361" s="106">
        <v>1.0249999999999999</v>
      </c>
      <c r="K1361" s="106">
        <f t="shared" si="114"/>
        <v>134.43652515405518</v>
      </c>
      <c r="L1361" s="115"/>
      <c r="M1361" s="104">
        <f t="shared" si="115"/>
        <v>1.0486048962016303</v>
      </c>
    </row>
    <row r="1362" spans="1:13">
      <c r="A1362" s="100" t="str">
        <f>VLOOKUP(C1362,Abstract!$E$4:$M$62,9,0)</f>
        <v>No Sales</v>
      </c>
      <c r="B1362" s="99" t="s">
        <v>138</v>
      </c>
      <c r="C1362" s="133" t="s">
        <v>112</v>
      </c>
      <c r="D1362" s="133" t="s">
        <v>529</v>
      </c>
      <c r="E1362" s="95" t="s">
        <v>213</v>
      </c>
      <c r="F1362" s="95" t="s">
        <v>214</v>
      </c>
      <c r="G1362" s="109">
        <v>0.09</v>
      </c>
      <c r="H1362" s="104">
        <f>VLOOKUP($E1362,'Stock statement'!$D$2:$P$384,13,)</f>
        <v>674.683130739744</v>
      </c>
      <c r="I1362" s="127">
        <v>2.5000000000000001E-2</v>
      </c>
      <c r="J1362" s="106">
        <v>1.0249999999999999</v>
      </c>
      <c r="K1362" s="106">
        <f t="shared" si="114"/>
        <v>63.795506781009905</v>
      </c>
      <c r="L1362" s="115"/>
      <c r="M1362" s="104">
        <f t="shared" si="115"/>
        <v>0.49760495289187728</v>
      </c>
    </row>
    <row r="1363" spans="1:13">
      <c r="A1363" s="100" t="str">
        <f>VLOOKUP(C1363,Abstract!$E$4:$M$62,9,0)</f>
        <v>No Sales</v>
      </c>
      <c r="B1363" s="99" t="s">
        <v>138</v>
      </c>
      <c r="C1363" s="133" t="s">
        <v>112</v>
      </c>
      <c r="D1363" s="133" t="s">
        <v>529</v>
      </c>
      <c r="E1363" s="95" t="s">
        <v>215</v>
      </c>
      <c r="F1363" s="95" t="s">
        <v>216</v>
      </c>
      <c r="G1363" s="109">
        <v>0.09</v>
      </c>
      <c r="H1363" s="104">
        <f>VLOOKUP($E1363,'Stock statement'!$D$2:$P$384,13,)</f>
        <v>545.51731168806748</v>
      </c>
      <c r="I1363" s="127">
        <v>2.5000000000000001E-2</v>
      </c>
      <c r="J1363" s="106">
        <v>1.0249999999999999</v>
      </c>
      <c r="K1363" s="106">
        <f t="shared" si="114"/>
        <v>51.582071303304822</v>
      </c>
      <c r="L1363" s="115"/>
      <c r="M1363" s="104">
        <f t="shared" si="115"/>
        <v>0.40234015616577762</v>
      </c>
    </row>
    <row r="1364" spans="1:13">
      <c r="A1364" s="100" t="str">
        <f>VLOOKUP(C1364,Abstract!$E$4:$M$62,9,0)</f>
        <v>No Sales</v>
      </c>
      <c r="B1364" s="99" t="s">
        <v>138</v>
      </c>
      <c r="C1364" s="133" t="s">
        <v>112</v>
      </c>
      <c r="D1364" s="133" t="s">
        <v>529</v>
      </c>
      <c r="E1364" s="95" t="s">
        <v>217</v>
      </c>
      <c r="F1364" s="95" t="s">
        <v>218</v>
      </c>
      <c r="G1364" s="109">
        <v>0.1</v>
      </c>
      <c r="H1364" s="104">
        <f>VLOOKUP($E1364,'Stock statement'!$D$2:$P$384,13,)</f>
        <v>910.5767983004796</v>
      </c>
      <c r="I1364" s="127">
        <v>2.5000000000000001E-2</v>
      </c>
      <c r="J1364" s="106">
        <v>1.0249999999999999</v>
      </c>
      <c r="K1364" s="106">
        <f t="shared" si="114"/>
        <v>95.667474871444114</v>
      </c>
      <c r="L1364" s="115"/>
      <c r="M1364" s="104">
        <f t="shared" si="115"/>
        <v>0.74620630399726406</v>
      </c>
    </row>
    <row r="1365" spans="1:13">
      <c r="A1365" s="100" t="str">
        <f>VLOOKUP(C1365,Abstract!$E$4:$M$62,9,0)</f>
        <v>No Sales</v>
      </c>
      <c r="B1365" s="99" t="s">
        <v>138</v>
      </c>
      <c r="C1365" s="133" t="s">
        <v>112</v>
      </c>
      <c r="D1365" s="133" t="s">
        <v>529</v>
      </c>
      <c r="E1365" s="95" t="s">
        <v>155</v>
      </c>
      <c r="F1365" s="95" t="s">
        <v>156</v>
      </c>
      <c r="G1365" s="109">
        <v>15</v>
      </c>
      <c r="H1365" s="104">
        <f>VLOOKUP($E1365,'Stock statement'!$D$2:$P$384,13,)</f>
        <v>68.308211638055738</v>
      </c>
      <c r="I1365" s="127">
        <v>2.5000000000000001E-2</v>
      </c>
      <c r="J1365" s="106">
        <v>1.0249999999999999</v>
      </c>
      <c r="K1365" s="106">
        <f t="shared" si="114"/>
        <v>1076.4947227834843</v>
      </c>
      <c r="L1365" s="115"/>
      <c r="M1365" s="104">
        <f t="shared" si="115"/>
        <v>8.3966588377111773</v>
      </c>
    </row>
    <row r="1366" spans="1:13">
      <c r="A1366" s="100" t="str">
        <f>VLOOKUP(C1366,Abstract!$E$4:$M$62,9,0)</f>
        <v>No Sales</v>
      </c>
      <c r="B1366" s="99" t="s">
        <v>138</v>
      </c>
      <c r="C1366" s="133" t="s">
        <v>112</v>
      </c>
      <c r="D1366" s="133" t="s">
        <v>529</v>
      </c>
      <c r="E1366" s="95" t="s">
        <v>219</v>
      </c>
      <c r="F1366" s="95" t="s">
        <v>220</v>
      </c>
      <c r="G1366" s="109">
        <v>2.5000000000000001E-2</v>
      </c>
      <c r="H1366" s="104">
        <f>VLOOKUP($E1366,'Stock statement'!$D$2:$P$384,13,)</f>
        <v>549.27282042136164</v>
      </c>
      <c r="I1366" s="127">
        <v>2.5000000000000001E-2</v>
      </c>
      <c r="J1366" s="106">
        <v>1.0249999999999999</v>
      </c>
      <c r="K1366" s="106">
        <f t="shared" si="114"/>
        <v>14.426993923879825</v>
      </c>
      <c r="L1366" s="115"/>
      <c r="M1366" s="104">
        <f t="shared" si="115"/>
        <v>0.11253055260626264</v>
      </c>
    </row>
    <row r="1367" spans="1:13">
      <c r="A1367" s="100" t="str">
        <f>VLOOKUP(C1367,Abstract!$E$4:$M$62,9,0)</f>
        <v>No Sales</v>
      </c>
      <c r="B1367" s="99" t="s">
        <v>138</v>
      </c>
      <c r="C1367" s="133" t="s">
        <v>112</v>
      </c>
      <c r="D1367" s="133" t="s">
        <v>529</v>
      </c>
      <c r="E1367" s="95" t="s">
        <v>221</v>
      </c>
      <c r="F1367" s="95" t="s">
        <v>222</v>
      </c>
      <c r="G1367" s="109">
        <v>0.1</v>
      </c>
      <c r="H1367" s="104">
        <f>VLOOKUP($E1367,'Stock statement'!$D$2:$P$384,13,)</f>
        <v>494.13931116123297</v>
      </c>
      <c r="I1367" s="127">
        <v>2.5000000000000001E-2</v>
      </c>
      <c r="J1367" s="106">
        <v>1.0249999999999999</v>
      </c>
      <c r="K1367" s="106">
        <f t="shared" si="114"/>
        <v>51.915511378877035</v>
      </c>
      <c r="L1367" s="115"/>
      <c r="M1367" s="104">
        <f t="shared" si="115"/>
        <v>0.40494098875524087</v>
      </c>
    </row>
    <row r="1368" spans="1:13">
      <c r="A1368" s="100" t="str">
        <f>VLOOKUP(C1368,Abstract!$E$4:$M$62,9,0)</f>
        <v>No Sales</v>
      </c>
      <c r="B1368" s="99" t="s">
        <v>138</v>
      </c>
      <c r="C1368" s="133" t="s">
        <v>112</v>
      </c>
      <c r="D1368" s="133" t="s">
        <v>529</v>
      </c>
      <c r="E1368" s="95" t="s">
        <v>223</v>
      </c>
      <c r="F1368" s="95" t="s">
        <v>224</v>
      </c>
      <c r="G1368" s="109">
        <v>0.01</v>
      </c>
      <c r="H1368" s="104">
        <f>VLOOKUP($E1368,'Stock statement'!$D$2:$P$384,13,)</f>
        <v>661.66658982809031</v>
      </c>
      <c r="I1368" s="127">
        <v>2.5000000000000001E-2</v>
      </c>
      <c r="J1368" s="106">
        <v>1.0249999999999999</v>
      </c>
      <c r="K1368" s="106">
        <f t="shared" si="114"/>
        <v>6.9516346093813723</v>
      </c>
      <c r="L1368" s="115"/>
      <c r="M1368" s="104">
        <f t="shared" si="115"/>
        <v>5.4222749953174706E-2</v>
      </c>
    </row>
    <row r="1369" spans="1:13">
      <c r="A1369" s="100" t="str">
        <f>VLOOKUP(C1369,Abstract!$E$4:$M$62,9,0)</f>
        <v>No Sales</v>
      </c>
      <c r="B1369" s="99" t="s">
        <v>138</v>
      </c>
      <c r="C1369" s="133" t="s">
        <v>112</v>
      </c>
      <c r="D1369" s="133" t="s">
        <v>529</v>
      </c>
      <c r="E1369" s="95" t="s">
        <v>225</v>
      </c>
      <c r="F1369" s="95" t="s">
        <v>226</v>
      </c>
      <c r="G1369" s="109">
        <v>6</v>
      </c>
      <c r="H1369" s="104">
        <f>VLOOKUP($E1369,'Stock statement'!$D$2:$P$384,13,)</f>
        <v>770.99998748629207</v>
      </c>
      <c r="I1369" s="127">
        <v>2.5000000000000001E-2</v>
      </c>
      <c r="J1369" s="106">
        <v>1.0249999999999999</v>
      </c>
      <c r="K1369" s="106">
        <f t="shared" si="114"/>
        <v>4860.1911711167131</v>
      </c>
      <c r="L1369" s="115"/>
      <c r="M1369" s="104">
        <f t="shared" si="115"/>
        <v>37.909491134710365</v>
      </c>
    </row>
    <row r="1370" spans="1:13">
      <c r="A1370" s="100" t="str">
        <f>VLOOKUP(C1370,Abstract!$E$4:$M$62,9,0)</f>
        <v>No Sales</v>
      </c>
      <c r="B1370" s="99" t="s">
        <v>138</v>
      </c>
      <c r="C1370" s="133" t="s">
        <v>112</v>
      </c>
      <c r="D1370" s="133" t="s">
        <v>529</v>
      </c>
      <c r="E1370" s="95" t="s">
        <v>181</v>
      </c>
      <c r="F1370" s="95" t="s">
        <v>182</v>
      </c>
      <c r="G1370" s="109">
        <v>12.5</v>
      </c>
      <c r="H1370" s="104">
        <f>VLOOKUP($E1370,'Stock statement'!$D$2:$P$384,13,)</f>
        <v>17.110276913020375</v>
      </c>
      <c r="I1370" s="127">
        <v>2.5000000000000001E-2</v>
      </c>
      <c r="J1370" s="106">
        <v>1.0249999999999999</v>
      </c>
      <c r="K1370" s="106">
        <f t="shared" si="114"/>
        <v>224.70605852177536</v>
      </c>
      <c r="L1370" s="115"/>
      <c r="M1370" s="104">
        <f t="shared" si="115"/>
        <v>1.7527072564698478</v>
      </c>
    </row>
    <row r="1371" spans="1:13">
      <c r="A1371" s="100" t="str">
        <f>VLOOKUP(C1371,Abstract!$E$4:$M$62,9,0)</f>
        <v>No Sales</v>
      </c>
      <c r="B1371" s="99" t="s">
        <v>183</v>
      </c>
      <c r="C1371" s="133" t="s">
        <v>112</v>
      </c>
      <c r="D1371" s="133" t="s">
        <v>529</v>
      </c>
      <c r="E1371" s="95">
        <v>214932</v>
      </c>
      <c r="F1371" s="95" t="s">
        <v>530</v>
      </c>
      <c r="G1371" s="109">
        <f>G1372/12</f>
        <v>128.2051282051282</v>
      </c>
      <c r="H1371" s="104">
        <f>VLOOKUP($E1371,'Stock statement'!$D$2:$P$384,13,)</f>
        <v>0</v>
      </c>
      <c r="I1371" s="127">
        <v>6.0000000000000001E-3</v>
      </c>
      <c r="J1371" s="106">
        <v>1</v>
      </c>
      <c r="K1371" s="106">
        <f t="shared" si="114"/>
        <v>0</v>
      </c>
      <c r="L1371" s="115"/>
      <c r="M1371" s="104">
        <f t="shared" si="115"/>
        <v>0</v>
      </c>
    </row>
    <row r="1372" spans="1:13">
      <c r="A1372" s="100" t="str">
        <f>VLOOKUP(C1372,Abstract!$E$4:$M$62,9,0)</f>
        <v>No Sales</v>
      </c>
      <c r="B1372" s="99" t="s">
        <v>183</v>
      </c>
      <c r="C1372" s="133" t="s">
        <v>112</v>
      </c>
      <c r="D1372" s="133" t="s">
        <v>529</v>
      </c>
      <c r="E1372" s="95">
        <v>214808</v>
      </c>
      <c r="F1372" s="95" t="s">
        <v>453</v>
      </c>
      <c r="G1372" s="109">
        <f>1000/0.65</f>
        <v>1538.4615384615383</v>
      </c>
      <c r="H1372" s="104">
        <f>VLOOKUP($E1372,'Stock statement'!$D$2:$P$384,13,)</f>
        <v>15.672680173741485</v>
      </c>
      <c r="I1372" s="127">
        <v>6.0000000000000001E-3</v>
      </c>
      <c r="J1372" s="106">
        <v>1</v>
      </c>
      <c r="K1372" s="106">
        <f t="shared" si="114"/>
        <v>24256.486545821437</v>
      </c>
      <c r="L1372" s="115"/>
      <c r="M1372" s="104">
        <f t="shared" si="115"/>
        <v>189.20059505740721</v>
      </c>
    </row>
    <row r="1373" spans="1:13">
      <c r="A1373" s="100" t="str">
        <f>VLOOKUP(C1373,Abstract!$E$4:$M$62,9,0)</f>
        <v>No Sales</v>
      </c>
      <c r="B1373" s="99" t="s">
        <v>183</v>
      </c>
      <c r="C1373" s="133" t="s">
        <v>112</v>
      </c>
      <c r="D1373" s="133" t="s">
        <v>529</v>
      </c>
      <c r="E1373" s="95">
        <v>214727</v>
      </c>
      <c r="F1373" s="95" t="s">
        <v>454</v>
      </c>
      <c r="G1373" s="109">
        <f>G1372</f>
        <v>1538.4615384615383</v>
      </c>
      <c r="H1373" s="104">
        <f>VLOOKUP($E1373,'Stock statement'!$D$2:$P$384,13,)</f>
        <v>0</v>
      </c>
      <c r="I1373" s="127">
        <v>6.0000000000000001E-3</v>
      </c>
      <c r="J1373" s="106">
        <v>1</v>
      </c>
      <c r="K1373" s="106">
        <f t="shared" si="114"/>
        <v>0</v>
      </c>
      <c r="L1373" s="115"/>
      <c r="M1373" s="104">
        <f t="shared" si="115"/>
        <v>0</v>
      </c>
    </row>
    <row r="1374" spans="1:13">
      <c r="A1374" s="100" t="str">
        <f>VLOOKUP(C1374,Abstract!$E$4:$M$62,9,0)</f>
        <v>No Sales</v>
      </c>
      <c r="B1374" s="99" t="s">
        <v>183</v>
      </c>
      <c r="C1374" s="133" t="s">
        <v>112</v>
      </c>
      <c r="D1374" s="133" t="s">
        <v>529</v>
      </c>
      <c r="E1374" s="95">
        <v>214669</v>
      </c>
      <c r="F1374" s="95" t="s">
        <v>456</v>
      </c>
      <c r="G1374" s="109">
        <f>G1372</f>
        <v>1538.4615384615383</v>
      </c>
      <c r="H1374" s="104">
        <f>VLOOKUP($E1374,'Stock statement'!$D$2:$P$384,13,)</f>
        <v>2.7186111111111111</v>
      </c>
      <c r="I1374" s="127">
        <v>0.02</v>
      </c>
      <c r="J1374" s="106">
        <v>1</v>
      </c>
      <c r="K1374" s="106">
        <f t="shared" si="114"/>
        <v>4266.1282051282042</v>
      </c>
      <c r="L1374" s="115"/>
      <c r="M1374" s="104">
        <f t="shared" si="115"/>
        <v>33.27579999999999</v>
      </c>
    </row>
    <row r="1375" spans="1:13">
      <c r="A1375" s="100" t="str">
        <f>VLOOKUP(C1375,Abstract!$E$4:$M$62,9,0)</f>
        <v>No Sales</v>
      </c>
      <c r="B1375" s="99" t="s">
        <v>183</v>
      </c>
      <c r="C1375" s="133" t="s">
        <v>112</v>
      </c>
      <c r="D1375" s="133" t="s">
        <v>529</v>
      </c>
      <c r="E1375" s="95">
        <v>214668</v>
      </c>
      <c r="F1375" s="95" t="s">
        <v>457</v>
      </c>
      <c r="G1375" s="109">
        <f>G1372</f>
        <v>1538.4615384615383</v>
      </c>
      <c r="H1375" s="104">
        <f>VLOOKUP($E1375,'Stock statement'!$D$2:$P$384,13,)</f>
        <v>3.2835304054054046</v>
      </c>
      <c r="I1375" s="127">
        <v>0.02</v>
      </c>
      <c r="J1375" s="106">
        <v>1</v>
      </c>
      <c r="K1375" s="106">
        <f t="shared" si="114"/>
        <v>5152.6169438669431</v>
      </c>
      <c r="L1375" s="115"/>
      <c r="M1375" s="104">
        <f t="shared" si="115"/>
        <v>40.190412162162154</v>
      </c>
    </row>
    <row r="1376" spans="1:13">
      <c r="A1376" s="100" t="str">
        <f>VLOOKUP(C1376,Abstract!$E$4:$M$62,9,0)</f>
        <v>No Sales</v>
      </c>
      <c r="B1376" s="99" t="s">
        <v>183</v>
      </c>
      <c r="C1376" s="133" t="s">
        <v>112</v>
      </c>
      <c r="D1376" s="133" t="s">
        <v>529</v>
      </c>
      <c r="E1376" s="95">
        <v>214951</v>
      </c>
      <c r="F1376" s="95" t="s">
        <v>531</v>
      </c>
      <c r="G1376" s="109">
        <f>G1373</f>
        <v>1538.4615384615383</v>
      </c>
      <c r="H1376" s="104">
        <f>VLOOKUP($E1376,'Stock statement'!$D$2:$P$384,13,)</f>
        <v>0</v>
      </c>
      <c r="I1376" s="127">
        <v>0.01</v>
      </c>
      <c r="J1376" s="106">
        <v>1</v>
      </c>
      <c r="K1376" s="106">
        <f t="shared" si="114"/>
        <v>0</v>
      </c>
      <c r="L1376" s="115"/>
      <c r="M1376" s="104">
        <f t="shared" si="115"/>
        <v>0</v>
      </c>
    </row>
    <row r="1377" spans="1:13">
      <c r="A1377" s="100" t="str">
        <f>VLOOKUP(C1377,Abstract!$E$4:$M$62,9,0)</f>
        <v>No Sales</v>
      </c>
      <c r="B1377" s="99" t="s">
        <v>183</v>
      </c>
      <c r="C1377" s="133" t="s">
        <v>112</v>
      </c>
      <c r="D1377" s="133" t="s">
        <v>529</v>
      </c>
      <c r="E1377" s="95">
        <v>344557</v>
      </c>
      <c r="F1377" s="95" t="s">
        <v>532</v>
      </c>
      <c r="G1377" s="109">
        <f>G1374</f>
        <v>1538.4615384615383</v>
      </c>
      <c r="H1377" s="104">
        <f>VLOOKUP($E1377,'Stock statement'!$D$2:$P$384,13,)</f>
        <v>0</v>
      </c>
      <c r="I1377" s="127">
        <v>0.01</v>
      </c>
      <c r="J1377" s="106">
        <v>1</v>
      </c>
      <c r="K1377" s="106">
        <f t="shared" si="114"/>
        <v>0</v>
      </c>
      <c r="L1377" s="115"/>
      <c r="M1377" s="104">
        <f t="shared" si="115"/>
        <v>0</v>
      </c>
    </row>
    <row r="1378" spans="1:13">
      <c r="A1378" s="100" t="str">
        <f>VLOOKUP(C1378,Abstract!$E$4:$M$62,9,0)</f>
        <v>No Sales</v>
      </c>
      <c r="B1378" s="99" t="s">
        <v>183</v>
      </c>
      <c r="C1378" s="133" t="s">
        <v>112</v>
      </c>
      <c r="D1378" s="133" t="s">
        <v>529</v>
      </c>
      <c r="E1378" s="95" t="s">
        <v>191</v>
      </c>
      <c r="F1378" s="95" t="s">
        <v>192</v>
      </c>
      <c r="G1378" s="109">
        <f>G1371*0.022</f>
        <v>2.8205128205128203</v>
      </c>
      <c r="H1378" s="104">
        <f>VLOOKUP($E1378,'Stock statement'!$D$2:$P$384,13,)</f>
        <v>44.985440769279101</v>
      </c>
      <c r="I1378" s="127">
        <v>0.02</v>
      </c>
      <c r="J1378" s="106">
        <v>1</v>
      </c>
      <c r="K1378" s="106">
        <f t="shared" si="114"/>
        <v>129.41965267469524</v>
      </c>
      <c r="L1378" s="115"/>
      <c r="M1378" s="104">
        <f t="shared" si="115"/>
        <v>1.0094732908626229</v>
      </c>
    </row>
    <row r="1379" spans="1:13">
      <c r="A1379" s="100" t="str">
        <f>VLOOKUP(C1379,Abstract!$E$4:$M$62,9,0)</f>
        <v>No Sales</v>
      </c>
      <c r="B1379" s="99" t="s">
        <v>533</v>
      </c>
      <c r="C1379" s="133" t="s">
        <v>112</v>
      </c>
      <c r="D1379" s="133" t="s">
        <v>529</v>
      </c>
      <c r="E1379" s="95" t="s">
        <v>40</v>
      </c>
      <c r="F1379" s="95" t="s">
        <v>41</v>
      </c>
      <c r="G1379" s="109">
        <f>G1376</f>
        <v>1538.4615384615383</v>
      </c>
      <c r="H1379" s="104">
        <f>(SUMIF(C406:C437,E1379,K406:K437)-K428)/5714.29</f>
        <v>20.051591114774695</v>
      </c>
      <c r="I1379" s="127"/>
      <c r="J1379" s="106">
        <v>1</v>
      </c>
      <c r="K1379" s="106">
        <f t="shared" si="114"/>
        <v>30848.601715037988</v>
      </c>
      <c r="L1379" s="115"/>
      <c r="M1379" s="104">
        <f t="shared" si="115"/>
        <v>240.61909337729631</v>
      </c>
    </row>
    <row r="1380" spans="1:13">
      <c r="A1380" s="100" t="str">
        <f>VLOOKUP(C1380,Abstract!$E$4:$M$62,9,0)</f>
        <v>No Sales</v>
      </c>
      <c r="B1380" s="99" t="s">
        <v>194</v>
      </c>
      <c r="C1380" s="133" t="s">
        <v>112</v>
      </c>
      <c r="D1380" s="133" t="s">
        <v>529</v>
      </c>
      <c r="E1380" s="95" t="s">
        <v>195</v>
      </c>
      <c r="F1380" s="95"/>
      <c r="G1380" s="109">
        <f>G1372</f>
        <v>1538.4615384615383</v>
      </c>
      <c r="H1380" s="104">
        <v>0.04</v>
      </c>
      <c r="I1380" s="127"/>
      <c r="J1380" s="106">
        <v>1</v>
      </c>
      <c r="K1380" s="106">
        <f t="shared" si="114"/>
        <v>61.538461538461533</v>
      </c>
      <c r="L1380" s="115"/>
      <c r="M1380" s="104">
        <f t="shared" si="115"/>
        <v>0.48</v>
      </c>
    </row>
    <row r="1381" spans="1:13">
      <c r="A1381" s="100" t="str">
        <f>VLOOKUP(C1381,Abstract!$E$4:$M$62,9,0)</f>
        <v>No Sales</v>
      </c>
      <c r="B1381" s="99" t="s">
        <v>194</v>
      </c>
      <c r="C1381" s="133" t="s">
        <v>112</v>
      </c>
      <c r="D1381" s="133" t="s">
        <v>529</v>
      </c>
      <c r="E1381" s="95" t="s">
        <v>196</v>
      </c>
      <c r="F1381" s="95"/>
      <c r="G1381" s="109">
        <f>G1380*44</f>
        <v>67692.307692307688</v>
      </c>
      <c r="H1381" s="104">
        <v>1.6999999999999999E-3</v>
      </c>
      <c r="I1381" s="127"/>
      <c r="J1381" s="106">
        <v>1</v>
      </c>
      <c r="K1381" s="106">
        <f t="shared" si="114"/>
        <v>115.07692307692307</v>
      </c>
      <c r="L1381" s="115"/>
      <c r="M1381" s="104">
        <f t="shared" si="115"/>
        <v>0.89759999999999995</v>
      </c>
    </row>
    <row r="1382" spans="1:13">
      <c r="A1382" s="100" t="str">
        <f>VLOOKUP(C1382,Abstract!$E$4:$M$62,9,0)</f>
        <v>No Sales</v>
      </c>
      <c r="B1382" s="99" t="s">
        <v>197</v>
      </c>
      <c r="C1382" s="133" t="s">
        <v>112</v>
      </c>
      <c r="D1382" s="133" t="s">
        <v>529</v>
      </c>
      <c r="E1382" s="95" t="s">
        <v>198</v>
      </c>
      <c r="F1382" s="95"/>
      <c r="G1382" s="109"/>
      <c r="H1382" s="104"/>
      <c r="I1382" s="127"/>
      <c r="J1382" s="106"/>
      <c r="K1382" s="106">
        <v>9000</v>
      </c>
      <c r="L1382" s="115"/>
      <c r="M1382" s="104">
        <f t="shared" si="115"/>
        <v>70.2</v>
      </c>
    </row>
    <row r="1383" spans="1:13">
      <c r="A1383" s="100" t="str">
        <f>VLOOKUP(C1383,Abstract!$E$4:$M$62,9,0)</f>
        <v>No Sales</v>
      </c>
      <c r="B1383" s="99" t="s">
        <v>197</v>
      </c>
      <c r="C1383" s="133" t="s">
        <v>112</v>
      </c>
      <c r="D1383" s="133" t="s">
        <v>529</v>
      </c>
      <c r="E1383" s="95" t="s">
        <v>534</v>
      </c>
      <c r="F1383" s="95"/>
      <c r="G1383" s="109"/>
      <c r="H1383" s="104"/>
      <c r="I1383" s="127"/>
      <c r="J1383" s="106"/>
      <c r="K1383" s="106">
        <v>5769.45</v>
      </c>
      <c r="L1383" s="115">
        <f>SUM(K1349:K1383)</f>
        <v>116078.14401672997</v>
      </c>
      <c r="M1383" s="104">
        <f t="shared" si="115"/>
        <v>45.001709999999996</v>
      </c>
    </row>
    <row r="1384" spans="1:13">
      <c r="A1384" s="100" t="str">
        <f>VLOOKUP(C1384,Abstract!$E$4:$M$62,9,0)</f>
        <v>No Sales</v>
      </c>
      <c r="B1384" s="99" t="s">
        <v>138</v>
      </c>
      <c r="C1384" s="133" t="s">
        <v>114</v>
      </c>
      <c r="D1384" s="133" t="s">
        <v>535</v>
      </c>
      <c r="E1384" s="95" t="s">
        <v>139</v>
      </c>
      <c r="F1384" s="95" t="s">
        <v>140</v>
      </c>
      <c r="G1384" s="109">
        <v>741.16</v>
      </c>
      <c r="H1384" s="104">
        <f>VLOOKUP($E1384,'Stock statement'!$D$2:$P$384,13,)</f>
        <v>0.34</v>
      </c>
      <c r="I1384" s="127">
        <v>2.5000000000000001E-2</v>
      </c>
      <c r="J1384" s="106">
        <v>1.0249999999999999</v>
      </c>
      <c r="K1384" s="106">
        <f t="shared" ref="K1384:K1415" si="116">+G1384*H1384*(1+I1384)*J1384</f>
        <v>264.75161650000001</v>
      </c>
      <c r="L1384" s="115"/>
      <c r="M1384" s="104">
        <f>K1384/$G$1406</f>
        <v>1.52496931104</v>
      </c>
    </row>
    <row r="1385" spans="1:13">
      <c r="A1385" s="100" t="str">
        <f>VLOOKUP(C1385,Abstract!$E$4:$M$62,9,0)</f>
        <v>No Sales</v>
      </c>
      <c r="B1385" s="99" t="s">
        <v>138</v>
      </c>
      <c r="C1385" s="133" t="s">
        <v>114</v>
      </c>
      <c r="D1385" s="133" t="s">
        <v>535</v>
      </c>
      <c r="E1385" s="95" t="s">
        <v>141</v>
      </c>
      <c r="F1385" s="95" t="s">
        <v>142</v>
      </c>
      <c r="G1385" s="109">
        <v>185.7</v>
      </c>
      <c r="H1385" s="104">
        <f>VLOOKUP($E1385,'Stock statement'!$D$2:$P$384,13,)</f>
        <v>94.278330452007026</v>
      </c>
      <c r="I1385" s="127">
        <v>2.5000000000000001E-2</v>
      </c>
      <c r="J1385" s="106">
        <v>1.0249999999999999</v>
      </c>
      <c r="K1385" s="106">
        <f t="shared" si="116"/>
        <v>18393.80244191267</v>
      </c>
      <c r="L1385" s="115"/>
      <c r="M1385" s="104">
        <f t="shared" ref="M1385:M1416" si="117">K1385/$G$1406</f>
        <v>105.94830206541698</v>
      </c>
    </row>
    <row r="1386" spans="1:13">
      <c r="A1386" s="100" t="str">
        <f>VLOOKUP(C1386,Abstract!$E$4:$M$62,9,0)</f>
        <v>No Sales</v>
      </c>
      <c r="B1386" s="99" t="s">
        <v>138</v>
      </c>
      <c r="C1386" s="133" t="s">
        <v>114</v>
      </c>
      <c r="D1386" s="133" t="s">
        <v>535</v>
      </c>
      <c r="E1386" s="95" t="s">
        <v>145</v>
      </c>
      <c r="F1386" s="95" t="s">
        <v>146</v>
      </c>
      <c r="G1386" s="109">
        <v>10</v>
      </c>
      <c r="H1386" s="104">
        <f>VLOOKUP($E1386,'Stock statement'!$D$2:$P$384,13,)</f>
        <v>151.08681180977209</v>
      </c>
      <c r="I1386" s="127">
        <v>2.5000000000000001E-2</v>
      </c>
      <c r="J1386" s="106">
        <v>1.0249999999999999</v>
      </c>
      <c r="K1386" s="106">
        <f t="shared" si="116"/>
        <v>1587.3558165764177</v>
      </c>
      <c r="L1386" s="115"/>
      <c r="M1386" s="104">
        <f t="shared" si="117"/>
        <v>9.1431695034801663</v>
      </c>
    </row>
    <row r="1387" spans="1:13">
      <c r="A1387" s="100" t="str">
        <f>VLOOKUP(C1387,Abstract!$E$4:$M$62,9,0)</f>
        <v>No Sales</v>
      </c>
      <c r="B1387" s="99" t="s">
        <v>138</v>
      </c>
      <c r="C1387" s="133" t="s">
        <v>114</v>
      </c>
      <c r="D1387" s="133" t="s">
        <v>535</v>
      </c>
      <c r="E1387" s="95" t="s">
        <v>149</v>
      </c>
      <c r="F1387" s="95" t="s">
        <v>150</v>
      </c>
      <c r="G1387" s="109">
        <v>0.125</v>
      </c>
      <c r="H1387" s="104">
        <f>VLOOKUP($E1387,'Stock statement'!$D$2:$P$384,13,)</f>
        <v>161.56941474217822</v>
      </c>
      <c r="I1387" s="127">
        <v>2.5000000000000001E-2</v>
      </c>
      <c r="J1387" s="106">
        <v>1.0249999999999999</v>
      </c>
      <c r="K1387" s="106">
        <f t="shared" si="116"/>
        <v>21.218608295437623</v>
      </c>
      <c r="L1387" s="115"/>
      <c r="M1387" s="104">
        <f t="shared" si="117"/>
        <v>0.1222191837817207</v>
      </c>
    </row>
    <row r="1388" spans="1:13">
      <c r="A1388" s="100" t="str">
        <f>VLOOKUP(C1388,Abstract!$E$4:$M$62,9,0)</f>
        <v>No Sales</v>
      </c>
      <c r="B1388" s="99" t="s">
        <v>138</v>
      </c>
      <c r="C1388" s="133" t="s">
        <v>114</v>
      </c>
      <c r="D1388" s="133" t="s">
        <v>535</v>
      </c>
      <c r="E1388" s="95" t="s">
        <v>151</v>
      </c>
      <c r="F1388" s="95" t="s">
        <v>152</v>
      </c>
      <c r="G1388" s="109">
        <v>2.5</v>
      </c>
      <c r="H1388" s="104">
        <f>VLOOKUP($E1388,'Stock statement'!$D$2:$P$384,13,)</f>
        <v>762.38931335604309</v>
      </c>
      <c r="I1388" s="127">
        <v>2.5000000000000001E-2</v>
      </c>
      <c r="J1388" s="106">
        <v>1.0249999999999999</v>
      </c>
      <c r="K1388" s="106">
        <f t="shared" si="116"/>
        <v>2002.4631808617316</v>
      </c>
      <c r="L1388" s="115"/>
      <c r="M1388" s="104">
        <f t="shared" si="117"/>
        <v>11.534187921763573</v>
      </c>
    </row>
    <row r="1389" spans="1:13">
      <c r="A1389" s="100" t="str">
        <f>VLOOKUP(C1389,Abstract!$E$4:$M$62,9,0)</f>
        <v>No Sales</v>
      </c>
      <c r="B1389" s="99" t="s">
        <v>138</v>
      </c>
      <c r="C1389" s="133" t="s">
        <v>114</v>
      </c>
      <c r="D1389" s="133" t="s">
        <v>535</v>
      </c>
      <c r="E1389" s="95" t="s">
        <v>157</v>
      </c>
      <c r="F1389" s="95" t="s">
        <v>158</v>
      </c>
      <c r="G1389" s="109">
        <v>1</v>
      </c>
      <c r="H1389" s="104">
        <f>VLOOKUP($E1389,'Stock statement'!$D$2:$P$384,13,)</f>
        <v>828.81974703846117</v>
      </c>
      <c r="I1389" s="127">
        <v>2.5000000000000001E-2</v>
      </c>
      <c r="J1389" s="106">
        <v>1.0249999999999999</v>
      </c>
      <c r="K1389" s="106">
        <f t="shared" si="116"/>
        <v>870.77874673228314</v>
      </c>
      <c r="L1389" s="115"/>
      <c r="M1389" s="104">
        <f t="shared" si="117"/>
        <v>5.0156855811779506</v>
      </c>
    </row>
    <row r="1390" spans="1:13">
      <c r="A1390" s="100" t="str">
        <f>VLOOKUP(C1390,Abstract!$E$4:$M$62,9,0)</f>
        <v>No Sales</v>
      </c>
      <c r="B1390" s="99" t="s">
        <v>138</v>
      </c>
      <c r="C1390" s="133" t="s">
        <v>114</v>
      </c>
      <c r="D1390" s="133" t="s">
        <v>535</v>
      </c>
      <c r="E1390" s="157">
        <v>115150</v>
      </c>
      <c r="F1390" s="36" t="s">
        <v>159</v>
      </c>
      <c r="G1390" s="109">
        <v>1</v>
      </c>
      <c r="H1390" s="104">
        <f>VLOOKUP($E1390,'Stock statement'!$D$2:$P$384,13,)</f>
        <v>456.30699446392703</v>
      </c>
      <c r="I1390" s="127">
        <v>2.5000000000000001E-2</v>
      </c>
      <c r="J1390" s="106">
        <v>1.0249999999999999</v>
      </c>
      <c r="K1390" s="106">
        <f t="shared" si="116"/>
        <v>479.40753605866325</v>
      </c>
      <c r="L1390" s="115"/>
      <c r="M1390" s="104">
        <f t="shared" si="117"/>
        <v>2.7613874076979004</v>
      </c>
    </row>
    <row r="1391" spans="1:13">
      <c r="A1391" s="100" t="str">
        <f>VLOOKUP(C1391,Abstract!$E$4:$M$62,9,0)</f>
        <v>No Sales</v>
      </c>
      <c r="B1391" s="99" t="s">
        <v>138</v>
      </c>
      <c r="C1391" s="133" t="s">
        <v>114</v>
      </c>
      <c r="D1391" s="133" t="s">
        <v>535</v>
      </c>
      <c r="E1391" s="95" t="s">
        <v>160</v>
      </c>
      <c r="F1391" s="95" t="s">
        <v>161</v>
      </c>
      <c r="G1391" s="109">
        <v>0.25</v>
      </c>
      <c r="H1391" s="104">
        <f>VLOOKUP($E1391,'Stock statement'!$D$2:$P$384,13,)</f>
        <v>3313.2387673094586</v>
      </c>
      <c r="I1391" s="127">
        <v>2.5000000000000001E-2</v>
      </c>
      <c r="J1391" s="106">
        <v>1.0249999999999999</v>
      </c>
      <c r="K1391" s="106">
        <f t="shared" si="116"/>
        <v>870.24286997612489</v>
      </c>
      <c r="L1391" s="115"/>
      <c r="M1391" s="104">
        <f t="shared" si="117"/>
        <v>5.0125989310624792</v>
      </c>
    </row>
    <row r="1392" spans="1:13">
      <c r="A1392" s="100" t="str">
        <f>VLOOKUP(C1392,Abstract!$E$4:$M$62,9,0)</f>
        <v>No Sales</v>
      </c>
      <c r="B1392" s="99" t="s">
        <v>138</v>
      </c>
      <c r="C1392" s="133" t="s">
        <v>114</v>
      </c>
      <c r="D1392" s="133" t="s">
        <v>535</v>
      </c>
      <c r="E1392" s="95" t="s">
        <v>166</v>
      </c>
      <c r="F1392" s="95" t="s">
        <v>167</v>
      </c>
      <c r="G1392" s="109">
        <v>2.5</v>
      </c>
      <c r="H1392" s="104">
        <f>VLOOKUP($E1392,'Stock statement'!$D$2:$P$384,13,)</f>
        <v>127.15913438761541</v>
      </c>
      <c r="I1392" s="127">
        <v>2.5000000000000001E-2</v>
      </c>
      <c r="J1392" s="106">
        <v>1.0249999999999999</v>
      </c>
      <c r="K1392" s="106">
        <f t="shared" si="116"/>
        <v>333.99141391497102</v>
      </c>
      <c r="L1392" s="115"/>
      <c r="M1392" s="104">
        <f t="shared" si="117"/>
        <v>1.923790544150233</v>
      </c>
    </row>
    <row r="1393" spans="1:13">
      <c r="A1393" s="100" t="str">
        <f>VLOOKUP(C1393,Abstract!$E$4:$M$62,9,0)</f>
        <v>No Sales</v>
      </c>
      <c r="B1393" s="99" t="s">
        <v>138</v>
      </c>
      <c r="C1393" s="133" t="s">
        <v>114</v>
      </c>
      <c r="D1393" s="133" t="s">
        <v>535</v>
      </c>
      <c r="E1393" s="95" t="s">
        <v>209</v>
      </c>
      <c r="F1393" s="95" t="s">
        <v>210</v>
      </c>
      <c r="G1393" s="109">
        <v>20</v>
      </c>
      <c r="H1393" s="104">
        <f>VLOOKUP($E1393,'Stock statement'!$D$2:$P$384,13,)</f>
        <v>220.67282625366343</v>
      </c>
      <c r="I1393" s="127">
        <v>2.5000000000000001E-2</v>
      </c>
      <c r="J1393" s="106">
        <v>1.0249999999999999</v>
      </c>
      <c r="K1393" s="106">
        <f t="shared" si="116"/>
        <v>4636.8877616551026</v>
      </c>
      <c r="L1393" s="115"/>
      <c r="M1393" s="104">
        <f t="shared" si="117"/>
        <v>26.708473507133391</v>
      </c>
    </row>
    <row r="1394" spans="1:13">
      <c r="A1394" s="100" t="str">
        <f>VLOOKUP(C1394,Abstract!$E$4:$M$62,9,0)</f>
        <v>No Sales</v>
      </c>
      <c r="B1394" s="99" t="s">
        <v>138</v>
      </c>
      <c r="C1394" s="133" t="s">
        <v>114</v>
      </c>
      <c r="D1394" s="133" t="s">
        <v>535</v>
      </c>
      <c r="E1394" s="95" t="s">
        <v>153</v>
      </c>
      <c r="F1394" s="95" t="s">
        <v>154</v>
      </c>
      <c r="G1394" s="109">
        <v>0.75</v>
      </c>
      <c r="H1394" s="104">
        <f>VLOOKUP($E1394,'Stock statement'!$D$2:$P$384,13,)</f>
        <v>84.206363687840948</v>
      </c>
      <c r="I1394" s="127">
        <v>2.5000000000000001E-2</v>
      </c>
      <c r="J1394" s="106">
        <v>1.0249999999999999</v>
      </c>
      <c r="K1394" s="106">
        <f t="shared" si="116"/>
        <v>66.351983137153411</v>
      </c>
      <c r="L1394" s="115"/>
      <c r="M1394" s="104">
        <f t="shared" si="117"/>
        <v>0.38218742287000362</v>
      </c>
    </row>
    <row r="1395" spans="1:13">
      <c r="A1395" s="100" t="str">
        <f>VLOOKUP(C1395,Abstract!$E$4:$M$62,9,0)</f>
        <v>No Sales</v>
      </c>
      <c r="B1395" s="99" t="s">
        <v>138</v>
      </c>
      <c r="C1395" s="133" t="s">
        <v>114</v>
      </c>
      <c r="D1395" s="133" t="s">
        <v>535</v>
      </c>
      <c r="E1395" s="95" t="s">
        <v>147</v>
      </c>
      <c r="F1395" s="95" t="s">
        <v>148</v>
      </c>
      <c r="G1395" s="109">
        <v>1</v>
      </c>
      <c r="H1395" s="104">
        <f>VLOOKUP($E1395,'Stock statement'!$D$2:$P$384,13,)</f>
        <v>353.50950483838068</v>
      </c>
      <c r="I1395" s="127">
        <v>2.5000000000000001E-2</v>
      </c>
      <c r="J1395" s="106">
        <v>1.0249999999999999</v>
      </c>
      <c r="K1395" s="106">
        <f t="shared" si="116"/>
        <v>371.40592352082365</v>
      </c>
      <c r="L1395" s="115"/>
      <c r="M1395" s="104">
        <f t="shared" si="117"/>
        <v>2.1392981194799443</v>
      </c>
    </row>
    <row r="1396" spans="1:13">
      <c r="A1396" s="100" t="str">
        <f>VLOOKUP(C1396,Abstract!$E$4:$M$62,9,0)</f>
        <v>No Sales</v>
      </c>
      <c r="B1396" s="99" t="s">
        <v>138</v>
      </c>
      <c r="C1396" s="133" t="s">
        <v>114</v>
      </c>
      <c r="D1396" s="133" t="s">
        <v>535</v>
      </c>
      <c r="E1396" s="95" t="s">
        <v>211</v>
      </c>
      <c r="F1396" s="95" t="s">
        <v>212</v>
      </c>
      <c r="G1396" s="109">
        <v>0.1</v>
      </c>
      <c r="H1396" s="104">
        <f>VLOOKUP($E1396,'Stock statement'!$D$2:$P$384,13,)</f>
        <v>1279.5862001575747</v>
      </c>
      <c r="I1396" s="127">
        <v>2.5000000000000001E-2</v>
      </c>
      <c r="J1396" s="106">
        <v>1.0249999999999999</v>
      </c>
      <c r="K1396" s="106">
        <f t="shared" si="116"/>
        <v>134.43652515405518</v>
      </c>
      <c r="L1396" s="115"/>
      <c r="M1396" s="104">
        <f t="shared" si="117"/>
        <v>0.77435438488735775</v>
      </c>
    </row>
    <row r="1397" spans="1:13">
      <c r="A1397" s="100" t="str">
        <f>VLOOKUP(C1397,Abstract!$E$4:$M$62,9,0)</f>
        <v>No Sales</v>
      </c>
      <c r="B1397" s="99" t="s">
        <v>138</v>
      </c>
      <c r="C1397" s="133" t="s">
        <v>114</v>
      </c>
      <c r="D1397" s="133" t="s">
        <v>535</v>
      </c>
      <c r="E1397" s="95" t="s">
        <v>213</v>
      </c>
      <c r="F1397" s="95" t="s">
        <v>214</v>
      </c>
      <c r="G1397" s="109">
        <v>0.09</v>
      </c>
      <c r="H1397" s="104">
        <f>VLOOKUP($E1397,'Stock statement'!$D$2:$P$384,13,)</f>
        <v>674.683130739744</v>
      </c>
      <c r="I1397" s="127">
        <v>2.5000000000000001E-2</v>
      </c>
      <c r="J1397" s="106">
        <v>1.0249999999999999</v>
      </c>
      <c r="K1397" s="106">
        <f t="shared" si="116"/>
        <v>63.795506781009905</v>
      </c>
      <c r="L1397" s="115"/>
      <c r="M1397" s="104">
        <f t="shared" si="117"/>
        <v>0.36746211905861703</v>
      </c>
    </row>
    <row r="1398" spans="1:13">
      <c r="A1398" s="100" t="str">
        <f>VLOOKUP(C1398,Abstract!$E$4:$M$62,9,0)</f>
        <v>No Sales</v>
      </c>
      <c r="B1398" s="99" t="s">
        <v>138</v>
      </c>
      <c r="C1398" s="133" t="s">
        <v>114</v>
      </c>
      <c r="D1398" s="133" t="s">
        <v>535</v>
      </c>
      <c r="E1398" s="95" t="s">
        <v>215</v>
      </c>
      <c r="F1398" s="95" t="s">
        <v>216</v>
      </c>
      <c r="G1398" s="109">
        <v>0.09</v>
      </c>
      <c r="H1398" s="104">
        <f>VLOOKUP($E1398,'Stock statement'!$D$2:$P$384,13,)</f>
        <v>545.51731168806748</v>
      </c>
      <c r="I1398" s="127">
        <v>2.5000000000000001E-2</v>
      </c>
      <c r="J1398" s="106">
        <v>1.0249999999999999</v>
      </c>
      <c r="K1398" s="106">
        <f t="shared" si="116"/>
        <v>51.582071303304822</v>
      </c>
      <c r="L1398" s="115"/>
      <c r="M1398" s="104">
        <f t="shared" si="117"/>
        <v>0.29711273070703575</v>
      </c>
    </row>
    <row r="1399" spans="1:13">
      <c r="A1399" s="100" t="str">
        <f>VLOOKUP(C1399,Abstract!$E$4:$M$62,9,0)</f>
        <v>No Sales</v>
      </c>
      <c r="B1399" s="99" t="s">
        <v>138</v>
      </c>
      <c r="C1399" s="133" t="s">
        <v>114</v>
      </c>
      <c r="D1399" s="133" t="s">
        <v>535</v>
      </c>
      <c r="E1399" s="95" t="s">
        <v>217</v>
      </c>
      <c r="F1399" s="95" t="s">
        <v>218</v>
      </c>
      <c r="G1399" s="109">
        <v>0.1</v>
      </c>
      <c r="H1399" s="104">
        <f>VLOOKUP($E1399,'Stock statement'!$D$2:$P$384,13,)</f>
        <v>910.5767983004796</v>
      </c>
      <c r="I1399" s="127">
        <v>2.5000000000000001E-2</v>
      </c>
      <c r="J1399" s="106">
        <v>1.0249999999999999</v>
      </c>
      <c r="K1399" s="106">
        <f t="shared" si="116"/>
        <v>95.667474871444114</v>
      </c>
      <c r="L1399" s="115"/>
      <c r="M1399" s="104">
        <f t="shared" si="117"/>
        <v>0.55104465525951807</v>
      </c>
    </row>
    <row r="1400" spans="1:13">
      <c r="A1400" s="100" t="str">
        <f>VLOOKUP(C1400,Abstract!$E$4:$M$62,9,0)</f>
        <v>No Sales</v>
      </c>
      <c r="B1400" s="99" t="s">
        <v>138</v>
      </c>
      <c r="C1400" s="133" t="s">
        <v>114</v>
      </c>
      <c r="D1400" s="133" t="s">
        <v>535</v>
      </c>
      <c r="E1400" s="95" t="s">
        <v>155</v>
      </c>
      <c r="F1400" s="95" t="s">
        <v>156</v>
      </c>
      <c r="G1400" s="109">
        <v>15</v>
      </c>
      <c r="H1400" s="104">
        <f>VLOOKUP($E1400,'Stock statement'!$D$2:$P$384,13,)</f>
        <v>68.308211638055738</v>
      </c>
      <c r="I1400" s="127">
        <v>2.5000000000000001E-2</v>
      </c>
      <c r="J1400" s="106">
        <v>1.0249999999999999</v>
      </c>
      <c r="K1400" s="106">
        <f t="shared" si="116"/>
        <v>1076.4947227834843</v>
      </c>
      <c r="L1400" s="115"/>
      <c r="M1400" s="104">
        <f t="shared" si="117"/>
        <v>6.2006096032328699</v>
      </c>
    </row>
    <row r="1401" spans="1:13">
      <c r="A1401" s="100" t="str">
        <f>VLOOKUP(C1401,Abstract!$E$4:$M$62,9,0)</f>
        <v>No Sales</v>
      </c>
      <c r="B1401" s="99" t="s">
        <v>138</v>
      </c>
      <c r="C1401" s="133" t="s">
        <v>114</v>
      </c>
      <c r="D1401" s="133" t="s">
        <v>535</v>
      </c>
      <c r="E1401" s="95" t="s">
        <v>219</v>
      </c>
      <c r="F1401" s="95" t="s">
        <v>220</v>
      </c>
      <c r="G1401" s="109">
        <v>2.5000000000000001E-2</v>
      </c>
      <c r="H1401" s="104">
        <f>VLOOKUP($E1401,'Stock statement'!$D$2:$P$384,13,)</f>
        <v>549.27282042136164</v>
      </c>
      <c r="I1401" s="127">
        <v>2.5000000000000001E-2</v>
      </c>
      <c r="J1401" s="106">
        <v>1.0249999999999999</v>
      </c>
      <c r="K1401" s="106">
        <f t="shared" si="116"/>
        <v>14.426993923879825</v>
      </c>
      <c r="L1401" s="115"/>
      <c r="M1401" s="104">
        <f t="shared" si="117"/>
        <v>8.309948500154779E-2</v>
      </c>
    </row>
    <row r="1402" spans="1:13">
      <c r="A1402" s="100" t="str">
        <f>VLOOKUP(C1402,Abstract!$E$4:$M$62,9,0)</f>
        <v>No Sales</v>
      </c>
      <c r="B1402" s="99" t="s">
        <v>138</v>
      </c>
      <c r="C1402" s="133" t="s">
        <v>114</v>
      </c>
      <c r="D1402" s="133" t="s">
        <v>535</v>
      </c>
      <c r="E1402" s="95" t="s">
        <v>221</v>
      </c>
      <c r="F1402" s="95" t="s">
        <v>222</v>
      </c>
      <c r="G1402" s="109">
        <v>0.1</v>
      </c>
      <c r="H1402" s="104">
        <f>VLOOKUP($E1402,'Stock statement'!$D$2:$P$384,13,)</f>
        <v>494.13931116123297</v>
      </c>
      <c r="I1402" s="127">
        <v>2.5000000000000001E-2</v>
      </c>
      <c r="J1402" s="106">
        <v>1.0249999999999999</v>
      </c>
      <c r="K1402" s="106">
        <f t="shared" si="116"/>
        <v>51.915511378877035</v>
      </c>
      <c r="L1402" s="115"/>
      <c r="M1402" s="104">
        <f t="shared" si="117"/>
        <v>0.29903334554233174</v>
      </c>
    </row>
    <row r="1403" spans="1:13">
      <c r="A1403" s="100" t="str">
        <f>VLOOKUP(C1403,Abstract!$E$4:$M$62,9,0)</f>
        <v>No Sales</v>
      </c>
      <c r="B1403" s="99" t="s">
        <v>138</v>
      </c>
      <c r="C1403" s="133" t="s">
        <v>114</v>
      </c>
      <c r="D1403" s="133" t="s">
        <v>535</v>
      </c>
      <c r="E1403" s="95" t="s">
        <v>223</v>
      </c>
      <c r="F1403" s="95" t="s">
        <v>224</v>
      </c>
      <c r="G1403" s="109">
        <v>0.01</v>
      </c>
      <c r="H1403" s="104">
        <f>VLOOKUP($E1403,'Stock statement'!$D$2:$P$384,13,)</f>
        <v>661.66658982809031</v>
      </c>
      <c r="I1403" s="127">
        <v>2.5000000000000001E-2</v>
      </c>
      <c r="J1403" s="106">
        <v>1.0249999999999999</v>
      </c>
      <c r="K1403" s="106">
        <f t="shared" si="116"/>
        <v>6.9516346093813723</v>
      </c>
      <c r="L1403" s="115"/>
      <c r="M1403" s="104">
        <f t="shared" si="117"/>
        <v>4.0041415350036705E-2</v>
      </c>
    </row>
    <row r="1404" spans="1:13">
      <c r="A1404" s="100" t="str">
        <f>VLOOKUP(C1404,Abstract!$E$4:$M$62,9,0)</f>
        <v>No Sales</v>
      </c>
      <c r="B1404" s="99" t="s">
        <v>138</v>
      </c>
      <c r="C1404" s="133" t="s">
        <v>114</v>
      </c>
      <c r="D1404" s="133" t="s">
        <v>535</v>
      </c>
      <c r="E1404" s="95" t="s">
        <v>225</v>
      </c>
      <c r="F1404" s="95" t="s">
        <v>226</v>
      </c>
      <c r="G1404" s="109">
        <v>6</v>
      </c>
      <c r="H1404" s="104">
        <f>VLOOKUP($E1404,'Stock statement'!$D$2:$P$384,13,)</f>
        <v>770.99998748629207</v>
      </c>
      <c r="I1404" s="127">
        <v>2.5000000000000001E-2</v>
      </c>
      <c r="J1404" s="106">
        <v>1.0249999999999999</v>
      </c>
      <c r="K1404" s="106">
        <f t="shared" si="116"/>
        <v>4860.1911711167131</v>
      </c>
      <c r="L1404" s="115"/>
      <c r="M1404" s="104">
        <f t="shared" si="117"/>
        <v>27.994701145632266</v>
      </c>
    </row>
    <row r="1405" spans="1:13">
      <c r="A1405" s="100" t="str">
        <f>VLOOKUP(C1405,Abstract!$E$4:$M$62,9,0)</f>
        <v>No Sales</v>
      </c>
      <c r="B1405" s="99" t="s">
        <v>138</v>
      </c>
      <c r="C1405" s="133" t="s">
        <v>114</v>
      </c>
      <c r="D1405" s="133" t="s">
        <v>535</v>
      </c>
      <c r="E1405" s="95" t="s">
        <v>181</v>
      </c>
      <c r="F1405" s="95" t="s">
        <v>182</v>
      </c>
      <c r="G1405" s="109">
        <v>12.5</v>
      </c>
      <c r="H1405" s="104">
        <f>VLOOKUP($E1405,'Stock statement'!$D$2:$P$384,13,)</f>
        <v>17.110276913020375</v>
      </c>
      <c r="I1405" s="127">
        <v>2.5000000000000001E-2</v>
      </c>
      <c r="J1405" s="106">
        <v>1.0249999999999999</v>
      </c>
      <c r="K1405" s="106">
        <f t="shared" si="116"/>
        <v>224.70605852177536</v>
      </c>
      <c r="L1405" s="115"/>
      <c r="M1405" s="104">
        <f t="shared" si="117"/>
        <v>1.2943068970854261</v>
      </c>
    </row>
    <row r="1406" spans="1:13">
      <c r="A1406" s="100" t="str">
        <f>VLOOKUP(C1406,Abstract!$E$4:$M$62,9,0)</f>
        <v>No Sales</v>
      </c>
      <c r="B1406" s="99" t="s">
        <v>183</v>
      </c>
      <c r="C1406" s="133" t="s">
        <v>114</v>
      </c>
      <c r="D1406" s="133" t="s">
        <v>535</v>
      </c>
      <c r="E1406" s="95">
        <v>214966</v>
      </c>
      <c r="F1406" s="95" t="s">
        <v>536</v>
      </c>
      <c r="G1406" s="109">
        <v>173.61111111111111</v>
      </c>
      <c r="H1406" s="104">
        <f>VLOOKUP($E1406,'Stock statement'!$D$2:$P$384,13,)</f>
        <v>53.22</v>
      </c>
      <c r="I1406" s="127">
        <v>6.0000000000000001E-3</v>
      </c>
      <c r="J1406" s="106">
        <v>1</v>
      </c>
      <c r="K1406" s="106">
        <f t="shared" si="116"/>
        <v>9295.0208333333339</v>
      </c>
      <c r="L1406" s="115"/>
      <c r="M1406" s="104">
        <f t="shared" si="117"/>
        <v>53.539320000000004</v>
      </c>
    </row>
    <row r="1407" spans="1:13">
      <c r="A1407" s="100" t="str">
        <f>VLOOKUP(C1407,Abstract!$E$4:$M$62,9,0)</f>
        <v>No Sales</v>
      </c>
      <c r="B1407" s="99" t="s">
        <v>183</v>
      </c>
      <c r="C1407" s="133" t="s">
        <v>114</v>
      </c>
      <c r="D1407" s="133" t="s">
        <v>535</v>
      </c>
      <c r="E1407" s="95" t="s">
        <v>246</v>
      </c>
      <c r="F1407" s="95" t="s">
        <v>537</v>
      </c>
      <c r="G1407" s="109">
        <v>12500</v>
      </c>
      <c r="H1407" s="104">
        <f>VLOOKUP($E1407,'Stock statement'!$D$2:$P$384,13,)</f>
        <v>3.4262434039361702</v>
      </c>
      <c r="I1407" s="127">
        <v>6.0000000000000001E-3</v>
      </c>
      <c r="J1407" s="106">
        <v>1</v>
      </c>
      <c r="K1407" s="106">
        <f t="shared" si="116"/>
        <v>43085.010804497346</v>
      </c>
      <c r="L1407" s="115"/>
      <c r="M1407" s="104">
        <f t="shared" si="117"/>
        <v>248.16966223390472</v>
      </c>
    </row>
    <row r="1408" spans="1:13">
      <c r="A1408" s="100" t="str">
        <f>VLOOKUP(C1408,Abstract!$E$4:$M$62,9,0)</f>
        <v>No Sales</v>
      </c>
      <c r="B1408" s="99" t="s">
        <v>183</v>
      </c>
      <c r="C1408" s="133" t="s">
        <v>114</v>
      </c>
      <c r="D1408" s="133" t="s">
        <v>535</v>
      </c>
      <c r="E1408" s="95" t="s">
        <v>248</v>
      </c>
      <c r="F1408" s="95" t="s">
        <v>249</v>
      </c>
      <c r="G1408" s="109">
        <v>12500</v>
      </c>
      <c r="H1408" s="104">
        <f>VLOOKUP($E1408,'Stock statement'!$D$2:$P$384,13,)</f>
        <v>3.1661470602783846</v>
      </c>
      <c r="I1408" s="127">
        <v>6.0000000000000001E-3</v>
      </c>
      <c r="J1408" s="106">
        <v>1</v>
      </c>
      <c r="K1408" s="106">
        <f t="shared" si="116"/>
        <v>39814.299283000684</v>
      </c>
      <c r="L1408" s="115"/>
      <c r="M1408" s="104">
        <f t="shared" si="117"/>
        <v>229.33036387008394</v>
      </c>
    </row>
    <row r="1409" spans="1:13">
      <c r="A1409" s="100" t="str">
        <f>VLOOKUP(C1409,Abstract!$E$4:$M$62,9,0)</f>
        <v>No Sales</v>
      </c>
      <c r="B1409" s="99" t="s">
        <v>183</v>
      </c>
      <c r="C1409" s="133" t="s">
        <v>114</v>
      </c>
      <c r="D1409" s="133" t="s">
        <v>535</v>
      </c>
      <c r="E1409" s="95" t="s">
        <v>250</v>
      </c>
      <c r="F1409" s="95" t="s">
        <v>251</v>
      </c>
      <c r="G1409" s="109">
        <v>12500</v>
      </c>
      <c r="H1409" s="104">
        <f>VLOOKUP($E1409,'Stock statement'!$D$2:$P$384,13,)</f>
        <v>1.2403875968992248</v>
      </c>
      <c r="I1409" s="127">
        <v>0.02</v>
      </c>
      <c r="J1409" s="106">
        <v>1</v>
      </c>
      <c r="K1409" s="106">
        <f t="shared" si="116"/>
        <v>15814.941860465118</v>
      </c>
      <c r="L1409" s="115"/>
      <c r="M1409" s="104">
        <f t="shared" si="117"/>
        <v>91.094065116279083</v>
      </c>
    </row>
    <row r="1410" spans="1:13">
      <c r="A1410" s="100" t="str">
        <f>VLOOKUP(C1410,Abstract!$E$4:$M$62,9,0)</f>
        <v>No Sales</v>
      </c>
      <c r="B1410" s="99" t="s">
        <v>183</v>
      </c>
      <c r="C1410" s="133" t="s">
        <v>114</v>
      </c>
      <c r="D1410" s="133" t="s">
        <v>535</v>
      </c>
      <c r="E1410" s="95" t="s">
        <v>252</v>
      </c>
      <c r="F1410" s="95" t="s">
        <v>253</v>
      </c>
      <c r="G1410" s="109">
        <v>12500</v>
      </c>
      <c r="H1410" s="104">
        <f>VLOOKUP($E1410,'Stock statement'!$D$2:$P$384,13,)</f>
        <v>0.92796728374327608</v>
      </c>
      <c r="I1410" s="127">
        <v>0.02</v>
      </c>
      <c r="J1410" s="106">
        <v>1</v>
      </c>
      <c r="K1410" s="106">
        <f t="shared" si="116"/>
        <v>11831.582867726769</v>
      </c>
      <c r="L1410" s="115"/>
      <c r="M1410" s="104">
        <f t="shared" si="117"/>
        <v>68.149917318106191</v>
      </c>
    </row>
    <row r="1411" spans="1:13">
      <c r="A1411" s="100" t="str">
        <f>VLOOKUP(C1411,Abstract!$E$4:$M$62,9,0)</f>
        <v>No Sales</v>
      </c>
      <c r="B1411" s="99" t="s">
        <v>183</v>
      </c>
      <c r="C1411" s="133" t="s">
        <v>114</v>
      </c>
      <c r="D1411" s="133" t="s">
        <v>535</v>
      </c>
      <c r="E1411" s="95">
        <v>214879</v>
      </c>
      <c r="F1411" s="95" t="s">
        <v>538</v>
      </c>
      <c r="G1411" s="109">
        <f>G1407/4</f>
        <v>3125</v>
      </c>
      <c r="H1411" s="104">
        <f>VLOOKUP($E1411,'Stock statement'!$D$2:$P$384,13,)</f>
        <v>8.6712328767123292</v>
      </c>
      <c r="I1411" s="127">
        <v>0.02</v>
      </c>
      <c r="J1411" s="106">
        <v>1</v>
      </c>
      <c r="K1411" s="106">
        <f t="shared" si="116"/>
        <v>27639.554794520551</v>
      </c>
      <c r="L1411" s="115"/>
      <c r="M1411" s="104">
        <f t="shared" si="117"/>
        <v>159.20383561643837</v>
      </c>
    </row>
    <row r="1412" spans="1:13">
      <c r="A1412" s="100" t="str">
        <f>VLOOKUP(C1412,Abstract!$E$4:$M$62,9,0)</f>
        <v>No Sales</v>
      </c>
      <c r="B1412" s="99" t="s">
        <v>183</v>
      </c>
      <c r="C1412" s="133" t="s">
        <v>114</v>
      </c>
      <c r="D1412" s="133" t="s">
        <v>535</v>
      </c>
      <c r="E1412" s="95" t="s">
        <v>191</v>
      </c>
      <c r="F1412" s="95" t="s">
        <v>192</v>
      </c>
      <c r="G1412" s="109">
        <f>+G1406*0.025</f>
        <v>4.3402777777777777</v>
      </c>
      <c r="H1412" s="104">
        <f>VLOOKUP($E1412,'Stock statement'!$D$2:$P$384,13,)</f>
        <v>44.985440769279101</v>
      </c>
      <c r="I1412" s="127">
        <v>0.02</v>
      </c>
      <c r="J1412" s="106">
        <v>1</v>
      </c>
      <c r="K1412" s="106">
        <f t="shared" si="116"/>
        <v>199.15429507232935</v>
      </c>
      <c r="L1412" s="115"/>
      <c r="M1412" s="104">
        <f t="shared" si="117"/>
        <v>1.147128739616617</v>
      </c>
    </row>
    <row r="1413" spans="1:13">
      <c r="A1413" s="100" t="str">
        <f>VLOOKUP(C1413,Abstract!$E$4:$M$62,9,0)</f>
        <v>No Sales</v>
      </c>
      <c r="B1413" s="99" t="s">
        <v>183</v>
      </c>
      <c r="C1413" s="133" t="s">
        <v>114</v>
      </c>
      <c r="D1413" s="133" t="s">
        <v>535</v>
      </c>
      <c r="E1413" s="95" t="s">
        <v>254</v>
      </c>
      <c r="F1413" s="95" t="s">
        <v>255</v>
      </c>
      <c r="G1413" s="109">
        <f>+G1406*12</f>
        <v>2083.3333333333335</v>
      </c>
      <c r="H1413" s="104">
        <f>VLOOKUP($E1413,'Stock statement'!$D$2:$P$384,13,)</f>
        <v>2.6</v>
      </c>
      <c r="I1413" s="127">
        <v>0.01</v>
      </c>
      <c r="J1413" s="106">
        <v>1</v>
      </c>
      <c r="K1413" s="106">
        <f t="shared" si="116"/>
        <v>5470.8333333333339</v>
      </c>
      <c r="L1413" s="115"/>
      <c r="M1413" s="104">
        <f t="shared" si="117"/>
        <v>31.512000000000004</v>
      </c>
    </row>
    <row r="1414" spans="1:13">
      <c r="A1414" s="100" t="str">
        <f>VLOOKUP(C1414,Abstract!$E$4:$M$62,9,0)</f>
        <v>No Sales</v>
      </c>
      <c r="B1414" s="99" t="s">
        <v>194</v>
      </c>
      <c r="C1414" s="133" t="s">
        <v>114</v>
      </c>
      <c r="D1414" s="133" t="s">
        <v>535</v>
      </c>
      <c r="E1414" s="95" t="s">
        <v>256</v>
      </c>
      <c r="F1414" s="95"/>
      <c r="G1414" s="109">
        <f>G1407</f>
        <v>12500</v>
      </c>
      <c r="H1414" s="104">
        <v>0.04</v>
      </c>
      <c r="I1414" s="127"/>
      <c r="J1414" s="106">
        <v>1</v>
      </c>
      <c r="K1414" s="106">
        <f t="shared" si="116"/>
        <v>500</v>
      </c>
      <c r="L1414" s="115"/>
      <c r="M1414" s="104">
        <f t="shared" si="117"/>
        <v>2.88</v>
      </c>
    </row>
    <row r="1415" spans="1:13">
      <c r="A1415" s="100" t="str">
        <f>VLOOKUP(C1415,Abstract!$E$4:$M$62,9,0)</f>
        <v>No Sales</v>
      </c>
      <c r="B1415" s="99" t="s">
        <v>194</v>
      </c>
      <c r="C1415" s="133" t="s">
        <v>114</v>
      </c>
      <c r="D1415" s="133" t="s">
        <v>535</v>
      </c>
      <c r="E1415" s="95" t="s">
        <v>196</v>
      </c>
      <c r="F1415" s="95"/>
      <c r="G1415" s="109">
        <f>G1407*24</f>
        <v>300000</v>
      </c>
      <c r="H1415" s="104">
        <v>1.6999999999999999E-3</v>
      </c>
      <c r="I1415" s="127"/>
      <c r="J1415" s="106">
        <v>1</v>
      </c>
      <c r="K1415" s="106">
        <f t="shared" si="116"/>
        <v>510</v>
      </c>
      <c r="L1415" s="115"/>
      <c r="M1415" s="104">
        <f t="shared" si="117"/>
        <v>2.9375999999999998</v>
      </c>
    </row>
    <row r="1416" spans="1:13">
      <c r="A1416" s="100" t="str">
        <f>VLOOKUP(C1416,Abstract!$E$4:$M$62,9,0)</f>
        <v>No Sales</v>
      </c>
      <c r="B1416" s="99" t="s">
        <v>197</v>
      </c>
      <c r="C1416" s="133" t="s">
        <v>114</v>
      </c>
      <c r="D1416" s="133" t="s">
        <v>535</v>
      </c>
      <c r="E1416" s="95" t="s">
        <v>198</v>
      </c>
      <c r="F1416" s="95"/>
      <c r="G1416" s="109"/>
      <c r="H1416" s="104"/>
      <c r="I1416" s="127"/>
      <c r="J1416" s="106"/>
      <c r="K1416" s="106">
        <v>9000</v>
      </c>
      <c r="L1416" s="115">
        <f>SUM(K1384:K1416)</f>
        <v>199639.2236415348</v>
      </c>
      <c r="M1416" s="104">
        <f t="shared" si="117"/>
        <v>51.839999999999996</v>
      </c>
    </row>
    <row r="1417" spans="1:13">
      <c r="A1417" s="100" t="str">
        <f>VLOOKUP(C1417,Abstract!$E$4:$M$62,9,0)</f>
        <v>No Sales</v>
      </c>
      <c r="B1417" s="99" t="s">
        <v>138</v>
      </c>
      <c r="C1417" s="133" t="s">
        <v>120</v>
      </c>
      <c r="D1417" s="133" t="s">
        <v>539</v>
      </c>
      <c r="E1417" s="95" t="s">
        <v>141</v>
      </c>
      <c r="F1417" s="95" t="s">
        <v>142</v>
      </c>
      <c r="G1417" s="109">
        <v>157.1</v>
      </c>
      <c r="H1417" s="104">
        <f>VLOOKUP($E1417,'Stock statement'!$D$2:$P$384,13,)</f>
        <v>94.278330452007026</v>
      </c>
      <c r="I1417" s="127">
        <v>2.5000000000000001E-2</v>
      </c>
      <c r="J1417" s="106">
        <v>1.0249999999999999</v>
      </c>
      <c r="K1417" s="106">
        <f t="shared" ref="K1417:K1448" si="118">+G1417*H1417*(1+I1417)*J1417</f>
        <v>15560.938953282071</v>
      </c>
      <c r="L1417" s="115"/>
      <c r="M1417" s="104">
        <f>K1417/$G$1439</f>
        <v>89.631008370904723</v>
      </c>
    </row>
    <row r="1418" spans="1:13">
      <c r="A1418" s="100" t="str">
        <f>VLOOKUP(C1418,Abstract!$E$4:$M$62,9,0)</f>
        <v>No Sales</v>
      </c>
      <c r="B1418" s="99" t="s">
        <v>138</v>
      </c>
      <c r="C1418" s="133" t="s">
        <v>120</v>
      </c>
      <c r="D1418" s="133" t="s">
        <v>539</v>
      </c>
      <c r="E1418" s="95" t="s">
        <v>147</v>
      </c>
      <c r="F1418" s="95" t="s">
        <v>148</v>
      </c>
      <c r="G1418" s="109">
        <v>1</v>
      </c>
      <c r="H1418" s="104">
        <f>VLOOKUP($E1418,'Stock statement'!$D$2:$P$384,13,)</f>
        <v>353.50950483838068</v>
      </c>
      <c r="I1418" s="127">
        <v>2.5000000000000001E-2</v>
      </c>
      <c r="J1418" s="106">
        <v>1.0249999999999999</v>
      </c>
      <c r="K1418" s="106">
        <f t="shared" si="118"/>
        <v>371.40592352082365</v>
      </c>
      <c r="L1418" s="115"/>
      <c r="M1418" s="104">
        <f t="shared" ref="M1418:M1449" si="119">K1418/$G$1439</f>
        <v>2.1392981194799443</v>
      </c>
    </row>
    <row r="1419" spans="1:13">
      <c r="A1419" s="100" t="str">
        <f>VLOOKUP(C1419,Abstract!$E$4:$M$62,9,0)</f>
        <v>No Sales</v>
      </c>
      <c r="B1419" s="99" t="s">
        <v>138</v>
      </c>
      <c r="C1419" s="133" t="s">
        <v>120</v>
      </c>
      <c r="D1419" s="133" t="s">
        <v>539</v>
      </c>
      <c r="E1419" s="95" t="s">
        <v>306</v>
      </c>
      <c r="F1419" s="95" t="s">
        <v>307</v>
      </c>
      <c r="G1419" s="109">
        <v>5</v>
      </c>
      <c r="H1419" s="104">
        <f>VLOOKUP($E1419,'Stock statement'!$D$2:$P$384,13,)</f>
        <v>225.96058764692856</v>
      </c>
      <c r="I1419" s="127">
        <v>2.5000000000000001E-2</v>
      </c>
      <c r="J1419" s="106">
        <v>1.0249999999999999</v>
      </c>
      <c r="K1419" s="106">
        <f t="shared" si="118"/>
        <v>1186.9992119827716</v>
      </c>
      <c r="L1419" s="115"/>
      <c r="M1419" s="104">
        <f t="shared" si="119"/>
        <v>6.8371154610207645</v>
      </c>
    </row>
    <row r="1420" spans="1:13">
      <c r="A1420" s="100" t="str">
        <f>VLOOKUP(C1420,Abstract!$E$4:$M$62,9,0)</f>
        <v>No Sales</v>
      </c>
      <c r="B1420" s="99" t="s">
        <v>138</v>
      </c>
      <c r="C1420" s="133" t="s">
        <v>120</v>
      </c>
      <c r="D1420" s="133" t="s">
        <v>539</v>
      </c>
      <c r="E1420" s="95" t="s">
        <v>308</v>
      </c>
      <c r="F1420" s="95" t="s">
        <v>309</v>
      </c>
      <c r="G1420" s="109">
        <v>0.1</v>
      </c>
      <c r="H1420" s="104">
        <f>VLOOKUP($E1420,'Stock statement'!$D$2:$P$384,13,)</f>
        <v>0</v>
      </c>
      <c r="I1420" s="127">
        <v>2.5000000000000001E-2</v>
      </c>
      <c r="J1420" s="106">
        <v>1.0249999999999999</v>
      </c>
      <c r="K1420" s="106">
        <f t="shared" si="118"/>
        <v>0</v>
      </c>
      <c r="L1420" s="115"/>
      <c r="M1420" s="104">
        <f t="shared" si="119"/>
        <v>0</v>
      </c>
    </row>
    <row r="1421" spans="1:13">
      <c r="A1421" s="100" t="str">
        <f>VLOOKUP(C1421,Abstract!$E$4:$M$62,9,0)</f>
        <v>No Sales</v>
      </c>
      <c r="B1421" s="99" t="s">
        <v>138</v>
      </c>
      <c r="C1421" s="133" t="s">
        <v>120</v>
      </c>
      <c r="D1421" s="133" t="s">
        <v>539</v>
      </c>
      <c r="E1421" s="95" t="s">
        <v>149</v>
      </c>
      <c r="F1421" s="95" t="s">
        <v>208</v>
      </c>
      <c r="G1421" s="109">
        <v>0.125</v>
      </c>
      <c r="H1421" s="104">
        <f>VLOOKUP($E1421,'Stock statement'!$D$2:$P$384,13,)</f>
        <v>161.56941474217822</v>
      </c>
      <c r="I1421" s="127">
        <v>2.5000000000000001E-2</v>
      </c>
      <c r="J1421" s="106">
        <v>1.0249999999999999</v>
      </c>
      <c r="K1421" s="106">
        <f t="shared" si="118"/>
        <v>21.218608295437623</v>
      </c>
      <c r="L1421" s="115"/>
      <c r="M1421" s="104">
        <f t="shared" si="119"/>
        <v>0.1222191837817207</v>
      </c>
    </row>
    <row r="1422" spans="1:13">
      <c r="A1422" s="100" t="str">
        <f>VLOOKUP(C1422,Abstract!$E$4:$M$62,9,0)</f>
        <v>No Sales</v>
      </c>
      <c r="B1422" s="99" t="s">
        <v>138</v>
      </c>
      <c r="C1422" s="133" t="s">
        <v>120</v>
      </c>
      <c r="D1422" s="133" t="s">
        <v>539</v>
      </c>
      <c r="E1422" s="95" t="s">
        <v>151</v>
      </c>
      <c r="F1422" s="95" t="s">
        <v>152</v>
      </c>
      <c r="G1422" s="109">
        <v>2.5</v>
      </c>
      <c r="H1422" s="104">
        <f>VLOOKUP($E1422,'Stock statement'!$D$2:$P$384,13,)</f>
        <v>762.38931335604309</v>
      </c>
      <c r="I1422" s="127">
        <v>2.5000000000000001E-2</v>
      </c>
      <c r="J1422" s="106">
        <v>1.0249999999999999</v>
      </c>
      <c r="K1422" s="106">
        <f t="shared" si="118"/>
        <v>2002.4631808617316</v>
      </c>
      <c r="L1422" s="115"/>
      <c r="M1422" s="104">
        <f t="shared" si="119"/>
        <v>11.534187921763573</v>
      </c>
    </row>
    <row r="1423" spans="1:13">
      <c r="A1423" s="100" t="str">
        <f>VLOOKUP(C1423,Abstract!$E$4:$M$62,9,0)</f>
        <v>No Sales</v>
      </c>
      <c r="B1423" s="99" t="s">
        <v>138</v>
      </c>
      <c r="C1423" s="133" t="s">
        <v>120</v>
      </c>
      <c r="D1423" s="133" t="s">
        <v>539</v>
      </c>
      <c r="E1423" s="95" t="s">
        <v>153</v>
      </c>
      <c r="F1423" s="95" t="s">
        <v>154</v>
      </c>
      <c r="G1423" s="109">
        <v>0.75</v>
      </c>
      <c r="H1423" s="104">
        <f>VLOOKUP($E1423,'Stock statement'!$D$2:$P$384,13,)</f>
        <v>84.206363687840948</v>
      </c>
      <c r="I1423" s="127">
        <v>2.5000000000000001E-2</v>
      </c>
      <c r="J1423" s="106">
        <v>1.0249999999999999</v>
      </c>
      <c r="K1423" s="106">
        <f t="shared" si="118"/>
        <v>66.351983137153411</v>
      </c>
      <c r="L1423" s="115"/>
      <c r="M1423" s="104">
        <f t="shared" si="119"/>
        <v>0.38218742287000362</v>
      </c>
    </row>
    <row r="1424" spans="1:13">
      <c r="A1424" s="100" t="str">
        <f>VLOOKUP(C1424,Abstract!$E$4:$M$62,9,0)</f>
        <v>No Sales</v>
      </c>
      <c r="B1424" s="99" t="s">
        <v>138</v>
      </c>
      <c r="C1424" s="133" t="s">
        <v>120</v>
      </c>
      <c r="D1424" s="133" t="s">
        <v>539</v>
      </c>
      <c r="E1424" s="95" t="s">
        <v>155</v>
      </c>
      <c r="F1424" s="95" t="s">
        <v>156</v>
      </c>
      <c r="G1424" s="109">
        <v>30</v>
      </c>
      <c r="H1424" s="104">
        <f>VLOOKUP($E1424,'Stock statement'!$D$2:$P$384,13,)</f>
        <v>68.308211638055738</v>
      </c>
      <c r="I1424" s="127">
        <v>2.5000000000000001E-2</v>
      </c>
      <c r="J1424" s="106">
        <v>1.0249999999999999</v>
      </c>
      <c r="K1424" s="106">
        <f t="shared" si="118"/>
        <v>2152.9894455669687</v>
      </c>
      <c r="L1424" s="115"/>
      <c r="M1424" s="104">
        <f t="shared" si="119"/>
        <v>12.40121920646574</v>
      </c>
    </row>
    <row r="1425" spans="1:13">
      <c r="A1425" s="100" t="str">
        <f>VLOOKUP(C1425,Abstract!$E$4:$M$62,9,0)</f>
        <v>No Sales</v>
      </c>
      <c r="B1425" s="99" t="s">
        <v>138</v>
      </c>
      <c r="C1425" s="133" t="s">
        <v>120</v>
      </c>
      <c r="D1425" s="133" t="s">
        <v>539</v>
      </c>
      <c r="E1425" s="95" t="s">
        <v>157</v>
      </c>
      <c r="F1425" s="95" t="s">
        <v>158</v>
      </c>
      <c r="G1425" s="109">
        <v>1</v>
      </c>
      <c r="H1425" s="104">
        <f>VLOOKUP($E1425,'Stock statement'!$D$2:$P$384,13,)</f>
        <v>828.81974703846117</v>
      </c>
      <c r="I1425" s="127">
        <v>2.5000000000000001E-2</v>
      </c>
      <c r="J1425" s="106">
        <v>1.0249999999999999</v>
      </c>
      <c r="K1425" s="106">
        <f t="shared" si="118"/>
        <v>870.77874673228314</v>
      </c>
      <c r="L1425" s="115"/>
      <c r="M1425" s="104">
        <f t="shared" si="119"/>
        <v>5.0156855811779506</v>
      </c>
    </row>
    <row r="1426" spans="1:13">
      <c r="A1426" s="100" t="str">
        <f>VLOOKUP(C1426,Abstract!$E$4:$M$62,9,0)</f>
        <v>No Sales</v>
      </c>
      <c r="B1426" s="99" t="s">
        <v>138</v>
      </c>
      <c r="C1426" s="133" t="s">
        <v>120</v>
      </c>
      <c r="D1426" s="133" t="s">
        <v>539</v>
      </c>
      <c r="E1426" s="157">
        <v>115150</v>
      </c>
      <c r="F1426" s="36" t="s">
        <v>159</v>
      </c>
      <c r="G1426" s="109">
        <v>1</v>
      </c>
      <c r="H1426" s="104">
        <f>VLOOKUP($E1426,'Stock statement'!$D$2:$P$384,13,)</f>
        <v>456.30699446392703</v>
      </c>
      <c r="I1426" s="127">
        <v>2.5000000000000001E-2</v>
      </c>
      <c r="J1426" s="106">
        <v>1.0249999999999999</v>
      </c>
      <c r="K1426" s="106">
        <f t="shared" si="118"/>
        <v>479.40753605866325</v>
      </c>
      <c r="L1426" s="115"/>
      <c r="M1426" s="104">
        <f t="shared" si="119"/>
        <v>2.7613874076979004</v>
      </c>
    </row>
    <row r="1427" spans="1:13">
      <c r="A1427" s="100" t="str">
        <f>VLOOKUP(C1427,Abstract!$E$4:$M$62,9,0)</f>
        <v>No Sales</v>
      </c>
      <c r="B1427" s="99" t="s">
        <v>138</v>
      </c>
      <c r="C1427" s="133" t="s">
        <v>120</v>
      </c>
      <c r="D1427" s="133" t="s">
        <v>539</v>
      </c>
      <c r="E1427" s="95" t="s">
        <v>160</v>
      </c>
      <c r="F1427" s="95" t="s">
        <v>161</v>
      </c>
      <c r="G1427" s="109">
        <v>0.5</v>
      </c>
      <c r="H1427" s="104">
        <f>VLOOKUP($E1427,'Stock statement'!$D$2:$P$384,13,)</f>
        <v>3313.2387673094586</v>
      </c>
      <c r="I1427" s="127">
        <v>2.5000000000000001E-2</v>
      </c>
      <c r="J1427" s="106">
        <v>1.0249999999999999</v>
      </c>
      <c r="K1427" s="106">
        <f t="shared" si="118"/>
        <v>1740.4857399522498</v>
      </c>
      <c r="L1427" s="115"/>
      <c r="M1427" s="104">
        <f t="shared" si="119"/>
        <v>10.025197862124958</v>
      </c>
    </row>
    <row r="1428" spans="1:13">
      <c r="A1428" s="100" t="str">
        <f>VLOOKUP(C1428,Abstract!$E$4:$M$62,9,0)</f>
        <v>No Sales</v>
      </c>
      <c r="B1428" s="99" t="s">
        <v>138</v>
      </c>
      <c r="C1428" s="133" t="s">
        <v>120</v>
      </c>
      <c r="D1428" s="133" t="s">
        <v>539</v>
      </c>
      <c r="E1428" s="95" t="s">
        <v>145</v>
      </c>
      <c r="F1428" s="95" t="s">
        <v>146</v>
      </c>
      <c r="G1428" s="109">
        <v>10</v>
      </c>
      <c r="H1428" s="104">
        <f>VLOOKUP($E1428,'Stock statement'!$D$2:$P$384,13,)</f>
        <v>151.08681180977209</v>
      </c>
      <c r="I1428" s="127">
        <v>2.5000000000000001E-2</v>
      </c>
      <c r="J1428" s="106">
        <v>1.0249999999999999</v>
      </c>
      <c r="K1428" s="106">
        <f t="shared" si="118"/>
        <v>1587.3558165764177</v>
      </c>
      <c r="L1428" s="115"/>
      <c r="M1428" s="104">
        <f t="shared" si="119"/>
        <v>9.1431695034801663</v>
      </c>
    </row>
    <row r="1429" spans="1:13">
      <c r="A1429" s="100" t="str">
        <f>VLOOKUP(C1429,Abstract!$E$4:$M$62,9,0)</f>
        <v>No Sales</v>
      </c>
      <c r="B1429" s="99" t="s">
        <v>138</v>
      </c>
      <c r="C1429" s="133" t="s">
        <v>120</v>
      </c>
      <c r="D1429" s="133" t="s">
        <v>539</v>
      </c>
      <c r="E1429" s="95">
        <v>115071</v>
      </c>
      <c r="F1429" s="95" t="s">
        <v>311</v>
      </c>
      <c r="G1429" s="109">
        <v>0.5</v>
      </c>
      <c r="H1429" s="104">
        <f>VLOOKUP($E1429,'Stock statement'!$D$2:$P$384,13,)</f>
        <v>195.04600880394028</v>
      </c>
      <c r="I1429" s="127">
        <v>2.5000000000000001E-2</v>
      </c>
      <c r="J1429" s="106">
        <v>1.0249999999999999</v>
      </c>
      <c r="K1429" s="106">
        <f t="shared" si="118"/>
        <v>102.46010649981986</v>
      </c>
      <c r="L1429" s="115"/>
      <c r="M1429" s="104">
        <f t="shared" si="119"/>
        <v>0.59017021343896237</v>
      </c>
    </row>
    <row r="1430" spans="1:13">
      <c r="A1430" s="100" t="str">
        <f>VLOOKUP(C1430,Abstract!$E$4:$M$62,9,0)</f>
        <v>No Sales</v>
      </c>
      <c r="B1430" s="99" t="s">
        <v>138</v>
      </c>
      <c r="C1430" s="133" t="s">
        <v>120</v>
      </c>
      <c r="D1430" s="133" t="s">
        <v>539</v>
      </c>
      <c r="E1430" s="95" t="s">
        <v>166</v>
      </c>
      <c r="F1430" s="95" t="s">
        <v>167</v>
      </c>
      <c r="G1430" s="109">
        <v>2.5</v>
      </c>
      <c r="H1430" s="104">
        <f>VLOOKUP($E1430,'Stock statement'!$D$2:$P$384,13,)</f>
        <v>127.15913438761541</v>
      </c>
      <c r="I1430" s="127">
        <v>2.5000000000000001E-2</v>
      </c>
      <c r="J1430" s="106">
        <v>1.0249999999999999</v>
      </c>
      <c r="K1430" s="106">
        <f t="shared" si="118"/>
        <v>333.99141391497102</v>
      </c>
      <c r="L1430" s="115"/>
      <c r="M1430" s="104">
        <f t="shared" si="119"/>
        <v>1.923790544150233</v>
      </c>
    </row>
    <row r="1431" spans="1:13">
      <c r="A1431" s="100" t="str">
        <f>VLOOKUP(C1431,Abstract!$E$4:$M$62,9,0)</f>
        <v>No Sales</v>
      </c>
      <c r="B1431" s="99" t="s">
        <v>138</v>
      </c>
      <c r="C1431" s="133" t="s">
        <v>120</v>
      </c>
      <c r="D1431" s="133" t="s">
        <v>539</v>
      </c>
      <c r="E1431" s="95" t="s">
        <v>209</v>
      </c>
      <c r="F1431" s="95" t="s">
        <v>210</v>
      </c>
      <c r="G1431" s="109">
        <v>30</v>
      </c>
      <c r="H1431" s="104">
        <f>VLOOKUP($E1431,'Stock statement'!$D$2:$P$384,13,)</f>
        <v>220.67282625366343</v>
      </c>
      <c r="I1431" s="127">
        <v>2.5000000000000001E-2</v>
      </c>
      <c r="J1431" s="106">
        <v>1.0249999999999999</v>
      </c>
      <c r="K1431" s="106">
        <f t="shared" si="118"/>
        <v>6955.3316424826526</v>
      </c>
      <c r="L1431" s="115"/>
      <c r="M1431" s="104">
        <f t="shared" si="119"/>
        <v>40.062710260700079</v>
      </c>
    </row>
    <row r="1432" spans="1:13">
      <c r="A1432" s="100" t="str">
        <f>VLOOKUP(C1432,Abstract!$E$4:$M$62,9,0)</f>
        <v>No Sales</v>
      </c>
      <c r="B1432" s="99" t="s">
        <v>138</v>
      </c>
      <c r="C1432" s="133" t="s">
        <v>120</v>
      </c>
      <c r="D1432" s="133" t="s">
        <v>539</v>
      </c>
      <c r="E1432" s="95" t="s">
        <v>261</v>
      </c>
      <c r="F1432" s="95" t="s">
        <v>262</v>
      </c>
      <c r="G1432" s="109">
        <v>2.5</v>
      </c>
      <c r="H1432" s="104">
        <f>VLOOKUP($E1432,'Stock statement'!$D$2:$P$384,13,)</f>
        <v>0</v>
      </c>
      <c r="I1432" s="127">
        <v>2.5000000000000001E-2</v>
      </c>
      <c r="J1432" s="106">
        <v>1.0249999999999999</v>
      </c>
      <c r="K1432" s="106">
        <f t="shared" si="118"/>
        <v>0</v>
      </c>
      <c r="L1432" s="115"/>
      <c r="M1432" s="104">
        <f t="shared" si="119"/>
        <v>0</v>
      </c>
    </row>
    <row r="1433" spans="1:13">
      <c r="A1433" s="100" t="str">
        <f>VLOOKUP(C1433,Abstract!$E$4:$M$62,9,0)</f>
        <v>No Sales</v>
      </c>
      <c r="B1433" s="99" t="s">
        <v>138</v>
      </c>
      <c r="C1433" s="133" t="s">
        <v>120</v>
      </c>
      <c r="D1433" s="133" t="s">
        <v>539</v>
      </c>
      <c r="E1433" s="95" t="s">
        <v>259</v>
      </c>
      <c r="F1433" s="95" t="s">
        <v>260</v>
      </c>
      <c r="G1433" s="109">
        <v>0.03</v>
      </c>
      <c r="H1433" s="104">
        <f>VLOOKUP($E1433,'Stock statement'!$D$2:$P$384,13,)</f>
        <v>894.46244467712404</v>
      </c>
      <c r="I1433" s="127">
        <v>2.5000000000000001E-2</v>
      </c>
      <c r="J1433" s="106">
        <v>1.0249999999999999</v>
      </c>
      <c r="K1433" s="106">
        <f t="shared" si="118"/>
        <v>28.192338178167098</v>
      </c>
      <c r="L1433" s="115"/>
      <c r="M1433" s="104">
        <f t="shared" si="119"/>
        <v>0.16238786790624249</v>
      </c>
    </row>
    <row r="1434" spans="1:13">
      <c r="A1434" s="100" t="str">
        <f>VLOOKUP(C1434,Abstract!$E$4:$M$62,9,0)</f>
        <v>No Sales</v>
      </c>
      <c r="B1434" s="99" t="s">
        <v>138</v>
      </c>
      <c r="C1434" s="133" t="s">
        <v>120</v>
      </c>
      <c r="D1434" s="133" t="s">
        <v>539</v>
      </c>
      <c r="E1434" s="95" t="s">
        <v>217</v>
      </c>
      <c r="F1434" s="95" t="s">
        <v>218</v>
      </c>
      <c r="G1434" s="109">
        <v>0.1</v>
      </c>
      <c r="H1434" s="104">
        <f>VLOOKUP($E1434,'Stock statement'!$D$2:$P$384,13,)</f>
        <v>910.5767983004796</v>
      </c>
      <c r="I1434" s="127">
        <v>2.5000000000000001E-2</v>
      </c>
      <c r="J1434" s="106">
        <v>1.0249999999999999</v>
      </c>
      <c r="K1434" s="106">
        <f t="shared" si="118"/>
        <v>95.667474871444114</v>
      </c>
      <c r="L1434" s="115"/>
      <c r="M1434" s="104">
        <f t="shared" si="119"/>
        <v>0.55104465525951807</v>
      </c>
    </row>
    <row r="1435" spans="1:13">
      <c r="A1435" s="100" t="str">
        <f>VLOOKUP(C1435,Abstract!$E$4:$M$62,9,0)</f>
        <v>No Sales</v>
      </c>
      <c r="B1435" s="99" t="s">
        <v>138</v>
      </c>
      <c r="C1435" s="133" t="s">
        <v>120</v>
      </c>
      <c r="D1435" s="133" t="s">
        <v>539</v>
      </c>
      <c r="E1435" s="95" t="s">
        <v>312</v>
      </c>
      <c r="F1435" s="95" t="s">
        <v>313</v>
      </c>
      <c r="G1435" s="109">
        <v>6</v>
      </c>
      <c r="H1435" s="104">
        <f>VLOOKUP($E1435,'Stock statement'!$D$2:$P$384,13,)</f>
        <v>1093.6077250082903</v>
      </c>
      <c r="I1435" s="127">
        <v>2.5000000000000001E-2</v>
      </c>
      <c r="J1435" s="106">
        <v>1.0249999999999999</v>
      </c>
      <c r="K1435" s="106">
        <f t="shared" si="118"/>
        <v>6893.8296965210084</v>
      </c>
      <c r="L1435" s="115"/>
      <c r="M1435" s="104">
        <f t="shared" si="119"/>
        <v>39.708459051961007</v>
      </c>
    </row>
    <row r="1436" spans="1:13">
      <c r="A1436" s="100" t="str">
        <f>VLOOKUP(C1436,Abstract!$E$4:$M$62,9,0)</f>
        <v>No Sales</v>
      </c>
      <c r="B1436" s="99" t="s">
        <v>138</v>
      </c>
      <c r="C1436" s="133" t="s">
        <v>120</v>
      </c>
      <c r="D1436" s="133" t="s">
        <v>539</v>
      </c>
      <c r="E1436" s="95" t="s">
        <v>181</v>
      </c>
      <c r="F1436" s="95" t="s">
        <v>182</v>
      </c>
      <c r="G1436" s="109">
        <v>12.5</v>
      </c>
      <c r="H1436" s="104">
        <f>VLOOKUP($E1436,'Stock statement'!$D$2:$P$384,13,)</f>
        <v>17.110276913020375</v>
      </c>
      <c r="I1436" s="127">
        <v>2.5000000000000001E-2</v>
      </c>
      <c r="J1436" s="106">
        <v>1.0249999999999999</v>
      </c>
      <c r="K1436" s="106">
        <f t="shared" si="118"/>
        <v>224.70605852177536</v>
      </c>
      <c r="L1436" s="115"/>
      <c r="M1436" s="104">
        <f t="shared" si="119"/>
        <v>1.2943068970854261</v>
      </c>
    </row>
    <row r="1437" spans="1:13">
      <c r="A1437" s="100" t="str">
        <f>VLOOKUP(C1437,Abstract!$E$4:$M$62,9,0)</f>
        <v>No Sales</v>
      </c>
      <c r="B1437" s="99" t="s">
        <v>138</v>
      </c>
      <c r="C1437" s="133" t="s">
        <v>120</v>
      </c>
      <c r="D1437" s="133" t="s">
        <v>539</v>
      </c>
      <c r="E1437" s="95" t="s">
        <v>314</v>
      </c>
      <c r="F1437" s="95" t="s">
        <v>315</v>
      </c>
      <c r="G1437" s="109">
        <v>0.1</v>
      </c>
      <c r="H1437" s="104">
        <f>VLOOKUP($E1437,'Stock statement'!$D$2:$P$384,13,)</f>
        <v>176.70653542569758</v>
      </c>
      <c r="I1437" s="127">
        <v>2.5000000000000001E-2</v>
      </c>
      <c r="J1437" s="106">
        <v>1.0249999999999999</v>
      </c>
      <c r="K1437" s="106">
        <f t="shared" si="118"/>
        <v>18.565230378162351</v>
      </c>
      <c r="L1437" s="115"/>
      <c r="M1437" s="104">
        <f t="shared" si="119"/>
        <v>0.10693572697821514</v>
      </c>
    </row>
    <row r="1438" spans="1:13">
      <c r="A1438" s="100" t="str">
        <f>VLOOKUP(C1438,Abstract!$E$4:$M$62,9,0)</f>
        <v>No Sales</v>
      </c>
      <c r="B1438" s="99" t="s">
        <v>138</v>
      </c>
      <c r="C1438" s="133" t="s">
        <v>120</v>
      </c>
      <c r="D1438" s="133" t="s">
        <v>539</v>
      </c>
      <c r="E1438" s="95" t="s">
        <v>139</v>
      </c>
      <c r="F1438" s="95" t="s">
        <v>140</v>
      </c>
      <c r="G1438" s="109">
        <v>736.69499999999994</v>
      </c>
      <c r="H1438" s="104">
        <f>VLOOKUP($E1438,'Stock statement'!$D$2:$P$384,13,)</f>
        <v>0.34</v>
      </c>
      <c r="I1438" s="127">
        <v>2.5000000000000001E-2</v>
      </c>
      <c r="J1438" s="106">
        <v>1.0249999999999999</v>
      </c>
      <c r="K1438" s="106">
        <f t="shared" si="118"/>
        <v>263.15666268749999</v>
      </c>
      <c r="L1438" s="115"/>
      <c r="M1438" s="104">
        <f t="shared" si="119"/>
        <v>1.5157823770799999</v>
      </c>
    </row>
    <row r="1439" spans="1:13">
      <c r="A1439" s="100" t="str">
        <f>VLOOKUP(C1439,Abstract!$E$4:$M$62,9,0)</f>
        <v>No Sales</v>
      </c>
      <c r="B1439" s="99" t="s">
        <v>183</v>
      </c>
      <c r="C1439" s="133" t="s">
        <v>120</v>
      </c>
      <c r="D1439" s="133" t="s">
        <v>539</v>
      </c>
      <c r="E1439" s="95">
        <v>214967</v>
      </c>
      <c r="F1439" s="95" t="s">
        <v>540</v>
      </c>
      <c r="G1439" s="109">
        <v>173.61111111111111</v>
      </c>
      <c r="H1439" s="104">
        <f>VLOOKUP($E1439,'Stock statement'!$D$2:$P$384,13,)</f>
        <v>0</v>
      </c>
      <c r="I1439" s="127">
        <v>6.0000000000000001E-3</v>
      </c>
      <c r="J1439" s="106">
        <v>1</v>
      </c>
      <c r="K1439" s="106">
        <f t="shared" si="118"/>
        <v>0</v>
      </c>
      <c r="L1439" s="115"/>
      <c r="M1439" s="104">
        <f t="shared" si="119"/>
        <v>0</v>
      </c>
    </row>
    <row r="1440" spans="1:13">
      <c r="A1440" s="100" t="str">
        <f>VLOOKUP(C1440,Abstract!$E$4:$M$62,9,0)</f>
        <v>No Sales</v>
      </c>
      <c r="B1440" s="99" t="s">
        <v>183</v>
      </c>
      <c r="C1440" s="133" t="s">
        <v>120</v>
      </c>
      <c r="D1440" s="133" t="s">
        <v>539</v>
      </c>
      <c r="E1440" s="95" t="s">
        <v>321</v>
      </c>
      <c r="F1440" s="95" t="s">
        <v>322</v>
      </c>
      <c r="G1440" s="109">
        <v>12500</v>
      </c>
      <c r="H1440" s="104">
        <f>VLOOKUP($E1440,'Stock statement'!$D$2:$P$384,13,)</f>
        <v>3.0960075845789552</v>
      </c>
      <c r="I1440" s="127">
        <v>6.0000000000000001E-3</v>
      </c>
      <c r="J1440" s="106">
        <v>1</v>
      </c>
      <c r="K1440" s="106">
        <f t="shared" si="118"/>
        <v>38932.295376080365</v>
      </c>
      <c r="L1440" s="115"/>
      <c r="M1440" s="104">
        <f t="shared" si="119"/>
        <v>224.25002136622291</v>
      </c>
    </row>
    <row r="1441" spans="1:13">
      <c r="A1441" s="100" t="str">
        <f>VLOOKUP(C1441,Abstract!$E$4:$M$62,9,0)</f>
        <v>No Sales</v>
      </c>
      <c r="B1441" s="99" t="s">
        <v>183</v>
      </c>
      <c r="C1441" s="133" t="s">
        <v>120</v>
      </c>
      <c r="D1441" s="133" t="s">
        <v>539</v>
      </c>
      <c r="E1441" s="95">
        <v>211679</v>
      </c>
      <c r="F1441" s="95" t="s">
        <v>323</v>
      </c>
      <c r="G1441" s="109">
        <v>12500</v>
      </c>
      <c r="H1441" s="104">
        <f>VLOOKUP($E1441,'Stock statement'!$D$2:$P$384,13,)</f>
        <v>3.0514953713819963</v>
      </c>
      <c r="I1441" s="127">
        <v>6.0000000000000001E-3</v>
      </c>
      <c r="J1441" s="106">
        <v>1</v>
      </c>
      <c r="K1441" s="106">
        <f t="shared" si="118"/>
        <v>38372.554295128604</v>
      </c>
      <c r="L1441" s="115"/>
      <c r="M1441" s="104">
        <f t="shared" si="119"/>
        <v>221.02591273994076</v>
      </c>
    </row>
    <row r="1442" spans="1:13">
      <c r="A1442" s="100" t="str">
        <f>VLOOKUP(C1442,Abstract!$E$4:$M$62,9,0)</f>
        <v>No Sales</v>
      </c>
      <c r="B1442" s="99" t="s">
        <v>183</v>
      </c>
      <c r="C1442" s="133" t="s">
        <v>120</v>
      </c>
      <c r="D1442" s="133" t="s">
        <v>539</v>
      </c>
      <c r="E1442" s="95" t="s">
        <v>324</v>
      </c>
      <c r="F1442" s="95" t="s">
        <v>325</v>
      </c>
      <c r="G1442" s="109">
        <v>12500</v>
      </c>
      <c r="H1442" s="104">
        <f>VLOOKUP($E1442,'Stock statement'!$D$2:$P$384,13,)</f>
        <v>1.1997168865845851</v>
      </c>
      <c r="I1442" s="127">
        <v>0.02</v>
      </c>
      <c r="J1442" s="106">
        <v>1</v>
      </c>
      <c r="K1442" s="106">
        <f t="shared" si="118"/>
        <v>15296.390303953462</v>
      </c>
      <c r="L1442" s="115"/>
      <c r="M1442" s="104">
        <f t="shared" si="119"/>
        <v>88.107208150771939</v>
      </c>
    </row>
    <row r="1443" spans="1:13">
      <c r="A1443" s="100" t="str">
        <f>VLOOKUP(C1443,Abstract!$E$4:$M$62,9,0)</f>
        <v>No Sales</v>
      </c>
      <c r="B1443" s="99" t="s">
        <v>183</v>
      </c>
      <c r="C1443" s="133" t="s">
        <v>120</v>
      </c>
      <c r="D1443" s="133" t="s">
        <v>539</v>
      </c>
      <c r="E1443" s="95" t="s">
        <v>326</v>
      </c>
      <c r="F1443" s="95" t="s">
        <v>327</v>
      </c>
      <c r="G1443" s="109">
        <v>12500</v>
      </c>
      <c r="H1443" s="104">
        <f>VLOOKUP($E1443,'Stock statement'!$D$2:$P$384,13,)</f>
        <v>1.1997168865845851</v>
      </c>
      <c r="I1443" s="127">
        <v>0.02</v>
      </c>
      <c r="J1443" s="106">
        <v>1</v>
      </c>
      <c r="K1443" s="106">
        <f t="shared" si="118"/>
        <v>15296.390303953462</v>
      </c>
      <c r="L1443" s="115"/>
      <c r="M1443" s="104">
        <f t="shared" si="119"/>
        <v>88.107208150771939</v>
      </c>
    </row>
    <row r="1444" spans="1:13">
      <c r="A1444" s="100" t="str">
        <f>VLOOKUP(C1444,Abstract!$E$4:$M$62,9,0)</f>
        <v>No Sales</v>
      </c>
      <c r="B1444" s="99" t="s">
        <v>183</v>
      </c>
      <c r="C1444" s="133" t="s">
        <v>120</v>
      </c>
      <c r="D1444" s="133" t="s">
        <v>539</v>
      </c>
      <c r="E1444" s="95">
        <v>214880</v>
      </c>
      <c r="F1444" s="95" t="s">
        <v>541</v>
      </c>
      <c r="G1444" s="109">
        <f>G1440/3</f>
        <v>4166.666666666667</v>
      </c>
      <c r="H1444" s="104">
        <f>VLOOKUP($E1444,'Stock statement'!$D$2:$P$384,13,)</f>
        <v>8.7512562814070343</v>
      </c>
      <c r="I1444" s="127">
        <v>0.02</v>
      </c>
      <c r="J1444" s="106">
        <v>1</v>
      </c>
      <c r="K1444" s="106">
        <f t="shared" si="118"/>
        <v>37192.839195979905</v>
      </c>
      <c r="L1444" s="115"/>
      <c r="M1444" s="104">
        <f t="shared" si="119"/>
        <v>214.23075376884424</v>
      </c>
    </row>
    <row r="1445" spans="1:13">
      <c r="A1445" s="100" t="str">
        <f>VLOOKUP(C1445,Abstract!$E$4:$M$62,9,0)</f>
        <v>No Sales</v>
      </c>
      <c r="B1445" s="99" t="s">
        <v>183</v>
      </c>
      <c r="C1445" s="133" t="s">
        <v>120</v>
      </c>
      <c r="D1445" s="133" t="s">
        <v>539</v>
      </c>
      <c r="E1445" s="95" t="s">
        <v>191</v>
      </c>
      <c r="F1445" s="95" t="s">
        <v>192</v>
      </c>
      <c r="G1445" s="109">
        <v>4.3402777777777777</v>
      </c>
      <c r="H1445" s="104">
        <f>VLOOKUP($E1445,'Stock statement'!$D$2:$P$384,13,)</f>
        <v>44.985440769279101</v>
      </c>
      <c r="I1445" s="127">
        <v>0.02</v>
      </c>
      <c r="J1445" s="106">
        <v>1</v>
      </c>
      <c r="K1445" s="106">
        <f t="shared" si="118"/>
        <v>199.15429507232935</v>
      </c>
      <c r="L1445" s="115"/>
      <c r="M1445" s="104">
        <f t="shared" si="119"/>
        <v>1.147128739616617</v>
      </c>
    </row>
    <row r="1446" spans="1:13">
      <c r="A1446" s="100" t="str">
        <f>VLOOKUP(C1446,Abstract!$E$4:$M$62,9,0)</f>
        <v>No Sales</v>
      </c>
      <c r="B1446" s="99" t="s">
        <v>183</v>
      </c>
      <c r="C1446" s="133" t="s">
        <v>120</v>
      </c>
      <c r="D1446" s="133" t="s">
        <v>539</v>
      </c>
      <c r="E1446" s="95" t="s">
        <v>254</v>
      </c>
      <c r="F1446" s="95" t="s">
        <v>255</v>
      </c>
      <c r="G1446" s="109">
        <v>2083.3333333333335</v>
      </c>
      <c r="H1446" s="104">
        <f>VLOOKUP($E1446,'Stock statement'!$D$2:$P$384,13,)</f>
        <v>2.6</v>
      </c>
      <c r="I1446" s="127">
        <v>0.01</v>
      </c>
      <c r="J1446" s="106">
        <v>1</v>
      </c>
      <c r="K1446" s="106">
        <f t="shared" si="118"/>
        <v>5470.8333333333339</v>
      </c>
      <c r="L1446" s="115"/>
      <c r="M1446" s="104">
        <f t="shared" si="119"/>
        <v>31.512000000000004</v>
      </c>
    </row>
    <row r="1447" spans="1:13">
      <c r="A1447" s="100" t="str">
        <f>VLOOKUP(C1447,Abstract!$E$4:$M$62,9,0)</f>
        <v>No Sales</v>
      </c>
      <c r="B1447" s="99" t="s">
        <v>194</v>
      </c>
      <c r="C1447" s="133" t="s">
        <v>120</v>
      </c>
      <c r="D1447" s="133" t="s">
        <v>539</v>
      </c>
      <c r="E1447" s="95" t="s">
        <v>195</v>
      </c>
      <c r="F1447" s="95"/>
      <c r="G1447" s="109">
        <f>G1440</f>
        <v>12500</v>
      </c>
      <c r="H1447" s="104">
        <v>0.04</v>
      </c>
      <c r="I1447" s="127"/>
      <c r="J1447" s="106">
        <v>1</v>
      </c>
      <c r="K1447" s="106">
        <f t="shared" si="118"/>
        <v>500</v>
      </c>
      <c r="L1447" s="115"/>
      <c r="M1447" s="104">
        <f t="shared" si="119"/>
        <v>2.88</v>
      </c>
    </row>
    <row r="1448" spans="1:13">
      <c r="A1448" s="100" t="str">
        <f>VLOOKUP(C1448,Abstract!$E$4:$M$62,9,0)</f>
        <v>No Sales</v>
      </c>
      <c r="B1448" s="99" t="s">
        <v>194</v>
      </c>
      <c r="C1448" s="133" t="s">
        <v>120</v>
      </c>
      <c r="D1448" s="133" t="s">
        <v>539</v>
      </c>
      <c r="E1448" s="95" t="s">
        <v>196</v>
      </c>
      <c r="F1448" s="95"/>
      <c r="G1448" s="109">
        <f>G1447*24</f>
        <v>300000</v>
      </c>
      <c r="H1448" s="104">
        <v>1.6999999999999999E-3</v>
      </c>
      <c r="I1448" s="127"/>
      <c r="J1448" s="106">
        <v>1</v>
      </c>
      <c r="K1448" s="106">
        <f t="shared" si="118"/>
        <v>510</v>
      </c>
      <c r="L1448" s="115"/>
      <c r="M1448" s="104">
        <f t="shared" si="119"/>
        <v>2.9375999999999998</v>
      </c>
    </row>
    <row r="1449" spans="1:13">
      <c r="A1449" s="100" t="str">
        <f>VLOOKUP(C1449,Abstract!$E$4:$M$62,9,0)</f>
        <v>No Sales</v>
      </c>
      <c r="B1449" s="99" t="s">
        <v>197</v>
      </c>
      <c r="C1449" s="133" t="s">
        <v>120</v>
      </c>
      <c r="D1449" s="133" t="s">
        <v>539</v>
      </c>
      <c r="E1449" s="95" t="s">
        <v>198</v>
      </c>
      <c r="F1449" s="95"/>
      <c r="G1449" s="109"/>
      <c r="H1449" s="104"/>
      <c r="I1449" s="127"/>
      <c r="J1449" s="106"/>
      <c r="K1449" s="106">
        <v>9000</v>
      </c>
      <c r="L1449" s="115">
        <f>SUM(K1417:K1449)</f>
        <v>201726.75287352354</v>
      </c>
      <c r="M1449" s="104">
        <f t="shared" si="119"/>
        <v>51.839999999999996</v>
      </c>
    </row>
    <row r="1450" spans="1:13">
      <c r="A1450" s="100" t="str">
        <f>VLOOKUP(C1450,Abstract!$E$4:$M$62,9,0)</f>
        <v>ACTIVE</v>
      </c>
      <c r="B1450" s="99" t="s">
        <v>138</v>
      </c>
      <c r="C1450" s="133" t="s">
        <v>116</v>
      </c>
      <c r="D1450" s="133" t="s">
        <v>542</v>
      </c>
      <c r="E1450" s="95" t="s">
        <v>139</v>
      </c>
      <c r="F1450" s="95" t="s">
        <v>140</v>
      </c>
      <c r="G1450" s="109">
        <v>741.16</v>
      </c>
      <c r="H1450" s="104">
        <f>VLOOKUP($E1450,'Stock statement'!$D$2:$P$384,13,)</f>
        <v>0.34</v>
      </c>
      <c r="I1450" s="127">
        <v>2.5000000000000001E-2</v>
      </c>
      <c r="J1450" s="106">
        <v>1.0249999999999999</v>
      </c>
      <c r="K1450" s="106">
        <f t="shared" ref="K1450:K1474" si="120">+G1450*H1450*(1+I1450)*J1450</f>
        <v>264.75161650000001</v>
      </c>
      <c r="L1450" s="115"/>
      <c r="M1450" s="104">
        <f>K1450/$G$1473</f>
        <v>3.04993862208</v>
      </c>
    </row>
    <row r="1451" spans="1:13">
      <c r="A1451" s="100" t="str">
        <f>VLOOKUP(C1451,Abstract!$E$4:$M$62,9,0)</f>
        <v>ACTIVE</v>
      </c>
      <c r="B1451" s="99" t="s">
        <v>138</v>
      </c>
      <c r="C1451" s="133" t="s">
        <v>116</v>
      </c>
      <c r="D1451" s="133" t="s">
        <v>542</v>
      </c>
      <c r="E1451" s="95" t="s">
        <v>141</v>
      </c>
      <c r="F1451" s="95" t="s">
        <v>142</v>
      </c>
      <c r="G1451" s="109">
        <v>185.7</v>
      </c>
      <c r="H1451" s="104">
        <f>VLOOKUP($E1451,'Stock statement'!$D$2:$P$384,13,)</f>
        <v>94.278330452007026</v>
      </c>
      <c r="I1451" s="127">
        <v>2.5000000000000001E-2</v>
      </c>
      <c r="J1451" s="106">
        <v>1.0249999999999999</v>
      </c>
      <c r="K1451" s="106">
        <f t="shared" si="120"/>
        <v>18393.80244191267</v>
      </c>
      <c r="L1451" s="115"/>
      <c r="M1451" s="104">
        <f t="shared" ref="M1451:M1475" si="121">K1451/$G$1473</f>
        <v>211.89660413083396</v>
      </c>
    </row>
    <row r="1452" spans="1:13">
      <c r="A1452" s="100" t="str">
        <f>VLOOKUP(C1452,Abstract!$E$4:$M$62,9,0)</f>
        <v>ACTIVE</v>
      </c>
      <c r="B1452" s="99" t="s">
        <v>138</v>
      </c>
      <c r="C1452" s="133" t="s">
        <v>116</v>
      </c>
      <c r="D1452" s="133" t="s">
        <v>542</v>
      </c>
      <c r="E1452" s="95" t="s">
        <v>145</v>
      </c>
      <c r="F1452" s="95" t="s">
        <v>146</v>
      </c>
      <c r="G1452" s="109">
        <v>10</v>
      </c>
      <c r="H1452" s="104">
        <f>VLOOKUP($E1452,'Stock statement'!$D$2:$P$384,13,)</f>
        <v>151.08681180977209</v>
      </c>
      <c r="I1452" s="127">
        <v>2.5000000000000001E-2</v>
      </c>
      <c r="J1452" s="106">
        <v>1.0249999999999999</v>
      </c>
      <c r="K1452" s="106">
        <f t="shared" si="120"/>
        <v>1587.3558165764177</v>
      </c>
      <c r="L1452" s="115"/>
      <c r="M1452" s="104">
        <f t="shared" si="121"/>
        <v>18.286339006960333</v>
      </c>
    </row>
    <row r="1453" spans="1:13">
      <c r="A1453" s="100" t="str">
        <f>VLOOKUP(C1453,Abstract!$E$4:$M$62,9,0)</f>
        <v>ACTIVE</v>
      </c>
      <c r="B1453" s="99" t="s">
        <v>138</v>
      </c>
      <c r="C1453" s="133" t="s">
        <v>116</v>
      </c>
      <c r="D1453" s="133" t="s">
        <v>542</v>
      </c>
      <c r="E1453" s="95" t="s">
        <v>149</v>
      </c>
      <c r="F1453" s="95" t="s">
        <v>208</v>
      </c>
      <c r="G1453" s="109">
        <v>0.125</v>
      </c>
      <c r="H1453" s="104">
        <f>VLOOKUP($E1453,'Stock statement'!$D$2:$P$384,13,)</f>
        <v>161.56941474217822</v>
      </c>
      <c r="I1453" s="127">
        <v>2.5000000000000001E-2</v>
      </c>
      <c r="J1453" s="106">
        <v>1.0249999999999999</v>
      </c>
      <c r="K1453" s="106">
        <f t="shared" si="120"/>
        <v>21.218608295437623</v>
      </c>
      <c r="L1453" s="115"/>
      <c r="M1453" s="104">
        <f t="shared" si="121"/>
        <v>0.24443836756344139</v>
      </c>
    </row>
    <row r="1454" spans="1:13">
      <c r="A1454" s="100" t="str">
        <f>VLOOKUP(C1454,Abstract!$E$4:$M$62,9,0)</f>
        <v>ACTIVE</v>
      </c>
      <c r="B1454" s="99" t="s">
        <v>138</v>
      </c>
      <c r="C1454" s="133" t="s">
        <v>116</v>
      </c>
      <c r="D1454" s="133" t="s">
        <v>542</v>
      </c>
      <c r="E1454" s="95" t="s">
        <v>151</v>
      </c>
      <c r="F1454" s="95" t="s">
        <v>152</v>
      </c>
      <c r="G1454" s="109">
        <v>2.5</v>
      </c>
      <c r="H1454" s="104">
        <f>VLOOKUP($E1454,'Stock statement'!$D$2:$P$384,13,)</f>
        <v>762.38931335604309</v>
      </c>
      <c r="I1454" s="127">
        <v>2.5000000000000001E-2</v>
      </c>
      <c r="J1454" s="106">
        <v>1.0249999999999999</v>
      </c>
      <c r="K1454" s="106">
        <f t="shared" si="120"/>
        <v>2002.4631808617316</v>
      </c>
      <c r="L1454" s="115"/>
      <c r="M1454" s="104">
        <f t="shared" si="121"/>
        <v>23.068375843527146</v>
      </c>
    </row>
    <row r="1455" spans="1:13">
      <c r="A1455" s="100" t="str">
        <f>VLOOKUP(C1455,Abstract!$E$4:$M$62,9,0)</f>
        <v>ACTIVE</v>
      </c>
      <c r="B1455" s="99" t="s">
        <v>138</v>
      </c>
      <c r="C1455" s="133" t="s">
        <v>116</v>
      </c>
      <c r="D1455" s="133" t="s">
        <v>542</v>
      </c>
      <c r="E1455" s="95" t="s">
        <v>157</v>
      </c>
      <c r="F1455" s="95" t="s">
        <v>158</v>
      </c>
      <c r="G1455" s="109">
        <v>1</v>
      </c>
      <c r="H1455" s="104">
        <f>VLOOKUP($E1455,'Stock statement'!$D$2:$P$384,13,)</f>
        <v>828.81974703846117</v>
      </c>
      <c r="I1455" s="127">
        <v>2.5000000000000001E-2</v>
      </c>
      <c r="J1455" s="106">
        <v>1.0249999999999999</v>
      </c>
      <c r="K1455" s="106">
        <f t="shared" si="120"/>
        <v>870.77874673228314</v>
      </c>
      <c r="L1455" s="115"/>
      <c r="M1455" s="104">
        <f t="shared" si="121"/>
        <v>10.031371162355901</v>
      </c>
    </row>
    <row r="1456" spans="1:13">
      <c r="A1456" s="100" t="str">
        <f>VLOOKUP(C1456,Abstract!$E$4:$M$62,9,0)</f>
        <v>ACTIVE</v>
      </c>
      <c r="B1456" s="99" t="s">
        <v>138</v>
      </c>
      <c r="C1456" s="133" t="s">
        <v>116</v>
      </c>
      <c r="D1456" s="133" t="s">
        <v>542</v>
      </c>
      <c r="E1456" s="95">
        <v>115150</v>
      </c>
      <c r="F1456" s="95" t="s">
        <v>159</v>
      </c>
      <c r="G1456" s="109">
        <v>1</v>
      </c>
      <c r="H1456" s="104">
        <f>VLOOKUP($E1456,'Stock statement'!$D$2:$P$384,13,)</f>
        <v>456.30699446392703</v>
      </c>
      <c r="I1456" s="127">
        <v>2.5000000000000001E-2</v>
      </c>
      <c r="J1456" s="106">
        <v>1.0249999999999999</v>
      </c>
      <c r="K1456" s="106">
        <f t="shared" si="120"/>
        <v>479.40753605866325</v>
      </c>
      <c r="L1456" s="115"/>
      <c r="M1456" s="104">
        <f t="shared" si="121"/>
        <v>5.5227748153958007</v>
      </c>
    </row>
    <row r="1457" spans="1:13">
      <c r="A1457" s="100" t="str">
        <f>VLOOKUP(C1457,Abstract!$E$4:$M$62,9,0)</f>
        <v>ACTIVE</v>
      </c>
      <c r="B1457" s="99" t="s">
        <v>138</v>
      </c>
      <c r="C1457" s="133" t="s">
        <v>116</v>
      </c>
      <c r="D1457" s="133" t="s">
        <v>542</v>
      </c>
      <c r="E1457" s="95" t="s">
        <v>160</v>
      </c>
      <c r="F1457" s="95" t="s">
        <v>161</v>
      </c>
      <c r="G1457" s="109">
        <v>0.25</v>
      </c>
      <c r="H1457" s="104">
        <f>VLOOKUP($E1457,'Stock statement'!$D$2:$P$384,13,)</f>
        <v>3313.2387673094586</v>
      </c>
      <c r="I1457" s="127">
        <v>2.5000000000000001E-2</v>
      </c>
      <c r="J1457" s="106">
        <v>1.0249999999999999</v>
      </c>
      <c r="K1457" s="106">
        <f t="shared" si="120"/>
        <v>870.24286997612489</v>
      </c>
      <c r="L1457" s="115"/>
      <c r="M1457" s="104">
        <f t="shared" si="121"/>
        <v>10.025197862124958</v>
      </c>
    </row>
    <row r="1458" spans="1:13">
      <c r="A1458" s="100" t="str">
        <f>VLOOKUP(C1458,Abstract!$E$4:$M$62,9,0)</f>
        <v>ACTIVE</v>
      </c>
      <c r="B1458" s="99" t="s">
        <v>138</v>
      </c>
      <c r="C1458" s="133" t="s">
        <v>116</v>
      </c>
      <c r="D1458" s="133" t="s">
        <v>542</v>
      </c>
      <c r="E1458" s="95" t="s">
        <v>166</v>
      </c>
      <c r="F1458" s="95" t="s">
        <v>167</v>
      </c>
      <c r="G1458" s="109">
        <v>2.5</v>
      </c>
      <c r="H1458" s="104">
        <f>VLOOKUP($E1458,'Stock statement'!$D$2:$P$384,13,)</f>
        <v>127.15913438761541</v>
      </c>
      <c r="I1458" s="127">
        <v>2.5000000000000001E-2</v>
      </c>
      <c r="J1458" s="106">
        <v>1.0249999999999999</v>
      </c>
      <c r="K1458" s="106">
        <f t="shared" si="120"/>
        <v>333.99141391497102</v>
      </c>
      <c r="L1458" s="115"/>
      <c r="M1458" s="104">
        <f t="shared" si="121"/>
        <v>3.847581088300466</v>
      </c>
    </row>
    <row r="1459" spans="1:13">
      <c r="A1459" s="100" t="str">
        <f>VLOOKUP(C1459,Abstract!$E$4:$M$62,9,0)</f>
        <v>ACTIVE</v>
      </c>
      <c r="B1459" s="99" t="s">
        <v>138</v>
      </c>
      <c r="C1459" s="133" t="s">
        <v>116</v>
      </c>
      <c r="D1459" s="133" t="s">
        <v>542</v>
      </c>
      <c r="E1459" s="95" t="s">
        <v>209</v>
      </c>
      <c r="F1459" s="95" t="s">
        <v>210</v>
      </c>
      <c r="G1459" s="109">
        <v>20</v>
      </c>
      <c r="H1459" s="104">
        <f>VLOOKUP($E1459,'Stock statement'!$D$2:$P$384,13,)</f>
        <v>220.67282625366343</v>
      </c>
      <c r="I1459" s="127">
        <v>2.5000000000000001E-2</v>
      </c>
      <c r="J1459" s="106">
        <v>1.0249999999999999</v>
      </c>
      <c r="K1459" s="106">
        <f t="shared" si="120"/>
        <v>4636.8877616551026</v>
      </c>
      <c r="L1459" s="115"/>
      <c r="M1459" s="104">
        <f t="shared" si="121"/>
        <v>53.416947014266782</v>
      </c>
    </row>
    <row r="1460" spans="1:13">
      <c r="A1460" s="100" t="str">
        <f>VLOOKUP(C1460,Abstract!$E$4:$M$62,9,0)</f>
        <v>ACTIVE</v>
      </c>
      <c r="B1460" s="99" t="s">
        <v>138</v>
      </c>
      <c r="C1460" s="133" t="s">
        <v>116</v>
      </c>
      <c r="D1460" s="133" t="s">
        <v>542</v>
      </c>
      <c r="E1460" s="95" t="s">
        <v>153</v>
      </c>
      <c r="F1460" s="95" t="s">
        <v>154</v>
      </c>
      <c r="G1460" s="109">
        <v>0.75</v>
      </c>
      <c r="H1460" s="104">
        <f>VLOOKUP($E1460,'Stock statement'!$D$2:$P$384,13,)</f>
        <v>84.206363687840948</v>
      </c>
      <c r="I1460" s="127">
        <v>2.5000000000000001E-2</v>
      </c>
      <c r="J1460" s="106">
        <v>1.0249999999999999</v>
      </c>
      <c r="K1460" s="106">
        <f t="shared" si="120"/>
        <v>66.351983137153411</v>
      </c>
      <c r="L1460" s="115"/>
      <c r="M1460" s="104">
        <f t="shared" si="121"/>
        <v>0.76437484574000725</v>
      </c>
    </row>
    <row r="1461" spans="1:13">
      <c r="A1461" s="100" t="str">
        <f>VLOOKUP(C1461,Abstract!$E$4:$M$62,9,0)</f>
        <v>ACTIVE</v>
      </c>
      <c r="B1461" s="99" t="s">
        <v>138</v>
      </c>
      <c r="C1461" s="133" t="s">
        <v>116</v>
      </c>
      <c r="D1461" s="133" t="s">
        <v>542</v>
      </c>
      <c r="E1461" s="95" t="s">
        <v>147</v>
      </c>
      <c r="F1461" s="95" t="s">
        <v>148</v>
      </c>
      <c r="G1461" s="109">
        <v>1</v>
      </c>
      <c r="H1461" s="104">
        <f>VLOOKUP($E1461,'Stock statement'!$D$2:$P$384,13,)</f>
        <v>353.50950483838068</v>
      </c>
      <c r="I1461" s="127">
        <v>2.5000000000000001E-2</v>
      </c>
      <c r="J1461" s="106">
        <v>1.0249999999999999</v>
      </c>
      <c r="K1461" s="106">
        <f t="shared" si="120"/>
        <v>371.40592352082365</v>
      </c>
      <c r="L1461" s="115"/>
      <c r="M1461" s="104">
        <f t="shared" si="121"/>
        <v>4.2785962389598886</v>
      </c>
    </row>
    <row r="1462" spans="1:13">
      <c r="A1462" s="100" t="str">
        <f>VLOOKUP(C1462,Abstract!$E$4:$M$62,9,0)</f>
        <v>ACTIVE</v>
      </c>
      <c r="B1462" s="99" t="s">
        <v>138</v>
      </c>
      <c r="C1462" s="133" t="s">
        <v>116</v>
      </c>
      <c r="D1462" s="133" t="s">
        <v>542</v>
      </c>
      <c r="E1462" s="95" t="s">
        <v>211</v>
      </c>
      <c r="F1462" s="95" t="s">
        <v>212</v>
      </c>
      <c r="G1462" s="109">
        <v>0.1</v>
      </c>
      <c r="H1462" s="104">
        <f>VLOOKUP($E1462,'Stock statement'!$D$2:$P$384,13,)</f>
        <v>1279.5862001575747</v>
      </c>
      <c r="I1462" s="127">
        <v>2.5000000000000001E-2</v>
      </c>
      <c r="J1462" s="106">
        <v>1.0249999999999999</v>
      </c>
      <c r="K1462" s="106">
        <f t="shared" si="120"/>
        <v>134.43652515405518</v>
      </c>
      <c r="L1462" s="115"/>
      <c r="M1462" s="104">
        <f t="shared" si="121"/>
        <v>1.5487087697747155</v>
      </c>
    </row>
    <row r="1463" spans="1:13">
      <c r="A1463" s="100" t="str">
        <f>VLOOKUP(C1463,Abstract!$E$4:$M$62,9,0)</f>
        <v>ACTIVE</v>
      </c>
      <c r="B1463" s="99" t="s">
        <v>138</v>
      </c>
      <c r="C1463" s="133" t="s">
        <v>116</v>
      </c>
      <c r="D1463" s="133" t="s">
        <v>542</v>
      </c>
      <c r="E1463" s="95" t="s">
        <v>213</v>
      </c>
      <c r="F1463" s="95" t="s">
        <v>214</v>
      </c>
      <c r="G1463" s="109">
        <v>0.09</v>
      </c>
      <c r="H1463" s="104">
        <f>VLOOKUP($E1463,'Stock statement'!$D$2:$P$384,13,)</f>
        <v>674.683130739744</v>
      </c>
      <c r="I1463" s="127">
        <v>2.5000000000000001E-2</v>
      </c>
      <c r="J1463" s="106">
        <v>1.0249999999999999</v>
      </c>
      <c r="K1463" s="106">
        <f t="shared" si="120"/>
        <v>63.795506781009905</v>
      </c>
      <c r="L1463" s="115"/>
      <c r="M1463" s="104">
        <f t="shared" si="121"/>
        <v>0.73492423811723406</v>
      </c>
    </row>
    <row r="1464" spans="1:13">
      <c r="A1464" s="100" t="str">
        <f>VLOOKUP(C1464,Abstract!$E$4:$M$62,9,0)</f>
        <v>ACTIVE</v>
      </c>
      <c r="B1464" s="99" t="s">
        <v>138</v>
      </c>
      <c r="C1464" s="133" t="s">
        <v>116</v>
      </c>
      <c r="D1464" s="133" t="s">
        <v>542</v>
      </c>
      <c r="E1464" s="95" t="s">
        <v>215</v>
      </c>
      <c r="F1464" s="95" t="s">
        <v>216</v>
      </c>
      <c r="G1464" s="109">
        <v>0.09</v>
      </c>
      <c r="H1464" s="104">
        <f>VLOOKUP($E1464,'Stock statement'!$D$2:$P$384,13,)</f>
        <v>545.51731168806748</v>
      </c>
      <c r="I1464" s="127">
        <v>2.5000000000000001E-2</v>
      </c>
      <c r="J1464" s="106">
        <v>1.0249999999999999</v>
      </c>
      <c r="K1464" s="106">
        <f t="shared" si="120"/>
        <v>51.582071303304822</v>
      </c>
      <c r="L1464" s="115"/>
      <c r="M1464" s="104">
        <f t="shared" si="121"/>
        <v>0.59422546141407151</v>
      </c>
    </row>
    <row r="1465" spans="1:13">
      <c r="A1465" s="100" t="str">
        <f>VLOOKUP(C1465,Abstract!$E$4:$M$62,9,0)</f>
        <v>ACTIVE</v>
      </c>
      <c r="B1465" s="99" t="s">
        <v>138</v>
      </c>
      <c r="C1465" s="133" t="s">
        <v>116</v>
      </c>
      <c r="D1465" s="133" t="s">
        <v>542</v>
      </c>
      <c r="E1465" s="95" t="s">
        <v>217</v>
      </c>
      <c r="F1465" s="95" t="s">
        <v>218</v>
      </c>
      <c r="G1465" s="109">
        <v>0.1</v>
      </c>
      <c r="H1465" s="104">
        <f>VLOOKUP($E1465,'Stock statement'!$D$2:$P$384,13,)</f>
        <v>910.5767983004796</v>
      </c>
      <c r="I1465" s="127">
        <v>2.5000000000000001E-2</v>
      </c>
      <c r="J1465" s="106">
        <v>1.0249999999999999</v>
      </c>
      <c r="K1465" s="106">
        <f t="shared" si="120"/>
        <v>95.667474871444114</v>
      </c>
      <c r="L1465" s="115"/>
      <c r="M1465" s="104">
        <f t="shared" si="121"/>
        <v>1.1020893105190361</v>
      </c>
    </row>
    <row r="1466" spans="1:13">
      <c r="A1466" s="100" t="str">
        <f>VLOOKUP(C1466,Abstract!$E$4:$M$62,9,0)</f>
        <v>ACTIVE</v>
      </c>
      <c r="B1466" s="99" t="s">
        <v>138</v>
      </c>
      <c r="C1466" s="133" t="s">
        <v>116</v>
      </c>
      <c r="D1466" s="133" t="s">
        <v>542</v>
      </c>
      <c r="E1466" s="95" t="s">
        <v>155</v>
      </c>
      <c r="F1466" s="95" t="s">
        <v>156</v>
      </c>
      <c r="G1466" s="109">
        <v>15</v>
      </c>
      <c r="H1466" s="104">
        <f>VLOOKUP($E1466,'Stock statement'!$D$2:$P$384,13,)</f>
        <v>68.308211638055738</v>
      </c>
      <c r="I1466" s="127">
        <v>2.5000000000000001E-2</v>
      </c>
      <c r="J1466" s="106">
        <v>1.0249999999999999</v>
      </c>
      <c r="K1466" s="106">
        <f t="shared" si="120"/>
        <v>1076.4947227834843</v>
      </c>
      <c r="L1466" s="115"/>
      <c r="M1466" s="104">
        <f t="shared" si="121"/>
        <v>12.40121920646574</v>
      </c>
    </row>
    <row r="1467" spans="1:13">
      <c r="A1467" s="100" t="str">
        <f>VLOOKUP(C1467,Abstract!$E$4:$M$62,9,0)</f>
        <v>ACTIVE</v>
      </c>
      <c r="B1467" s="99" t="s">
        <v>138</v>
      </c>
      <c r="C1467" s="133" t="s">
        <v>116</v>
      </c>
      <c r="D1467" s="133" t="s">
        <v>542</v>
      </c>
      <c r="E1467" s="95" t="s">
        <v>219</v>
      </c>
      <c r="F1467" s="95" t="s">
        <v>220</v>
      </c>
      <c r="G1467" s="109">
        <v>2.5000000000000001E-2</v>
      </c>
      <c r="H1467" s="104">
        <f>VLOOKUP($E1467,'Stock statement'!$D$2:$P$384,13,)</f>
        <v>549.27282042136164</v>
      </c>
      <c r="I1467" s="127">
        <v>2.5000000000000001E-2</v>
      </c>
      <c r="J1467" s="106">
        <v>1.0249999999999999</v>
      </c>
      <c r="K1467" s="106">
        <f t="shared" si="120"/>
        <v>14.426993923879825</v>
      </c>
      <c r="L1467" s="115"/>
      <c r="M1467" s="104">
        <f t="shared" si="121"/>
        <v>0.16619897000309558</v>
      </c>
    </row>
    <row r="1468" spans="1:13">
      <c r="A1468" s="100" t="str">
        <f>VLOOKUP(C1468,Abstract!$E$4:$M$62,9,0)</f>
        <v>ACTIVE</v>
      </c>
      <c r="B1468" s="99" t="s">
        <v>138</v>
      </c>
      <c r="C1468" s="133" t="s">
        <v>116</v>
      </c>
      <c r="D1468" s="133" t="s">
        <v>542</v>
      </c>
      <c r="E1468" s="95" t="s">
        <v>221</v>
      </c>
      <c r="F1468" s="95" t="s">
        <v>222</v>
      </c>
      <c r="G1468" s="109">
        <v>0.1</v>
      </c>
      <c r="H1468" s="104">
        <f>VLOOKUP($E1468,'Stock statement'!$D$2:$P$384,13,)</f>
        <v>494.13931116123297</v>
      </c>
      <c r="I1468" s="127">
        <v>2.5000000000000001E-2</v>
      </c>
      <c r="J1468" s="106">
        <v>1.0249999999999999</v>
      </c>
      <c r="K1468" s="106">
        <f t="shared" si="120"/>
        <v>51.915511378877035</v>
      </c>
      <c r="L1468" s="115"/>
      <c r="M1468" s="104">
        <f t="shared" si="121"/>
        <v>0.59806669108466348</v>
      </c>
    </row>
    <row r="1469" spans="1:13">
      <c r="A1469" s="100" t="str">
        <f>VLOOKUP(C1469,Abstract!$E$4:$M$62,9,0)</f>
        <v>ACTIVE</v>
      </c>
      <c r="B1469" s="99" t="s">
        <v>138</v>
      </c>
      <c r="C1469" s="133" t="s">
        <v>116</v>
      </c>
      <c r="D1469" s="133" t="s">
        <v>542</v>
      </c>
      <c r="E1469" s="95" t="s">
        <v>223</v>
      </c>
      <c r="F1469" s="95" t="s">
        <v>224</v>
      </c>
      <c r="G1469" s="109">
        <v>0.01</v>
      </c>
      <c r="H1469" s="104">
        <f>VLOOKUP($E1469,'Stock statement'!$D$2:$P$384,13,)</f>
        <v>661.66658982809031</v>
      </c>
      <c r="I1469" s="127">
        <v>2.5000000000000001E-2</v>
      </c>
      <c r="J1469" s="106">
        <v>1.0249999999999999</v>
      </c>
      <c r="K1469" s="106">
        <f t="shared" si="120"/>
        <v>6.9516346093813723</v>
      </c>
      <c r="L1469" s="115"/>
      <c r="M1469" s="104">
        <f t="shared" si="121"/>
        <v>8.008283070007341E-2</v>
      </c>
    </row>
    <row r="1470" spans="1:13">
      <c r="A1470" s="100" t="str">
        <f>VLOOKUP(C1470,Abstract!$E$4:$M$62,9,0)</f>
        <v>ACTIVE</v>
      </c>
      <c r="B1470" s="99" t="s">
        <v>138</v>
      </c>
      <c r="C1470" s="133" t="s">
        <v>116</v>
      </c>
      <c r="D1470" s="133" t="s">
        <v>542</v>
      </c>
      <c r="E1470" s="95" t="s">
        <v>225</v>
      </c>
      <c r="F1470" s="95" t="s">
        <v>226</v>
      </c>
      <c r="G1470" s="109">
        <v>6</v>
      </c>
      <c r="H1470" s="104">
        <f>VLOOKUP($E1470,'Stock statement'!$D$2:$P$384,13,)</f>
        <v>770.99998748629207</v>
      </c>
      <c r="I1470" s="127">
        <v>2.5000000000000001E-2</v>
      </c>
      <c r="J1470" s="106">
        <v>1.0249999999999999</v>
      </c>
      <c r="K1470" s="106">
        <f t="shared" si="120"/>
        <v>4860.1911711167131</v>
      </c>
      <c r="L1470" s="115"/>
      <c r="M1470" s="104">
        <f t="shared" si="121"/>
        <v>55.989402291264533</v>
      </c>
    </row>
    <row r="1471" spans="1:13">
      <c r="A1471" s="100" t="str">
        <f>VLOOKUP(C1471,Abstract!$E$4:$M$62,9,0)</f>
        <v>ACTIVE</v>
      </c>
      <c r="B1471" s="99" t="s">
        <v>138</v>
      </c>
      <c r="C1471" s="133" t="s">
        <v>116</v>
      </c>
      <c r="D1471" s="133" t="s">
        <v>542</v>
      </c>
      <c r="E1471" s="95" t="s">
        <v>181</v>
      </c>
      <c r="F1471" s="95" t="s">
        <v>182</v>
      </c>
      <c r="G1471" s="109">
        <v>12.5</v>
      </c>
      <c r="H1471" s="104">
        <f>VLOOKUP($E1471,'Stock statement'!$D$2:$P$384,13,)</f>
        <v>17.110276913020375</v>
      </c>
      <c r="I1471" s="127">
        <v>2.5000000000000001E-2</v>
      </c>
      <c r="J1471" s="106">
        <v>1.0249999999999999</v>
      </c>
      <c r="K1471" s="106">
        <f t="shared" si="120"/>
        <v>224.70605852177536</v>
      </c>
      <c r="L1471" s="115"/>
      <c r="M1471" s="104">
        <f t="shared" si="121"/>
        <v>2.5886137941708522</v>
      </c>
    </row>
    <row r="1472" spans="1:13">
      <c r="A1472" s="100" t="str">
        <f>VLOOKUP(C1472,Abstract!$E$4:$M$62,9,0)</f>
        <v>ACTIVE</v>
      </c>
      <c r="B1472" s="99" t="s">
        <v>183</v>
      </c>
      <c r="C1472" s="133" t="s">
        <v>116</v>
      </c>
      <c r="D1472" s="133" t="s">
        <v>542</v>
      </c>
      <c r="E1472" s="95">
        <v>214989</v>
      </c>
      <c r="F1472" s="95" t="s">
        <v>543</v>
      </c>
      <c r="G1472" s="109">
        <f>G1473*0.647</f>
        <v>56.16319444444445</v>
      </c>
      <c r="H1472" s="104">
        <f>VLOOKUP($E1472,'Stock statement'!$D$2:$P$384,13,)</f>
        <v>234</v>
      </c>
      <c r="I1472" s="127">
        <v>1.7500000000000002E-2</v>
      </c>
      <c r="J1472" s="106">
        <v>1</v>
      </c>
      <c r="K1472" s="106">
        <f t="shared" si="120"/>
        <v>13372.175781250004</v>
      </c>
      <c r="L1472" s="115"/>
      <c r="M1472" s="104">
        <f t="shared" si="121"/>
        <v>154.04746500000005</v>
      </c>
    </row>
    <row r="1473" spans="1:13">
      <c r="A1473" s="100" t="str">
        <f>VLOOKUP(C1473,Abstract!$E$4:$M$62,9,0)</f>
        <v>ACTIVE</v>
      </c>
      <c r="B1473" s="99" t="s">
        <v>183</v>
      </c>
      <c r="C1473" s="133" t="s">
        <v>116</v>
      </c>
      <c r="D1473" s="133" t="s">
        <v>542</v>
      </c>
      <c r="E1473" s="95">
        <v>215015</v>
      </c>
      <c r="F1473" s="95" t="s">
        <v>544</v>
      </c>
      <c r="G1473" s="109">
        <f>1000/(1920*6/1000)</f>
        <v>86.805555555555557</v>
      </c>
      <c r="H1473" s="104">
        <f>VLOOKUP($E1473,'Stock statement'!$D$2:$P$384,13,)</f>
        <v>40.736795117832195</v>
      </c>
      <c r="I1473" s="127">
        <v>6.0000000000000001E-3</v>
      </c>
      <c r="J1473" s="106">
        <v>1</v>
      </c>
      <c r="K1473" s="106">
        <f t="shared" si="120"/>
        <v>3557.3972125468044</v>
      </c>
      <c r="L1473" s="115"/>
      <c r="M1473" s="104">
        <f t="shared" si="121"/>
        <v>40.98121588853919</v>
      </c>
    </row>
    <row r="1474" spans="1:13">
      <c r="A1474" s="100" t="str">
        <f>VLOOKUP(C1474,Abstract!$E$4:$M$62,9,0)</f>
        <v>ACTIVE</v>
      </c>
      <c r="B1474" s="99" t="s">
        <v>183</v>
      </c>
      <c r="C1474" s="133" t="s">
        <v>116</v>
      </c>
      <c r="D1474" s="133" t="s">
        <v>542</v>
      </c>
      <c r="E1474" s="95" t="s">
        <v>191</v>
      </c>
      <c r="F1474" s="95" t="s">
        <v>192</v>
      </c>
      <c r="G1474" s="109">
        <f>G1473*0.02</f>
        <v>1.7361111111111112</v>
      </c>
      <c r="H1474" s="104">
        <f>VLOOKUP($E1474,'Stock statement'!$D$2:$P$384,13,)</f>
        <v>44.985440769279101</v>
      </c>
      <c r="I1474" s="127">
        <v>0.02</v>
      </c>
      <c r="J1474" s="106">
        <v>1</v>
      </c>
      <c r="K1474" s="106">
        <f t="shared" si="120"/>
        <v>79.661718028931745</v>
      </c>
      <c r="L1474" s="115"/>
      <c r="M1474" s="104">
        <f t="shared" si="121"/>
        <v>0.91770299169329372</v>
      </c>
    </row>
    <row r="1475" spans="1:13">
      <c r="A1475" s="100" t="str">
        <f>VLOOKUP(C1475,Abstract!$E$4:$M$62,9,0)</f>
        <v>ACTIVE</v>
      </c>
      <c r="B1475" s="99" t="s">
        <v>197</v>
      </c>
      <c r="C1475" s="133" t="s">
        <v>116</v>
      </c>
      <c r="D1475" s="133" t="s">
        <v>542</v>
      </c>
      <c r="E1475" s="95" t="s">
        <v>198</v>
      </c>
      <c r="F1475" s="95"/>
      <c r="G1475" s="109"/>
      <c r="H1475" s="104"/>
      <c r="I1475" s="127"/>
      <c r="J1475" s="106"/>
      <c r="K1475" s="106">
        <v>6180</v>
      </c>
      <c r="L1475" s="115">
        <f>SUM(K1450:K1475)</f>
        <v>59668.060281411053</v>
      </c>
      <c r="M1475" s="104">
        <f t="shared" si="121"/>
        <v>71.193600000000004</v>
      </c>
    </row>
    <row r="1476" spans="1:13">
      <c r="A1476" s="100" t="str">
        <f>VLOOKUP(C1476,Abstract!$E$4:$M$62,9,0)</f>
        <v>ACTIVE</v>
      </c>
      <c r="B1476" s="99" t="s">
        <v>138</v>
      </c>
      <c r="C1476" s="133" t="s">
        <v>118</v>
      </c>
      <c r="D1476" s="133" t="s">
        <v>545</v>
      </c>
      <c r="E1476" s="95" t="s">
        <v>139</v>
      </c>
      <c r="F1476" s="95" t="s">
        <v>140</v>
      </c>
      <c r="G1476" s="109">
        <v>741.16</v>
      </c>
      <c r="H1476" s="104">
        <f>VLOOKUP($E1476,'Stock statement'!$D$2:$P$384,13,)</f>
        <v>0.34</v>
      </c>
      <c r="I1476" s="127">
        <v>2.5000000000000001E-2</v>
      </c>
      <c r="J1476" s="106">
        <v>1.0249999999999999</v>
      </c>
      <c r="K1476" s="106">
        <f t="shared" ref="K1476:K1500" si="122">+G1476*H1476*(1+I1476)*J1476</f>
        <v>264.75161650000001</v>
      </c>
      <c r="L1476" s="115"/>
      <c r="M1476" s="104">
        <f>K1476/$G$1499</f>
        <v>3.04993862208</v>
      </c>
    </row>
    <row r="1477" spans="1:13">
      <c r="A1477" s="100" t="str">
        <f>VLOOKUP(C1477,Abstract!$E$4:$M$62,9,0)</f>
        <v>ACTIVE</v>
      </c>
      <c r="B1477" s="99" t="s">
        <v>138</v>
      </c>
      <c r="C1477" s="133" t="s">
        <v>118</v>
      </c>
      <c r="D1477" s="133" t="s">
        <v>545</v>
      </c>
      <c r="E1477" s="95" t="s">
        <v>141</v>
      </c>
      <c r="F1477" s="95" t="s">
        <v>142</v>
      </c>
      <c r="G1477" s="109">
        <v>185.7</v>
      </c>
      <c r="H1477" s="104">
        <f>VLOOKUP($E1477,'Stock statement'!$D$2:$P$384,13,)</f>
        <v>94.278330452007026</v>
      </c>
      <c r="I1477" s="127">
        <v>2.5000000000000001E-2</v>
      </c>
      <c r="J1477" s="106">
        <v>1.0249999999999999</v>
      </c>
      <c r="K1477" s="106">
        <f t="shared" si="122"/>
        <v>18393.80244191267</v>
      </c>
      <c r="L1477" s="115"/>
      <c r="M1477" s="104">
        <f t="shared" ref="M1477:M1501" si="123">K1477/$G$1499</f>
        <v>211.89660413083396</v>
      </c>
    </row>
    <row r="1478" spans="1:13">
      <c r="A1478" s="100" t="str">
        <f>VLOOKUP(C1478,Abstract!$E$4:$M$62,9,0)</f>
        <v>ACTIVE</v>
      </c>
      <c r="B1478" s="99" t="s">
        <v>138</v>
      </c>
      <c r="C1478" s="133" t="s">
        <v>118</v>
      </c>
      <c r="D1478" s="133" t="s">
        <v>545</v>
      </c>
      <c r="E1478" s="95" t="s">
        <v>145</v>
      </c>
      <c r="F1478" s="95" t="s">
        <v>146</v>
      </c>
      <c r="G1478" s="109">
        <v>10</v>
      </c>
      <c r="H1478" s="104">
        <f>VLOOKUP($E1478,'Stock statement'!$D$2:$P$384,13,)</f>
        <v>151.08681180977209</v>
      </c>
      <c r="I1478" s="127">
        <v>2.5000000000000001E-2</v>
      </c>
      <c r="J1478" s="106">
        <v>1.0249999999999999</v>
      </c>
      <c r="K1478" s="106">
        <f t="shared" si="122"/>
        <v>1587.3558165764177</v>
      </c>
      <c r="L1478" s="115"/>
      <c r="M1478" s="104">
        <f t="shared" si="123"/>
        <v>18.286339006960333</v>
      </c>
    </row>
    <row r="1479" spans="1:13">
      <c r="A1479" s="100" t="str">
        <f>VLOOKUP(C1479,Abstract!$E$4:$M$62,9,0)</f>
        <v>ACTIVE</v>
      </c>
      <c r="B1479" s="99" t="s">
        <v>138</v>
      </c>
      <c r="C1479" s="133" t="s">
        <v>118</v>
      </c>
      <c r="D1479" s="133" t="s">
        <v>545</v>
      </c>
      <c r="E1479" s="95" t="s">
        <v>149</v>
      </c>
      <c r="F1479" s="95" t="s">
        <v>208</v>
      </c>
      <c r="G1479" s="109">
        <v>0.125</v>
      </c>
      <c r="H1479" s="104">
        <f>VLOOKUP($E1479,'Stock statement'!$D$2:$P$384,13,)</f>
        <v>161.56941474217822</v>
      </c>
      <c r="I1479" s="127">
        <v>2.5000000000000001E-2</v>
      </c>
      <c r="J1479" s="106">
        <v>1.0249999999999999</v>
      </c>
      <c r="K1479" s="106">
        <f t="shared" si="122"/>
        <v>21.218608295437623</v>
      </c>
      <c r="L1479" s="115"/>
      <c r="M1479" s="104">
        <f t="shared" si="123"/>
        <v>0.24443836756344139</v>
      </c>
    </row>
    <row r="1480" spans="1:13">
      <c r="A1480" s="100" t="str">
        <f>VLOOKUP(C1480,Abstract!$E$4:$M$62,9,0)</f>
        <v>ACTIVE</v>
      </c>
      <c r="B1480" s="99" t="s">
        <v>138</v>
      </c>
      <c r="C1480" s="133" t="s">
        <v>118</v>
      </c>
      <c r="D1480" s="133" t="s">
        <v>545</v>
      </c>
      <c r="E1480" s="95" t="s">
        <v>151</v>
      </c>
      <c r="F1480" s="95" t="s">
        <v>152</v>
      </c>
      <c r="G1480" s="109">
        <v>2.5</v>
      </c>
      <c r="H1480" s="104">
        <f>VLOOKUP($E1480,'Stock statement'!$D$2:$P$384,13,)</f>
        <v>762.38931335604309</v>
      </c>
      <c r="I1480" s="127">
        <v>2.5000000000000001E-2</v>
      </c>
      <c r="J1480" s="106">
        <v>1.0249999999999999</v>
      </c>
      <c r="K1480" s="106">
        <f t="shared" si="122"/>
        <v>2002.4631808617316</v>
      </c>
      <c r="L1480" s="115"/>
      <c r="M1480" s="104">
        <f t="shared" si="123"/>
        <v>23.068375843527146</v>
      </c>
    </row>
    <row r="1481" spans="1:13">
      <c r="A1481" s="100" t="str">
        <f>VLOOKUP(C1481,Abstract!$E$4:$M$62,9,0)</f>
        <v>ACTIVE</v>
      </c>
      <c r="B1481" s="99" t="s">
        <v>138</v>
      </c>
      <c r="C1481" s="133" t="s">
        <v>118</v>
      </c>
      <c r="D1481" s="133" t="s">
        <v>545</v>
      </c>
      <c r="E1481" s="95" t="s">
        <v>157</v>
      </c>
      <c r="F1481" s="95" t="s">
        <v>158</v>
      </c>
      <c r="G1481" s="109">
        <v>1</v>
      </c>
      <c r="H1481" s="104">
        <f>VLOOKUP($E1481,'Stock statement'!$D$2:$P$384,13,)</f>
        <v>828.81974703846117</v>
      </c>
      <c r="I1481" s="127">
        <v>2.5000000000000001E-2</v>
      </c>
      <c r="J1481" s="106">
        <v>1.0249999999999999</v>
      </c>
      <c r="K1481" s="106">
        <f t="shared" si="122"/>
        <v>870.77874673228314</v>
      </c>
      <c r="L1481" s="115"/>
      <c r="M1481" s="104">
        <f t="shared" si="123"/>
        <v>10.031371162355901</v>
      </c>
    </row>
    <row r="1482" spans="1:13">
      <c r="A1482" s="100" t="str">
        <f>VLOOKUP(C1482,Abstract!$E$4:$M$62,9,0)</f>
        <v>ACTIVE</v>
      </c>
      <c r="B1482" s="99" t="s">
        <v>138</v>
      </c>
      <c r="C1482" s="133" t="s">
        <v>118</v>
      </c>
      <c r="D1482" s="133" t="s">
        <v>545</v>
      </c>
      <c r="E1482" s="95">
        <v>115150</v>
      </c>
      <c r="F1482" s="95" t="s">
        <v>159</v>
      </c>
      <c r="G1482" s="109">
        <v>1</v>
      </c>
      <c r="H1482" s="104">
        <f>VLOOKUP($E1482,'Stock statement'!$D$2:$P$384,13,)</f>
        <v>456.30699446392703</v>
      </c>
      <c r="I1482" s="127">
        <v>2.5000000000000001E-2</v>
      </c>
      <c r="J1482" s="106">
        <v>1.0249999999999999</v>
      </c>
      <c r="K1482" s="106">
        <f t="shared" si="122"/>
        <v>479.40753605866325</v>
      </c>
      <c r="L1482" s="115"/>
      <c r="M1482" s="104">
        <f t="shared" si="123"/>
        <v>5.5227748153958007</v>
      </c>
    </row>
    <row r="1483" spans="1:13">
      <c r="A1483" s="100" t="str">
        <f>VLOOKUP(C1483,Abstract!$E$4:$M$62,9,0)</f>
        <v>ACTIVE</v>
      </c>
      <c r="B1483" s="99" t="s">
        <v>138</v>
      </c>
      <c r="C1483" s="133" t="s">
        <v>118</v>
      </c>
      <c r="D1483" s="133" t="s">
        <v>545</v>
      </c>
      <c r="E1483" s="95" t="s">
        <v>160</v>
      </c>
      <c r="F1483" s="95" t="s">
        <v>161</v>
      </c>
      <c r="G1483" s="109">
        <v>0.25</v>
      </c>
      <c r="H1483" s="104">
        <f>VLOOKUP($E1483,'Stock statement'!$D$2:$P$384,13,)</f>
        <v>3313.2387673094586</v>
      </c>
      <c r="I1483" s="127">
        <v>2.5000000000000001E-2</v>
      </c>
      <c r="J1483" s="106">
        <v>1.0249999999999999</v>
      </c>
      <c r="K1483" s="106">
        <f t="shared" si="122"/>
        <v>870.24286997612489</v>
      </c>
      <c r="L1483" s="115"/>
      <c r="M1483" s="104">
        <f t="shared" si="123"/>
        <v>10.025197862124958</v>
      </c>
    </row>
    <row r="1484" spans="1:13">
      <c r="A1484" s="100" t="str">
        <f>VLOOKUP(C1484,Abstract!$E$4:$M$62,9,0)</f>
        <v>ACTIVE</v>
      </c>
      <c r="B1484" s="99" t="s">
        <v>138</v>
      </c>
      <c r="C1484" s="133" t="s">
        <v>118</v>
      </c>
      <c r="D1484" s="133" t="s">
        <v>545</v>
      </c>
      <c r="E1484" s="95" t="s">
        <v>166</v>
      </c>
      <c r="F1484" s="95" t="s">
        <v>167</v>
      </c>
      <c r="G1484" s="109">
        <v>2.5</v>
      </c>
      <c r="H1484" s="104">
        <f>VLOOKUP($E1484,'Stock statement'!$D$2:$P$384,13,)</f>
        <v>127.15913438761541</v>
      </c>
      <c r="I1484" s="127">
        <v>2.5000000000000001E-2</v>
      </c>
      <c r="J1484" s="106">
        <v>1.0249999999999999</v>
      </c>
      <c r="K1484" s="106">
        <f t="shared" si="122"/>
        <v>333.99141391497102</v>
      </c>
      <c r="L1484" s="115"/>
      <c r="M1484" s="104">
        <f t="shared" si="123"/>
        <v>3.847581088300466</v>
      </c>
    </row>
    <row r="1485" spans="1:13">
      <c r="A1485" s="100" t="str">
        <f>VLOOKUP(C1485,Abstract!$E$4:$M$62,9,0)</f>
        <v>ACTIVE</v>
      </c>
      <c r="B1485" s="99" t="s">
        <v>138</v>
      </c>
      <c r="C1485" s="133" t="s">
        <v>118</v>
      </c>
      <c r="D1485" s="133" t="s">
        <v>545</v>
      </c>
      <c r="E1485" s="95" t="s">
        <v>209</v>
      </c>
      <c r="F1485" s="95" t="s">
        <v>210</v>
      </c>
      <c r="G1485" s="109">
        <v>20</v>
      </c>
      <c r="H1485" s="104">
        <f>VLOOKUP($E1485,'Stock statement'!$D$2:$P$384,13,)</f>
        <v>220.67282625366343</v>
      </c>
      <c r="I1485" s="127">
        <v>2.5000000000000001E-2</v>
      </c>
      <c r="J1485" s="106">
        <v>1.0249999999999999</v>
      </c>
      <c r="K1485" s="106">
        <f t="shared" si="122"/>
        <v>4636.8877616551026</v>
      </c>
      <c r="L1485" s="115"/>
      <c r="M1485" s="104">
        <f t="shared" si="123"/>
        <v>53.416947014266782</v>
      </c>
    </row>
    <row r="1486" spans="1:13">
      <c r="A1486" s="100" t="str">
        <f>VLOOKUP(C1486,Abstract!$E$4:$M$62,9,0)</f>
        <v>ACTIVE</v>
      </c>
      <c r="B1486" s="99" t="s">
        <v>138</v>
      </c>
      <c r="C1486" s="133" t="s">
        <v>118</v>
      </c>
      <c r="D1486" s="133" t="s">
        <v>545</v>
      </c>
      <c r="E1486" s="95" t="s">
        <v>153</v>
      </c>
      <c r="F1486" s="95" t="s">
        <v>154</v>
      </c>
      <c r="G1486" s="109">
        <v>0.75</v>
      </c>
      <c r="H1486" s="104">
        <f>VLOOKUP($E1486,'Stock statement'!$D$2:$P$384,13,)</f>
        <v>84.206363687840948</v>
      </c>
      <c r="I1486" s="127">
        <v>2.5000000000000001E-2</v>
      </c>
      <c r="J1486" s="106">
        <v>1.0249999999999999</v>
      </c>
      <c r="K1486" s="106">
        <f t="shared" si="122"/>
        <v>66.351983137153411</v>
      </c>
      <c r="L1486" s="115"/>
      <c r="M1486" s="104">
        <f t="shared" si="123"/>
        <v>0.76437484574000725</v>
      </c>
    </row>
    <row r="1487" spans="1:13">
      <c r="A1487" s="100" t="str">
        <f>VLOOKUP(C1487,Abstract!$E$4:$M$62,9,0)</f>
        <v>ACTIVE</v>
      </c>
      <c r="B1487" s="99" t="s">
        <v>138</v>
      </c>
      <c r="C1487" s="133" t="s">
        <v>118</v>
      </c>
      <c r="D1487" s="133" t="s">
        <v>545</v>
      </c>
      <c r="E1487" s="95" t="s">
        <v>147</v>
      </c>
      <c r="F1487" s="95" t="s">
        <v>148</v>
      </c>
      <c r="G1487" s="109">
        <v>1</v>
      </c>
      <c r="H1487" s="104">
        <f>VLOOKUP($E1487,'Stock statement'!$D$2:$P$384,13,)</f>
        <v>353.50950483838068</v>
      </c>
      <c r="I1487" s="127">
        <v>2.5000000000000001E-2</v>
      </c>
      <c r="J1487" s="106">
        <v>1.0249999999999999</v>
      </c>
      <c r="K1487" s="106">
        <f t="shared" si="122"/>
        <v>371.40592352082365</v>
      </c>
      <c r="L1487" s="115"/>
      <c r="M1487" s="104">
        <f t="shared" si="123"/>
        <v>4.2785962389598886</v>
      </c>
    </row>
    <row r="1488" spans="1:13">
      <c r="A1488" s="100" t="str">
        <f>VLOOKUP(C1488,Abstract!$E$4:$M$62,9,0)</f>
        <v>ACTIVE</v>
      </c>
      <c r="B1488" s="99" t="s">
        <v>138</v>
      </c>
      <c r="C1488" s="133" t="s">
        <v>118</v>
      </c>
      <c r="D1488" s="133" t="s">
        <v>545</v>
      </c>
      <c r="E1488" s="95" t="s">
        <v>211</v>
      </c>
      <c r="F1488" s="95" t="s">
        <v>212</v>
      </c>
      <c r="G1488" s="109">
        <v>0.1</v>
      </c>
      <c r="H1488" s="104">
        <f>VLOOKUP($E1488,'Stock statement'!$D$2:$P$384,13,)</f>
        <v>1279.5862001575747</v>
      </c>
      <c r="I1488" s="127">
        <v>2.5000000000000001E-2</v>
      </c>
      <c r="J1488" s="106">
        <v>1.0249999999999999</v>
      </c>
      <c r="K1488" s="106">
        <f t="shared" si="122"/>
        <v>134.43652515405518</v>
      </c>
      <c r="L1488" s="115"/>
      <c r="M1488" s="104">
        <f t="shared" si="123"/>
        <v>1.5487087697747155</v>
      </c>
    </row>
    <row r="1489" spans="1:13">
      <c r="A1489" s="100" t="str">
        <f>VLOOKUP(C1489,Abstract!$E$4:$M$62,9,0)</f>
        <v>ACTIVE</v>
      </c>
      <c r="B1489" s="99" t="s">
        <v>138</v>
      </c>
      <c r="C1489" s="133" t="s">
        <v>118</v>
      </c>
      <c r="D1489" s="133" t="s">
        <v>545</v>
      </c>
      <c r="E1489" s="95" t="s">
        <v>213</v>
      </c>
      <c r="F1489" s="95" t="s">
        <v>214</v>
      </c>
      <c r="G1489" s="109">
        <v>0.09</v>
      </c>
      <c r="H1489" s="104">
        <f>VLOOKUP($E1489,'Stock statement'!$D$2:$P$384,13,)</f>
        <v>674.683130739744</v>
      </c>
      <c r="I1489" s="127">
        <v>2.5000000000000001E-2</v>
      </c>
      <c r="J1489" s="106">
        <v>1.0249999999999999</v>
      </c>
      <c r="K1489" s="106">
        <f t="shared" si="122"/>
        <v>63.795506781009905</v>
      </c>
      <c r="L1489" s="115"/>
      <c r="M1489" s="104">
        <f t="shared" si="123"/>
        <v>0.73492423811723406</v>
      </c>
    </row>
    <row r="1490" spans="1:13">
      <c r="A1490" s="100" t="str">
        <f>VLOOKUP(C1490,Abstract!$E$4:$M$62,9,0)</f>
        <v>ACTIVE</v>
      </c>
      <c r="B1490" s="99" t="s">
        <v>138</v>
      </c>
      <c r="C1490" s="133" t="s">
        <v>118</v>
      </c>
      <c r="D1490" s="133" t="s">
        <v>545</v>
      </c>
      <c r="E1490" s="95" t="s">
        <v>215</v>
      </c>
      <c r="F1490" s="95" t="s">
        <v>216</v>
      </c>
      <c r="G1490" s="109">
        <v>0.09</v>
      </c>
      <c r="H1490" s="104">
        <f>VLOOKUP($E1490,'Stock statement'!$D$2:$P$384,13,)</f>
        <v>545.51731168806748</v>
      </c>
      <c r="I1490" s="127">
        <v>2.5000000000000001E-2</v>
      </c>
      <c r="J1490" s="106">
        <v>1.0249999999999999</v>
      </c>
      <c r="K1490" s="106">
        <f t="shared" si="122"/>
        <v>51.582071303304822</v>
      </c>
      <c r="L1490" s="115"/>
      <c r="M1490" s="104">
        <f t="shared" si="123"/>
        <v>0.59422546141407151</v>
      </c>
    </row>
    <row r="1491" spans="1:13">
      <c r="A1491" s="100" t="str">
        <f>VLOOKUP(C1491,Abstract!$E$4:$M$62,9,0)</f>
        <v>ACTIVE</v>
      </c>
      <c r="B1491" s="99" t="s">
        <v>138</v>
      </c>
      <c r="C1491" s="133" t="s">
        <v>118</v>
      </c>
      <c r="D1491" s="133" t="s">
        <v>545</v>
      </c>
      <c r="E1491" s="95" t="s">
        <v>217</v>
      </c>
      <c r="F1491" s="95" t="s">
        <v>218</v>
      </c>
      <c r="G1491" s="109">
        <v>0.1</v>
      </c>
      <c r="H1491" s="104">
        <f>VLOOKUP($E1491,'Stock statement'!$D$2:$P$384,13,)</f>
        <v>910.5767983004796</v>
      </c>
      <c r="I1491" s="127">
        <v>2.5000000000000001E-2</v>
      </c>
      <c r="J1491" s="106">
        <v>1.0249999999999999</v>
      </c>
      <c r="K1491" s="106">
        <f t="shared" si="122"/>
        <v>95.667474871444114</v>
      </c>
      <c r="L1491" s="115"/>
      <c r="M1491" s="104">
        <f t="shared" si="123"/>
        <v>1.1020893105190361</v>
      </c>
    </row>
    <row r="1492" spans="1:13">
      <c r="A1492" s="100" t="str">
        <f>VLOOKUP(C1492,Abstract!$E$4:$M$62,9,0)</f>
        <v>ACTIVE</v>
      </c>
      <c r="B1492" s="99" t="s">
        <v>138</v>
      </c>
      <c r="C1492" s="133" t="s">
        <v>118</v>
      </c>
      <c r="D1492" s="133" t="s">
        <v>545</v>
      </c>
      <c r="E1492" s="95" t="s">
        <v>155</v>
      </c>
      <c r="F1492" s="95" t="s">
        <v>156</v>
      </c>
      <c r="G1492" s="109">
        <v>15</v>
      </c>
      <c r="H1492" s="104">
        <f>VLOOKUP($E1492,'Stock statement'!$D$2:$P$384,13,)</f>
        <v>68.308211638055738</v>
      </c>
      <c r="I1492" s="127">
        <v>2.5000000000000001E-2</v>
      </c>
      <c r="J1492" s="106">
        <v>1.0249999999999999</v>
      </c>
      <c r="K1492" s="106">
        <f t="shared" si="122"/>
        <v>1076.4947227834843</v>
      </c>
      <c r="L1492" s="115"/>
      <c r="M1492" s="104">
        <f t="shared" si="123"/>
        <v>12.40121920646574</v>
      </c>
    </row>
    <row r="1493" spans="1:13">
      <c r="A1493" s="100" t="str">
        <f>VLOOKUP(C1493,Abstract!$E$4:$M$62,9,0)</f>
        <v>ACTIVE</v>
      </c>
      <c r="B1493" s="99" t="s">
        <v>138</v>
      </c>
      <c r="C1493" s="133" t="s">
        <v>118</v>
      </c>
      <c r="D1493" s="133" t="s">
        <v>545</v>
      </c>
      <c r="E1493" s="95" t="s">
        <v>219</v>
      </c>
      <c r="F1493" s="95" t="s">
        <v>220</v>
      </c>
      <c r="G1493" s="109">
        <v>2.5000000000000001E-2</v>
      </c>
      <c r="H1493" s="104">
        <f>VLOOKUP($E1493,'Stock statement'!$D$2:$P$384,13,)</f>
        <v>549.27282042136164</v>
      </c>
      <c r="I1493" s="127">
        <v>2.5000000000000001E-2</v>
      </c>
      <c r="J1493" s="106">
        <v>1.0249999999999999</v>
      </c>
      <c r="K1493" s="106">
        <f t="shared" si="122"/>
        <v>14.426993923879825</v>
      </c>
      <c r="L1493" s="115"/>
      <c r="M1493" s="104">
        <f t="shared" si="123"/>
        <v>0.16619897000309558</v>
      </c>
    </row>
    <row r="1494" spans="1:13">
      <c r="A1494" s="100" t="str">
        <f>VLOOKUP(C1494,Abstract!$E$4:$M$62,9,0)</f>
        <v>ACTIVE</v>
      </c>
      <c r="B1494" s="99" t="s">
        <v>138</v>
      </c>
      <c r="C1494" s="133" t="s">
        <v>118</v>
      </c>
      <c r="D1494" s="133" t="s">
        <v>545</v>
      </c>
      <c r="E1494" s="95" t="s">
        <v>221</v>
      </c>
      <c r="F1494" s="95" t="s">
        <v>222</v>
      </c>
      <c r="G1494" s="109">
        <v>0.1</v>
      </c>
      <c r="H1494" s="104">
        <f>VLOOKUP($E1494,'Stock statement'!$D$2:$P$384,13,)</f>
        <v>494.13931116123297</v>
      </c>
      <c r="I1494" s="127">
        <v>2.5000000000000001E-2</v>
      </c>
      <c r="J1494" s="106">
        <v>1.0249999999999999</v>
      </c>
      <c r="K1494" s="106">
        <f t="shared" si="122"/>
        <v>51.915511378877035</v>
      </c>
      <c r="L1494" s="115"/>
      <c r="M1494" s="104">
        <f t="shared" si="123"/>
        <v>0.59806669108466348</v>
      </c>
    </row>
    <row r="1495" spans="1:13">
      <c r="A1495" s="100" t="str">
        <f>VLOOKUP(C1495,Abstract!$E$4:$M$62,9,0)</f>
        <v>ACTIVE</v>
      </c>
      <c r="B1495" s="99" t="s">
        <v>138</v>
      </c>
      <c r="C1495" s="133" t="s">
        <v>118</v>
      </c>
      <c r="D1495" s="133" t="s">
        <v>545</v>
      </c>
      <c r="E1495" s="95" t="s">
        <v>223</v>
      </c>
      <c r="F1495" s="95" t="s">
        <v>224</v>
      </c>
      <c r="G1495" s="109">
        <v>0.01</v>
      </c>
      <c r="H1495" s="104">
        <f>VLOOKUP($E1495,'Stock statement'!$D$2:$P$384,13,)</f>
        <v>661.66658982809031</v>
      </c>
      <c r="I1495" s="127">
        <v>2.5000000000000001E-2</v>
      </c>
      <c r="J1495" s="106">
        <v>1.0249999999999999</v>
      </c>
      <c r="K1495" s="106">
        <f t="shared" si="122"/>
        <v>6.9516346093813723</v>
      </c>
      <c r="L1495" s="115"/>
      <c r="M1495" s="104">
        <f t="shared" si="123"/>
        <v>8.008283070007341E-2</v>
      </c>
    </row>
    <row r="1496" spans="1:13">
      <c r="A1496" s="100" t="str">
        <f>VLOOKUP(C1496,Abstract!$E$4:$M$62,9,0)</f>
        <v>ACTIVE</v>
      </c>
      <c r="B1496" s="99" t="s">
        <v>138</v>
      </c>
      <c r="C1496" s="133" t="s">
        <v>118</v>
      </c>
      <c r="D1496" s="133" t="s">
        <v>545</v>
      </c>
      <c r="E1496" s="95" t="s">
        <v>225</v>
      </c>
      <c r="F1496" s="95" t="s">
        <v>226</v>
      </c>
      <c r="G1496" s="109">
        <v>6</v>
      </c>
      <c r="H1496" s="104">
        <f>VLOOKUP($E1496,'Stock statement'!$D$2:$P$384,13,)</f>
        <v>770.99998748629207</v>
      </c>
      <c r="I1496" s="127">
        <v>2.5000000000000001E-2</v>
      </c>
      <c r="J1496" s="106">
        <v>1.0249999999999999</v>
      </c>
      <c r="K1496" s="106">
        <f t="shared" si="122"/>
        <v>4860.1911711167131</v>
      </c>
      <c r="L1496" s="115"/>
      <c r="M1496" s="104">
        <f t="shared" si="123"/>
        <v>55.989402291264533</v>
      </c>
    </row>
    <row r="1497" spans="1:13">
      <c r="A1497" s="100" t="str">
        <f>VLOOKUP(C1497,Abstract!$E$4:$M$62,9,0)</f>
        <v>ACTIVE</v>
      </c>
      <c r="B1497" s="99" t="s">
        <v>138</v>
      </c>
      <c r="C1497" s="133" t="s">
        <v>118</v>
      </c>
      <c r="D1497" s="133" t="s">
        <v>545</v>
      </c>
      <c r="E1497" s="95" t="s">
        <v>181</v>
      </c>
      <c r="F1497" s="95" t="s">
        <v>182</v>
      </c>
      <c r="G1497" s="109">
        <v>12.5</v>
      </c>
      <c r="H1497" s="104">
        <f>VLOOKUP($E1497,'Stock statement'!$D$2:$P$384,13,)</f>
        <v>17.110276913020375</v>
      </c>
      <c r="I1497" s="127">
        <v>2.5000000000000001E-2</v>
      </c>
      <c r="J1497" s="106">
        <v>1.0249999999999999</v>
      </c>
      <c r="K1497" s="106">
        <f t="shared" si="122"/>
        <v>224.70605852177536</v>
      </c>
      <c r="L1497" s="115"/>
      <c r="M1497" s="104">
        <f t="shared" si="123"/>
        <v>2.5886137941708522</v>
      </c>
    </row>
    <row r="1498" spans="1:13">
      <c r="A1498" s="100" t="str">
        <f>VLOOKUP(C1498,Abstract!$E$4:$M$62,9,0)</f>
        <v>ACTIVE</v>
      </c>
      <c r="B1498" s="99" t="s">
        <v>183</v>
      </c>
      <c r="C1498" s="133" t="s">
        <v>118</v>
      </c>
      <c r="D1498" s="133" t="s">
        <v>545</v>
      </c>
      <c r="E1498" s="95">
        <v>214990</v>
      </c>
      <c r="F1498" s="95" t="s">
        <v>546</v>
      </c>
      <c r="G1498" s="109">
        <f>G1499*0.647</f>
        <v>56.16319444444445</v>
      </c>
      <c r="H1498" s="104">
        <f>VLOOKUP($E1498,'Stock statement'!$D$2:$P$384,13,)</f>
        <v>235.42154885186852</v>
      </c>
      <c r="I1498" s="127">
        <v>1.7500000000000002E-2</v>
      </c>
      <c r="J1498" s="106">
        <v>1</v>
      </c>
      <c r="K1498" s="106">
        <f t="shared" si="122"/>
        <v>13453.411683509916</v>
      </c>
      <c r="L1498" s="115"/>
      <c r="M1498" s="104">
        <f t="shared" si="123"/>
        <v>154.98330259403423</v>
      </c>
    </row>
    <row r="1499" spans="1:13">
      <c r="A1499" s="100" t="str">
        <f>VLOOKUP(C1499,Abstract!$E$4:$M$62,9,0)</f>
        <v>ACTIVE</v>
      </c>
      <c r="B1499" s="99" t="s">
        <v>183</v>
      </c>
      <c r="C1499" s="133" t="s">
        <v>118</v>
      </c>
      <c r="D1499" s="133" t="s">
        <v>545</v>
      </c>
      <c r="E1499" s="95">
        <v>215016</v>
      </c>
      <c r="F1499" s="95" t="s">
        <v>547</v>
      </c>
      <c r="G1499" s="109">
        <f>1000/(1920*6/1000)</f>
        <v>86.805555555555557</v>
      </c>
      <c r="H1499" s="104">
        <f>VLOOKUP($E1499,'Stock statement'!$D$2:$P$384,13,)</f>
        <v>40.69</v>
      </c>
      <c r="I1499" s="127">
        <v>6.0000000000000001E-3</v>
      </c>
      <c r="J1499" s="106">
        <v>1</v>
      </c>
      <c r="K1499" s="106">
        <f t="shared" si="122"/>
        <v>3553.3107638888887</v>
      </c>
      <c r="L1499" s="115"/>
      <c r="M1499" s="104">
        <f t="shared" si="123"/>
        <v>40.934139999999999</v>
      </c>
    </row>
    <row r="1500" spans="1:13">
      <c r="A1500" s="100" t="str">
        <f>VLOOKUP(C1500,Abstract!$E$4:$M$62,9,0)</f>
        <v>ACTIVE</v>
      </c>
      <c r="B1500" s="99" t="s">
        <v>183</v>
      </c>
      <c r="C1500" s="133" t="s">
        <v>118</v>
      </c>
      <c r="D1500" s="133" t="s">
        <v>545</v>
      </c>
      <c r="E1500" s="95" t="s">
        <v>191</v>
      </c>
      <c r="F1500" s="95" t="s">
        <v>192</v>
      </c>
      <c r="G1500" s="109">
        <f>G1499*0.02</f>
        <v>1.7361111111111112</v>
      </c>
      <c r="H1500" s="104">
        <f>VLOOKUP($E1500,'Stock statement'!$D$2:$P$384,13,)</f>
        <v>44.985440769279101</v>
      </c>
      <c r="I1500" s="127">
        <v>0.02</v>
      </c>
      <c r="J1500" s="106">
        <v>1</v>
      </c>
      <c r="K1500" s="106">
        <f t="shared" si="122"/>
        <v>79.661718028931745</v>
      </c>
      <c r="L1500" s="115"/>
      <c r="M1500" s="104">
        <f t="shared" si="123"/>
        <v>0.91770299169329372</v>
      </c>
    </row>
    <row r="1501" spans="1:13">
      <c r="A1501" s="100" t="str">
        <f>VLOOKUP(C1501,Abstract!$E$4:$M$62,9,0)</f>
        <v>ACTIVE</v>
      </c>
      <c r="B1501" s="99" t="s">
        <v>197</v>
      </c>
      <c r="C1501" s="133" t="s">
        <v>118</v>
      </c>
      <c r="D1501" s="133" t="s">
        <v>545</v>
      </c>
      <c r="E1501" s="95" t="s">
        <v>198</v>
      </c>
      <c r="F1501" s="95"/>
      <c r="G1501" s="109"/>
      <c r="H1501" s="104"/>
      <c r="I1501" s="127"/>
      <c r="J1501" s="106"/>
      <c r="K1501" s="106">
        <v>6180</v>
      </c>
      <c r="L1501" s="115">
        <f>SUM(K1476:K1501)</f>
        <v>59745.20973501305</v>
      </c>
      <c r="M1501" s="104">
        <f t="shared" si="123"/>
        <v>71.193600000000004</v>
      </c>
    </row>
    <row r="1502" spans="1:13">
      <c r="A1502" s="100" t="str">
        <f>VLOOKUP(C1502,Abstract!$E$4:$M$62,9,0)</f>
        <v>ACTIVE</v>
      </c>
      <c r="B1502" s="99" t="s">
        <v>138</v>
      </c>
      <c r="C1502" s="133" t="s">
        <v>122</v>
      </c>
      <c r="D1502" s="133" t="s">
        <v>123</v>
      </c>
      <c r="E1502" s="95" t="s">
        <v>141</v>
      </c>
      <c r="F1502" s="95" t="s">
        <v>142</v>
      </c>
      <c r="G1502" s="109">
        <v>192.77</v>
      </c>
      <c r="H1502" s="104">
        <f>VLOOKUP($E1502,'Stock statement'!$D$2:$P$384,13,)</f>
        <v>94.278330452007026</v>
      </c>
      <c r="I1502" s="127">
        <v>2.5000000000000001E-2</v>
      </c>
      <c r="J1502" s="106">
        <v>1.0249999999999999</v>
      </c>
      <c r="K1502" s="106">
        <f>+G1502*H1502*(1+I1502)*J1502</f>
        <v>19094.094220395833</v>
      </c>
      <c r="L1502" s="115"/>
      <c r="M1502" s="104">
        <f>K1502/$G$1528</f>
        <v>164.97297406421998</v>
      </c>
    </row>
    <row r="1503" spans="1:13">
      <c r="A1503" s="100" t="str">
        <f>VLOOKUP(C1503,Abstract!$E$4:$M$62,9,0)</f>
        <v>ACTIVE</v>
      </c>
      <c r="B1503" s="99" t="s">
        <v>138</v>
      </c>
      <c r="C1503" s="133" t="s">
        <v>122</v>
      </c>
      <c r="D1503" s="133" t="s">
        <v>123</v>
      </c>
      <c r="E1503" s="95" t="s">
        <v>145</v>
      </c>
      <c r="F1503" s="95" t="s">
        <v>146</v>
      </c>
      <c r="G1503" s="109">
        <v>10</v>
      </c>
      <c r="H1503" s="104">
        <f>VLOOKUP($E1503,'Stock statement'!$D$2:$P$384,13,)</f>
        <v>151.08681180977209</v>
      </c>
      <c r="I1503" s="127">
        <v>2.5000000000000001E-2</v>
      </c>
      <c r="J1503" s="106">
        <v>1.0249999999999999</v>
      </c>
      <c r="K1503" s="106">
        <f>+G1503*H1503*(1+I1503)*J1503</f>
        <v>1587.3558165764177</v>
      </c>
      <c r="L1503" s="115"/>
      <c r="M1503" s="104">
        <f t="shared" ref="M1503:M1530" si="124">K1503/$G$1528</f>
        <v>13.714754255220248</v>
      </c>
    </row>
    <row r="1504" spans="1:13">
      <c r="A1504" s="100" t="str">
        <f>VLOOKUP(C1504,Abstract!$E$4:$M$62,9,0)</f>
        <v>ACTIVE</v>
      </c>
      <c r="B1504" s="99" t="s">
        <v>138</v>
      </c>
      <c r="C1504" s="133" t="s">
        <v>122</v>
      </c>
      <c r="D1504" s="133" t="s">
        <v>123</v>
      </c>
      <c r="E1504" s="95" t="s">
        <v>482</v>
      </c>
      <c r="F1504" s="95" t="s">
        <v>483</v>
      </c>
      <c r="G1504" s="109">
        <v>0.5</v>
      </c>
      <c r="H1504" s="104">
        <f>VLOOKUP($E1504,'Stock statement'!$D$2:$P$384,13,)</f>
        <v>1722.552326984485</v>
      </c>
      <c r="I1504" s="127">
        <v>2.5000000000000001E-2</v>
      </c>
      <c r="J1504" s="106">
        <v>1.0249999999999999</v>
      </c>
      <c r="K1504" s="106">
        <f t="shared" ref="K1504:K1518" si="125">+G1504*H1504*(1+I1504)*J1504</f>
        <v>904.87826926903711</v>
      </c>
      <c r="L1504" s="115"/>
      <c r="M1504" s="104">
        <f t="shared" si="124"/>
        <v>7.8181482464844798</v>
      </c>
    </row>
    <row r="1505" spans="1:13">
      <c r="A1505" s="100" t="str">
        <f>VLOOKUP(C1505,Abstract!$E$4:$M$62,9,0)</f>
        <v>ACTIVE</v>
      </c>
      <c r="B1505" s="99" t="s">
        <v>138</v>
      </c>
      <c r="C1505" s="133" t="s">
        <v>122</v>
      </c>
      <c r="D1505" s="133" t="s">
        <v>123</v>
      </c>
      <c r="E1505" s="95" t="s">
        <v>484</v>
      </c>
      <c r="F1505" s="95" t="s">
        <v>485</v>
      </c>
      <c r="G1505" s="109">
        <v>3.5</v>
      </c>
      <c r="H1505" s="104">
        <f>VLOOKUP($E1505,'Stock statement'!$D$2:$P$384,13,)</f>
        <v>320.21540031763823</v>
      </c>
      <c r="I1505" s="127">
        <v>2.5000000000000001E-2</v>
      </c>
      <c r="J1505" s="106">
        <v>1.0249999999999999</v>
      </c>
      <c r="K1505" s="106">
        <f t="shared" si="125"/>
        <v>1177.492067355515</v>
      </c>
      <c r="L1505" s="115"/>
      <c r="M1505" s="104">
        <f t="shared" si="124"/>
        <v>10.173531461951649</v>
      </c>
    </row>
    <row r="1506" spans="1:13">
      <c r="A1506" s="100" t="str">
        <f>VLOOKUP(C1506,Abstract!$E$4:$M$62,9,0)</f>
        <v>ACTIVE</v>
      </c>
      <c r="B1506" s="99" t="s">
        <v>138</v>
      </c>
      <c r="C1506" s="133" t="s">
        <v>122</v>
      </c>
      <c r="D1506" s="133" t="s">
        <v>123</v>
      </c>
      <c r="E1506" s="95" t="s">
        <v>149</v>
      </c>
      <c r="F1506" s="95" t="s">
        <v>150</v>
      </c>
      <c r="G1506" s="109">
        <v>0.75</v>
      </c>
      <c r="H1506" s="104">
        <f>VLOOKUP($E1506,'Stock statement'!$D$2:$P$384,13,)</f>
        <v>161.56941474217822</v>
      </c>
      <c r="I1506" s="127">
        <v>2.5000000000000001E-2</v>
      </c>
      <c r="J1506" s="106">
        <v>1.0249999999999999</v>
      </c>
      <c r="K1506" s="106">
        <f t="shared" si="125"/>
        <v>127.31164977262573</v>
      </c>
      <c r="L1506" s="115"/>
      <c r="M1506" s="104">
        <f t="shared" si="124"/>
        <v>1.0999726540354862</v>
      </c>
    </row>
    <row r="1507" spans="1:13">
      <c r="A1507" s="100" t="str">
        <f>VLOOKUP(C1507,Abstract!$E$4:$M$62,9,0)</f>
        <v>ACTIVE</v>
      </c>
      <c r="B1507" s="99" t="s">
        <v>138</v>
      </c>
      <c r="C1507" s="133" t="s">
        <v>122</v>
      </c>
      <c r="D1507" s="133" t="s">
        <v>123</v>
      </c>
      <c r="E1507" s="95" t="s">
        <v>147</v>
      </c>
      <c r="F1507" s="95" t="s">
        <v>486</v>
      </c>
      <c r="G1507" s="109">
        <v>1</v>
      </c>
      <c r="H1507" s="104">
        <f>VLOOKUP($E1507,'Stock statement'!$D$2:$P$384,13,)</f>
        <v>353.50950483838068</v>
      </c>
      <c r="I1507" s="127">
        <v>2.5000000000000001E-2</v>
      </c>
      <c r="J1507" s="106">
        <v>1.0249999999999999</v>
      </c>
      <c r="K1507" s="106">
        <f t="shared" si="125"/>
        <v>371.40592352082365</v>
      </c>
      <c r="L1507" s="115"/>
      <c r="M1507" s="104">
        <f t="shared" si="124"/>
        <v>3.208947179219916</v>
      </c>
    </row>
    <row r="1508" spans="1:13">
      <c r="A1508" s="100" t="str">
        <f>VLOOKUP(C1508,Abstract!$E$4:$M$62,9,0)</f>
        <v>ACTIVE</v>
      </c>
      <c r="B1508" s="99" t="s">
        <v>138</v>
      </c>
      <c r="C1508" s="133" t="s">
        <v>122</v>
      </c>
      <c r="D1508" s="133" t="s">
        <v>123</v>
      </c>
      <c r="E1508" s="95" t="s">
        <v>306</v>
      </c>
      <c r="F1508" s="95" t="s">
        <v>487</v>
      </c>
      <c r="G1508" s="109">
        <v>2.5</v>
      </c>
      <c r="H1508" s="104">
        <f>VLOOKUP($E1508,'Stock statement'!$D$2:$P$384,13,)</f>
        <v>225.96058764692856</v>
      </c>
      <c r="I1508" s="127">
        <v>2.5000000000000001E-2</v>
      </c>
      <c r="J1508" s="106">
        <v>1.0249999999999999</v>
      </c>
      <c r="K1508" s="106">
        <f t="shared" si="125"/>
        <v>593.49960599138581</v>
      </c>
      <c r="L1508" s="115"/>
      <c r="M1508" s="104">
        <f t="shared" si="124"/>
        <v>5.1278365957655732</v>
      </c>
    </row>
    <row r="1509" spans="1:13">
      <c r="A1509" s="100" t="str">
        <f>VLOOKUP(C1509,Abstract!$E$4:$M$62,9,0)</f>
        <v>ACTIVE</v>
      </c>
      <c r="B1509" s="99" t="s">
        <v>138</v>
      </c>
      <c r="C1509" s="133" t="s">
        <v>122</v>
      </c>
      <c r="D1509" s="133" t="s">
        <v>123</v>
      </c>
      <c r="E1509" s="95" t="s">
        <v>151</v>
      </c>
      <c r="F1509" s="95" t="s">
        <v>152</v>
      </c>
      <c r="G1509" s="109">
        <v>3</v>
      </c>
      <c r="H1509" s="104">
        <f>VLOOKUP($E1509,'Stock statement'!$D$2:$P$384,13,)</f>
        <v>762.38931335604309</v>
      </c>
      <c r="I1509" s="127">
        <v>2.5000000000000001E-2</v>
      </c>
      <c r="J1509" s="106">
        <v>1.0249999999999999</v>
      </c>
      <c r="K1509" s="106">
        <f t="shared" si="125"/>
        <v>2402.9558170340779</v>
      </c>
      <c r="L1509" s="115"/>
      <c r="M1509" s="104">
        <f t="shared" si="124"/>
        <v>20.761538259174433</v>
      </c>
    </row>
    <row r="1510" spans="1:13">
      <c r="A1510" s="100" t="str">
        <f>VLOOKUP(C1510,Abstract!$E$4:$M$62,9,0)</f>
        <v>ACTIVE</v>
      </c>
      <c r="B1510" s="99" t="s">
        <v>138</v>
      </c>
      <c r="C1510" s="133" t="s">
        <v>122</v>
      </c>
      <c r="D1510" s="133" t="s">
        <v>123</v>
      </c>
      <c r="E1510" s="95" t="s">
        <v>153</v>
      </c>
      <c r="F1510" s="95" t="s">
        <v>154</v>
      </c>
      <c r="G1510" s="109">
        <v>0.75</v>
      </c>
      <c r="H1510" s="104">
        <f>VLOOKUP($E1510,'Stock statement'!$D$2:$P$384,13,)</f>
        <v>84.206363687840948</v>
      </c>
      <c r="I1510" s="127">
        <v>2.5000000000000001E-2</v>
      </c>
      <c r="J1510" s="106">
        <v>1.0249999999999999</v>
      </c>
      <c r="K1510" s="106">
        <f t="shared" si="125"/>
        <v>66.351983137153411</v>
      </c>
      <c r="L1510" s="115"/>
      <c r="M1510" s="104">
        <f t="shared" si="124"/>
        <v>0.57328113430500549</v>
      </c>
    </row>
    <row r="1511" spans="1:13">
      <c r="A1511" s="100" t="str">
        <f>VLOOKUP(C1511,Abstract!$E$4:$M$62,9,0)</f>
        <v>ACTIVE</v>
      </c>
      <c r="B1511" s="99" t="s">
        <v>138</v>
      </c>
      <c r="C1511" s="133" t="s">
        <v>122</v>
      </c>
      <c r="D1511" s="133" t="s">
        <v>123</v>
      </c>
      <c r="E1511" s="95" t="s">
        <v>157</v>
      </c>
      <c r="F1511" s="95" t="s">
        <v>158</v>
      </c>
      <c r="G1511" s="109">
        <v>1</v>
      </c>
      <c r="H1511" s="104">
        <f>VLOOKUP($E1511,'Stock statement'!$D$2:$P$384,13,)</f>
        <v>828.81974703846117</v>
      </c>
      <c r="I1511" s="127">
        <v>2.5000000000000001E-2</v>
      </c>
      <c r="J1511" s="106">
        <v>1.0249999999999999</v>
      </c>
      <c r="K1511" s="106">
        <f t="shared" si="125"/>
        <v>870.77874673228314</v>
      </c>
      <c r="L1511" s="115"/>
      <c r="M1511" s="104">
        <f t="shared" si="124"/>
        <v>7.5235283717669255</v>
      </c>
    </row>
    <row r="1512" spans="1:13">
      <c r="A1512" s="100" t="str">
        <f>VLOOKUP(C1512,Abstract!$E$4:$M$62,9,0)</f>
        <v>ACTIVE</v>
      </c>
      <c r="B1512" s="99" t="s">
        <v>138</v>
      </c>
      <c r="C1512" s="133" t="s">
        <v>122</v>
      </c>
      <c r="D1512" s="133" t="s">
        <v>123</v>
      </c>
      <c r="E1512" s="95">
        <v>115150</v>
      </c>
      <c r="F1512" s="95" t="s">
        <v>159</v>
      </c>
      <c r="G1512" s="109">
        <v>1</v>
      </c>
      <c r="H1512" s="104">
        <f>VLOOKUP($E1512,'Stock statement'!$D$2:$P$384,13,)</f>
        <v>456.30699446392703</v>
      </c>
      <c r="I1512" s="127">
        <v>2.5000000000000001E-2</v>
      </c>
      <c r="J1512" s="106">
        <v>1.0249999999999999</v>
      </c>
      <c r="K1512" s="106">
        <f t="shared" si="125"/>
        <v>479.40753605866325</v>
      </c>
      <c r="L1512" s="115"/>
      <c r="M1512" s="104">
        <f t="shared" si="124"/>
        <v>4.1420811115468501</v>
      </c>
    </row>
    <row r="1513" spans="1:13">
      <c r="A1513" s="100" t="str">
        <f>VLOOKUP(C1513,Abstract!$E$4:$M$62,9,0)</f>
        <v>ACTIVE</v>
      </c>
      <c r="B1513" s="99" t="s">
        <v>138</v>
      </c>
      <c r="C1513" s="133" t="s">
        <v>122</v>
      </c>
      <c r="D1513" s="133" t="s">
        <v>123</v>
      </c>
      <c r="E1513" s="95" t="s">
        <v>160</v>
      </c>
      <c r="F1513" s="95" t="s">
        <v>161</v>
      </c>
      <c r="G1513" s="109">
        <v>0.5</v>
      </c>
      <c r="H1513" s="104">
        <f>VLOOKUP($E1513,'Stock statement'!$D$2:$P$384,13,)</f>
        <v>3313.2387673094586</v>
      </c>
      <c r="I1513" s="127">
        <v>2.5000000000000001E-2</v>
      </c>
      <c r="J1513" s="106">
        <v>1.0249999999999999</v>
      </c>
      <c r="K1513" s="106">
        <f t="shared" si="125"/>
        <v>1740.4857399522498</v>
      </c>
      <c r="L1513" s="115"/>
      <c r="M1513" s="104">
        <f t="shared" si="124"/>
        <v>15.037796793187438</v>
      </c>
    </row>
    <row r="1514" spans="1:13">
      <c r="A1514" s="100" t="str">
        <f>VLOOKUP(C1514,Abstract!$E$4:$M$62,9,0)</f>
        <v>ACTIVE</v>
      </c>
      <c r="B1514" s="99" t="s">
        <v>138</v>
      </c>
      <c r="C1514" s="133" t="s">
        <v>122</v>
      </c>
      <c r="D1514" s="133" t="s">
        <v>123</v>
      </c>
      <c r="E1514" s="95" t="s">
        <v>166</v>
      </c>
      <c r="F1514" s="95" t="s">
        <v>167</v>
      </c>
      <c r="G1514" s="109">
        <v>2.5</v>
      </c>
      <c r="H1514" s="104">
        <f>VLOOKUP($E1514,'Stock statement'!$D$2:$P$384,13,)</f>
        <v>127.15913438761541</v>
      </c>
      <c r="I1514" s="127">
        <v>2.5000000000000001E-2</v>
      </c>
      <c r="J1514" s="106">
        <v>1.0249999999999999</v>
      </c>
      <c r="K1514" s="106">
        <f t="shared" si="125"/>
        <v>333.99141391497102</v>
      </c>
      <c r="L1514" s="115"/>
      <c r="M1514" s="104">
        <f t="shared" si="124"/>
        <v>2.8856858162253496</v>
      </c>
    </row>
    <row r="1515" spans="1:13">
      <c r="A1515" s="100" t="str">
        <f>VLOOKUP(C1515,Abstract!$E$4:$M$62,9,0)</f>
        <v>ACTIVE</v>
      </c>
      <c r="B1515" s="99" t="s">
        <v>138</v>
      </c>
      <c r="C1515" s="133" t="s">
        <v>122</v>
      </c>
      <c r="D1515" s="133" t="s">
        <v>123</v>
      </c>
      <c r="E1515" s="95" t="s">
        <v>488</v>
      </c>
      <c r="F1515" s="95" t="s">
        <v>489</v>
      </c>
      <c r="G1515" s="109">
        <v>5</v>
      </c>
      <c r="H1515" s="104">
        <f>VLOOKUP($E1515,'Stock statement'!$D$2:$P$384,13,)</f>
        <v>156</v>
      </c>
      <c r="I1515" s="127">
        <v>2.5000000000000001E-2</v>
      </c>
      <c r="J1515" s="106">
        <v>1.0249999999999999</v>
      </c>
      <c r="K1515" s="106">
        <f t="shared" si="125"/>
        <v>819.48749999999984</v>
      </c>
      <c r="L1515" s="115"/>
      <c r="M1515" s="104">
        <f t="shared" si="124"/>
        <v>7.0803719999999979</v>
      </c>
    </row>
    <row r="1516" spans="1:13">
      <c r="A1516" s="100" t="str">
        <f>VLOOKUP(C1516,Abstract!$E$4:$M$62,9,0)</f>
        <v>ACTIVE</v>
      </c>
      <c r="B1516" s="99" t="s">
        <v>138</v>
      </c>
      <c r="C1516" s="133" t="s">
        <v>122</v>
      </c>
      <c r="D1516" s="133" t="s">
        <v>123</v>
      </c>
      <c r="E1516" s="95">
        <v>115379</v>
      </c>
      <c r="F1516" s="95" t="s">
        <v>490</v>
      </c>
      <c r="G1516" s="109">
        <v>40</v>
      </c>
      <c r="H1516" s="104">
        <f>VLOOKUP($E1516,'Stock statement'!$D$2:$P$384,13,)</f>
        <v>298</v>
      </c>
      <c r="I1516" s="127">
        <v>2.5000000000000001E-2</v>
      </c>
      <c r="J1516" s="106">
        <v>1.0249999999999999</v>
      </c>
      <c r="K1516" s="106">
        <f t="shared" si="125"/>
        <v>12523.449999999997</v>
      </c>
      <c r="L1516" s="115"/>
      <c r="M1516" s="104">
        <f t="shared" si="124"/>
        <v>108.20260799999997</v>
      </c>
    </row>
    <row r="1517" spans="1:13">
      <c r="A1517" s="100" t="str">
        <f>VLOOKUP(C1517,Abstract!$E$4:$M$62,9,0)</f>
        <v>ACTIVE</v>
      </c>
      <c r="B1517" s="99" t="s">
        <v>138</v>
      </c>
      <c r="C1517" s="133" t="s">
        <v>122</v>
      </c>
      <c r="D1517" s="133" t="s">
        <v>123</v>
      </c>
      <c r="E1517" s="95" t="s">
        <v>173</v>
      </c>
      <c r="F1517" s="95" t="s">
        <v>174</v>
      </c>
      <c r="G1517" s="109">
        <v>0.2</v>
      </c>
      <c r="H1517" s="104">
        <f>VLOOKUP($E1517,'Stock statement'!$D$2:$P$384,13,)</f>
        <v>555.2517156766155</v>
      </c>
      <c r="I1517" s="127">
        <v>2.5000000000000001E-2</v>
      </c>
      <c r="J1517" s="106">
        <v>1.0249999999999999</v>
      </c>
      <c r="K1517" s="106">
        <f t="shared" si="125"/>
        <v>116.67226675654881</v>
      </c>
      <c r="L1517" s="115"/>
      <c r="M1517" s="104">
        <f t="shared" si="124"/>
        <v>1.0080483847765815</v>
      </c>
    </row>
    <row r="1518" spans="1:13">
      <c r="A1518" s="100" t="str">
        <f>VLOOKUP(C1518,Abstract!$E$4:$M$62,9,0)</f>
        <v>ACTIVE</v>
      </c>
      <c r="B1518" s="99" t="s">
        <v>138</v>
      </c>
      <c r="C1518" s="133" t="s">
        <v>122</v>
      </c>
      <c r="D1518" s="133" t="s">
        <v>123</v>
      </c>
      <c r="E1518" s="95" t="s">
        <v>491</v>
      </c>
      <c r="F1518" s="95" t="s">
        <v>492</v>
      </c>
      <c r="G1518" s="109">
        <v>0.125</v>
      </c>
      <c r="H1518" s="104">
        <f>VLOOKUP($E1518,'Stock statement'!$D$2:$P$384,13,)</f>
        <v>4330.5600000000004</v>
      </c>
      <c r="I1518" s="127">
        <v>2.5000000000000001E-2</v>
      </c>
      <c r="J1518" s="106">
        <v>1.0249999999999999</v>
      </c>
      <c r="K1518" s="106">
        <f t="shared" si="125"/>
        <v>568.72432499999991</v>
      </c>
      <c r="L1518" s="115"/>
      <c r="M1518" s="104">
        <f t="shared" si="124"/>
        <v>4.9137781679999986</v>
      </c>
    </row>
    <row r="1519" spans="1:13">
      <c r="A1519" s="100" t="str">
        <f>VLOOKUP(C1519,Abstract!$E$4:$M$62,9,0)</f>
        <v>ACTIVE</v>
      </c>
      <c r="B1519" s="99" t="s">
        <v>138</v>
      </c>
      <c r="C1519" s="133" t="s">
        <v>122</v>
      </c>
      <c r="D1519" s="133" t="s">
        <v>123</v>
      </c>
      <c r="E1519" s="95" t="s">
        <v>393</v>
      </c>
      <c r="F1519" s="95" t="s">
        <v>493</v>
      </c>
      <c r="G1519" s="109">
        <v>0.125</v>
      </c>
      <c r="H1519" s="104">
        <f>VLOOKUP($E1519,'Stock statement'!$D$2:$P$384,13,)</f>
        <v>411.25781249999994</v>
      </c>
      <c r="I1519" s="127">
        <v>2.5000000000000001E-2</v>
      </c>
      <c r="J1519" s="106">
        <v>1.0249999999999999</v>
      </c>
      <c r="K1519" s="106">
        <f>+G1519*H1519*(1+I1519)*J1519</f>
        <v>54.009717407226546</v>
      </c>
      <c r="L1519" s="115"/>
      <c r="M1519" s="104">
        <f t="shared" si="124"/>
        <v>0.46664395839843731</v>
      </c>
    </row>
    <row r="1520" spans="1:13">
      <c r="A1520" s="100" t="str">
        <f>VLOOKUP(C1520,Abstract!$E$4:$M$62,9,0)</f>
        <v>ACTIVE</v>
      </c>
      <c r="B1520" s="99" t="s">
        <v>138</v>
      </c>
      <c r="C1520" s="133" t="s">
        <v>122</v>
      </c>
      <c r="D1520" s="133" t="s">
        <v>123</v>
      </c>
      <c r="E1520" s="95" t="s">
        <v>494</v>
      </c>
      <c r="F1520" s="95" t="s">
        <v>495</v>
      </c>
      <c r="G1520" s="109">
        <v>0.01</v>
      </c>
      <c r="H1520" s="104">
        <f>VLOOKUP($E1520,'Stock statement'!$D$2:$P$384,13,)</f>
        <v>0</v>
      </c>
      <c r="I1520" s="127">
        <v>2.5000000000000001E-2</v>
      </c>
      <c r="J1520" s="106">
        <v>1.0249999999999999</v>
      </c>
      <c r="K1520" s="106">
        <f t="shared" ref="K1520:K1529" si="126">+G1520*H1520*(1+I1520)*J1520</f>
        <v>0</v>
      </c>
      <c r="L1520" s="115"/>
      <c r="M1520" s="104">
        <f t="shared" si="124"/>
        <v>0</v>
      </c>
    </row>
    <row r="1521" spans="1:13">
      <c r="A1521" s="100" t="str">
        <f>VLOOKUP(C1521,Abstract!$E$4:$M$62,9,0)</f>
        <v>ACTIVE</v>
      </c>
      <c r="B1521" s="99" t="s">
        <v>138</v>
      </c>
      <c r="C1521" s="133" t="s">
        <v>122</v>
      </c>
      <c r="D1521" s="133" t="s">
        <v>123</v>
      </c>
      <c r="E1521" s="95" t="s">
        <v>496</v>
      </c>
      <c r="F1521" s="95" t="s">
        <v>497</v>
      </c>
      <c r="G1521" s="109">
        <v>0.1</v>
      </c>
      <c r="H1521" s="104">
        <f>VLOOKUP($E1521,'Stock statement'!$D$2:$P$384,13,)</f>
        <v>386</v>
      </c>
      <c r="I1521" s="127">
        <v>2.5000000000000001E-2</v>
      </c>
      <c r="J1521" s="106">
        <v>1.0249999999999999</v>
      </c>
      <c r="K1521" s="106">
        <f t="shared" si="126"/>
        <v>40.554124999999992</v>
      </c>
      <c r="L1521" s="115"/>
      <c r="M1521" s="104">
        <f t="shared" si="124"/>
        <v>0.35038763999999989</v>
      </c>
    </row>
    <row r="1522" spans="1:13">
      <c r="A1522" s="100" t="str">
        <f>VLOOKUP(C1522,Abstract!$E$4:$M$62,9,0)</f>
        <v>ACTIVE</v>
      </c>
      <c r="B1522" s="99" t="s">
        <v>138</v>
      </c>
      <c r="C1522" s="133" t="s">
        <v>122</v>
      </c>
      <c r="D1522" s="133" t="s">
        <v>123</v>
      </c>
      <c r="E1522" s="95" t="s">
        <v>219</v>
      </c>
      <c r="F1522" s="95" t="s">
        <v>498</v>
      </c>
      <c r="G1522" s="109">
        <v>6.7999999999999991E-2</v>
      </c>
      <c r="H1522" s="104">
        <f>VLOOKUP($E1522,'Stock statement'!$D$2:$P$384,13,)</f>
        <v>549.27282042136164</v>
      </c>
      <c r="I1522" s="127">
        <v>2.5000000000000001E-2</v>
      </c>
      <c r="J1522" s="106">
        <v>1.0249999999999999</v>
      </c>
      <c r="K1522" s="106">
        <f t="shared" si="126"/>
        <v>39.241423472953123</v>
      </c>
      <c r="L1522" s="115"/>
      <c r="M1522" s="104">
        <f t="shared" si="124"/>
        <v>0.33904589880631497</v>
      </c>
    </row>
    <row r="1523" spans="1:13">
      <c r="A1523" s="100" t="str">
        <f>VLOOKUP(C1523,Abstract!$E$4:$M$62,9,0)</f>
        <v>ACTIVE</v>
      </c>
      <c r="B1523" s="99" t="s">
        <v>138</v>
      </c>
      <c r="C1523" s="133" t="s">
        <v>122</v>
      </c>
      <c r="D1523" s="133" t="s">
        <v>123</v>
      </c>
      <c r="E1523" s="95" t="s">
        <v>155</v>
      </c>
      <c r="F1523" s="95" t="s">
        <v>156</v>
      </c>
      <c r="G1523" s="109">
        <v>15</v>
      </c>
      <c r="H1523" s="104">
        <f>VLOOKUP($E1523,'Stock statement'!$D$2:$P$384,13,)</f>
        <v>68.308211638055738</v>
      </c>
      <c r="I1523" s="127">
        <v>2.5000000000000001E-2</v>
      </c>
      <c r="J1523" s="106">
        <v>1.0249999999999999</v>
      </c>
      <c r="K1523" s="106">
        <f t="shared" si="126"/>
        <v>1076.4947227834843</v>
      </c>
      <c r="L1523" s="115"/>
      <c r="M1523" s="104">
        <f t="shared" si="124"/>
        <v>9.3009144048493049</v>
      </c>
    </row>
    <row r="1524" spans="1:13">
      <c r="A1524" s="100" t="str">
        <f>VLOOKUP(C1524,Abstract!$E$4:$M$62,9,0)</f>
        <v>ACTIVE</v>
      </c>
      <c r="B1524" s="99" t="s">
        <v>138</v>
      </c>
      <c r="C1524" s="133" t="s">
        <v>122</v>
      </c>
      <c r="D1524" s="133" t="s">
        <v>123</v>
      </c>
      <c r="E1524" s="95" t="s">
        <v>499</v>
      </c>
      <c r="F1524" s="95" t="s">
        <v>500</v>
      </c>
      <c r="G1524" s="109">
        <v>5</v>
      </c>
      <c r="H1524" s="104">
        <f>VLOOKUP($E1524,'Stock statement'!$D$2:$P$384,13,)</f>
        <v>775</v>
      </c>
      <c r="I1524" s="127">
        <v>2.5000000000000001E-2</v>
      </c>
      <c r="J1524" s="106">
        <v>1.0249999999999999</v>
      </c>
      <c r="K1524" s="106">
        <f t="shared" si="126"/>
        <v>4071.1718749999991</v>
      </c>
      <c r="L1524" s="115"/>
      <c r="M1524" s="104">
        <f t="shared" si="124"/>
        <v>35.174924999999988</v>
      </c>
    </row>
    <row r="1525" spans="1:13">
      <c r="A1525" s="100" t="str">
        <f>VLOOKUP(C1525,Abstract!$E$4:$M$62,9,0)</f>
        <v>ACTIVE</v>
      </c>
      <c r="B1525" s="99" t="s">
        <v>138</v>
      </c>
      <c r="C1525" s="133" t="s">
        <v>122</v>
      </c>
      <c r="D1525" s="133" t="s">
        <v>123</v>
      </c>
      <c r="E1525" s="95" t="s">
        <v>181</v>
      </c>
      <c r="F1525" s="95" t="s">
        <v>446</v>
      </c>
      <c r="G1525" s="109">
        <v>6.875</v>
      </c>
      <c r="H1525" s="104">
        <f>VLOOKUP($E1525,'Stock statement'!$D$2:$P$384,13,)</f>
        <v>17.110276913020375</v>
      </c>
      <c r="I1525" s="127">
        <v>2.5000000000000001E-2</v>
      </c>
      <c r="J1525" s="106">
        <v>1.0249999999999999</v>
      </c>
      <c r="K1525" s="106">
        <f t="shared" si="126"/>
        <v>123.58833218697644</v>
      </c>
      <c r="L1525" s="115"/>
      <c r="M1525" s="104">
        <f t="shared" si="124"/>
        <v>1.0678031900954763</v>
      </c>
    </row>
    <row r="1526" spans="1:13">
      <c r="A1526" s="100" t="str">
        <f>VLOOKUP(C1526,Abstract!$E$4:$M$62,9,0)</f>
        <v>ACTIVE</v>
      </c>
      <c r="B1526" s="99" t="s">
        <v>138</v>
      </c>
      <c r="C1526" s="133" t="s">
        <v>122</v>
      </c>
      <c r="D1526" s="133" t="s">
        <v>123</v>
      </c>
      <c r="E1526" s="95" t="s">
        <v>139</v>
      </c>
      <c r="F1526" s="95" t="s">
        <v>140</v>
      </c>
      <c r="G1526" s="109">
        <v>707.72699999999998</v>
      </c>
      <c r="H1526" s="104">
        <f>VLOOKUP($E1526,'Stock statement'!$D$2:$P$384,13,)</f>
        <v>0.34</v>
      </c>
      <c r="I1526" s="127">
        <v>2.5000000000000001E-2</v>
      </c>
      <c r="J1526" s="106">
        <v>1.0249999999999999</v>
      </c>
      <c r="K1526" s="106">
        <f t="shared" si="126"/>
        <v>252.80893098749996</v>
      </c>
      <c r="L1526" s="115"/>
      <c r="M1526" s="104">
        <f t="shared" si="124"/>
        <v>2.1842691637319995</v>
      </c>
    </row>
    <row r="1527" spans="1:13">
      <c r="A1527" s="100" t="str">
        <f>VLOOKUP(C1527,Abstract!$E$4:$M$62,9,0)</f>
        <v>ACTIVE</v>
      </c>
      <c r="B1527" s="99" t="s">
        <v>183</v>
      </c>
      <c r="C1527" s="133" t="s">
        <v>122</v>
      </c>
      <c r="D1527" s="133" t="s">
        <v>123</v>
      </c>
      <c r="E1527" s="157" t="s">
        <v>548</v>
      </c>
      <c r="F1527" s="95" t="s">
        <v>549</v>
      </c>
      <c r="G1527" s="109">
        <f>(1000/(1440*6)*1000)*0.581</f>
        <v>67.245370370370367</v>
      </c>
      <c r="H1527" s="104">
        <f>VLOOKUP($E1527,'Stock statement'!$D$2:$P$384,13,)</f>
        <v>0</v>
      </c>
      <c r="I1527" s="127">
        <v>1.7500000000000002E-2</v>
      </c>
      <c r="J1527" s="106">
        <v>1</v>
      </c>
      <c r="K1527" s="106">
        <f t="shared" si="126"/>
        <v>0</v>
      </c>
      <c r="L1527" s="115"/>
      <c r="M1527" s="104">
        <f t="shared" si="124"/>
        <v>0</v>
      </c>
    </row>
    <row r="1528" spans="1:13">
      <c r="A1528" s="100" t="str">
        <f>VLOOKUP(C1528,Abstract!$E$4:$M$62,9,0)</f>
        <v>ACTIVE</v>
      </c>
      <c r="B1528" s="99" t="s">
        <v>183</v>
      </c>
      <c r="C1528" s="133" t="s">
        <v>122</v>
      </c>
      <c r="D1528" s="133" t="s">
        <v>123</v>
      </c>
      <c r="E1528" s="157" t="s">
        <v>550</v>
      </c>
      <c r="F1528" s="95" t="s">
        <v>551</v>
      </c>
      <c r="G1528" s="109">
        <f>1000/(1440*6)*1000</f>
        <v>115.74074074074075</v>
      </c>
      <c r="H1528" s="104">
        <f>VLOOKUP($E1528,'Stock statement'!$D$2:$P$384,13,)</f>
        <v>0</v>
      </c>
      <c r="I1528" s="127">
        <v>6.0000000000000001E-3</v>
      </c>
      <c r="J1528" s="106">
        <v>1</v>
      </c>
      <c r="K1528" s="106">
        <f t="shared" si="126"/>
        <v>0</v>
      </c>
      <c r="L1528" s="115"/>
      <c r="M1528" s="104">
        <f t="shared" si="124"/>
        <v>0</v>
      </c>
    </row>
    <row r="1529" spans="1:13">
      <c r="A1529" s="100" t="str">
        <f>VLOOKUP(C1529,Abstract!$E$4:$M$62,9,0)</f>
        <v>ACTIVE</v>
      </c>
      <c r="B1529" s="99" t="s">
        <v>183</v>
      </c>
      <c r="C1529" s="133" t="s">
        <v>122</v>
      </c>
      <c r="D1529" s="133" t="s">
        <v>123</v>
      </c>
      <c r="E1529" s="95" t="s">
        <v>191</v>
      </c>
      <c r="F1529" s="95" t="s">
        <v>192</v>
      </c>
      <c r="G1529" s="109">
        <v>2.0833333333333335</v>
      </c>
      <c r="H1529" s="104">
        <f>VLOOKUP($E1529,'Stock statement'!$D$2:$P$384,13,)</f>
        <v>44.985440769279101</v>
      </c>
      <c r="I1529" s="127">
        <v>0.02</v>
      </c>
      <c r="J1529" s="106">
        <v>1</v>
      </c>
      <c r="K1529" s="106">
        <f t="shared" si="126"/>
        <v>95.594061634718102</v>
      </c>
      <c r="L1529" s="115"/>
      <c r="M1529" s="104">
        <f t="shared" si="124"/>
        <v>0.8259326925239644</v>
      </c>
    </row>
    <row r="1530" spans="1:13">
      <c r="A1530" s="100" t="str">
        <f>VLOOKUP(C1530,Abstract!$E$4:$M$62,9,0)</f>
        <v>ACTIVE</v>
      </c>
      <c r="B1530" s="99" t="s">
        <v>197</v>
      </c>
      <c r="C1530" s="133" t="s">
        <v>122</v>
      </c>
      <c r="D1530" s="133" t="s">
        <v>123</v>
      </c>
      <c r="E1530" s="95" t="s">
        <v>440</v>
      </c>
      <c r="F1530" s="95"/>
      <c r="G1530" s="109"/>
      <c r="H1530" s="104"/>
      <c r="I1530" s="127"/>
      <c r="J1530" s="106"/>
      <c r="K1530" s="106">
        <v>6180</v>
      </c>
      <c r="L1530" s="115"/>
      <c r="M1530" s="104">
        <f t="shared" si="124"/>
        <v>53.395199999999996</v>
      </c>
    </row>
    <row r="1531" spans="1:13">
      <c r="A1531" s="100" t="str">
        <f>VLOOKUP(C1531,Abstract!$E$4:$M$62,9,0)</f>
        <v>ACTIVE</v>
      </c>
      <c r="B1531" s="99" t="s">
        <v>138</v>
      </c>
      <c r="C1531" s="133" t="s">
        <v>124</v>
      </c>
      <c r="D1531" s="133" t="s">
        <v>552</v>
      </c>
      <c r="E1531" s="95" t="s">
        <v>141</v>
      </c>
      <c r="F1531" s="95" t="s">
        <v>142</v>
      </c>
      <c r="G1531" s="109">
        <v>185.7</v>
      </c>
      <c r="H1531" s="104">
        <f>VLOOKUP($E1531,'Stock statement'!$D$2:$P$384,13,)</f>
        <v>94.278330452007026</v>
      </c>
      <c r="I1531" s="127">
        <v>2.5000000000000001E-2</v>
      </c>
      <c r="J1531" s="106">
        <v>1.0249999999999999</v>
      </c>
      <c r="K1531" s="106">
        <f>+G1531*H1531*(1+I1531)*J1531</f>
        <v>18393.80244191267</v>
      </c>
      <c r="L1531" s="115"/>
      <c r="M1531" s="104">
        <f>K1531/$G$1556</f>
        <v>145.67891533994833</v>
      </c>
    </row>
    <row r="1532" spans="1:13">
      <c r="A1532" s="100" t="str">
        <f>VLOOKUP(C1532,Abstract!$E$4:$M$62,9,0)</f>
        <v>ACTIVE</v>
      </c>
      <c r="B1532" s="99" t="s">
        <v>138</v>
      </c>
      <c r="C1532" s="133" t="s">
        <v>124</v>
      </c>
      <c r="D1532" s="133" t="s">
        <v>552</v>
      </c>
      <c r="E1532" s="95" t="s">
        <v>145</v>
      </c>
      <c r="F1532" s="95" t="s">
        <v>471</v>
      </c>
      <c r="G1532" s="109">
        <v>10</v>
      </c>
      <c r="H1532" s="104">
        <f>VLOOKUP($E1532,'Stock statement'!$D$2:$P$384,13,)</f>
        <v>151.08681180977209</v>
      </c>
      <c r="I1532" s="127">
        <v>2.5000000000000001E-2</v>
      </c>
      <c r="J1532" s="106">
        <v>1.0249999999999999</v>
      </c>
      <c r="K1532" s="106">
        <f t="shared" ref="K1532:K1557" si="127">+G1532*H1532*(1+I1532)*J1532</f>
        <v>1587.3558165764177</v>
      </c>
      <c r="L1532" s="115"/>
      <c r="M1532" s="104">
        <f t="shared" ref="M1532:M1558" si="128">K1532/$G$1556</f>
        <v>12.571858067285227</v>
      </c>
    </row>
    <row r="1533" spans="1:13">
      <c r="A1533" s="100" t="str">
        <f>VLOOKUP(C1533,Abstract!$E$4:$M$62,9,0)</f>
        <v>ACTIVE</v>
      </c>
      <c r="B1533" s="99" t="s">
        <v>138</v>
      </c>
      <c r="C1533" s="133" t="s">
        <v>124</v>
      </c>
      <c r="D1533" s="133" t="s">
        <v>552</v>
      </c>
      <c r="E1533" s="95" t="s">
        <v>151</v>
      </c>
      <c r="F1533" s="95" t="s">
        <v>152</v>
      </c>
      <c r="G1533" s="109">
        <v>3</v>
      </c>
      <c r="H1533" s="104">
        <f>VLOOKUP($E1533,'Stock statement'!$D$2:$P$384,13,)</f>
        <v>762.38931335604309</v>
      </c>
      <c r="I1533" s="127">
        <v>2.5000000000000001E-2</v>
      </c>
      <c r="J1533" s="106">
        <v>1.0249999999999999</v>
      </c>
      <c r="K1533" s="106">
        <f t="shared" si="127"/>
        <v>2402.9558170340779</v>
      </c>
      <c r="L1533" s="115"/>
      <c r="M1533" s="104">
        <f t="shared" si="128"/>
        <v>19.031410070909896</v>
      </c>
    </row>
    <row r="1534" spans="1:13">
      <c r="A1534" s="100" t="str">
        <f>VLOOKUP(C1534,Abstract!$E$4:$M$62,9,0)</f>
        <v>ACTIVE</v>
      </c>
      <c r="B1534" s="99" t="s">
        <v>138</v>
      </c>
      <c r="C1534" s="133" t="s">
        <v>124</v>
      </c>
      <c r="D1534" s="133" t="s">
        <v>552</v>
      </c>
      <c r="E1534" s="95" t="s">
        <v>155</v>
      </c>
      <c r="F1534" s="95" t="s">
        <v>156</v>
      </c>
      <c r="G1534" s="109">
        <v>15</v>
      </c>
      <c r="H1534" s="104">
        <f>VLOOKUP($E1534,'Stock statement'!$D$2:$P$384,13,)</f>
        <v>68.308211638055738</v>
      </c>
      <c r="I1534" s="127">
        <v>2.5000000000000001E-2</v>
      </c>
      <c r="J1534" s="106">
        <v>1.0249999999999999</v>
      </c>
      <c r="K1534" s="106">
        <f t="shared" si="127"/>
        <v>1076.4947227834843</v>
      </c>
      <c r="L1534" s="115"/>
      <c r="M1534" s="104">
        <f t="shared" si="128"/>
        <v>8.5258382044451952</v>
      </c>
    </row>
    <row r="1535" spans="1:13">
      <c r="A1535" s="100" t="str">
        <f>VLOOKUP(C1535,Abstract!$E$4:$M$62,9,0)</f>
        <v>ACTIVE</v>
      </c>
      <c r="B1535" s="99" t="s">
        <v>138</v>
      </c>
      <c r="C1535" s="133" t="s">
        <v>124</v>
      </c>
      <c r="D1535" s="133" t="s">
        <v>552</v>
      </c>
      <c r="E1535" s="95" t="s">
        <v>157</v>
      </c>
      <c r="F1535" s="95" t="s">
        <v>158</v>
      </c>
      <c r="G1535" s="109">
        <v>1</v>
      </c>
      <c r="H1535" s="104">
        <f>VLOOKUP($E1535,'Stock statement'!$D$2:$P$384,13,)</f>
        <v>828.81974703846117</v>
      </c>
      <c r="I1535" s="127">
        <v>2.5000000000000001E-2</v>
      </c>
      <c r="J1535" s="106">
        <v>1.0249999999999999</v>
      </c>
      <c r="K1535" s="106">
        <f t="shared" si="127"/>
        <v>870.77874673228314</v>
      </c>
      <c r="L1535" s="115"/>
      <c r="M1535" s="104">
        <f t="shared" si="128"/>
        <v>6.896567674119682</v>
      </c>
    </row>
    <row r="1536" spans="1:13">
      <c r="A1536" s="100" t="str">
        <f>VLOOKUP(C1536,Abstract!$E$4:$M$62,9,0)</f>
        <v>ACTIVE</v>
      </c>
      <c r="B1536" s="99" t="s">
        <v>138</v>
      </c>
      <c r="C1536" s="133" t="s">
        <v>124</v>
      </c>
      <c r="D1536" s="133" t="s">
        <v>552</v>
      </c>
      <c r="E1536" s="95">
        <v>115150</v>
      </c>
      <c r="F1536" s="95" t="s">
        <v>159</v>
      </c>
      <c r="G1536" s="109">
        <v>1</v>
      </c>
      <c r="H1536" s="104">
        <f>VLOOKUP($E1536,'Stock statement'!$D$2:$P$384,13,)</f>
        <v>456.30699446392703</v>
      </c>
      <c r="I1536" s="127">
        <v>2.5000000000000001E-2</v>
      </c>
      <c r="J1536" s="106">
        <v>1.0249999999999999</v>
      </c>
      <c r="K1536" s="106">
        <f t="shared" si="127"/>
        <v>479.40753605866325</v>
      </c>
      <c r="L1536" s="115"/>
      <c r="M1536" s="104">
        <f t="shared" si="128"/>
        <v>3.7969076855846127</v>
      </c>
    </row>
    <row r="1537" spans="1:13">
      <c r="A1537" s="100" t="str">
        <f>VLOOKUP(C1537,Abstract!$E$4:$M$62,9,0)</f>
        <v>ACTIVE</v>
      </c>
      <c r="B1537" s="99" t="s">
        <v>138</v>
      </c>
      <c r="C1537" s="133" t="s">
        <v>124</v>
      </c>
      <c r="D1537" s="133" t="s">
        <v>552</v>
      </c>
      <c r="E1537" s="95" t="s">
        <v>149</v>
      </c>
      <c r="F1537" s="95" t="s">
        <v>150</v>
      </c>
      <c r="G1537" s="109">
        <v>0.125</v>
      </c>
      <c r="H1537" s="104">
        <f>VLOOKUP($E1537,'Stock statement'!$D$2:$P$384,13,)</f>
        <v>161.56941474217822</v>
      </c>
      <c r="I1537" s="127">
        <v>2.5000000000000001E-2</v>
      </c>
      <c r="J1537" s="106">
        <v>1.0249999999999999</v>
      </c>
      <c r="K1537" s="106">
        <f t="shared" si="127"/>
        <v>21.218608295437623</v>
      </c>
      <c r="L1537" s="115"/>
      <c r="M1537" s="104">
        <f t="shared" si="128"/>
        <v>0.16805137769986597</v>
      </c>
    </row>
    <row r="1538" spans="1:13">
      <c r="A1538" s="100" t="str">
        <f>VLOOKUP(C1538,Abstract!$E$4:$M$62,9,0)</f>
        <v>ACTIVE</v>
      </c>
      <c r="B1538" s="99" t="s">
        <v>138</v>
      </c>
      <c r="C1538" s="133" t="s">
        <v>124</v>
      </c>
      <c r="D1538" s="133" t="s">
        <v>552</v>
      </c>
      <c r="E1538" s="95">
        <v>114600</v>
      </c>
      <c r="F1538" s="95" t="s">
        <v>553</v>
      </c>
      <c r="G1538" s="109">
        <v>6</v>
      </c>
      <c r="H1538" s="104">
        <f>VLOOKUP($E1538,'Stock statement'!$D$2:$P$384,13,)</f>
        <v>1009.2685512367491</v>
      </c>
      <c r="I1538" s="127">
        <v>2.5000000000000001E-2</v>
      </c>
      <c r="J1538" s="106">
        <v>1.0249999999999999</v>
      </c>
      <c r="K1538" s="106">
        <f t="shared" si="127"/>
        <v>6362.1766298586563</v>
      </c>
      <c r="L1538" s="115"/>
      <c r="M1538" s="104">
        <f t="shared" si="128"/>
        <v>50.388438908480552</v>
      </c>
    </row>
    <row r="1539" spans="1:13">
      <c r="A1539" s="100" t="str">
        <f>VLOOKUP(C1539,Abstract!$E$4:$M$62,9,0)</f>
        <v>ACTIVE</v>
      </c>
      <c r="B1539" s="99" t="s">
        <v>138</v>
      </c>
      <c r="C1539" s="133" t="s">
        <v>124</v>
      </c>
      <c r="D1539" s="133" t="s">
        <v>552</v>
      </c>
      <c r="E1539" s="95" t="s">
        <v>482</v>
      </c>
      <c r="F1539" s="95" t="s">
        <v>483</v>
      </c>
      <c r="G1539" s="109">
        <v>10</v>
      </c>
      <c r="H1539" s="104">
        <f>VLOOKUP($E1539,'Stock statement'!$D$2:$P$384,13,)</f>
        <v>1722.552326984485</v>
      </c>
      <c r="I1539" s="127">
        <v>2.5000000000000001E-2</v>
      </c>
      <c r="J1539" s="106">
        <v>1.0249999999999999</v>
      </c>
      <c r="K1539" s="106">
        <f t="shared" si="127"/>
        <v>18097.565385380742</v>
      </c>
      <c r="L1539" s="115"/>
      <c r="M1539" s="104">
        <f t="shared" si="128"/>
        <v>143.33271785221547</v>
      </c>
    </row>
    <row r="1540" spans="1:13">
      <c r="A1540" s="100" t="str">
        <f>VLOOKUP(C1540,Abstract!$E$4:$M$62,9,0)</f>
        <v>ACTIVE</v>
      </c>
      <c r="B1540" s="99" t="s">
        <v>138</v>
      </c>
      <c r="C1540" s="133" t="s">
        <v>124</v>
      </c>
      <c r="D1540" s="133" t="s">
        <v>552</v>
      </c>
      <c r="E1540" s="95" t="s">
        <v>147</v>
      </c>
      <c r="F1540" s="95" t="s">
        <v>148</v>
      </c>
      <c r="G1540" s="109">
        <v>1.5</v>
      </c>
      <c r="H1540" s="104">
        <f>VLOOKUP($E1540,'Stock statement'!$D$2:$P$384,13,)</f>
        <v>353.50950483838068</v>
      </c>
      <c r="I1540" s="127">
        <v>2.5000000000000001E-2</v>
      </c>
      <c r="J1540" s="106">
        <v>1.0249999999999999</v>
      </c>
      <c r="K1540" s="106">
        <f t="shared" si="127"/>
        <v>557.10888528123542</v>
      </c>
      <c r="L1540" s="115"/>
      <c r="M1540" s="104">
        <f t="shared" si="128"/>
        <v>4.4123023714273844</v>
      </c>
    </row>
    <row r="1541" spans="1:13">
      <c r="A1541" s="100" t="str">
        <f>VLOOKUP(C1541,Abstract!$E$4:$M$62,9,0)</f>
        <v>ACTIVE</v>
      </c>
      <c r="B1541" s="99" t="s">
        <v>138</v>
      </c>
      <c r="C1541" s="133" t="s">
        <v>124</v>
      </c>
      <c r="D1541" s="133" t="s">
        <v>552</v>
      </c>
      <c r="E1541" s="95" t="s">
        <v>143</v>
      </c>
      <c r="F1541" s="95" t="s">
        <v>144</v>
      </c>
      <c r="G1541" s="109">
        <v>15</v>
      </c>
      <c r="H1541" s="104">
        <f>VLOOKUP($E1541,'Stock statement'!$D$2:$P$384,13,)</f>
        <v>178.57970547017939</v>
      </c>
      <c r="I1541" s="127">
        <v>2.5000000000000001E-2</v>
      </c>
      <c r="J1541" s="106">
        <v>1.0249999999999999</v>
      </c>
      <c r="K1541" s="106">
        <f t="shared" si="127"/>
        <v>2814.3045458941078</v>
      </c>
      <c r="L1541" s="115"/>
      <c r="M1541" s="104">
        <f t="shared" si="128"/>
        <v>22.289292003481332</v>
      </c>
    </row>
    <row r="1542" spans="1:13">
      <c r="A1542" s="100" t="str">
        <f>VLOOKUP(C1542,Abstract!$E$4:$M$62,9,0)</f>
        <v>ACTIVE</v>
      </c>
      <c r="B1542" s="99" t="s">
        <v>138</v>
      </c>
      <c r="C1542" s="133" t="s">
        <v>124</v>
      </c>
      <c r="D1542" s="133" t="s">
        <v>552</v>
      </c>
      <c r="E1542" s="95">
        <v>114601</v>
      </c>
      <c r="F1542" s="95" t="s">
        <v>554</v>
      </c>
      <c r="G1542" s="109">
        <v>5</v>
      </c>
      <c r="H1542" s="104">
        <f>VLOOKUP($E1542,'Stock statement'!$D$2:$P$384,13,)</f>
        <v>579.11543535620046</v>
      </c>
      <c r="I1542" s="127">
        <v>2.5000000000000001E-2</v>
      </c>
      <c r="J1542" s="106">
        <v>1.0249999999999999</v>
      </c>
      <c r="K1542" s="106">
        <f t="shared" si="127"/>
        <v>3042.1657713555401</v>
      </c>
      <c r="L1542" s="115"/>
      <c r="M1542" s="104">
        <f t="shared" si="128"/>
        <v>24.093952909135876</v>
      </c>
    </row>
    <row r="1543" spans="1:13">
      <c r="A1543" s="100" t="str">
        <f>VLOOKUP(C1543,Abstract!$E$4:$M$62,9,0)</f>
        <v>ACTIVE</v>
      </c>
      <c r="B1543" s="99" t="s">
        <v>138</v>
      </c>
      <c r="C1543" s="133" t="s">
        <v>124</v>
      </c>
      <c r="D1543" s="133" t="s">
        <v>552</v>
      </c>
      <c r="E1543" s="95" t="s">
        <v>173</v>
      </c>
      <c r="F1543" s="95" t="s">
        <v>555</v>
      </c>
      <c r="G1543" s="109">
        <v>0.2</v>
      </c>
      <c r="H1543" s="104">
        <f>VLOOKUP($E1543,'Stock statement'!$D$2:$P$384,13,)</f>
        <v>555.2517156766155</v>
      </c>
      <c r="I1543" s="127">
        <v>2.5000000000000001E-2</v>
      </c>
      <c r="J1543" s="106">
        <v>1.0249999999999999</v>
      </c>
      <c r="K1543" s="106">
        <f t="shared" si="127"/>
        <v>116.67226675654881</v>
      </c>
      <c r="L1543" s="115"/>
      <c r="M1543" s="104">
        <f t="shared" si="128"/>
        <v>0.92404435271186647</v>
      </c>
    </row>
    <row r="1544" spans="1:13">
      <c r="A1544" s="100" t="str">
        <f>VLOOKUP(C1544,Abstract!$E$4:$M$62,9,0)</f>
        <v>ACTIVE</v>
      </c>
      <c r="B1544" s="99" t="s">
        <v>138</v>
      </c>
      <c r="C1544" s="133" t="s">
        <v>124</v>
      </c>
      <c r="D1544" s="133" t="s">
        <v>552</v>
      </c>
      <c r="E1544" s="95">
        <v>114602</v>
      </c>
      <c r="F1544" s="95" t="s">
        <v>556</v>
      </c>
      <c r="G1544" s="109">
        <v>0.01</v>
      </c>
      <c r="H1544" s="104">
        <f>VLOOKUP($E1544,'Stock statement'!$D$2:$P$384,13,)</f>
        <v>412.5</v>
      </c>
      <c r="I1544" s="127">
        <v>2.5000000000000001E-2</v>
      </c>
      <c r="J1544" s="106">
        <v>1.0249999999999999</v>
      </c>
      <c r="K1544" s="106">
        <f t="shared" si="127"/>
        <v>4.3338281249999993</v>
      </c>
      <c r="L1544" s="115"/>
      <c r="M1544" s="104">
        <f t="shared" si="128"/>
        <v>3.4323918749999995E-2</v>
      </c>
    </row>
    <row r="1545" spans="1:13">
      <c r="A1545" s="100" t="str">
        <f>VLOOKUP(C1545,Abstract!$E$4:$M$62,9,0)</f>
        <v>ACTIVE</v>
      </c>
      <c r="B1545" s="99" t="s">
        <v>138</v>
      </c>
      <c r="C1545" s="133" t="s">
        <v>124</v>
      </c>
      <c r="D1545" s="133" t="s">
        <v>552</v>
      </c>
      <c r="E1545" s="95" t="s">
        <v>211</v>
      </c>
      <c r="F1545" s="95" t="s">
        <v>557</v>
      </c>
      <c r="G1545" s="109">
        <v>0.1</v>
      </c>
      <c r="H1545" s="104">
        <f>VLOOKUP($E1545,'Stock statement'!$D$2:$P$384,13,)</f>
        <v>1279.5862001575747</v>
      </c>
      <c r="I1545" s="127">
        <v>2.5000000000000001E-2</v>
      </c>
      <c r="J1545" s="106">
        <v>1.0249999999999999</v>
      </c>
      <c r="K1545" s="106">
        <f t="shared" si="127"/>
        <v>134.43652515405518</v>
      </c>
      <c r="L1545" s="115"/>
      <c r="M1545" s="104">
        <f t="shared" si="128"/>
        <v>1.0647372792201169</v>
      </c>
    </row>
    <row r="1546" spans="1:13">
      <c r="A1546" s="100" t="str">
        <f>VLOOKUP(C1546,Abstract!$E$4:$M$62,9,0)</f>
        <v>ACTIVE</v>
      </c>
      <c r="B1546" s="99" t="s">
        <v>138</v>
      </c>
      <c r="C1546" s="133" t="s">
        <v>124</v>
      </c>
      <c r="D1546" s="133" t="s">
        <v>552</v>
      </c>
      <c r="E1546" s="95">
        <v>114603</v>
      </c>
      <c r="F1546" s="95" t="s">
        <v>558</v>
      </c>
      <c r="G1546" s="109">
        <v>0.1</v>
      </c>
      <c r="H1546" s="104">
        <f>VLOOKUP($E1546,'Stock statement'!$D$2:$P$384,13,)</f>
        <v>2604.3319047619048</v>
      </c>
      <c r="I1546" s="127">
        <v>2.5000000000000001E-2</v>
      </c>
      <c r="J1546" s="106">
        <v>1.0249999999999999</v>
      </c>
      <c r="K1546" s="106">
        <f t="shared" si="127"/>
        <v>273.6176207440476</v>
      </c>
      <c r="L1546" s="115"/>
      <c r="M1546" s="104">
        <f t="shared" si="128"/>
        <v>2.167051556292857</v>
      </c>
    </row>
    <row r="1547" spans="1:13">
      <c r="A1547" s="100" t="str">
        <f>VLOOKUP(C1547,Abstract!$E$4:$M$62,9,0)</f>
        <v>ACTIVE</v>
      </c>
      <c r="B1547" s="99" t="s">
        <v>138</v>
      </c>
      <c r="C1547" s="133" t="s">
        <v>124</v>
      </c>
      <c r="D1547" s="133" t="s">
        <v>552</v>
      </c>
      <c r="E1547" s="95" t="s">
        <v>160</v>
      </c>
      <c r="F1547" s="95" t="s">
        <v>161</v>
      </c>
      <c r="G1547" s="109">
        <v>0.5</v>
      </c>
      <c r="H1547" s="104">
        <f>VLOOKUP($E1547,'Stock statement'!$D$2:$P$384,13,)</f>
        <v>3313.2387673094586</v>
      </c>
      <c r="I1547" s="127">
        <v>2.5000000000000001E-2</v>
      </c>
      <c r="J1547" s="106">
        <v>1.0249999999999999</v>
      </c>
      <c r="K1547" s="106">
        <f t="shared" si="127"/>
        <v>1740.4857399522498</v>
      </c>
      <c r="L1547" s="115"/>
      <c r="M1547" s="104">
        <f t="shared" si="128"/>
        <v>13.784647060421818</v>
      </c>
    </row>
    <row r="1548" spans="1:13">
      <c r="A1548" s="100" t="str">
        <f>VLOOKUP(C1548,Abstract!$E$4:$M$62,9,0)</f>
        <v>ACTIVE</v>
      </c>
      <c r="B1548" s="99" t="s">
        <v>138</v>
      </c>
      <c r="C1548" s="133" t="s">
        <v>124</v>
      </c>
      <c r="D1548" s="133" t="s">
        <v>552</v>
      </c>
      <c r="E1548" s="95">
        <v>114604</v>
      </c>
      <c r="F1548" s="95" t="s">
        <v>559</v>
      </c>
      <c r="G1548" s="109">
        <v>1</v>
      </c>
      <c r="H1548" s="104">
        <f>VLOOKUP($E1548,'Stock statement'!$D$2:$P$384,13,)</f>
        <v>316.73877034015652</v>
      </c>
      <c r="I1548" s="127">
        <v>2.5000000000000001E-2</v>
      </c>
      <c r="J1548" s="106">
        <v>1.0249999999999999</v>
      </c>
      <c r="K1548" s="106">
        <f t="shared" si="127"/>
        <v>332.77367058862689</v>
      </c>
      <c r="L1548" s="115"/>
      <c r="M1548" s="104">
        <f t="shared" si="128"/>
        <v>2.6355674710619246</v>
      </c>
    </row>
    <row r="1549" spans="1:13">
      <c r="A1549" s="100" t="str">
        <f>VLOOKUP(C1549,Abstract!$E$4:$M$62,9,0)</f>
        <v>ACTIVE</v>
      </c>
      <c r="B1549" s="99" t="s">
        <v>138</v>
      </c>
      <c r="C1549" s="133" t="s">
        <v>124</v>
      </c>
      <c r="D1549" s="133" t="s">
        <v>552</v>
      </c>
      <c r="E1549" s="95">
        <v>111275</v>
      </c>
      <c r="F1549" s="95" t="s">
        <v>560</v>
      </c>
      <c r="G1549" s="109">
        <v>15</v>
      </c>
      <c r="H1549" s="104">
        <f>VLOOKUP($E1549,'Stock statement'!$D$2:$P$384,13,)</f>
        <v>227.6704701334331</v>
      </c>
      <c r="I1549" s="127">
        <v>2.5000000000000001E-2</v>
      </c>
      <c r="J1549" s="106">
        <v>1.0249999999999999</v>
      </c>
      <c r="K1549" s="106">
        <f t="shared" si="127"/>
        <v>3587.944315259072</v>
      </c>
      <c r="L1549" s="115"/>
      <c r="M1549" s="104">
        <f t="shared" si="128"/>
        <v>28.416518976851847</v>
      </c>
    </row>
    <row r="1550" spans="1:13">
      <c r="A1550" s="100" t="str">
        <f>VLOOKUP(C1550,Abstract!$E$4:$M$62,9,0)</f>
        <v>ACTIVE</v>
      </c>
      <c r="B1550" s="99" t="s">
        <v>138</v>
      </c>
      <c r="C1550" s="133" t="s">
        <v>124</v>
      </c>
      <c r="D1550" s="133" t="s">
        <v>552</v>
      </c>
      <c r="E1550" s="95" t="s">
        <v>496</v>
      </c>
      <c r="F1550" s="95" t="s">
        <v>561</v>
      </c>
      <c r="G1550" s="109">
        <v>0.1</v>
      </c>
      <c r="H1550" s="104">
        <f>VLOOKUP($E1550,'Stock statement'!$D$2:$P$384,13,)</f>
        <v>386</v>
      </c>
      <c r="I1550" s="127">
        <v>2.5000000000000001E-2</v>
      </c>
      <c r="J1550" s="106">
        <v>1.0249999999999999</v>
      </c>
      <c r="K1550" s="106">
        <f t="shared" si="127"/>
        <v>40.554124999999992</v>
      </c>
      <c r="L1550" s="115"/>
      <c r="M1550" s="104">
        <f t="shared" si="128"/>
        <v>0.3211886699999999</v>
      </c>
    </row>
    <row r="1551" spans="1:13">
      <c r="A1551" s="100" t="str">
        <f>VLOOKUP(C1551,Abstract!$E$4:$M$62,9,0)</f>
        <v>ACTIVE</v>
      </c>
      <c r="B1551" s="99" t="s">
        <v>138</v>
      </c>
      <c r="C1551" s="133" t="s">
        <v>124</v>
      </c>
      <c r="D1551" s="133" t="s">
        <v>552</v>
      </c>
      <c r="E1551" s="95">
        <v>115152</v>
      </c>
      <c r="F1551" s="95" t="s">
        <v>420</v>
      </c>
      <c r="G1551" s="109">
        <v>60</v>
      </c>
      <c r="H1551" s="104">
        <f>VLOOKUP($E1551,'Stock statement'!$D$2:$P$384,13,)</f>
        <v>341.17565217391302</v>
      </c>
      <c r="I1551" s="127">
        <v>2.5000000000000001E-2</v>
      </c>
      <c r="J1551" s="106">
        <v>1.0249999999999999</v>
      </c>
      <c r="K1551" s="106">
        <f t="shared" si="127"/>
        <v>21506.860173913039</v>
      </c>
      <c r="L1551" s="115"/>
      <c r="M1551" s="104">
        <f t="shared" si="128"/>
        <v>170.33433257739125</v>
      </c>
    </row>
    <row r="1552" spans="1:13">
      <c r="A1552" s="100" t="str">
        <f>VLOOKUP(C1552,Abstract!$E$4:$M$62,9,0)</f>
        <v>ACTIVE</v>
      </c>
      <c r="B1552" s="99" t="s">
        <v>138</v>
      </c>
      <c r="C1552" s="133" t="s">
        <v>124</v>
      </c>
      <c r="D1552" s="133" t="s">
        <v>552</v>
      </c>
      <c r="E1552" s="95">
        <v>110979</v>
      </c>
      <c r="F1552" s="95" t="s">
        <v>562</v>
      </c>
      <c r="G1552" s="109">
        <v>10</v>
      </c>
      <c r="H1552" s="104">
        <f>VLOOKUP($E1552,'Stock statement'!$D$2:$P$384,13,)</f>
        <v>206.60696966872479</v>
      </c>
      <c r="I1552" s="127">
        <v>2.5000000000000001E-2</v>
      </c>
      <c r="J1552" s="106">
        <v>1.0249999999999999</v>
      </c>
      <c r="K1552" s="106">
        <f t="shared" si="127"/>
        <v>2170.6644750820396</v>
      </c>
      <c r="L1552" s="115"/>
      <c r="M1552" s="104">
        <f t="shared" si="128"/>
        <v>17.191662642649753</v>
      </c>
    </row>
    <row r="1553" spans="1:13">
      <c r="A1553" s="100" t="str">
        <f>VLOOKUP(C1553,Abstract!$E$4:$M$62,9,0)</f>
        <v>ACTIVE</v>
      </c>
      <c r="B1553" s="99" t="s">
        <v>138</v>
      </c>
      <c r="C1553" s="133" t="s">
        <v>124</v>
      </c>
      <c r="D1553" s="133" t="s">
        <v>552</v>
      </c>
      <c r="E1553" s="95" t="s">
        <v>181</v>
      </c>
      <c r="F1553" s="95" t="s">
        <v>182</v>
      </c>
      <c r="G1553" s="109">
        <v>1.875</v>
      </c>
      <c r="H1553" s="104">
        <f>VLOOKUP($E1553,'Stock statement'!$D$2:$P$384,13,)</f>
        <v>17.110276913020375</v>
      </c>
      <c r="I1553" s="127">
        <v>2.5000000000000001E-2</v>
      </c>
      <c r="J1553" s="106">
        <v>1.0249999999999999</v>
      </c>
      <c r="K1553" s="106">
        <f t="shared" si="127"/>
        <v>33.705908778266298</v>
      </c>
      <c r="L1553" s="115"/>
      <c r="M1553" s="104">
        <f t="shared" si="128"/>
        <v>0.26695079752386908</v>
      </c>
    </row>
    <row r="1554" spans="1:13">
      <c r="A1554" s="100" t="str">
        <f>VLOOKUP(C1554,Abstract!$E$4:$M$62,9,0)</f>
        <v>ACTIVE</v>
      </c>
      <c r="B1554" s="99" t="s">
        <v>138</v>
      </c>
      <c r="C1554" s="133" t="s">
        <v>124</v>
      </c>
      <c r="D1554" s="133" t="s">
        <v>552</v>
      </c>
      <c r="E1554" s="95" t="s">
        <v>139</v>
      </c>
      <c r="F1554" s="95" t="s">
        <v>472</v>
      </c>
      <c r="G1554" s="109">
        <f>658.29-0.5</f>
        <v>657.79</v>
      </c>
      <c r="H1554" s="104">
        <f>VLOOKUP($E1554,'Stock statement'!$D$2:$P$384,13,)</f>
        <v>0.34</v>
      </c>
      <c r="I1554" s="127">
        <v>2.5000000000000001E-2</v>
      </c>
      <c r="J1554" s="106">
        <v>1.0249999999999999</v>
      </c>
      <c r="K1554" s="106">
        <f t="shared" si="127"/>
        <v>234.97081037499999</v>
      </c>
      <c r="L1554" s="115"/>
      <c r="M1554" s="104">
        <f t="shared" si="128"/>
        <v>1.8609688181699997</v>
      </c>
    </row>
    <row r="1555" spans="1:13">
      <c r="A1555" s="100" t="str">
        <f>VLOOKUP(C1555,Abstract!$E$4:$M$62,9,0)</f>
        <v>ACTIVE</v>
      </c>
      <c r="B1555" s="99" t="s">
        <v>183</v>
      </c>
      <c r="C1555" s="133" t="s">
        <v>124</v>
      </c>
      <c r="D1555" s="133" t="s">
        <v>552</v>
      </c>
      <c r="E1555" s="95">
        <v>213867</v>
      </c>
      <c r="F1555" s="95" t="s">
        <v>563</v>
      </c>
      <c r="G1555" s="109">
        <f>0.577*G1556</f>
        <v>72.853535353535349</v>
      </c>
      <c r="H1555" s="104">
        <f>VLOOKUP($E1555,'Stock statement'!$D$2:$P$384,13,)</f>
        <v>312.29160651547767</v>
      </c>
      <c r="I1555" s="127">
        <v>1.7500000000000002E-2</v>
      </c>
      <c r="J1555" s="106">
        <v>1</v>
      </c>
      <c r="K1555" s="106">
        <f t="shared" si="127"/>
        <v>23149.699678815741</v>
      </c>
      <c r="L1555" s="115"/>
      <c r="M1555" s="104">
        <f t="shared" si="128"/>
        <v>183.34562145622067</v>
      </c>
    </row>
    <row r="1556" spans="1:13">
      <c r="A1556" s="100" t="str">
        <f>VLOOKUP(C1556,Abstract!$E$4:$M$62,9,0)</f>
        <v>ACTIVE</v>
      </c>
      <c r="B1556" s="99" t="s">
        <v>183</v>
      </c>
      <c r="C1556" s="133" t="s">
        <v>124</v>
      </c>
      <c r="D1556" s="133" t="s">
        <v>552</v>
      </c>
      <c r="E1556" s="95">
        <v>213052</v>
      </c>
      <c r="F1556" s="95" t="s">
        <v>564</v>
      </c>
      <c r="G1556" s="109">
        <f>1000/(5.5*1440)*1000</f>
        <v>126.26262626262627</v>
      </c>
      <c r="H1556" s="104">
        <f>VLOOKUP($E1556,'Stock statement'!$D$2:$P$384,13,)</f>
        <v>48.129666907518903</v>
      </c>
      <c r="I1556" s="127">
        <v>6.0000000000000001E-3</v>
      </c>
      <c r="J1556" s="106">
        <v>1</v>
      </c>
      <c r="K1556" s="106">
        <f>+G1556*H1556*(1+I1556)*J1556</f>
        <v>6113.4400137580833</v>
      </c>
      <c r="L1556" s="115"/>
      <c r="M1556" s="104">
        <f t="shared" si="128"/>
        <v>48.41844490896402</v>
      </c>
    </row>
    <row r="1557" spans="1:13">
      <c r="A1557" s="100" t="str">
        <f>VLOOKUP(C1557,Abstract!$E$4:$M$62,9,0)</f>
        <v>ACTIVE</v>
      </c>
      <c r="B1557" s="99" t="s">
        <v>183</v>
      </c>
      <c r="C1557" s="133" t="s">
        <v>124</v>
      </c>
      <c r="D1557" s="133" t="s">
        <v>552</v>
      </c>
      <c r="E1557" s="95" t="s">
        <v>191</v>
      </c>
      <c r="F1557" s="95" t="s">
        <v>192</v>
      </c>
      <c r="G1557" s="109">
        <f>0.018*G1556</f>
        <v>2.2727272727272725</v>
      </c>
      <c r="H1557" s="104">
        <f>VLOOKUP($E1557,'Stock statement'!$D$2:$P$384,13,)</f>
        <v>44.985440769279101</v>
      </c>
      <c r="I1557" s="127">
        <v>0.02</v>
      </c>
      <c r="J1557" s="106">
        <v>1</v>
      </c>
      <c r="K1557" s="106">
        <f t="shared" si="127"/>
        <v>104.28443087423791</v>
      </c>
      <c r="L1557" s="115"/>
      <c r="M1557" s="104">
        <f t="shared" si="128"/>
        <v>0.82593269252396417</v>
      </c>
    </row>
    <row r="1558" spans="1:13">
      <c r="A1558" s="100" t="str">
        <f>VLOOKUP(C1558,Abstract!$E$4:$M$62,9,0)</f>
        <v>ACTIVE</v>
      </c>
      <c r="B1558" s="99" t="s">
        <v>197</v>
      </c>
      <c r="C1558" s="133" t="s">
        <v>124</v>
      </c>
      <c r="D1558" s="133" t="s">
        <v>552</v>
      </c>
      <c r="E1558" s="95" t="s">
        <v>198</v>
      </c>
      <c r="F1558" s="95"/>
      <c r="G1558" s="109"/>
      <c r="H1558" s="104"/>
      <c r="I1558" s="127"/>
      <c r="J1558" s="106"/>
      <c r="K1558" s="106">
        <v>6180</v>
      </c>
      <c r="L1558" s="115"/>
      <c r="M1558" s="104">
        <f t="shared" si="128"/>
        <v>48.945599999999999</v>
      </c>
    </row>
  </sheetData>
  <autoFilter ref="A2:O1558" xr:uid="{00000000-0009-0000-0000-000001000000}"/>
  <conditionalFormatting sqref="E1527">
    <cfRule type="duplicateValues" dxfId="105" priority="39"/>
  </conditionalFormatting>
  <conditionalFormatting sqref="E1528">
    <cfRule type="duplicateValues" dxfId="104" priority="38"/>
  </conditionalFormatting>
  <conditionalFormatting sqref="F103">
    <cfRule type="duplicateValues" dxfId="103" priority="35" stopIfTrue="1"/>
  </conditionalFormatting>
  <conditionalFormatting sqref="F103">
    <cfRule type="duplicateValues" dxfId="102" priority="36"/>
  </conditionalFormatting>
  <conditionalFormatting sqref="F129">
    <cfRule type="duplicateValues" dxfId="101" priority="33" stopIfTrue="1"/>
  </conditionalFormatting>
  <conditionalFormatting sqref="F129">
    <cfRule type="duplicateValues" dxfId="100" priority="34"/>
  </conditionalFormatting>
  <conditionalFormatting sqref="F193">
    <cfRule type="duplicateValues" dxfId="99" priority="31" stopIfTrue="1"/>
  </conditionalFormatting>
  <conditionalFormatting sqref="F193">
    <cfRule type="duplicateValues" dxfId="98" priority="32"/>
  </conditionalFormatting>
  <conditionalFormatting sqref="F225">
    <cfRule type="duplicateValues" dxfId="97" priority="29" stopIfTrue="1"/>
  </conditionalFormatting>
  <conditionalFormatting sqref="F225">
    <cfRule type="duplicateValues" dxfId="96" priority="30"/>
  </conditionalFormatting>
  <conditionalFormatting sqref="F257">
    <cfRule type="duplicateValues" dxfId="95" priority="27" stopIfTrue="1"/>
  </conditionalFormatting>
  <conditionalFormatting sqref="F257">
    <cfRule type="duplicateValues" dxfId="94" priority="28"/>
  </conditionalFormatting>
  <conditionalFormatting sqref="F356">
    <cfRule type="duplicateValues" dxfId="93" priority="25" stopIfTrue="1"/>
  </conditionalFormatting>
  <conditionalFormatting sqref="F356">
    <cfRule type="duplicateValues" dxfId="92" priority="26"/>
  </conditionalFormatting>
  <conditionalFormatting sqref="F415">
    <cfRule type="duplicateValues" dxfId="91" priority="23" stopIfTrue="1"/>
  </conditionalFormatting>
  <conditionalFormatting sqref="F415">
    <cfRule type="duplicateValues" dxfId="90" priority="24"/>
  </conditionalFormatting>
  <conditionalFormatting sqref="F444">
    <cfRule type="duplicateValues" dxfId="89" priority="21" stopIfTrue="1"/>
  </conditionalFormatting>
  <conditionalFormatting sqref="F444">
    <cfRule type="duplicateValues" dxfId="88" priority="22"/>
  </conditionalFormatting>
  <conditionalFormatting sqref="F886">
    <cfRule type="duplicateValues" dxfId="87" priority="19" stopIfTrue="1"/>
  </conditionalFormatting>
  <conditionalFormatting sqref="F886">
    <cfRule type="duplicateValues" dxfId="86" priority="20"/>
  </conditionalFormatting>
  <conditionalFormatting sqref="F967">
    <cfRule type="duplicateValues" dxfId="85" priority="17" stopIfTrue="1"/>
  </conditionalFormatting>
  <conditionalFormatting sqref="F967">
    <cfRule type="duplicateValues" dxfId="84" priority="18"/>
  </conditionalFormatting>
  <conditionalFormatting sqref="F1070">
    <cfRule type="duplicateValues" dxfId="83" priority="15" stopIfTrue="1"/>
  </conditionalFormatting>
  <conditionalFormatting sqref="F1070">
    <cfRule type="duplicateValues" dxfId="82" priority="16"/>
  </conditionalFormatting>
  <conditionalFormatting sqref="F1122">
    <cfRule type="duplicateValues" dxfId="81" priority="13" stopIfTrue="1"/>
  </conditionalFormatting>
  <conditionalFormatting sqref="F1122">
    <cfRule type="duplicateValues" dxfId="80" priority="14"/>
  </conditionalFormatting>
  <conditionalFormatting sqref="F1230">
    <cfRule type="duplicateValues" dxfId="79" priority="11" stopIfTrue="1"/>
  </conditionalFormatting>
  <conditionalFormatting sqref="F1230">
    <cfRule type="duplicateValues" dxfId="78" priority="12"/>
  </conditionalFormatting>
  <conditionalFormatting sqref="F1256">
    <cfRule type="duplicateValues" dxfId="77" priority="9" stopIfTrue="1"/>
  </conditionalFormatting>
  <conditionalFormatting sqref="F1256">
    <cfRule type="duplicateValues" dxfId="76" priority="10"/>
  </conditionalFormatting>
  <conditionalFormatting sqref="F1280">
    <cfRule type="duplicateValues" dxfId="75" priority="7" stopIfTrue="1"/>
  </conditionalFormatting>
  <conditionalFormatting sqref="F1280">
    <cfRule type="duplicateValues" dxfId="74" priority="8"/>
  </conditionalFormatting>
  <conditionalFormatting sqref="F1329">
    <cfRule type="duplicateValues" dxfId="73" priority="5" stopIfTrue="1"/>
  </conditionalFormatting>
  <conditionalFormatting sqref="F1329">
    <cfRule type="duplicateValues" dxfId="72" priority="6"/>
  </conditionalFormatting>
  <conditionalFormatting sqref="F1390">
    <cfRule type="duplicateValues" dxfId="71" priority="3" stopIfTrue="1"/>
  </conditionalFormatting>
  <conditionalFormatting sqref="F1390">
    <cfRule type="duplicateValues" dxfId="70" priority="4"/>
  </conditionalFormatting>
  <conditionalFormatting sqref="F1426">
    <cfRule type="duplicateValues" dxfId="69" priority="1" stopIfTrue="1"/>
  </conditionalFormatting>
  <conditionalFormatting sqref="F1426">
    <cfRule type="duplicateValues" dxfId="68" priority="2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7"/>
  <sheetViews>
    <sheetView workbookViewId="0">
      <pane ySplit="2" topLeftCell="A3" activePane="bottomLeft" state="frozen"/>
      <selection pane="bottomLeft" activeCell="I382" sqref="I382:J382"/>
    </sheetView>
  </sheetViews>
  <sheetFormatPr defaultRowHeight="14.45"/>
  <cols>
    <col min="3" max="3" width="8.5703125" customWidth="1"/>
    <col min="4" max="4" width="8" hidden="1" customWidth="1"/>
    <col min="5" max="5" width="32.140625" customWidth="1"/>
    <col min="6" max="6" width="15.5703125" bestFit="1" customWidth="1"/>
    <col min="7" max="7" width="11.7109375" customWidth="1"/>
    <col min="8" max="8" width="18" customWidth="1"/>
    <col min="9" max="9" width="13.28515625" customWidth="1"/>
    <col min="10" max="10" width="10.28515625" customWidth="1"/>
    <col min="11" max="11" width="14.85546875" customWidth="1"/>
    <col min="12" max="12" width="13" customWidth="1"/>
    <col min="13" max="13" width="12.7109375" customWidth="1"/>
    <col min="14" max="14" width="13.5703125" customWidth="1"/>
    <col min="15" max="15" width="12.140625" customWidth="1"/>
    <col min="16" max="16" width="12.28515625" style="12" customWidth="1"/>
    <col min="17" max="17" width="11.85546875" customWidth="1"/>
    <col min="18" max="18" width="12.5703125" bestFit="1" customWidth="1"/>
    <col min="19" max="19" width="11" style="12" customWidth="1"/>
    <col min="20" max="20" width="15" customWidth="1"/>
    <col min="21" max="21" width="11.42578125" bestFit="1" customWidth="1"/>
    <col min="22" max="22" width="10.28515625" bestFit="1" customWidth="1"/>
  </cols>
  <sheetData>
    <row r="1" spans="1:23" ht="23.25" customHeight="1">
      <c r="B1" s="214" t="s">
        <v>565</v>
      </c>
      <c r="C1" s="215"/>
      <c r="D1" s="215"/>
      <c r="E1" s="216"/>
      <c r="F1" s="47"/>
      <c r="G1" s="48" t="s">
        <v>566</v>
      </c>
      <c r="H1" s="48"/>
      <c r="I1" s="47"/>
      <c r="J1" s="48" t="s">
        <v>567</v>
      </c>
      <c r="K1" s="49"/>
      <c r="L1" s="214" t="s">
        <v>568</v>
      </c>
      <c r="M1" s="215"/>
      <c r="N1" s="216"/>
      <c r="O1" s="214" t="s">
        <v>569</v>
      </c>
      <c r="P1" s="215"/>
      <c r="Q1" s="216"/>
      <c r="R1" s="214" t="s">
        <v>570</v>
      </c>
      <c r="S1" s="215"/>
      <c r="T1" s="216"/>
      <c r="U1">
        <f>1.5+0.29</f>
        <v>1.79</v>
      </c>
    </row>
    <row r="2" spans="1:23" ht="28.9" customHeight="1">
      <c r="A2" s="44" t="s">
        <v>571</v>
      </c>
      <c r="B2" s="30" t="s">
        <v>572</v>
      </c>
      <c r="C2" s="155" t="s">
        <v>573</v>
      </c>
      <c r="D2" s="156" t="s">
        <v>574</v>
      </c>
      <c r="E2" s="31" t="s">
        <v>575</v>
      </c>
      <c r="F2" s="46" t="s">
        <v>5</v>
      </c>
      <c r="G2" s="46" t="s">
        <v>576</v>
      </c>
      <c r="H2" s="46" t="s">
        <v>577</v>
      </c>
      <c r="I2" s="46" t="s">
        <v>5</v>
      </c>
      <c r="J2" s="46" t="s">
        <v>576</v>
      </c>
      <c r="K2" s="46" t="s">
        <v>577</v>
      </c>
      <c r="L2" s="33" t="s">
        <v>5</v>
      </c>
      <c r="M2" s="32" t="s">
        <v>576</v>
      </c>
      <c r="N2" s="32" t="s">
        <v>577</v>
      </c>
      <c r="O2" s="32" t="s">
        <v>5</v>
      </c>
      <c r="P2" s="34" t="s">
        <v>576</v>
      </c>
      <c r="Q2" s="32" t="s">
        <v>577</v>
      </c>
      <c r="R2" s="32" t="s">
        <v>5</v>
      </c>
      <c r="S2" s="34" t="s">
        <v>576</v>
      </c>
      <c r="T2" s="32" t="s">
        <v>577</v>
      </c>
    </row>
    <row r="3" spans="1:23">
      <c r="A3" s="35" t="s">
        <v>138</v>
      </c>
      <c r="B3" s="35" t="s">
        <v>138</v>
      </c>
      <c r="C3" s="157">
        <v>110184</v>
      </c>
      <c r="D3" s="157" t="s">
        <v>371</v>
      </c>
      <c r="E3" s="36" t="s">
        <v>372</v>
      </c>
      <c r="F3" s="98">
        <v>18.440000000000001</v>
      </c>
      <c r="G3" s="158">
        <v>911.16233108656354</v>
      </c>
      <c r="H3" s="115">
        <f t="shared" ref="H3:H66" si="0">IFERROR(F3*G3,)</f>
        <v>16801.833385236234</v>
      </c>
      <c r="I3" s="159">
        <f>SUMIFS(Arrival!M:M,Arrival!K:K,'Stock statement'!$C3)</f>
        <v>0</v>
      </c>
      <c r="J3" s="160">
        <f>IFERROR(K3/I3,0)</f>
        <v>0</v>
      </c>
      <c r="K3" s="160">
        <f>SUMIFS(Arrival!R:R,Arrival!K:K,'Stock statement'!$C3)</f>
        <v>0</v>
      </c>
      <c r="L3" s="160">
        <f>F3+I3</f>
        <v>18.440000000000001</v>
      </c>
      <c r="M3" s="160">
        <f>IFERROR(N3/L3,0)</f>
        <v>911.16233108656354</v>
      </c>
      <c r="N3" s="161">
        <f>H3+K3</f>
        <v>16801.833385236234</v>
      </c>
      <c r="O3" s="159">
        <f>L3-R3</f>
        <v>4.6100000000000012</v>
      </c>
      <c r="P3" s="162">
        <f>M3</f>
        <v>911.16233108656354</v>
      </c>
      <c r="Q3" s="162">
        <f>IFERROR(O3*P3,0)</f>
        <v>4200.4583463090594</v>
      </c>
      <c r="R3" s="160">
        <f>IFERROR(VLOOKUP(C3,'Monthly Op &amp; Clo Stock (invoic)'!A:C,3,0),0)</f>
        <v>13.83</v>
      </c>
      <c r="S3" s="163">
        <f>P3</f>
        <v>911.16233108656354</v>
      </c>
      <c r="T3" s="162">
        <f>IFERROR(R3*S3,0)</f>
        <v>12601.375038927174</v>
      </c>
      <c r="U3" s="16"/>
      <c r="V3" s="71"/>
      <c r="W3" s="16"/>
    </row>
    <row r="4" spans="1:23">
      <c r="A4" s="35" t="s">
        <v>138</v>
      </c>
      <c r="B4" s="35" t="s">
        <v>138</v>
      </c>
      <c r="C4" s="157">
        <v>118322</v>
      </c>
      <c r="D4" s="157" t="s">
        <v>494</v>
      </c>
      <c r="E4" s="36" t="s">
        <v>495</v>
      </c>
      <c r="F4" s="110">
        <v>0</v>
      </c>
      <c r="G4" s="158">
        <v>0</v>
      </c>
      <c r="H4" s="115">
        <f t="shared" si="0"/>
        <v>0</v>
      </c>
      <c r="I4" s="159">
        <f>SUMIFS(Arrival!M:M,Arrival!K:K,'Stock statement'!$C4)</f>
        <v>0</v>
      </c>
      <c r="J4" s="160">
        <f t="shared" ref="J4:J67" si="1">IFERROR(K4/I4,0)</f>
        <v>0</v>
      </c>
      <c r="K4" s="160">
        <f>SUMIFS(Arrival!R:R,Arrival!K:K,'Stock statement'!$C4)</f>
        <v>0</v>
      </c>
      <c r="L4" s="160">
        <f t="shared" ref="L4:L67" si="2">F4+I4</f>
        <v>0</v>
      </c>
      <c r="M4" s="160">
        <f t="shared" ref="M4:M67" si="3">IFERROR(N4/L4,0)</f>
        <v>0</v>
      </c>
      <c r="N4" s="161">
        <f t="shared" ref="N4:N67" si="4">H4+K4</f>
        <v>0</v>
      </c>
      <c r="O4" s="159">
        <f t="shared" ref="O4:O67" si="5">L4-R4</f>
        <v>0</v>
      </c>
      <c r="P4" s="162">
        <f t="shared" ref="P4:P67" si="6">M4</f>
        <v>0</v>
      </c>
      <c r="Q4" s="162">
        <f t="shared" ref="Q4:Q67" si="7">IFERROR(O4*P4,0)</f>
        <v>0</v>
      </c>
      <c r="R4" s="160">
        <f>IFERROR(VLOOKUP(C4,'Monthly Op &amp; Clo Stock (invoic)'!A:C,3,0),0)</f>
        <v>0</v>
      </c>
      <c r="S4" s="163">
        <f t="shared" ref="S4:S67" si="8">P4</f>
        <v>0</v>
      </c>
      <c r="T4" s="162">
        <f t="shared" ref="T4:T67" si="9">IFERROR(R4*S4,0)</f>
        <v>0</v>
      </c>
      <c r="U4" s="71"/>
      <c r="V4" s="71"/>
      <c r="W4" s="16"/>
    </row>
    <row r="5" spans="1:23">
      <c r="A5" s="35" t="s">
        <v>138</v>
      </c>
      <c r="B5" s="35" t="s">
        <v>138</v>
      </c>
      <c r="C5" s="157">
        <v>110982</v>
      </c>
      <c r="D5" s="157" t="s">
        <v>373</v>
      </c>
      <c r="E5" s="36" t="s">
        <v>374</v>
      </c>
      <c r="F5" s="98">
        <v>23.02</v>
      </c>
      <c r="G5" s="158">
        <v>1119.6565156623499</v>
      </c>
      <c r="H5" s="115">
        <f t="shared" si="0"/>
        <v>25774.492990547293</v>
      </c>
      <c r="I5" s="159">
        <f>SUMIFS(Arrival!M:M,Arrival!K:K,'Stock statement'!$C5)</f>
        <v>0</v>
      </c>
      <c r="J5" s="160">
        <f t="shared" si="1"/>
        <v>0</v>
      </c>
      <c r="K5" s="160">
        <f>SUMIFS(Arrival!R:R,Arrival!K:K,'Stock statement'!$C5)</f>
        <v>0</v>
      </c>
      <c r="L5" s="160">
        <f t="shared" si="2"/>
        <v>23.02</v>
      </c>
      <c r="M5" s="160">
        <f t="shared" si="3"/>
        <v>1119.6565156623499</v>
      </c>
      <c r="N5" s="161">
        <f t="shared" si="4"/>
        <v>25774.492990547293</v>
      </c>
      <c r="O5" s="159">
        <f t="shared" si="5"/>
        <v>4.34</v>
      </c>
      <c r="P5" s="162">
        <f t="shared" si="6"/>
        <v>1119.6565156623499</v>
      </c>
      <c r="Q5" s="162">
        <f t="shared" si="7"/>
        <v>4859.3092779745984</v>
      </c>
      <c r="R5" s="160">
        <f>IFERROR(VLOOKUP(C5,'Monthly Op &amp; Clo Stock (invoic)'!A:C,3,0),0)</f>
        <v>18.68</v>
      </c>
      <c r="S5" s="163">
        <f t="shared" si="8"/>
        <v>1119.6565156623499</v>
      </c>
      <c r="T5" s="162">
        <f t="shared" si="9"/>
        <v>20915.183712572696</v>
      </c>
      <c r="U5" s="16"/>
      <c r="V5" s="71"/>
      <c r="W5" s="16"/>
    </row>
    <row r="6" spans="1:23">
      <c r="A6" s="35" t="s">
        <v>138</v>
      </c>
      <c r="B6" s="35" t="s">
        <v>138</v>
      </c>
      <c r="C6" s="157">
        <v>110021</v>
      </c>
      <c r="D6" s="157" t="s">
        <v>164</v>
      </c>
      <c r="E6" s="36" t="s">
        <v>165</v>
      </c>
      <c r="F6" s="98">
        <v>0</v>
      </c>
      <c r="G6" s="158">
        <v>1735.8079059845854</v>
      </c>
      <c r="H6" s="115">
        <f t="shared" si="0"/>
        <v>0</v>
      </c>
      <c r="I6" s="159">
        <f>SUMIFS(Arrival!M:M,Arrival!K:K,'Stock statement'!$C6)</f>
        <v>2</v>
      </c>
      <c r="J6" s="160">
        <f t="shared" si="1"/>
        <v>1939</v>
      </c>
      <c r="K6" s="160">
        <f>SUMIFS(Arrival!R:R,Arrival!K:K,'Stock statement'!$C6)</f>
        <v>3878</v>
      </c>
      <c r="L6" s="160">
        <f t="shared" si="2"/>
        <v>2</v>
      </c>
      <c r="M6" s="160">
        <f t="shared" si="3"/>
        <v>1939</v>
      </c>
      <c r="N6" s="161">
        <f t="shared" si="4"/>
        <v>3878</v>
      </c>
      <c r="O6" s="159">
        <f t="shared" si="5"/>
        <v>0.20999999999999996</v>
      </c>
      <c r="P6" s="162">
        <f t="shared" si="6"/>
        <v>1939</v>
      </c>
      <c r="Q6" s="162">
        <f t="shared" si="7"/>
        <v>407.18999999999994</v>
      </c>
      <c r="R6" s="160">
        <f>IFERROR(VLOOKUP(C6,'Monthly Op &amp; Clo Stock (invoic)'!A:C,3,0),0)</f>
        <v>1.79</v>
      </c>
      <c r="S6" s="163">
        <f t="shared" si="8"/>
        <v>1939</v>
      </c>
      <c r="T6" s="162">
        <f t="shared" si="9"/>
        <v>3470.81</v>
      </c>
      <c r="U6" s="16"/>
      <c r="V6" s="71"/>
      <c r="W6" s="16"/>
    </row>
    <row r="7" spans="1:23">
      <c r="A7" s="35" t="s">
        <v>138</v>
      </c>
      <c r="B7" s="35" t="s">
        <v>138</v>
      </c>
      <c r="C7" s="157">
        <v>110918</v>
      </c>
      <c r="D7" s="157" t="s">
        <v>496</v>
      </c>
      <c r="E7" s="36" t="s">
        <v>497</v>
      </c>
      <c r="F7" s="98">
        <v>18.61</v>
      </c>
      <c r="G7" s="158">
        <v>386</v>
      </c>
      <c r="H7" s="115">
        <f t="shared" si="0"/>
        <v>7183.46</v>
      </c>
      <c r="I7" s="159">
        <f>SUMIFS(Arrival!M:M,Arrival!K:K,'Stock statement'!$C7)</f>
        <v>0</v>
      </c>
      <c r="J7" s="160">
        <f t="shared" si="1"/>
        <v>0</v>
      </c>
      <c r="K7" s="160">
        <f>SUMIFS(Arrival!R:R,Arrival!K:K,'Stock statement'!$C7)</f>
        <v>0</v>
      </c>
      <c r="L7" s="160">
        <f t="shared" si="2"/>
        <v>18.61</v>
      </c>
      <c r="M7" s="160">
        <f t="shared" si="3"/>
        <v>386</v>
      </c>
      <c r="N7" s="161">
        <f t="shared" si="4"/>
        <v>7183.46</v>
      </c>
      <c r="O7" s="159">
        <f t="shared" si="5"/>
        <v>5.41</v>
      </c>
      <c r="P7" s="162">
        <f t="shared" si="6"/>
        <v>386</v>
      </c>
      <c r="Q7" s="162">
        <f t="shared" si="7"/>
        <v>2088.2600000000002</v>
      </c>
      <c r="R7" s="160">
        <f>IFERROR(VLOOKUP(C7,'Monthly Op &amp; Clo Stock (invoic)'!A:C,3,0),0)</f>
        <v>13.2</v>
      </c>
      <c r="S7" s="163">
        <f t="shared" si="8"/>
        <v>386</v>
      </c>
      <c r="T7" s="162">
        <f t="shared" si="9"/>
        <v>5095.2</v>
      </c>
      <c r="U7" s="16"/>
      <c r="V7" s="71"/>
      <c r="W7" s="16"/>
    </row>
    <row r="8" spans="1:23">
      <c r="A8" s="35" t="s">
        <v>138</v>
      </c>
      <c r="B8" s="35" t="s">
        <v>138</v>
      </c>
      <c r="C8" s="157">
        <v>111233</v>
      </c>
      <c r="D8" s="157" t="s">
        <v>209</v>
      </c>
      <c r="E8" s="36" t="s">
        <v>578</v>
      </c>
      <c r="F8" s="98">
        <v>7626.1</v>
      </c>
      <c r="G8" s="158">
        <v>222.87849577564529</v>
      </c>
      <c r="H8" s="115">
        <f t="shared" si="0"/>
        <v>1699693.6966346486</v>
      </c>
      <c r="I8" s="159">
        <f>SUMIFS(Arrival!M:M,Arrival!K:K,'Stock statement'!$C8)</f>
        <v>25000</v>
      </c>
      <c r="J8" s="160">
        <f t="shared" si="1"/>
        <v>220</v>
      </c>
      <c r="K8" s="160">
        <f>SUMIFS(Arrival!R:R,Arrival!K:K,'Stock statement'!$C8)</f>
        <v>5500000</v>
      </c>
      <c r="L8" s="160">
        <f t="shared" si="2"/>
        <v>32626.1</v>
      </c>
      <c r="M8" s="160">
        <f t="shared" si="3"/>
        <v>220.67282625366343</v>
      </c>
      <c r="N8" s="161">
        <f t="shared" si="4"/>
        <v>7199693.6966346484</v>
      </c>
      <c r="O8" s="159">
        <f t="shared" si="5"/>
        <v>24101.649999999998</v>
      </c>
      <c r="P8" s="162">
        <f t="shared" si="6"/>
        <v>220.67282625366343</v>
      </c>
      <c r="Q8" s="162">
        <f t="shared" si="7"/>
        <v>5318579.2228766065</v>
      </c>
      <c r="R8" s="160">
        <f>IFERROR(VLOOKUP(C8,'Monthly Op &amp; Clo Stock (invoic)'!A:C,3,0),0)</f>
        <v>8524.4500000000007</v>
      </c>
      <c r="S8" s="163">
        <f t="shared" si="8"/>
        <v>220.67282625366343</v>
      </c>
      <c r="T8" s="162">
        <f t="shared" si="9"/>
        <v>1881114.4737580414</v>
      </c>
      <c r="U8" s="16"/>
      <c r="V8" s="71"/>
      <c r="W8" s="16"/>
    </row>
    <row r="9" spans="1:23">
      <c r="A9" s="35" t="s">
        <v>138</v>
      </c>
      <c r="B9" s="35" t="s">
        <v>138</v>
      </c>
      <c r="C9" s="157">
        <v>110054</v>
      </c>
      <c r="D9" s="157" t="s">
        <v>155</v>
      </c>
      <c r="E9" s="36" t="s">
        <v>156</v>
      </c>
      <c r="F9" s="98">
        <v>38091</v>
      </c>
      <c r="G9" s="158">
        <v>69.947211111492123</v>
      </c>
      <c r="H9" s="115">
        <f t="shared" si="0"/>
        <v>2664359.2184478464</v>
      </c>
      <c r="I9" s="159">
        <f>SUMIFS(Arrival!M:M,Arrival!K:K,'Stock statement'!$C9)</f>
        <v>24140</v>
      </c>
      <c r="J9" s="160">
        <f t="shared" si="1"/>
        <v>65.722000828500413</v>
      </c>
      <c r="K9" s="160">
        <f>SUMIFS(Arrival!R:R,Arrival!K:K,'Stock statement'!$C9)</f>
        <v>1586529.1</v>
      </c>
      <c r="L9" s="160">
        <f t="shared" si="2"/>
        <v>62231</v>
      </c>
      <c r="M9" s="160">
        <f t="shared" si="3"/>
        <v>68.308211638055738</v>
      </c>
      <c r="N9" s="161">
        <f t="shared" si="4"/>
        <v>4250888.3184478469</v>
      </c>
      <c r="O9" s="159">
        <f t="shared" si="5"/>
        <v>27231</v>
      </c>
      <c r="P9" s="162">
        <f t="shared" si="6"/>
        <v>68.308211638055738</v>
      </c>
      <c r="Q9" s="162">
        <f t="shared" si="7"/>
        <v>1860100.9111158957</v>
      </c>
      <c r="R9" s="160">
        <f>IFERROR(VLOOKUP(C9,'Monthly Op &amp; Clo Stock (invoic)'!A:C,3,0),0)</f>
        <v>35000</v>
      </c>
      <c r="S9" s="163">
        <f t="shared" si="8"/>
        <v>68.308211638055738</v>
      </c>
      <c r="T9" s="162">
        <f t="shared" si="9"/>
        <v>2390787.407331951</v>
      </c>
      <c r="U9" s="16"/>
      <c r="V9" s="71"/>
      <c r="W9" s="16"/>
    </row>
    <row r="10" spans="1:23">
      <c r="A10" s="35" t="s">
        <v>138</v>
      </c>
      <c r="B10" s="35" t="s">
        <v>138</v>
      </c>
      <c r="C10" s="157">
        <v>110017</v>
      </c>
      <c r="D10" s="157" t="s">
        <v>151</v>
      </c>
      <c r="E10" s="36" t="s">
        <v>310</v>
      </c>
      <c r="F10" s="98">
        <v>4020</v>
      </c>
      <c r="G10" s="158">
        <v>762.08548915506947</v>
      </c>
      <c r="H10" s="115">
        <f t="shared" si="0"/>
        <v>3063583.6664033793</v>
      </c>
      <c r="I10" s="159">
        <f>SUMIFS(Arrival!M:M,Arrival!K:K,'Stock statement'!$C10)</f>
        <v>2000</v>
      </c>
      <c r="J10" s="160">
        <f t="shared" si="1"/>
        <v>763</v>
      </c>
      <c r="K10" s="160">
        <f>SUMIFS(Arrival!R:R,Arrival!K:K,'Stock statement'!$C10)</f>
        <v>1526000</v>
      </c>
      <c r="L10" s="160">
        <f t="shared" si="2"/>
        <v>6020</v>
      </c>
      <c r="M10" s="160">
        <f t="shared" si="3"/>
        <v>762.38931335604309</v>
      </c>
      <c r="N10" s="161">
        <f t="shared" si="4"/>
        <v>4589583.6664033793</v>
      </c>
      <c r="O10" s="159">
        <f t="shared" si="5"/>
        <v>3619.89</v>
      </c>
      <c r="P10" s="162">
        <f t="shared" si="6"/>
        <v>762.38931335604309</v>
      </c>
      <c r="Q10" s="162">
        <f t="shared" si="7"/>
        <v>2759765.4515244067</v>
      </c>
      <c r="R10" s="160">
        <f>IFERROR(VLOOKUP(C10,'Monthly Op &amp; Clo Stock (invoic)'!A:C,3,0),0)</f>
        <v>2400.11</v>
      </c>
      <c r="S10" s="163">
        <f t="shared" si="8"/>
        <v>762.38931335604309</v>
      </c>
      <c r="T10" s="162">
        <f t="shared" si="9"/>
        <v>1829818.2148789726</v>
      </c>
      <c r="U10" s="16"/>
      <c r="V10" s="71"/>
      <c r="W10" s="16"/>
    </row>
    <row r="11" spans="1:23">
      <c r="A11" s="35" t="s">
        <v>138</v>
      </c>
      <c r="B11" s="35" t="s">
        <v>138</v>
      </c>
      <c r="C11" s="157">
        <v>111257</v>
      </c>
      <c r="D11" s="157" t="s">
        <v>223</v>
      </c>
      <c r="E11" s="36" t="s">
        <v>391</v>
      </c>
      <c r="F11" s="98">
        <v>205.51999999999998</v>
      </c>
      <c r="G11" s="158">
        <v>661.66658982809031</v>
      </c>
      <c r="H11" s="115">
        <f t="shared" si="0"/>
        <v>135985.71754146912</v>
      </c>
      <c r="I11" s="159">
        <f>SUMIFS(Arrival!M:M,Arrival!K:K,'Stock statement'!$C11)</f>
        <v>0</v>
      </c>
      <c r="J11" s="160">
        <f t="shared" si="1"/>
        <v>0</v>
      </c>
      <c r="K11" s="160">
        <f>SUMIFS(Arrival!R:R,Arrival!K:K,'Stock statement'!$C11)</f>
        <v>0</v>
      </c>
      <c r="L11" s="160">
        <f t="shared" si="2"/>
        <v>205.51999999999998</v>
      </c>
      <c r="M11" s="160">
        <f t="shared" si="3"/>
        <v>661.66658982809031</v>
      </c>
      <c r="N11" s="161">
        <f t="shared" si="4"/>
        <v>135985.71754146912</v>
      </c>
      <c r="O11" s="159">
        <f t="shared" si="5"/>
        <v>4.9300000000000068</v>
      </c>
      <c r="P11" s="162">
        <f t="shared" si="6"/>
        <v>661.66658982809031</v>
      </c>
      <c r="Q11" s="162">
        <f t="shared" si="7"/>
        <v>3262.0162878524898</v>
      </c>
      <c r="R11" s="160">
        <f>IFERROR(VLOOKUP(C11,'Monthly Op &amp; Clo Stock (invoic)'!A:C,3,0),0)</f>
        <v>200.58999999999997</v>
      </c>
      <c r="S11" s="163">
        <f t="shared" si="8"/>
        <v>661.66658982809031</v>
      </c>
      <c r="T11" s="162">
        <f t="shared" si="9"/>
        <v>132723.70125361663</v>
      </c>
      <c r="U11" s="16"/>
      <c r="V11" s="71"/>
      <c r="W11" s="16"/>
    </row>
    <row r="12" spans="1:23">
      <c r="A12" s="35" t="s">
        <v>138</v>
      </c>
      <c r="B12" s="35" t="s">
        <v>138</v>
      </c>
      <c r="C12" s="157">
        <v>110921</v>
      </c>
      <c r="D12" s="157" t="s">
        <v>219</v>
      </c>
      <c r="E12" s="36" t="s">
        <v>579</v>
      </c>
      <c r="F12" s="98">
        <v>164.48499999999999</v>
      </c>
      <c r="G12" s="158">
        <v>549.27282042136164</v>
      </c>
      <c r="H12" s="115">
        <f t="shared" si="0"/>
        <v>90347.13986700766</v>
      </c>
      <c r="I12" s="159">
        <f>SUMIFS(Arrival!M:M,Arrival!K:K,'Stock statement'!$C12)</f>
        <v>0</v>
      </c>
      <c r="J12" s="160">
        <f t="shared" si="1"/>
        <v>0</v>
      </c>
      <c r="K12" s="160">
        <f>SUMIFS(Arrival!R:R,Arrival!K:K,'Stock statement'!$C12)</f>
        <v>0</v>
      </c>
      <c r="L12" s="160">
        <f t="shared" si="2"/>
        <v>164.48499999999999</v>
      </c>
      <c r="M12" s="160">
        <f t="shared" si="3"/>
        <v>549.27282042136164</v>
      </c>
      <c r="N12" s="161">
        <f t="shared" si="4"/>
        <v>90347.13986700766</v>
      </c>
      <c r="O12" s="159">
        <f t="shared" si="5"/>
        <v>15.574999999999989</v>
      </c>
      <c r="P12" s="162">
        <f t="shared" si="6"/>
        <v>549.27282042136164</v>
      </c>
      <c r="Q12" s="162">
        <f t="shared" si="7"/>
        <v>8554.9241780627017</v>
      </c>
      <c r="R12" s="160">
        <f>IFERROR(VLOOKUP(C12,'Monthly Op &amp; Clo Stock (invoic)'!A:C,3,0),0)</f>
        <v>148.91</v>
      </c>
      <c r="S12" s="163">
        <f t="shared" si="8"/>
        <v>549.27282042136164</v>
      </c>
      <c r="T12" s="162">
        <f t="shared" si="9"/>
        <v>81792.215688944954</v>
      </c>
      <c r="U12" s="16"/>
      <c r="V12" s="71"/>
      <c r="W12" s="16"/>
    </row>
    <row r="13" spans="1:23">
      <c r="A13" s="35" t="s">
        <v>138</v>
      </c>
      <c r="B13" s="35" t="s">
        <v>138</v>
      </c>
      <c r="C13" s="157">
        <v>110004</v>
      </c>
      <c r="D13" s="157" t="s">
        <v>149</v>
      </c>
      <c r="E13" s="36" t="s">
        <v>150</v>
      </c>
      <c r="F13" s="98">
        <v>227.375</v>
      </c>
      <c r="G13" s="158">
        <v>169.54690984249993</v>
      </c>
      <c r="H13" s="115">
        <f t="shared" si="0"/>
        <v>38550.728625438423</v>
      </c>
      <c r="I13" s="159">
        <f>SUMIFS(Arrival!M:M,Arrival!K:K,'Stock statement'!$C13)</f>
        <v>200</v>
      </c>
      <c r="J13" s="160">
        <f t="shared" si="1"/>
        <v>152.5</v>
      </c>
      <c r="K13" s="160">
        <f>SUMIFS(Arrival!R:R,Arrival!K:K,'Stock statement'!$C13)</f>
        <v>30500</v>
      </c>
      <c r="L13" s="160">
        <f t="shared" si="2"/>
        <v>427.375</v>
      </c>
      <c r="M13" s="160">
        <f t="shared" si="3"/>
        <v>161.56941474217822</v>
      </c>
      <c r="N13" s="161">
        <f t="shared" si="4"/>
        <v>69050.728625438423</v>
      </c>
      <c r="O13" s="159">
        <f t="shared" si="5"/>
        <v>174.125</v>
      </c>
      <c r="P13" s="162">
        <f t="shared" si="6"/>
        <v>161.56941474217822</v>
      </c>
      <c r="Q13" s="162">
        <f t="shared" si="7"/>
        <v>28133.274341981782</v>
      </c>
      <c r="R13" s="160">
        <f>IFERROR(VLOOKUP(C13,'Monthly Op &amp; Clo Stock (invoic)'!A:C,3,0),0)</f>
        <v>253.25</v>
      </c>
      <c r="S13" s="163">
        <f t="shared" si="8"/>
        <v>161.56941474217822</v>
      </c>
      <c r="T13" s="162">
        <f t="shared" si="9"/>
        <v>40917.454283456638</v>
      </c>
      <c r="U13" s="16"/>
      <c r="V13" s="71"/>
      <c r="W13" s="16"/>
    </row>
    <row r="14" spans="1:23">
      <c r="A14" s="35" t="s">
        <v>138</v>
      </c>
      <c r="B14" s="35" t="s">
        <v>138</v>
      </c>
      <c r="C14" s="157">
        <v>110019</v>
      </c>
      <c r="D14" s="157" t="s">
        <v>482</v>
      </c>
      <c r="E14" s="36" t="s">
        <v>580</v>
      </c>
      <c r="F14" s="98">
        <v>592.4</v>
      </c>
      <c r="G14" s="158">
        <v>1722.552326984485</v>
      </c>
      <c r="H14" s="115">
        <f t="shared" si="0"/>
        <v>1020439.9985056089</v>
      </c>
      <c r="I14" s="159">
        <f>SUMIFS(Arrival!M:M,Arrival!K:K,'Stock statement'!$C14)</f>
        <v>0</v>
      </c>
      <c r="J14" s="160">
        <f t="shared" si="1"/>
        <v>0</v>
      </c>
      <c r="K14" s="160">
        <f>SUMIFS(Arrival!R:R,Arrival!K:K,'Stock statement'!$C14)</f>
        <v>0</v>
      </c>
      <c r="L14" s="160">
        <f t="shared" si="2"/>
        <v>592.4</v>
      </c>
      <c r="M14" s="160">
        <f t="shared" si="3"/>
        <v>1722.552326984485</v>
      </c>
      <c r="N14" s="161">
        <f t="shared" si="4"/>
        <v>1020439.9985056089</v>
      </c>
      <c r="O14" s="159">
        <f t="shared" si="5"/>
        <v>585.1</v>
      </c>
      <c r="P14" s="162">
        <f t="shared" si="6"/>
        <v>1722.552326984485</v>
      </c>
      <c r="Q14" s="162">
        <f t="shared" si="7"/>
        <v>1007865.3665186223</v>
      </c>
      <c r="R14" s="160">
        <f>IFERROR(VLOOKUP(C14,'Monthly Op &amp; Clo Stock (invoic)'!A:C,3,0),0)</f>
        <v>7.3</v>
      </c>
      <c r="S14" s="163">
        <f t="shared" si="8"/>
        <v>1722.552326984485</v>
      </c>
      <c r="T14" s="162">
        <f t="shared" si="9"/>
        <v>12574.63198698674</v>
      </c>
      <c r="U14" s="16"/>
      <c r="V14" s="71"/>
      <c r="W14" s="16"/>
    </row>
    <row r="15" spans="1:23">
      <c r="A15" s="35" t="s">
        <v>138</v>
      </c>
      <c r="B15" s="35" t="s">
        <v>138</v>
      </c>
      <c r="C15" s="157">
        <v>110020</v>
      </c>
      <c r="D15" s="157" t="s">
        <v>145</v>
      </c>
      <c r="E15" s="36" t="s">
        <v>442</v>
      </c>
      <c r="F15" s="98">
        <v>2362.5</v>
      </c>
      <c r="G15" s="158">
        <v>152.37501994880742</v>
      </c>
      <c r="H15" s="115">
        <f t="shared" si="0"/>
        <v>359985.98462905752</v>
      </c>
      <c r="I15" s="159">
        <f>SUMIFS(Arrival!M:M,Arrival!K:K,'Stock statement'!$C15)</f>
        <v>18775</v>
      </c>
      <c r="J15" s="160">
        <f t="shared" si="1"/>
        <v>150.92471371504661</v>
      </c>
      <c r="K15" s="160">
        <f>SUMIFS(Arrival!R:R,Arrival!K:K,'Stock statement'!$C15)</f>
        <v>2833611.5</v>
      </c>
      <c r="L15" s="160">
        <f t="shared" si="2"/>
        <v>21137.5</v>
      </c>
      <c r="M15" s="160">
        <f t="shared" si="3"/>
        <v>151.08681180977209</v>
      </c>
      <c r="N15" s="161">
        <f t="shared" si="4"/>
        <v>3193597.4846290573</v>
      </c>
      <c r="O15" s="159">
        <f t="shared" si="5"/>
        <v>14612.5</v>
      </c>
      <c r="P15" s="162">
        <f t="shared" si="6"/>
        <v>151.08681180977209</v>
      </c>
      <c r="Q15" s="162">
        <f t="shared" si="7"/>
        <v>2207756.0375702945</v>
      </c>
      <c r="R15" s="160">
        <f>IFERROR(VLOOKUP(C15,'Monthly Op &amp; Clo Stock (invoic)'!A:C,3,0),0)</f>
        <v>6525</v>
      </c>
      <c r="S15" s="163">
        <f t="shared" si="8"/>
        <v>151.08681180977209</v>
      </c>
      <c r="T15" s="162">
        <f t="shared" si="9"/>
        <v>985841.44705876289</v>
      </c>
      <c r="U15" s="16"/>
      <c r="V15" s="71"/>
      <c r="W15" s="16"/>
    </row>
    <row r="16" spans="1:23">
      <c r="A16" s="35" t="s">
        <v>138</v>
      </c>
      <c r="B16" s="35" t="s">
        <v>138</v>
      </c>
      <c r="C16" s="157">
        <v>110941</v>
      </c>
      <c r="D16" s="157" t="s">
        <v>350</v>
      </c>
      <c r="E16" s="36" t="s">
        <v>581</v>
      </c>
      <c r="F16" s="98">
        <v>0</v>
      </c>
      <c r="G16" s="158">
        <v>1184.3326356821951</v>
      </c>
      <c r="H16" s="115">
        <f t="shared" si="0"/>
        <v>0</v>
      </c>
      <c r="I16" s="159">
        <f>SUMIFS(Arrival!M:M,Arrival!K:K,'Stock statement'!$C16)</f>
        <v>0</v>
      </c>
      <c r="J16" s="160">
        <f t="shared" si="1"/>
        <v>0</v>
      </c>
      <c r="K16" s="160">
        <f>SUMIFS(Arrival!R:R,Arrival!K:K,'Stock statement'!$C16)</f>
        <v>0</v>
      </c>
      <c r="L16" s="160">
        <f t="shared" si="2"/>
        <v>0</v>
      </c>
      <c r="M16" s="160">
        <f t="shared" si="3"/>
        <v>0</v>
      </c>
      <c r="N16" s="161">
        <f t="shared" si="4"/>
        <v>0</v>
      </c>
      <c r="O16" s="159">
        <f t="shared" si="5"/>
        <v>-21.82</v>
      </c>
      <c r="P16" s="162">
        <f t="shared" si="6"/>
        <v>0</v>
      </c>
      <c r="Q16" s="162">
        <f t="shared" si="7"/>
        <v>0</v>
      </c>
      <c r="R16" s="160">
        <f>IFERROR(VLOOKUP(C16,'Monthly Op &amp; Clo Stock (invoic)'!A:C,3,0),0)</f>
        <v>21.82</v>
      </c>
      <c r="S16" s="163">
        <f t="shared" si="8"/>
        <v>0</v>
      </c>
      <c r="T16" s="162">
        <f t="shared" si="9"/>
        <v>0</v>
      </c>
      <c r="U16" s="16"/>
      <c r="V16" s="71"/>
      <c r="W16" s="16"/>
    </row>
    <row r="17" spans="1:23">
      <c r="A17" s="35" t="s">
        <v>138</v>
      </c>
      <c r="B17" s="35" t="s">
        <v>138</v>
      </c>
      <c r="C17" s="157">
        <v>110001</v>
      </c>
      <c r="D17" s="157" t="s">
        <v>139</v>
      </c>
      <c r="E17" s="36" t="s">
        <v>447</v>
      </c>
      <c r="F17" s="98">
        <v>0</v>
      </c>
      <c r="G17" s="158">
        <v>0.34</v>
      </c>
      <c r="H17" s="115">
        <f t="shared" si="0"/>
        <v>0</v>
      </c>
      <c r="I17" s="159">
        <f>SUMIFS(Arrival!M:M,Arrival!K:K,'Stock statement'!$C17)</f>
        <v>1829700</v>
      </c>
      <c r="J17" s="160">
        <f t="shared" si="1"/>
        <v>0.34</v>
      </c>
      <c r="K17" s="160">
        <f>SUMIFS(Arrival!R:R,Arrival!K:K,'Stock statement'!$C17)</f>
        <v>622098</v>
      </c>
      <c r="L17" s="160">
        <f t="shared" si="2"/>
        <v>1829700</v>
      </c>
      <c r="M17" s="160">
        <f t="shared" si="3"/>
        <v>0.34</v>
      </c>
      <c r="N17" s="161">
        <f t="shared" si="4"/>
        <v>622098</v>
      </c>
      <c r="O17" s="159">
        <f t="shared" si="5"/>
        <v>1829700</v>
      </c>
      <c r="P17" s="162">
        <f t="shared" si="6"/>
        <v>0.34</v>
      </c>
      <c r="Q17" s="162">
        <f t="shared" si="7"/>
        <v>622098</v>
      </c>
      <c r="R17" s="160">
        <f>IFERROR(VLOOKUP(C17,'Monthly Op &amp; Clo Stock (invoic)'!A:C,3,0),0)</f>
        <v>0</v>
      </c>
      <c r="S17" s="163">
        <f t="shared" si="8"/>
        <v>0.34</v>
      </c>
      <c r="T17" s="162">
        <f t="shared" si="9"/>
        <v>0</v>
      </c>
      <c r="U17" s="16"/>
      <c r="V17" s="71"/>
      <c r="W17" s="16"/>
    </row>
    <row r="18" spans="1:23">
      <c r="A18" s="35" t="s">
        <v>138</v>
      </c>
      <c r="B18" s="35" t="s">
        <v>138</v>
      </c>
      <c r="C18" s="157">
        <v>110022</v>
      </c>
      <c r="D18" s="157" t="s">
        <v>147</v>
      </c>
      <c r="E18" s="36" t="s">
        <v>582</v>
      </c>
      <c r="F18" s="98">
        <v>936.16</v>
      </c>
      <c r="G18" s="158">
        <v>369.00846317710557</v>
      </c>
      <c r="H18" s="115">
        <f t="shared" si="0"/>
        <v>345450.96288787911</v>
      </c>
      <c r="I18" s="159">
        <f>SUMIFS(Arrival!M:M,Arrival!K:K,'Stock statement'!$C18)</f>
        <v>1000</v>
      </c>
      <c r="J18" s="160">
        <f t="shared" si="1"/>
        <v>339</v>
      </c>
      <c r="K18" s="160">
        <f>SUMIFS(Arrival!R:R,Arrival!K:K,'Stock statement'!$C18)</f>
        <v>339000</v>
      </c>
      <c r="L18" s="160">
        <f t="shared" si="2"/>
        <v>1936.1599999999999</v>
      </c>
      <c r="M18" s="160">
        <f t="shared" si="3"/>
        <v>353.50950483838068</v>
      </c>
      <c r="N18" s="161">
        <f t="shared" si="4"/>
        <v>684450.96288787911</v>
      </c>
      <c r="O18" s="159">
        <f t="shared" si="5"/>
        <v>933.11999999999989</v>
      </c>
      <c r="P18" s="162">
        <f t="shared" si="6"/>
        <v>353.50950483838068</v>
      </c>
      <c r="Q18" s="162">
        <f t="shared" si="7"/>
        <v>329866.78915478976</v>
      </c>
      <c r="R18" s="160">
        <f>IFERROR(VLOOKUP(C18,'Monthly Op &amp; Clo Stock (invoic)'!A:C,3,0),0)</f>
        <v>1003.04</v>
      </c>
      <c r="S18" s="163">
        <f t="shared" si="8"/>
        <v>353.50950483838068</v>
      </c>
      <c r="T18" s="162">
        <f t="shared" si="9"/>
        <v>354584.17373308935</v>
      </c>
      <c r="U18" s="16"/>
      <c r="V18" s="71"/>
      <c r="W18" s="16"/>
    </row>
    <row r="19" spans="1:23">
      <c r="A19" s="35" t="s">
        <v>138</v>
      </c>
      <c r="B19" s="35" t="s">
        <v>138</v>
      </c>
      <c r="C19" s="157">
        <v>110873</v>
      </c>
      <c r="D19" s="157" t="s">
        <v>143</v>
      </c>
      <c r="E19" s="36" t="s">
        <v>144</v>
      </c>
      <c r="F19" s="98">
        <v>775</v>
      </c>
      <c r="G19" s="158">
        <v>190.12714247075812</v>
      </c>
      <c r="H19" s="115">
        <f t="shared" si="0"/>
        <v>147348.53541483753</v>
      </c>
      <c r="I19" s="159">
        <f>SUMIFS(Arrival!M:M,Arrival!K:K,'Stock statement'!$C19)</f>
        <v>2500</v>
      </c>
      <c r="J19" s="160">
        <f t="shared" si="1"/>
        <v>175</v>
      </c>
      <c r="K19" s="160">
        <f>SUMIFS(Arrival!R:R,Arrival!K:K,'Stock statement'!$C19)</f>
        <v>437500</v>
      </c>
      <c r="L19" s="160">
        <f t="shared" si="2"/>
        <v>3275</v>
      </c>
      <c r="M19" s="160">
        <f t="shared" si="3"/>
        <v>178.57970547017939</v>
      </c>
      <c r="N19" s="161">
        <f t="shared" si="4"/>
        <v>584848.53541483753</v>
      </c>
      <c r="O19" s="159">
        <f t="shared" si="5"/>
        <v>1650</v>
      </c>
      <c r="P19" s="162">
        <f t="shared" si="6"/>
        <v>178.57970547017939</v>
      </c>
      <c r="Q19" s="162">
        <f t="shared" si="7"/>
        <v>294656.51402579597</v>
      </c>
      <c r="R19" s="160">
        <f>IFERROR(VLOOKUP(C19,'Monthly Op &amp; Clo Stock (invoic)'!A:C,3,0),0)</f>
        <v>1625</v>
      </c>
      <c r="S19" s="163">
        <f t="shared" si="8"/>
        <v>178.57970547017939</v>
      </c>
      <c r="T19" s="162">
        <f t="shared" si="9"/>
        <v>290192.0213890415</v>
      </c>
      <c r="U19" s="16"/>
      <c r="V19" s="71"/>
      <c r="W19" s="16"/>
    </row>
    <row r="20" spans="1:23">
      <c r="A20" s="35" t="s">
        <v>138</v>
      </c>
      <c r="B20" s="35" t="s">
        <v>138</v>
      </c>
      <c r="C20" s="157">
        <v>110929</v>
      </c>
      <c r="D20" s="157" t="s">
        <v>211</v>
      </c>
      <c r="E20" s="36" t="s">
        <v>392</v>
      </c>
      <c r="F20" s="98">
        <v>57.78</v>
      </c>
      <c r="G20" s="158">
        <v>1276.5974498612563</v>
      </c>
      <c r="H20" s="115">
        <f t="shared" si="0"/>
        <v>73761.800652983395</v>
      </c>
      <c r="I20" s="159">
        <f>SUMIFS(Arrival!M:M,Arrival!K:K,'Stock statement'!$C20)</f>
        <v>50</v>
      </c>
      <c r="J20" s="160">
        <f t="shared" si="1"/>
        <v>1283.04</v>
      </c>
      <c r="K20" s="160">
        <f>SUMIFS(Arrival!R:R,Arrival!K:K,'Stock statement'!$C20)</f>
        <v>64152</v>
      </c>
      <c r="L20" s="160">
        <f t="shared" si="2"/>
        <v>107.78</v>
      </c>
      <c r="M20" s="160">
        <f t="shared" si="3"/>
        <v>1279.5862001575747</v>
      </c>
      <c r="N20" s="161">
        <f t="shared" si="4"/>
        <v>137913.80065298339</v>
      </c>
      <c r="O20" s="159">
        <f t="shared" si="5"/>
        <v>58.790000000000006</v>
      </c>
      <c r="P20" s="162">
        <f t="shared" si="6"/>
        <v>1279.5862001575747</v>
      </c>
      <c r="Q20" s="162">
        <f t="shared" si="7"/>
        <v>75226.872707263828</v>
      </c>
      <c r="R20" s="160">
        <f>IFERROR(VLOOKUP(C20,'Monthly Op &amp; Clo Stock (invoic)'!A:C,3,0),0)</f>
        <v>48.989999999999995</v>
      </c>
      <c r="S20" s="163">
        <f t="shared" si="8"/>
        <v>1279.5862001575747</v>
      </c>
      <c r="T20" s="162">
        <f t="shared" si="9"/>
        <v>62686.927945719581</v>
      </c>
      <c r="U20" s="16"/>
      <c r="V20" s="71"/>
      <c r="W20" s="16"/>
    </row>
    <row r="21" spans="1:23">
      <c r="A21" s="35" t="s">
        <v>138</v>
      </c>
      <c r="B21" s="35" t="s">
        <v>138</v>
      </c>
      <c r="C21" s="157">
        <v>110814</v>
      </c>
      <c r="D21" s="157" t="s">
        <v>583</v>
      </c>
      <c r="E21" s="36" t="s">
        <v>584</v>
      </c>
      <c r="F21" s="98">
        <v>0</v>
      </c>
      <c r="G21" s="158">
        <v>47.060131649172746</v>
      </c>
      <c r="H21" s="115">
        <f t="shared" si="0"/>
        <v>0</v>
      </c>
      <c r="I21" s="159">
        <f>SUMIFS(Arrival!M:M,Arrival!K:K,'Stock statement'!$C21)</f>
        <v>3040</v>
      </c>
      <c r="J21" s="160">
        <f t="shared" si="1"/>
        <v>46.973684210526315</v>
      </c>
      <c r="K21" s="160">
        <f>SUMIFS(Arrival!R:R,Arrival!K:K,'Stock statement'!$C21)</f>
        <v>142800</v>
      </c>
      <c r="L21" s="160">
        <f t="shared" si="2"/>
        <v>3040</v>
      </c>
      <c r="M21" s="160">
        <f t="shared" si="3"/>
        <v>46.973684210526315</v>
      </c>
      <c r="N21" s="161">
        <f t="shared" si="4"/>
        <v>142800</v>
      </c>
      <c r="O21" s="159">
        <f t="shared" si="5"/>
        <v>2410</v>
      </c>
      <c r="P21" s="162">
        <f t="shared" si="6"/>
        <v>46.973684210526315</v>
      </c>
      <c r="Q21" s="162">
        <f t="shared" si="7"/>
        <v>113206.57894736841</v>
      </c>
      <c r="R21" s="160">
        <f>IFERROR(VLOOKUP(C21,'Monthly Op &amp; Clo Stock (invoic)'!A:C,3,0),0)</f>
        <v>630</v>
      </c>
      <c r="S21" s="163">
        <f t="shared" si="8"/>
        <v>46.973684210526315</v>
      </c>
      <c r="T21" s="162">
        <f t="shared" si="9"/>
        <v>29593.42105263158</v>
      </c>
      <c r="U21" s="16"/>
      <c r="V21" s="71"/>
      <c r="W21" s="16"/>
    </row>
    <row r="22" spans="1:23">
      <c r="A22" s="35" t="s">
        <v>138</v>
      </c>
      <c r="B22" s="35" t="s">
        <v>138</v>
      </c>
      <c r="C22" s="157">
        <v>111253</v>
      </c>
      <c r="D22" s="157" t="s">
        <v>339</v>
      </c>
      <c r="E22" s="36" t="s">
        <v>585</v>
      </c>
      <c r="F22" s="98">
        <v>1304.9000000000001</v>
      </c>
      <c r="G22" s="158">
        <v>890.49248659734076</v>
      </c>
      <c r="H22" s="115">
        <f t="shared" si="0"/>
        <v>1162003.6457608701</v>
      </c>
      <c r="I22" s="159">
        <f>SUMIFS(Arrival!M:M,Arrival!K:K,'Stock statement'!$C22)</f>
        <v>4200</v>
      </c>
      <c r="J22" s="160">
        <f t="shared" si="1"/>
        <v>890.5</v>
      </c>
      <c r="K22" s="160">
        <f>SUMIFS(Arrival!R:R,Arrival!K:K,'Stock statement'!$C22)</f>
        <v>3740100</v>
      </c>
      <c r="L22" s="160">
        <f t="shared" si="2"/>
        <v>5504.9</v>
      </c>
      <c r="M22" s="160">
        <f t="shared" si="3"/>
        <v>890.49821899777828</v>
      </c>
      <c r="N22" s="161">
        <f t="shared" si="4"/>
        <v>4902103.6457608696</v>
      </c>
      <c r="O22" s="159">
        <f t="shared" si="5"/>
        <v>4247.3999999999996</v>
      </c>
      <c r="P22" s="162">
        <f t="shared" si="6"/>
        <v>890.49821899777828</v>
      </c>
      <c r="Q22" s="162">
        <f t="shared" si="7"/>
        <v>3782302.135371163</v>
      </c>
      <c r="R22" s="160">
        <f>IFERROR(VLOOKUP(C22,'Monthly Op &amp; Clo Stock (invoic)'!A:C,3,0),0)</f>
        <v>1257.5</v>
      </c>
      <c r="S22" s="163">
        <f t="shared" si="8"/>
        <v>890.49821899777828</v>
      </c>
      <c r="T22" s="162">
        <f t="shared" si="9"/>
        <v>1119801.5103897061</v>
      </c>
      <c r="U22" s="16"/>
      <c r="V22" s="71"/>
      <c r="W22" s="16"/>
    </row>
    <row r="23" spans="1:23">
      <c r="A23" s="35" t="s">
        <v>138</v>
      </c>
      <c r="B23" s="35" t="s">
        <v>138</v>
      </c>
      <c r="C23" s="157">
        <v>111316</v>
      </c>
      <c r="D23" s="157" t="s">
        <v>586</v>
      </c>
      <c r="E23" s="36" t="s">
        <v>587</v>
      </c>
      <c r="F23" s="98">
        <v>0</v>
      </c>
      <c r="G23" s="158">
        <v>0</v>
      </c>
      <c r="H23" s="115">
        <f t="shared" si="0"/>
        <v>0</v>
      </c>
      <c r="I23" s="159">
        <f>SUMIFS(Arrival!M:M,Arrival!K:K,'Stock statement'!$C23)</f>
        <v>0</v>
      </c>
      <c r="J23" s="160">
        <f t="shared" si="1"/>
        <v>0</v>
      </c>
      <c r="K23" s="160">
        <f>SUMIFS(Arrival!R:R,Arrival!K:K,'Stock statement'!$C23)</f>
        <v>0</v>
      </c>
      <c r="L23" s="160">
        <f t="shared" si="2"/>
        <v>0</v>
      </c>
      <c r="M23" s="160">
        <f t="shared" si="3"/>
        <v>0</v>
      </c>
      <c r="N23" s="161">
        <f t="shared" si="4"/>
        <v>0</v>
      </c>
      <c r="O23" s="159">
        <f t="shared" si="5"/>
        <v>0</v>
      </c>
      <c r="P23" s="162">
        <f t="shared" si="6"/>
        <v>0</v>
      </c>
      <c r="Q23" s="162">
        <f t="shared" si="7"/>
        <v>0</v>
      </c>
      <c r="R23" s="160">
        <f>IFERROR(VLOOKUP(C23,'Monthly Op &amp; Clo Stock (invoic)'!A:C,3,0),0)</f>
        <v>0</v>
      </c>
      <c r="S23" s="163">
        <f t="shared" si="8"/>
        <v>0</v>
      </c>
      <c r="T23" s="162">
        <f t="shared" si="9"/>
        <v>0</v>
      </c>
      <c r="U23" s="16"/>
      <c r="V23" s="71"/>
      <c r="W23" s="16"/>
    </row>
    <row r="24" spans="1:23">
      <c r="A24" s="35" t="s">
        <v>138</v>
      </c>
      <c r="B24" s="35" t="s">
        <v>138</v>
      </c>
      <c r="C24" s="157">
        <v>110852</v>
      </c>
      <c r="D24" s="157" t="s">
        <v>166</v>
      </c>
      <c r="E24" s="36" t="s">
        <v>588</v>
      </c>
      <c r="F24" s="98">
        <v>1217.4000000000001</v>
      </c>
      <c r="G24" s="158">
        <v>126.64594162589756</v>
      </c>
      <c r="H24" s="115">
        <f t="shared" si="0"/>
        <v>154178.76933536772</v>
      </c>
      <c r="I24" s="159">
        <f>SUMIFS(Arrival!M:M,Arrival!K:K,'Stock statement'!$C24)</f>
        <v>5500</v>
      </c>
      <c r="J24" s="160">
        <f t="shared" si="1"/>
        <v>127.27272727272727</v>
      </c>
      <c r="K24" s="160">
        <f>SUMIFS(Arrival!R:R,Arrival!K:K,'Stock statement'!$C24)</f>
        <v>700000</v>
      </c>
      <c r="L24" s="160">
        <f t="shared" si="2"/>
        <v>6717.4</v>
      </c>
      <c r="M24" s="160">
        <f t="shared" si="3"/>
        <v>127.15913438761541</v>
      </c>
      <c r="N24" s="161">
        <f t="shared" si="4"/>
        <v>854178.76933536772</v>
      </c>
      <c r="O24" s="159">
        <f t="shared" si="5"/>
        <v>4417.3999999999996</v>
      </c>
      <c r="P24" s="162">
        <f t="shared" si="6"/>
        <v>127.15913438761541</v>
      </c>
      <c r="Q24" s="162">
        <f t="shared" si="7"/>
        <v>561712.76024385227</v>
      </c>
      <c r="R24" s="160">
        <f>IFERROR(VLOOKUP(C24,'Monthly Op &amp; Clo Stock (invoic)'!A:C,3,0),0)</f>
        <v>2300</v>
      </c>
      <c r="S24" s="163">
        <f t="shared" si="8"/>
        <v>127.15913438761541</v>
      </c>
      <c r="T24" s="162">
        <f t="shared" si="9"/>
        <v>292466.00909151544</v>
      </c>
      <c r="U24" s="16"/>
      <c r="V24" s="71"/>
      <c r="W24" s="16"/>
    </row>
    <row r="25" spans="1:23">
      <c r="A25" s="35" t="s">
        <v>138</v>
      </c>
      <c r="B25" s="35" t="s">
        <v>138</v>
      </c>
      <c r="C25" s="157">
        <v>110928</v>
      </c>
      <c r="D25" s="157" t="s">
        <v>221</v>
      </c>
      <c r="E25" s="36" t="s">
        <v>589</v>
      </c>
      <c r="F25" s="98">
        <v>123.74</v>
      </c>
      <c r="G25" s="158">
        <v>494.13931116123297</v>
      </c>
      <c r="H25" s="115">
        <f t="shared" si="0"/>
        <v>61144.798363090966</v>
      </c>
      <c r="I25" s="159">
        <f>SUMIFS(Arrival!M:M,Arrival!K:K,'Stock statement'!$C25)</f>
        <v>0</v>
      </c>
      <c r="J25" s="160">
        <f t="shared" si="1"/>
        <v>0</v>
      </c>
      <c r="K25" s="160">
        <f>SUMIFS(Arrival!R:R,Arrival!K:K,'Stock statement'!$C25)</f>
        <v>0</v>
      </c>
      <c r="L25" s="160">
        <f t="shared" si="2"/>
        <v>123.74</v>
      </c>
      <c r="M25" s="160">
        <f t="shared" si="3"/>
        <v>494.13931116123297</v>
      </c>
      <c r="N25" s="161">
        <f t="shared" si="4"/>
        <v>61144.798363090966</v>
      </c>
      <c r="O25" s="159">
        <f t="shared" si="5"/>
        <v>49.089999999999989</v>
      </c>
      <c r="P25" s="162">
        <f t="shared" si="6"/>
        <v>494.13931116123297</v>
      </c>
      <c r="Q25" s="162">
        <f t="shared" si="7"/>
        <v>24257.29878490492</v>
      </c>
      <c r="R25" s="160">
        <f>IFERROR(VLOOKUP(C25,'Monthly Op &amp; Clo Stock (invoic)'!A:C,3,0),0)</f>
        <v>74.650000000000006</v>
      </c>
      <c r="S25" s="163">
        <f t="shared" si="8"/>
        <v>494.13931116123297</v>
      </c>
      <c r="T25" s="162">
        <f t="shared" si="9"/>
        <v>36887.499578186042</v>
      </c>
      <c r="U25" s="16"/>
      <c r="V25" s="71"/>
      <c r="W25" s="16"/>
    </row>
    <row r="26" spans="1:23">
      <c r="A26" s="35" t="s">
        <v>138</v>
      </c>
      <c r="B26" s="35" t="s">
        <v>138</v>
      </c>
      <c r="C26" s="157">
        <v>110930</v>
      </c>
      <c r="D26" s="157" t="s">
        <v>173</v>
      </c>
      <c r="E26" s="36" t="s">
        <v>590</v>
      </c>
      <c r="F26" s="98">
        <v>366.3</v>
      </c>
      <c r="G26" s="158">
        <v>555.2517156766155</v>
      </c>
      <c r="H26" s="115">
        <f t="shared" si="0"/>
        <v>203388.70345234426</v>
      </c>
      <c r="I26" s="159">
        <f>SUMIFS(Arrival!M:M,Arrival!K:K,'Stock statement'!$C26)</f>
        <v>0</v>
      </c>
      <c r="J26" s="160">
        <f t="shared" si="1"/>
        <v>0</v>
      </c>
      <c r="K26" s="160">
        <f>SUMIFS(Arrival!R:R,Arrival!K:K,'Stock statement'!$C26)</f>
        <v>0</v>
      </c>
      <c r="L26" s="160">
        <f t="shared" si="2"/>
        <v>366.3</v>
      </c>
      <c r="M26" s="160">
        <f t="shared" si="3"/>
        <v>555.2517156766155</v>
      </c>
      <c r="N26" s="161">
        <f t="shared" si="4"/>
        <v>203388.70345234426</v>
      </c>
      <c r="O26" s="159">
        <f t="shared" si="5"/>
        <v>151.37</v>
      </c>
      <c r="P26" s="162">
        <f t="shared" si="6"/>
        <v>555.2517156766155</v>
      </c>
      <c r="Q26" s="162">
        <f t="shared" si="7"/>
        <v>84048.452201969296</v>
      </c>
      <c r="R26" s="160">
        <f>IFERROR(VLOOKUP(C26,'Monthly Op &amp; Clo Stock (invoic)'!A:C,3,0),0)</f>
        <v>214.93</v>
      </c>
      <c r="S26" s="163">
        <f t="shared" si="8"/>
        <v>555.2517156766155</v>
      </c>
      <c r="T26" s="162">
        <f t="shared" si="9"/>
        <v>119340.25125037497</v>
      </c>
      <c r="U26" s="16"/>
      <c r="V26" s="71"/>
      <c r="W26" s="16"/>
    </row>
    <row r="27" spans="1:23">
      <c r="A27" s="35" t="s">
        <v>138</v>
      </c>
      <c r="B27" s="35" t="s">
        <v>138</v>
      </c>
      <c r="C27" s="157">
        <v>110933</v>
      </c>
      <c r="D27" s="157" t="s">
        <v>484</v>
      </c>
      <c r="E27" s="36" t="s">
        <v>485</v>
      </c>
      <c r="F27" s="98">
        <v>38.909999999999997</v>
      </c>
      <c r="G27" s="158">
        <v>320.21540031763823</v>
      </c>
      <c r="H27" s="115">
        <f t="shared" si="0"/>
        <v>12459.581226359302</v>
      </c>
      <c r="I27" s="159">
        <f>SUMIFS(Arrival!M:M,Arrival!K:K,'Stock statement'!$C27)</f>
        <v>0</v>
      </c>
      <c r="J27" s="160">
        <f t="shared" si="1"/>
        <v>0</v>
      </c>
      <c r="K27" s="160">
        <f>SUMIFS(Arrival!R:R,Arrival!K:K,'Stock statement'!$C27)</f>
        <v>0</v>
      </c>
      <c r="L27" s="160">
        <f t="shared" si="2"/>
        <v>38.909999999999997</v>
      </c>
      <c r="M27" s="160">
        <f t="shared" si="3"/>
        <v>320.21540031763823</v>
      </c>
      <c r="N27" s="161">
        <f t="shared" si="4"/>
        <v>12459.581226359302</v>
      </c>
      <c r="O27" s="159">
        <f t="shared" si="5"/>
        <v>-4.0000000000006253E-2</v>
      </c>
      <c r="P27" s="162">
        <f t="shared" si="6"/>
        <v>320.21540031763823</v>
      </c>
      <c r="Q27" s="162">
        <f t="shared" si="7"/>
        <v>-12.808616012707532</v>
      </c>
      <c r="R27" s="160">
        <f>IFERROR(VLOOKUP(C27,'Monthly Op &amp; Clo Stock (invoic)'!A:C,3,0),0)</f>
        <v>38.950000000000003</v>
      </c>
      <c r="S27" s="163">
        <f t="shared" si="8"/>
        <v>320.21540031763823</v>
      </c>
      <c r="T27" s="162">
        <f t="shared" si="9"/>
        <v>12472.389842372009</v>
      </c>
      <c r="U27" s="16"/>
      <c r="V27" s="71"/>
      <c r="W27" s="16"/>
    </row>
    <row r="28" spans="1:23">
      <c r="A28" s="35" t="s">
        <v>138</v>
      </c>
      <c r="B28" s="35" t="s">
        <v>138</v>
      </c>
      <c r="C28" s="157">
        <v>110053</v>
      </c>
      <c r="D28" s="157" t="s">
        <v>157</v>
      </c>
      <c r="E28" s="36" t="s">
        <v>444</v>
      </c>
      <c r="F28" s="98">
        <v>3267.5</v>
      </c>
      <c r="G28" s="158">
        <v>830.01634184159229</v>
      </c>
      <c r="H28" s="115">
        <f t="shared" si="0"/>
        <v>2712078.3969674027</v>
      </c>
      <c r="I28" s="159">
        <f>SUMIFS(Arrival!M:M,Arrival!K:K,'Stock statement'!$C28)</f>
        <v>500</v>
      </c>
      <c r="J28" s="160">
        <f t="shared" si="1"/>
        <v>821</v>
      </c>
      <c r="K28" s="160">
        <f>SUMIFS(Arrival!R:R,Arrival!K:K,'Stock statement'!$C28)</f>
        <v>410500</v>
      </c>
      <c r="L28" s="160">
        <f t="shared" si="2"/>
        <v>3767.5</v>
      </c>
      <c r="M28" s="160">
        <f t="shared" si="3"/>
        <v>828.81974703846117</v>
      </c>
      <c r="N28" s="161">
        <f t="shared" si="4"/>
        <v>3122578.3969674027</v>
      </c>
      <c r="O28" s="159">
        <f t="shared" si="5"/>
        <v>1631.085</v>
      </c>
      <c r="P28" s="162">
        <f t="shared" si="6"/>
        <v>828.81974703846117</v>
      </c>
      <c r="Q28" s="162">
        <f t="shared" si="7"/>
        <v>1351875.4570982284</v>
      </c>
      <c r="R28" s="160">
        <f>IFERROR(VLOOKUP(C28,'Monthly Op &amp; Clo Stock (invoic)'!A:C,3,0),0)</f>
        <v>2136.415</v>
      </c>
      <c r="S28" s="163">
        <f t="shared" si="8"/>
        <v>828.81974703846117</v>
      </c>
      <c r="T28" s="162">
        <f t="shared" si="9"/>
        <v>1770702.939869174</v>
      </c>
      <c r="U28" s="16"/>
      <c r="V28" s="71"/>
      <c r="W28" s="16"/>
    </row>
    <row r="29" spans="1:23">
      <c r="A29" s="35" t="s">
        <v>138</v>
      </c>
      <c r="B29" s="35" t="s">
        <v>138</v>
      </c>
      <c r="C29" s="157">
        <v>110578</v>
      </c>
      <c r="D29" s="157" t="s">
        <v>591</v>
      </c>
      <c r="E29" s="36" t="s">
        <v>592</v>
      </c>
      <c r="F29" s="98">
        <v>163</v>
      </c>
      <c r="G29" s="158">
        <v>99.005340453938601</v>
      </c>
      <c r="H29" s="115">
        <f t="shared" si="0"/>
        <v>16137.870493991992</v>
      </c>
      <c r="I29" s="159">
        <f>SUMIFS(Arrival!M:M,Arrival!K:K,'Stock statement'!$C29)</f>
        <v>0</v>
      </c>
      <c r="J29" s="160">
        <f t="shared" si="1"/>
        <v>0</v>
      </c>
      <c r="K29" s="160">
        <f>SUMIFS(Arrival!R:R,Arrival!K:K,'Stock statement'!$C29)</f>
        <v>0</v>
      </c>
      <c r="L29" s="160">
        <f t="shared" si="2"/>
        <v>163</v>
      </c>
      <c r="M29" s="160">
        <f t="shared" si="3"/>
        <v>99.005340453938601</v>
      </c>
      <c r="N29" s="161">
        <f t="shared" si="4"/>
        <v>16137.870493991992</v>
      </c>
      <c r="O29" s="159">
        <f t="shared" si="5"/>
        <v>0</v>
      </c>
      <c r="P29" s="162">
        <f t="shared" si="6"/>
        <v>99.005340453938601</v>
      </c>
      <c r="Q29" s="162">
        <f t="shared" si="7"/>
        <v>0</v>
      </c>
      <c r="R29" s="160">
        <f>IFERROR(VLOOKUP(C29,'Monthly Op &amp; Clo Stock (invoic)'!A:C,3,0),0)</f>
        <v>163</v>
      </c>
      <c r="S29" s="163">
        <f t="shared" si="8"/>
        <v>99.005340453938601</v>
      </c>
      <c r="T29" s="162">
        <f t="shared" si="9"/>
        <v>16137.870493991992</v>
      </c>
      <c r="U29" s="16"/>
      <c r="V29" s="71"/>
      <c r="W29" s="16"/>
    </row>
    <row r="30" spans="1:23">
      <c r="A30" s="35" t="s">
        <v>138</v>
      </c>
      <c r="B30" s="35" t="s">
        <v>138</v>
      </c>
      <c r="C30" s="157">
        <v>111242</v>
      </c>
      <c r="D30" s="157" t="s">
        <v>499</v>
      </c>
      <c r="E30" s="36" t="s">
        <v>593</v>
      </c>
      <c r="F30" s="98">
        <v>950</v>
      </c>
      <c r="G30" s="158">
        <v>775</v>
      </c>
      <c r="H30" s="115">
        <f t="shared" si="0"/>
        <v>736250</v>
      </c>
      <c r="I30" s="159">
        <f>SUMIFS(Arrival!M:M,Arrival!K:K,'Stock statement'!$C30)</f>
        <v>0</v>
      </c>
      <c r="J30" s="160">
        <f t="shared" si="1"/>
        <v>0</v>
      </c>
      <c r="K30" s="160">
        <f>SUMIFS(Arrival!R:R,Arrival!K:K,'Stock statement'!$C30)</f>
        <v>0</v>
      </c>
      <c r="L30" s="160">
        <f t="shared" si="2"/>
        <v>950</v>
      </c>
      <c r="M30" s="160">
        <f t="shared" si="3"/>
        <v>775</v>
      </c>
      <c r="N30" s="161">
        <f t="shared" si="4"/>
        <v>736250</v>
      </c>
      <c r="O30" s="159">
        <f t="shared" si="5"/>
        <v>1.6499999999999773</v>
      </c>
      <c r="P30" s="162">
        <f t="shared" si="6"/>
        <v>775</v>
      </c>
      <c r="Q30" s="162">
        <f t="shared" si="7"/>
        <v>1278.7499999999823</v>
      </c>
      <c r="R30" s="160">
        <f>IFERROR(VLOOKUP(C30,'Monthly Op &amp; Clo Stock (invoic)'!A:C,3,0),0)</f>
        <v>948.35</v>
      </c>
      <c r="S30" s="163">
        <f t="shared" si="8"/>
        <v>775</v>
      </c>
      <c r="T30" s="162">
        <f t="shared" si="9"/>
        <v>734971.25</v>
      </c>
      <c r="U30" s="16"/>
      <c r="V30" s="71"/>
      <c r="W30" s="16"/>
    </row>
    <row r="31" spans="1:23">
      <c r="A31" s="35" t="s">
        <v>138</v>
      </c>
      <c r="B31" s="35" t="s">
        <v>138</v>
      </c>
      <c r="C31" s="157">
        <v>110908</v>
      </c>
      <c r="D31" s="157" t="s">
        <v>225</v>
      </c>
      <c r="E31" s="36" t="s">
        <v>594</v>
      </c>
      <c r="F31" s="98">
        <v>1741.8</v>
      </c>
      <c r="G31" s="158">
        <v>770.99997311758386</v>
      </c>
      <c r="H31" s="115">
        <f t="shared" si="0"/>
        <v>1342927.7531762077</v>
      </c>
      <c r="I31" s="159">
        <f>SUMIFS(Arrival!M:M,Arrival!K:K,'Stock statement'!$C31)</f>
        <v>2000</v>
      </c>
      <c r="J31" s="160">
        <f t="shared" si="1"/>
        <v>771</v>
      </c>
      <c r="K31" s="160">
        <f>SUMIFS(Arrival!R:R,Arrival!K:K,'Stock statement'!$C31)</f>
        <v>1542000</v>
      </c>
      <c r="L31" s="160">
        <f t="shared" si="2"/>
        <v>3741.8</v>
      </c>
      <c r="M31" s="160">
        <f t="shared" si="3"/>
        <v>770.99998748629207</v>
      </c>
      <c r="N31" s="161">
        <f t="shared" si="4"/>
        <v>2884927.7531762077</v>
      </c>
      <c r="O31" s="159">
        <f t="shared" si="5"/>
        <v>3210.3</v>
      </c>
      <c r="P31" s="162">
        <f t="shared" si="6"/>
        <v>770.99998748629207</v>
      </c>
      <c r="Q31" s="162">
        <f t="shared" si="7"/>
        <v>2475141.2598272436</v>
      </c>
      <c r="R31" s="160">
        <f>IFERROR(VLOOKUP(C31,'Monthly Op &amp; Clo Stock (invoic)'!A:C,3,0),0)</f>
        <v>531.5</v>
      </c>
      <c r="S31" s="163">
        <f t="shared" si="8"/>
        <v>770.99998748629207</v>
      </c>
      <c r="T31" s="162">
        <f t="shared" si="9"/>
        <v>409786.49334896426</v>
      </c>
      <c r="U31" s="16"/>
      <c r="V31" s="71"/>
      <c r="W31" s="16"/>
    </row>
    <row r="32" spans="1:23">
      <c r="A32" s="35" t="s">
        <v>138</v>
      </c>
      <c r="B32" s="35" t="s">
        <v>138</v>
      </c>
      <c r="C32" s="157">
        <v>110909</v>
      </c>
      <c r="D32" s="157" t="s">
        <v>595</v>
      </c>
      <c r="E32" s="36" t="s">
        <v>596</v>
      </c>
      <c r="F32" s="98">
        <v>0</v>
      </c>
      <c r="G32" s="158">
        <v>0</v>
      </c>
      <c r="H32" s="115">
        <f t="shared" si="0"/>
        <v>0</v>
      </c>
      <c r="I32" s="159">
        <f>SUMIFS(Arrival!M:M,Arrival!K:K,'Stock statement'!$C32)</f>
        <v>0</v>
      </c>
      <c r="J32" s="160">
        <f t="shared" si="1"/>
        <v>0</v>
      </c>
      <c r="K32" s="160">
        <f>SUMIFS(Arrival!R:R,Arrival!K:K,'Stock statement'!$C32)</f>
        <v>0</v>
      </c>
      <c r="L32" s="160">
        <f t="shared" si="2"/>
        <v>0</v>
      </c>
      <c r="M32" s="160">
        <f t="shared" si="3"/>
        <v>0</v>
      </c>
      <c r="N32" s="161">
        <f t="shared" si="4"/>
        <v>0</v>
      </c>
      <c r="O32" s="159">
        <f t="shared" si="5"/>
        <v>0</v>
      </c>
      <c r="P32" s="162">
        <f t="shared" si="6"/>
        <v>0</v>
      </c>
      <c r="Q32" s="162">
        <f t="shared" si="7"/>
        <v>0</v>
      </c>
      <c r="R32" s="160">
        <f>IFERROR(VLOOKUP(C32,'Monthly Op &amp; Clo Stock (invoic)'!A:C,3,0),0)</f>
        <v>0</v>
      </c>
      <c r="S32" s="163">
        <f t="shared" si="8"/>
        <v>0</v>
      </c>
      <c r="T32" s="162">
        <f t="shared" si="9"/>
        <v>0</v>
      </c>
      <c r="U32" s="16"/>
      <c r="V32" s="71"/>
      <c r="W32" s="16"/>
    </row>
    <row r="33" spans="1:23">
      <c r="A33" s="35" t="s">
        <v>138</v>
      </c>
      <c r="B33" s="35" t="s">
        <v>138</v>
      </c>
      <c r="C33" s="157">
        <v>110927</v>
      </c>
      <c r="D33" s="157" t="s">
        <v>217</v>
      </c>
      <c r="E33" s="36" t="s">
        <v>597</v>
      </c>
      <c r="F33" s="98">
        <v>83</v>
      </c>
      <c r="G33" s="158">
        <v>913.63318179503324</v>
      </c>
      <c r="H33" s="115">
        <f t="shared" si="0"/>
        <v>75831.554088987759</v>
      </c>
      <c r="I33" s="159">
        <f>SUMIFS(Arrival!M:M,Arrival!K:K,'Stock statement'!$C33)</f>
        <v>100</v>
      </c>
      <c r="J33" s="160">
        <f t="shared" si="1"/>
        <v>908.04</v>
      </c>
      <c r="K33" s="160">
        <f>SUMIFS(Arrival!R:R,Arrival!K:K,'Stock statement'!$C33)</f>
        <v>90804</v>
      </c>
      <c r="L33" s="160">
        <f t="shared" si="2"/>
        <v>183</v>
      </c>
      <c r="M33" s="160">
        <f t="shared" si="3"/>
        <v>910.5767983004796</v>
      </c>
      <c r="N33" s="161">
        <f t="shared" si="4"/>
        <v>166635.55408898776</v>
      </c>
      <c r="O33" s="159">
        <f t="shared" si="5"/>
        <v>52.680000000000007</v>
      </c>
      <c r="P33" s="162">
        <f t="shared" si="6"/>
        <v>910.5767983004796</v>
      </c>
      <c r="Q33" s="162">
        <f t="shared" si="7"/>
        <v>47969.185734469269</v>
      </c>
      <c r="R33" s="160">
        <f>IFERROR(VLOOKUP(C33,'Monthly Op &amp; Clo Stock (invoic)'!A:C,3,0),0)</f>
        <v>130.32</v>
      </c>
      <c r="S33" s="163">
        <f t="shared" si="8"/>
        <v>910.5767983004796</v>
      </c>
      <c r="T33" s="162">
        <f t="shared" si="9"/>
        <v>118666.36835451849</v>
      </c>
      <c r="U33" s="16"/>
      <c r="V33" s="71"/>
      <c r="W33" s="16"/>
    </row>
    <row r="34" spans="1:23">
      <c r="A34" s="35" t="s">
        <v>138</v>
      </c>
      <c r="B34" s="35" t="s">
        <v>138</v>
      </c>
      <c r="C34" s="157">
        <v>110920</v>
      </c>
      <c r="D34" s="157" t="s">
        <v>213</v>
      </c>
      <c r="E34" s="36" t="s">
        <v>598</v>
      </c>
      <c r="F34" s="98">
        <v>64.33</v>
      </c>
      <c r="G34" s="158">
        <v>648.75675948196692</v>
      </c>
      <c r="H34" s="115">
        <f t="shared" si="0"/>
        <v>41734.522337474933</v>
      </c>
      <c r="I34" s="159">
        <f>SUMIFS(Arrival!M:M,Arrival!K:K,'Stock statement'!$C34)</f>
        <v>50</v>
      </c>
      <c r="J34" s="160">
        <f t="shared" si="1"/>
        <v>708.04</v>
      </c>
      <c r="K34" s="160">
        <f>SUMIFS(Arrival!R:R,Arrival!K:K,'Stock statement'!$C34)</f>
        <v>35402</v>
      </c>
      <c r="L34" s="160">
        <f t="shared" si="2"/>
        <v>114.33</v>
      </c>
      <c r="M34" s="160">
        <f t="shared" si="3"/>
        <v>674.683130739744</v>
      </c>
      <c r="N34" s="161">
        <f t="shared" si="4"/>
        <v>77136.522337474933</v>
      </c>
      <c r="O34" s="159">
        <f t="shared" si="5"/>
        <v>45.430000000000007</v>
      </c>
      <c r="P34" s="162">
        <f t="shared" si="6"/>
        <v>674.683130739744</v>
      </c>
      <c r="Q34" s="162">
        <f t="shared" si="7"/>
        <v>30650.854629506575</v>
      </c>
      <c r="R34" s="160">
        <f>IFERROR(VLOOKUP(C34,'Monthly Op &amp; Clo Stock (invoic)'!A:C,3,0),0)</f>
        <v>68.899999999999991</v>
      </c>
      <c r="S34" s="163">
        <f t="shared" si="8"/>
        <v>674.683130739744</v>
      </c>
      <c r="T34" s="162">
        <f t="shared" si="9"/>
        <v>46485.667707968358</v>
      </c>
      <c r="U34" s="16"/>
      <c r="V34" s="71"/>
      <c r="W34" s="16"/>
    </row>
    <row r="35" spans="1:23">
      <c r="A35" s="35" t="s">
        <v>138</v>
      </c>
      <c r="B35" s="35" t="s">
        <v>138</v>
      </c>
      <c r="C35" s="157">
        <v>110919</v>
      </c>
      <c r="D35" s="157" t="s">
        <v>215</v>
      </c>
      <c r="E35" s="36" t="s">
        <v>599</v>
      </c>
      <c r="F35" s="98">
        <v>56.550000000000004</v>
      </c>
      <c r="G35" s="158">
        <v>534.44508506390093</v>
      </c>
      <c r="H35" s="115">
        <f t="shared" si="0"/>
        <v>30222.869560363601</v>
      </c>
      <c r="I35" s="159">
        <f>SUMIFS(Arrival!M:M,Arrival!K:K,'Stock statement'!$C35)</f>
        <v>50</v>
      </c>
      <c r="J35" s="160">
        <f t="shared" si="1"/>
        <v>558.04</v>
      </c>
      <c r="K35" s="160">
        <f>SUMIFS(Arrival!R:R,Arrival!K:K,'Stock statement'!$C35)</f>
        <v>27902</v>
      </c>
      <c r="L35" s="160">
        <f t="shared" si="2"/>
        <v>106.55000000000001</v>
      </c>
      <c r="M35" s="160">
        <f t="shared" si="3"/>
        <v>545.51731168806748</v>
      </c>
      <c r="N35" s="161">
        <f t="shared" si="4"/>
        <v>58124.869560363601</v>
      </c>
      <c r="O35" s="159">
        <f t="shared" si="5"/>
        <v>31.180000000000007</v>
      </c>
      <c r="P35" s="162">
        <f t="shared" si="6"/>
        <v>545.51731168806748</v>
      </c>
      <c r="Q35" s="162">
        <f t="shared" si="7"/>
        <v>17009.229778433946</v>
      </c>
      <c r="R35" s="160">
        <f>IFERROR(VLOOKUP(C35,'Monthly Op &amp; Clo Stock (invoic)'!A:C,3,0),0)</f>
        <v>75.37</v>
      </c>
      <c r="S35" s="163">
        <f t="shared" si="8"/>
        <v>545.51731168806748</v>
      </c>
      <c r="T35" s="162">
        <f t="shared" si="9"/>
        <v>41115.639781929647</v>
      </c>
      <c r="U35" s="16"/>
      <c r="V35" s="71"/>
      <c r="W35" s="16"/>
    </row>
    <row r="36" spans="1:23">
      <c r="A36" s="35" t="s">
        <v>138</v>
      </c>
      <c r="B36" s="35" t="s">
        <v>138</v>
      </c>
      <c r="C36" s="157">
        <v>110057</v>
      </c>
      <c r="D36" s="157" t="s">
        <v>160</v>
      </c>
      <c r="E36" s="36" t="s">
        <v>445</v>
      </c>
      <c r="F36" s="98">
        <v>208.29</v>
      </c>
      <c r="G36" s="158">
        <v>3338.0309817455986</v>
      </c>
      <c r="H36" s="115">
        <f t="shared" si="0"/>
        <v>695278.47318779072</v>
      </c>
      <c r="I36" s="159">
        <f>SUMIFS(Arrival!M:M,Arrival!K:K,'Stock statement'!$C36)</f>
        <v>381</v>
      </c>
      <c r="J36" s="160">
        <f t="shared" si="1"/>
        <v>3299.6850393700788</v>
      </c>
      <c r="K36" s="160">
        <f>SUMIFS(Arrival!R:R,Arrival!K:K,'Stock statement'!$C36)</f>
        <v>1257180</v>
      </c>
      <c r="L36" s="160">
        <f t="shared" si="2"/>
        <v>589.29</v>
      </c>
      <c r="M36" s="160">
        <f t="shared" si="3"/>
        <v>3313.2387673094586</v>
      </c>
      <c r="N36" s="161">
        <f t="shared" si="4"/>
        <v>1952458.4731877907</v>
      </c>
      <c r="O36" s="159">
        <f t="shared" si="5"/>
        <v>364.94999999999993</v>
      </c>
      <c r="P36" s="162">
        <f t="shared" si="6"/>
        <v>3313.2387673094586</v>
      </c>
      <c r="Q36" s="162">
        <f t="shared" si="7"/>
        <v>1209166.4881295867</v>
      </c>
      <c r="R36" s="160">
        <f>IFERROR(VLOOKUP(C36,'Monthly Op &amp; Clo Stock (invoic)'!A:C,3,0),0)</f>
        <v>224.34</v>
      </c>
      <c r="S36" s="163">
        <f t="shared" si="8"/>
        <v>3313.2387673094586</v>
      </c>
      <c r="T36" s="162">
        <f t="shared" si="9"/>
        <v>743291.98505820392</v>
      </c>
      <c r="U36" s="16"/>
      <c r="V36" s="71"/>
      <c r="W36" s="16"/>
    </row>
    <row r="37" spans="1:23">
      <c r="A37" s="35" t="s">
        <v>138</v>
      </c>
      <c r="B37" s="35" t="s">
        <v>138</v>
      </c>
      <c r="C37" s="157">
        <v>110922</v>
      </c>
      <c r="D37" s="157" t="s">
        <v>393</v>
      </c>
      <c r="E37" s="36" t="s">
        <v>600</v>
      </c>
      <c r="F37" s="98">
        <v>3.69</v>
      </c>
      <c r="G37" s="158">
        <v>411.25781249999994</v>
      </c>
      <c r="H37" s="115">
        <f t="shared" si="0"/>
        <v>1517.5413281249998</v>
      </c>
      <c r="I37" s="159">
        <f>SUMIFS(Arrival!M:M,Arrival!K:K,'Stock statement'!$C37)</f>
        <v>0</v>
      </c>
      <c r="J37" s="160">
        <f t="shared" si="1"/>
        <v>0</v>
      </c>
      <c r="K37" s="160">
        <f>SUMIFS(Arrival!R:R,Arrival!K:K,'Stock statement'!$C37)</f>
        <v>0</v>
      </c>
      <c r="L37" s="160">
        <f t="shared" si="2"/>
        <v>3.69</v>
      </c>
      <c r="M37" s="160">
        <f t="shared" si="3"/>
        <v>411.25781249999994</v>
      </c>
      <c r="N37" s="161">
        <f t="shared" si="4"/>
        <v>1517.5413281249998</v>
      </c>
      <c r="O37" s="159">
        <f t="shared" si="5"/>
        <v>8.9999999999999858E-2</v>
      </c>
      <c r="P37" s="162">
        <f t="shared" si="6"/>
        <v>411.25781249999994</v>
      </c>
      <c r="Q37" s="162">
        <f t="shared" si="7"/>
        <v>37.013203124999933</v>
      </c>
      <c r="R37" s="160">
        <f>IFERROR(VLOOKUP(C37,'Monthly Op &amp; Clo Stock (invoic)'!A:C,3,0),0)</f>
        <v>3.6</v>
      </c>
      <c r="S37" s="163">
        <f t="shared" si="8"/>
        <v>411.25781249999994</v>
      </c>
      <c r="T37" s="162">
        <f t="shared" si="9"/>
        <v>1480.5281249999998</v>
      </c>
      <c r="U37" s="16"/>
      <c r="V37" s="71"/>
      <c r="W37" s="16"/>
    </row>
    <row r="38" spans="1:23">
      <c r="A38" s="35" t="s">
        <v>138</v>
      </c>
      <c r="B38" s="35" t="s">
        <v>138</v>
      </c>
      <c r="C38" s="157">
        <v>110981</v>
      </c>
      <c r="D38" s="157" t="s">
        <v>369</v>
      </c>
      <c r="E38" s="36" t="s">
        <v>370</v>
      </c>
      <c r="F38" s="98">
        <v>248.83999999999992</v>
      </c>
      <c r="G38" s="158">
        <v>411.27763541477054</v>
      </c>
      <c r="H38" s="115">
        <f t="shared" si="0"/>
        <v>102342.32679661147</v>
      </c>
      <c r="I38" s="159">
        <f>SUMIFS(Arrival!M:M,Arrival!K:K,'Stock statement'!$C38)</f>
        <v>880</v>
      </c>
      <c r="J38" s="160">
        <f t="shared" si="1"/>
        <v>429</v>
      </c>
      <c r="K38" s="160">
        <f>SUMIFS(Arrival!R:R,Arrival!K:K,'Stock statement'!$C38)</f>
        <v>377520</v>
      </c>
      <c r="L38" s="160">
        <f t="shared" si="2"/>
        <v>1128.8399999999999</v>
      </c>
      <c r="M38" s="160">
        <f t="shared" si="3"/>
        <v>425.0933053369933</v>
      </c>
      <c r="N38" s="161">
        <f t="shared" si="4"/>
        <v>479862.32679661148</v>
      </c>
      <c r="O38" s="159">
        <f t="shared" si="5"/>
        <v>143.83999999999992</v>
      </c>
      <c r="P38" s="162">
        <f t="shared" si="6"/>
        <v>425.0933053369933</v>
      </c>
      <c r="Q38" s="162">
        <f t="shared" si="7"/>
        <v>61145.421039673078</v>
      </c>
      <c r="R38" s="160">
        <f>IFERROR(VLOOKUP(C38,'Monthly Op &amp; Clo Stock (invoic)'!A:C,3,0),0)</f>
        <v>985</v>
      </c>
      <c r="S38" s="163">
        <f t="shared" si="8"/>
        <v>425.0933053369933</v>
      </c>
      <c r="T38" s="162">
        <f t="shared" si="9"/>
        <v>418716.90575693839</v>
      </c>
      <c r="U38" s="16"/>
      <c r="V38" s="71"/>
      <c r="W38" s="16"/>
    </row>
    <row r="39" spans="1:23">
      <c r="A39" s="35" t="s">
        <v>138</v>
      </c>
      <c r="B39" s="35" t="s">
        <v>138</v>
      </c>
      <c r="C39" s="157">
        <v>110985</v>
      </c>
      <c r="D39" s="157" t="s">
        <v>488</v>
      </c>
      <c r="E39" s="36" t="s">
        <v>601</v>
      </c>
      <c r="F39" s="98">
        <v>187.5</v>
      </c>
      <c r="G39" s="158">
        <v>156</v>
      </c>
      <c r="H39" s="115">
        <f t="shared" si="0"/>
        <v>29250</v>
      </c>
      <c r="I39" s="159">
        <f>SUMIFS(Arrival!M:M,Arrival!K:K,'Stock statement'!$C39)</f>
        <v>0</v>
      </c>
      <c r="J39" s="160">
        <f t="shared" si="1"/>
        <v>0</v>
      </c>
      <c r="K39" s="160">
        <f>SUMIFS(Arrival!R:R,Arrival!K:K,'Stock statement'!$C39)</f>
        <v>0</v>
      </c>
      <c r="L39" s="160">
        <f t="shared" si="2"/>
        <v>187.5</v>
      </c>
      <c r="M39" s="160">
        <f t="shared" si="3"/>
        <v>156</v>
      </c>
      <c r="N39" s="161">
        <f t="shared" si="4"/>
        <v>29250</v>
      </c>
      <c r="O39" s="159">
        <f t="shared" si="5"/>
        <v>13.5</v>
      </c>
      <c r="P39" s="162">
        <f t="shared" si="6"/>
        <v>156</v>
      </c>
      <c r="Q39" s="162">
        <f t="shared" si="7"/>
        <v>2106</v>
      </c>
      <c r="R39" s="160">
        <f>IFERROR(VLOOKUP(C39,'Monthly Op &amp; Clo Stock (invoic)'!A:C,3,0),0)</f>
        <v>174</v>
      </c>
      <c r="S39" s="163">
        <f t="shared" si="8"/>
        <v>156</v>
      </c>
      <c r="T39" s="162">
        <f t="shared" si="9"/>
        <v>27144</v>
      </c>
      <c r="U39" s="16"/>
      <c r="V39" s="71"/>
      <c r="W39" s="16"/>
    </row>
    <row r="40" spans="1:23">
      <c r="A40" s="35" t="s">
        <v>138</v>
      </c>
      <c r="B40" s="35" t="s">
        <v>138</v>
      </c>
      <c r="C40" s="157">
        <v>111232</v>
      </c>
      <c r="D40" s="157" t="s">
        <v>141</v>
      </c>
      <c r="E40" s="36" t="s">
        <v>441</v>
      </c>
      <c r="F40" s="98">
        <v>90000</v>
      </c>
      <c r="G40" s="158">
        <v>99.241049034531713</v>
      </c>
      <c r="H40" s="115">
        <f t="shared" si="0"/>
        <v>8931694.4131078534</v>
      </c>
      <c r="I40" s="159">
        <f>SUMIFS(Arrival!M:M,Arrival!K:K,'Stock statement'!$C40)</f>
        <v>327710</v>
      </c>
      <c r="J40" s="160">
        <f t="shared" si="1"/>
        <v>92.915403863171704</v>
      </c>
      <c r="K40" s="160">
        <f>SUMIFS(Arrival!R:R,Arrival!K:K,'Stock statement'!$C40)</f>
        <v>30449307</v>
      </c>
      <c r="L40" s="160">
        <f t="shared" si="2"/>
        <v>417710</v>
      </c>
      <c r="M40" s="160">
        <f t="shared" si="3"/>
        <v>94.278330452007026</v>
      </c>
      <c r="N40" s="161">
        <f t="shared" si="4"/>
        <v>39381001.413107857</v>
      </c>
      <c r="O40" s="159">
        <f t="shared" si="5"/>
        <v>327710</v>
      </c>
      <c r="P40" s="162">
        <f t="shared" si="6"/>
        <v>94.278330452007026</v>
      </c>
      <c r="Q40" s="162">
        <f t="shared" si="7"/>
        <v>30895951.672427222</v>
      </c>
      <c r="R40" s="160">
        <f>IFERROR(VLOOKUP(C40,'Monthly Op &amp; Clo Stock (invoic)'!A:C,3,0),0)</f>
        <v>90000</v>
      </c>
      <c r="S40" s="163">
        <f t="shared" si="8"/>
        <v>94.278330452007026</v>
      </c>
      <c r="T40" s="162">
        <f t="shared" si="9"/>
        <v>8485049.7406806331</v>
      </c>
      <c r="U40" s="16"/>
      <c r="V40" s="71"/>
      <c r="W40" s="16"/>
    </row>
    <row r="41" spans="1:23">
      <c r="A41" s="35" t="s">
        <v>138</v>
      </c>
      <c r="B41" s="35" t="s">
        <v>138</v>
      </c>
      <c r="C41" s="157">
        <v>111237</v>
      </c>
      <c r="D41" s="157" t="s">
        <v>181</v>
      </c>
      <c r="E41" s="36" t="s">
        <v>446</v>
      </c>
      <c r="F41" s="98">
        <v>4000</v>
      </c>
      <c r="G41" s="158">
        <v>17.112007619397719</v>
      </c>
      <c r="H41" s="115">
        <f t="shared" si="0"/>
        <v>68448.030477590873</v>
      </c>
      <c r="I41" s="159">
        <f>SUMIFS(Arrival!M:M,Arrival!K:K,'Stock statement'!$C41)</f>
        <v>25000</v>
      </c>
      <c r="J41" s="160">
        <f t="shared" si="1"/>
        <v>17.11</v>
      </c>
      <c r="K41" s="160">
        <f>SUMIFS(Arrival!R:R,Arrival!K:K,'Stock statement'!$C41)</f>
        <v>427750</v>
      </c>
      <c r="L41" s="160">
        <f t="shared" si="2"/>
        <v>29000</v>
      </c>
      <c r="M41" s="160">
        <f t="shared" si="3"/>
        <v>17.110276913020375</v>
      </c>
      <c r="N41" s="161">
        <f t="shared" si="4"/>
        <v>496198.03047759086</v>
      </c>
      <c r="O41" s="159">
        <f t="shared" si="5"/>
        <v>25700</v>
      </c>
      <c r="P41" s="162">
        <f t="shared" si="6"/>
        <v>17.110276913020375</v>
      </c>
      <c r="Q41" s="162">
        <f t="shared" si="7"/>
        <v>439734.11666462361</v>
      </c>
      <c r="R41" s="160">
        <f>IFERROR(VLOOKUP(C41,'Monthly Op &amp; Clo Stock (invoic)'!A:C,3,0),0)</f>
        <v>3300</v>
      </c>
      <c r="S41" s="163">
        <f t="shared" si="8"/>
        <v>17.110276913020375</v>
      </c>
      <c r="T41" s="162">
        <f t="shared" si="9"/>
        <v>56463.913812967236</v>
      </c>
      <c r="U41" s="16"/>
      <c r="V41" s="71"/>
      <c r="W41" s="16"/>
    </row>
    <row r="42" spans="1:23">
      <c r="A42" s="35" t="s">
        <v>138</v>
      </c>
      <c r="B42" s="35" t="s">
        <v>138</v>
      </c>
      <c r="C42" s="157">
        <v>110018</v>
      </c>
      <c r="D42" s="157" t="s">
        <v>153</v>
      </c>
      <c r="E42" s="36" t="s">
        <v>364</v>
      </c>
      <c r="F42" s="98">
        <v>2272.83</v>
      </c>
      <c r="G42" s="158">
        <v>84.206363687840948</v>
      </c>
      <c r="H42" s="115">
        <f t="shared" si="0"/>
        <v>191386.74958063554</v>
      </c>
      <c r="I42" s="159">
        <f>SUMIFS(Arrival!M:M,Arrival!K:K,'Stock statement'!$C42)</f>
        <v>0</v>
      </c>
      <c r="J42" s="160">
        <f t="shared" si="1"/>
        <v>0</v>
      </c>
      <c r="K42" s="160">
        <f>SUMIFS(Arrival!R:R,Arrival!K:K,'Stock statement'!$C42)</f>
        <v>0</v>
      </c>
      <c r="L42" s="160">
        <f t="shared" si="2"/>
        <v>2272.83</v>
      </c>
      <c r="M42" s="160">
        <f t="shared" si="3"/>
        <v>84.206363687840948</v>
      </c>
      <c r="N42" s="161">
        <f t="shared" si="4"/>
        <v>191386.74958063554</v>
      </c>
      <c r="O42" s="159">
        <f t="shared" si="5"/>
        <v>1376.84</v>
      </c>
      <c r="P42" s="162">
        <f t="shared" si="6"/>
        <v>84.206363687840948</v>
      </c>
      <c r="Q42" s="162">
        <f t="shared" si="7"/>
        <v>115938.68977996692</v>
      </c>
      <c r="R42" s="160">
        <f>IFERROR(VLOOKUP(C42,'Monthly Op &amp; Clo Stock (invoic)'!A:C,3,0),0)</f>
        <v>895.99</v>
      </c>
      <c r="S42" s="163">
        <f t="shared" si="8"/>
        <v>84.206363687840948</v>
      </c>
      <c r="T42" s="162">
        <f t="shared" si="9"/>
        <v>75448.059800668605</v>
      </c>
      <c r="U42" s="16"/>
      <c r="V42" s="71"/>
      <c r="W42" s="16"/>
    </row>
    <row r="43" spans="1:23">
      <c r="A43" s="35" t="s">
        <v>138</v>
      </c>
      <c r="B43" s="35" t="s">
        <v>138</v>
      </c>
      <c r="C43" s="157">
        <v>111254</v>
      </c>
      <c r="D43" s="157" t="s">
        <v>179</v>
      </c>
      <c r="E43" s="36" t="s">
        <v>602</v>
      </c>
      <c r="F43" s="98">
        <v>210.3</v>
      </c>
      <c r="G43" s="158">
        <v>1036.4956269221443</v>
      </c>
      <c r="H43" s="115">
        <f t="shared" si="0"/>
        <v>217975.03034172696</v>
      </c>
      <c r="I43" s="159">
        <f>SUMIFS(Arrival!M:M,Arrival!K:K,'Stock statement'!$C43)</f>
        <v>0</v>
      </c>
      <c r="J43" s="160">
        <f t="shared" si="1"/>
        <v>0</v>
      </c>
      <c r="K43" s="160">
        <f>SUMIFS(Arrival!R:R,Arrival!K:K,'Stock statement'!$C43)</f>
        <v>0</v>
      </c>
      <c r="L43" s="160">
        <f t="shared" si="2"/>
        <v>210.3</v>
      </c>
      <c r="M43" s="160">
        <f t="shared" si="3"/>
        <v>1036.4956269221443</v>
      </c>
      <c r="N43" s="161">
        <f t="shared" si="4"/>
        <v>217975.03034172696</v>
      </c>
      <c r="O43" s="159">
        <f t="shared" si="5"/>
        <v>68.06</v>
      </c>
      <c r="P43" s="162">
        <f t="shared" si="6"/>
        <v>1036.4956269221443</v>
      </c>
      <c r="Q43" s="162">
        <f t="shared" si="7"/>
        <v>70543.892368321147</v>
      </c>
      <c r="R43" s="160">
        <f>IFERROR(VLOOKUP(C43,'Monthly Op &amp; Clo Stock (invoic)'!A:C,3,0),0)</f>
        <v>142.24</v>
      </c>
      <c r="S43" s="163">
        <f t="shared" si="8"/>
        <v>1036.4956269221443</v>
      </c>
      <c r="T43" s="162">
        <f t="shared" si="9"/>
        <v>147431.13797340583</v>
      </c>
      <c r="U43" s="16"/>
      <c r="V43" s="71"/>
      <c r="W43" s="16"/>
    </row>
    <row r="44" spans="1:23">
      <c r="A44" s="35" t="s">
        <v>138</v>
      </c>
      <c r="B44" s="35" t="s">
        <v>138</v>
      </c>
      <c r="C44" s="157">
        <v>110040</v>
      </c>
      <c r="D44" s="157" t="s">
        <v>162</v>
      </c>
      <c r="E44" s="36" t="s">
        <v>163</v>
      </c>
      <c r="F44" s="98">
        <v>439.1</v>
      </c>
      <c r="G44" s="158">
        <v>348.44830167161894</v>
      </c>
      <c r="H44" s="115">
        <f t="shared" si="0"/>
        <v>153003.64926400789</v>
      </c>
      <c r="I44" s="159">
        <f>SUMIFS(Arrival!M:M,Arrival!K:K,'Stock statement'!$C44)</f>
        <v>0</v>
      </c>
      <c r="J44" s="160">
        <f t="shared" si="1"/>
        <v>0</v>
      </c>
      <c r="K44" s="160">
        <f>SUMIFS(Arrival!R:R,Arrival!K:K,'Stock statement'!$C44)</f>
        <v>0</v>
      </c>
      <c r="L44" s="160">
        <f t="shared" si="2"/>
        <v>439.1</v>
      </c>
      <c r="M44" s="160">
        <f t="shared" si="3"/>
        <v>348.44830167161894</v>
      </c>
      <c r="N44" s="161">
        <f t="shared" si="4"/>
        <v>153003.64926400789</v>
      </c>
      <c r="O44" s="159">
        <f t="shared" si="5"/>
        <v>3.6400000000000432</v>
      </c>
      <c r="P44" s="162">
        <f t="shared" si="6"/>
        <v>348.44830167161894</v>
      </c>
      <c r="Q44" s="162">
        <f t="shared" si="7"/>
        <v>1268.3518180847079</v>
      </c>
      <c r="R44" s="160">
        <f>IFERROR(VLOOKUP(C44,'Monthly Op &amp; Clo Stock (invoic)'!A:C,3,0),0)</f>
        <v>435.46</v>
      </c>
      <c r="S44" s="163">
        <f t="shared" si="8"/>
        <v>348.44830167161894</v>
      </c>
      <c r="T44" s="162">
        <f t="shared" si="9"/>
        <v>151735.29744592318</v>
      </c>
      <c r="U44" s="16"/>
      <c r="V44" s="71"/>
      <c r="W44" s="16"/>
    </row>
    <row r="45" spans="1:23">
      <c r="A45" s="35" t="s">
        <v>138</v>
      </c>
      <c r="B45" s="35" t="s">
        <v>138</v>
      </c>
      <c r="C45" s="157">
        <v>110976</v>
      </c>
      <c r="D45" s="157" t="s">
        <v>603</v>
      </c>
      <c r="E45" s="36" t="s">
        <v>604</v>
      </c>
      <c r="F45" s="98">
        <v>0</v>
      </c>
      <c r="G45" s="158">
        <v>0</v>
      </c>
      <c r="H45" s="115">
        <f t="shared" si="0"/>
        <v>0</v>
      </c>
      <c r="I45" s="159">
        <f>SUMIFS(Arrival!M:M,Arrival!K:K,'Stock statement'!$C45)</f>
        <v>0</v>
      </c>
      <c r="J45" s="160">
        <f t="shared" si="1"/>
        <v>0</v>
      </c>
      <c r="K45" s="160">
        <f>SUMIFS(Arrival!R:R,Arrival!K:K,'Stock statement'!$C45)</f>
        <v>0</v>
      </c>
      <c r="L45" s="160">
        <f t="shared" si="2"/>
        <v>0</v>
      </c>
      <c r="M45" s="160">
        <f t="shared" si="3"/>
        <v>0</v>
      </c>
      <c r="N45" s="161">
        <f t="shared" si="4"/>
        <v>0</v>
      </c>
      <c r="O45" s="159">
        <f t="shared" si="5"/>
        <v>0</v>
      </c>
      <c r="P45" s="162">
        <f t="shared" si="6"/>
        <v>0</v>
      </c>
      <c r="Q45" s="162">
        <f t="shared" si="7"/>
        <v>0</v>
      </c>
      <c r="R45" s="160">
        <f>IFERROR(VLOOKUP(C45,'Monthly Op &amp; Clo Stock (invoic)'!A:C,3,0),0)</f>
        <v>0</v>
      </c>
      <c r="S45" s="163">
        <f t="shared" si="8"/>
        <v>0</v>
      </c>
      <c r="T45" s="162">
        <f t="shared" si="9"/>
        <v>0</v>
      </c>
      <c r="U45" s="16"/>
      <c r="V45" s="71"/>
      <c r="W45" s="16"/>
    </row>
    <row r="46" spans="1:23">
      <c r="A46" s="35" t="s">
        <v>138</v>
      </c>
      <c r="B46" s="35" t="s">
        <v>138</v>
      </c>
      <c r="C46" s="157">
        <v>110978</v>
      </c>
      <c r="D46" s="157" t="s">
        <v>367</v>
      </c>
      <c r="E46" s="36" t="s">
        <v>368</v>
      </c>
      <c r="F46" s="98">
        <v>833.2</v>
      </c>
      <c r="G46" s="158">
        <v>161.09617670205651</v>
      </c>
      <c r="H46" s="115">
        <f t="shared" si="0"/>
        <v>134225.3344281535</v>
      </c>
      <c r="I46" s="159">
        <f>SUMIFS(Arrival!M:M,Arrival!K:K,'Stock statement'!$C46)</f>
        <v>4000</v>
      </c>
      <c r="J46" s="160">
        <f t="shared" si="1"/>
        <v>160</v>
      </c>
      <c r="K46" s="160">
        <f>SUMIFS(Arrival!R:R,Arrival!K:K,'Stock statement'!$C46)</f>
        <v>640000</v>
      </c>
      <c r="L46" s="160">
        <f t="shared" si="2"/>
        <v>4833.2</v>
      </c>
      <c r="M46" s="160">
        <f t="shared" si="3"/>
        <v>160.1889709567478</v>
      </c>
      <c r="N46" s="161">
        <f t="shared" si="4"/>
        <v>774225.33442815347</v>
      </c>
      <c r="O46" s="159">
        <f t="shared" si="5"/>
        <v>2908.25</v>
      </c>
      <c r="P46" s="162">
        <f t="shared" si="6"/>
        <v>160.1889709567478</v>
      </c>
      <c r="Q46" s="162">
        <f t="shared" si="7"/>
        <v>465869.57478496176</v>
      </c>
      <c r="R46" s="160">
        <f>IFERROR(VLOOKUP(C46,'Monthly Op &amp; Clo Stock (invoic)'!A:C,3,0),0)</f>
        <v>1924.95</v>
      </c>
      <c r="S46" s="163">
        <f t="shared" si="8"/>
        <v>160.1889709567478</v>
      </c>
      <c r="T46" s="162">
        <f t="shared" si="9"/>
        <v>308355.75964319165</v>
      </c>
      <c r="U46" s="16"/>
      <c r="V46" s="71"/>
      <c r="W46" s="16"/>
    </row>
    <row r="47" spans="1:23">
      <c r="A47" s="35" t="s">
        <v>138</v>
      </c>
      <c r="B47" s="35" t="s">
        <v>138</v>
      </c>
      <c r="C47" s="157">
        <v>111300</v>
      </c>
      <c r="D47" s="157" t="s">
        <v>341</v>
      </c>
      <c r="E47" s="36" t="s">
        <v>605</v>
      </c>
      <c r="F47" s="98">
        <v>450.61</v>
      </c>
      <c r="G47" s="158">
        <v>924.71631222661256</v>
      </c>
      <c r="H47" s="115">
        <f t="shared" si="0"/>
        <v>416686.4174524339</v>
      </c>
      <c r="I47" s="159">
        <f>SUMIFS(Arrival!M:M,Arrival!K:K,'Stock statement'!$C47)</f>
        <v>600</v>
      </c>
      <c r="J47" s="160">
        <f t="shared" si="1"/>
        <v>929</v>
      </c>
      <c r="K47" s="160">
        <f>SUMIFS(Arrival!R:R,Arrival!K:K,'Stock statement'!$C47)</f>
        <v>557400</v>
      </c>
      <c r="L47" s="160">
        <f t="shared" si="2"/>
        <v>1050.6100000000001</v>
      </c>
      <c r="M47" s="160">
        <f t="shared" si="3"/>
        <v>927.16271256930133</v>
      </c>
      <c r="N47" s="161">
        <f t="shared" si="4"/>
        <v>974086.41745243385</v>
      </c>
      <c r="O47" s="159">
        <f t="shared" si="5"/>
        <v>474.36000000000013</v>
      </c>
      <c r="P47" s="162">
        <f t="shared" si="6"/>
        <v>927.16271256930133</v>
      </c>
      <c r="Q47" s="162">
        <f t="shared" si="7"/>
        <v>439808.90433437389</v>
      </c>
      <c r="R47" s="160">
        <f>IFERROR(VLOOKUP(C47,'Monthly Op &amp; Clo Stock (invoic)'!A:C,3,0),0)</f>
        <v>576.25</v>
      </c>
      <c r="S47" s="163">
        <f t="shared" si="8"/>
        <v>927.16271256930133</v>
      </c>
      <c r="T47" s="162">
        <f t="shared" si="9"/>
        <v>534277.51311805984</v>
      </c>
      <c r="U47" s="16"/>
      <c r="V47" s="71"/>
      <c r="W47" s="16"/>
    </row>
    <row r="48" spans="1:23">
      <c r="A48" s="35" t="s">
        <v>138</v>
      </c>
      <c r="B48" s="35" t="s">
        <v>138</v>
      </c>
      <c r="C48" s="157">
        <v>111265</v>
      </c>
      <c r="D48" s="157" t="s">
        <v>261</v>
      </c>
      <c r="E48" s="36" t="s">
        <v>606</v>
      </c>
      <c r="F48" s="98">
        <v>0</v>
      </c>
      <c r="G48" s="158">
        <v>369.84186331622089</v>
      </c>
      <c r="H48" s="115">
        <f t="shared" si="0"/>
        <v>0</v>
      </c>
      <c r="I48" s="159">
        <f>SUMIFS(Arrival!M:M,Arrival!K:K,'Stock statement'!$C48)</f>
        <v>0</v>
      </c>
      <c r="J48" s="160">
        <f t="shared" si="1"/>
        <v>0</v>
      </c>
      <c r="K48" s="160">
        <f>SUMIFS(Arrival!R:R,Arrival!K:K,'Stock statement'!$C48)</f>
        <v>0</v>
      </c>
      <c r="L48" s="160">
        <f t="shared" si="2"/>
        <v>0</v>
      </c>
      <c r="M48" s="160">
        <f t="shared" si="3"/>
        <v>0</v>
      </c>
      <c r="N48" s="161">
        <f t="shared" si="4"/>
        <v>0</v>
      </c>
      <c r="O48" s="159">
        <f t="shared" si="5"/>
        <v>0</v>
      </c>
      <c r="P48" s="162">
        <f t="shared" si="6"/>
        <v>0</v>
      </c>
      <c r="Q48" s="162">
        <f t="shared" si="7"/>
        <v>0</v>
      </c>
      <c r="R48" s="160">
        <f>IFERROR(VLOOKUP(C48,'Monthly Op &amp; Clo Stock (invoic)'!A:C,3,0),0)</f>
        <v>0</v>
      </c>
      <c r="S48" s="163">
        <f t="shared" si="8"/>
        <v>0</v>
      </c>
      <c r="T48" s="162">
        <f t="shared" si="9"/>
        <v>0</v>
      </c>
      <c r="U48" s="16"/>
      <c r="V48" s="71"/>
      <c r="W48" s="16"/>
    </row>
    <row r="49" spans="1:23">
      <c r="A49" s="35" t="s">
        <v>138</v>
      </c>
      <c r="B49" s="35" t="s">
        <v>138</v>
      </c>
      <c r="C49" s="157">
        <v>111261</v>
      </c>
      <c r="D49" s="157" t="s">
        <v>175</v>
      </c>
      <c r="E49" s="36" t="s">
        <v>607</v>
      </c>
      <c r="F49" s="182">
        <v>29.6</v>
      </c>
      <c r="G49" s="158">
        <v>1750.9314909799687</v>
      </c>
      <c r="H49" s="115">
        <f t="shared" si="0"/>
        <v>51827.572133007074</v>
      </c>
      <c r="I49" s="159">
        <f>SUMIFS(Arrival!M:M,Arrival!K:K,'Stock statement'!$C49)</f>
        <v>0</v>
      </c>
      <c r="J49" s="160">
        <f t="shared" si="1"/>
        <v>0</v>
      </c>
      <c r="K49" s="160">
        <f>SUMIFS(Arrival!R:R,Arrival!K:K,'Stock statement'!$C49)</f>
        <v>0</v>
      </c>
      <c r="L49" s="160">
        <f t="shared" si="2"/>
        <v>29.6</v>
      </c>
      <c r="M49" s="160">
        <f t="shared" si="3"/>
        <v>1750.9314909799687</v>
      </c>
      <c r="N49" s="161">
        <f t="shared" si="4"/>
        <v>51827.572133007074</v>
      </c>
      <c r="O49" s="159">
        <f t="shared" si="5"/>
        <v>13.900000000000002</v>
      </c>
      <c r="P49" s="162">
        <f t="shared" si="6"/>
        <v>1750.9314909799687</v>
      </c>
      <c r="Q49" s="162">
        <f t="shared" si="7"/>
        <v>24337.947724621568</v>
      </c>
      <c r="R49" s="160">
        <f>IFERROR(VLOOKUP(C49,'Monthly Op &amp; Clo Stock (invoic)'!A:C,3,0),0)</f>
        <v>15.7</v>
      </c>
      <c r="S49" s="163">
        <f t="shared" si="8"/>
        <v>1750.9314909799687</v>
      </c>
      <c r="T49" s="162">
        <f t="shared" si="9"/>
        <v>27489.624408385505</v>
      </c>
      <c r="U49" s="16"/>
      <c r="V49" s="71"/>
      <c r="W49" s="16"/>
    </row>
    <row r="50" spans="1:23">
      <c r="A50" s="35" t="s">
        <v>138</v>
      </c>
      <c r="B50" s="35" t="s">
        <v>138</v>
      </c>
      <c r="C50" s="157">
        <v>111318</v>
      </c>
      <c r="D50" s="157" t="s">
        <v>177</v>
      </c>
      <c r="E50" s="36" t="s">
        <v>608</v>
      </c>
      <c r="F50" s="98">
        <v>18.152000000000001</v>
      </c>
      <c r="G50" s="158">
        <v>195.29212473407105</v>
      </c>
      <c r="H50" s="115">
        <f t="shared" si="0"/>
        <v>3544.9426481728578</v>
      </c>
      <c r="I50" s="159">
        <f>SUMIFS(Arrival!M:M,Arrival!K:K,'Stock statement'!$C50)</f>
        <v>0</v>
      </c>
      <c r="J50" s="160">
        <f t="shared" si="1"/>
        <v>0</v>
      </c>
      <c r="K50" s="160">
        <f>SUMIFS(Arrival!R:R,Arrival!K:K,'Stock statement'!$C50)</f>
        <v>0</v>
      </c>
      <c r="L50" s="160">
        <f t="shared" si="2"/>
        <v>18.152000000000001</v>
      </c>
      <c r="M50" s="160">
        <f t="shared" si="3"/>
        <v>195.29212473407105</v>
      </c>
      <c r="N50" s="161">
        <f t="shared" si="4"/>
        <v>3544.9426481728578</v>
      </c>
      <c r="O50" s="159">
        <f t="shared" si="5"/>
        <v>10.132000000000001</v>
      </c>
      <c r="P50" s="162">
        <f t="shared" si="6"/>
        <v>195.29212473407105</v>
      </c>
      <c r="Q50" s="162">
        <f t="shared" si="7"/>
        <v>1978.6998078056081</v>
      </c>
      <c r="R50" s="160">
        <f>IFERROR(VLOOKUP(C50,'Monthly Op &amp; Clo Stock (invoic)'!A:C,3,0),0)</f>
        <v>8.02</v>
      </c>
      <c r="S50" s="163">
        <f t="shared" si="8"/>
        <v>195.29212473407105</v>
      </c>
      <c r="T50" s="162">
        <f t="shared" si="9"/>
        <v>1566.2428403672498</v>
      </c>
      <c r="U50" s="16"/>
      <c r="V50" s="71"/>
      <c r="W50" s="16"/>
    </row>
    <row r="51" spans="1:23">
      <c r="A51" s="35" t="s">
        <v>138</v>
      </c>
      <c r="B51" s="35" t="s">
        <v>138</v>
      </c>
      <c r="C51" s="157">
        <v>111299</v>
      </c>
      <c r="D51" s="157" t="s">
        <v>352</v>
      </c>
      <c r="E51" s="36" t="s">
        <v>609</v>
      </c>
      <c r="F51" s="98">
        <v>23.75</v>
      </c>
      <c r="G51" s="158">
        <v>3003.7807644658756</v>
      </c>
      <c r="H51" s="115">
        <f t="shared" si="0"/>
        <v>71339.793156064537</v>
      </c>
      <c r="I51" s="159">
        <f>SUMIFS(Arrival!M:M,Arrival!K:K,'Stock statement'!$C51)</f>
        <v>0</v>
      </c>
      <c r="J51" s="160">
        <f t="shared" si="1"/>
        <v>0</v>
      </c>
      <c r="K51" s="160">
        <f>SUMIFS(Arrival!R:R,Arrival!K:K,'Stock statement'!$C51)</f>
        <v>0</v>
      </c>
      <c r="L51" s="160">
        <f t="shared" si="2"/>
        <v>23.75</v>
      </c>
      <c r="M51" s="160">
        <f t="shared" si="3"/>
        <v>3003.7807644658751</v>
      </c>
      <c r="N51" s="161">
        <f t="shared" si="4"/>
        <v>71339.793156064537</v>
      </c>
      <c r="O51" s="159">
        <f t="shared" si="5"/>
        <v>5.2199999999999989</v>
      </c>
      <c r="P51" s="162">
        <f t="shared" si="6"/>
        <v>3003.7807644658751</v>
      </c>
      <c r="Q51" s="162">
        <f t="shared" si="7"/>
        <v>15679.735590511864</v>
      </c>
      <c r="R51" s="160">
        <f>IFERROR(VLOOKUP(C51,'Monthly Op &amp; Clo Stock (invoic)'!A:C,3,0),0)</f>
        <v>18.53</v>
      </c>
      <c r="S51" s="163">
        <f t="shared" si="8"/>
        <v>3003.7807644658751</v>
      </c>
      <c r="T51" s="162">
        <f t="shared" si="9"/>
        <v>55660.05756555267</v>
      </c>
      <c r="U51" s="16"/>
      <c r="V51" s="71"/>
      <c r="W51" s="16"/>
    </row>
    <row r="52" spans="1:23">
      <c r="A52" s="35" t="s">
        <v>138</v>
      </c>
      <c r="B52" s="35" t="s">
        <v>138</v>
      </c>
      <c r="C52" s="157">
        <v>111416</v>
      </c>
      <c r="D52" s="157" t="s">
        <v>170</v>
      </c>
      <c r="E52" s="36" t="s">
        <v>171</v>
      </c>
      <c r="F52" s="98">
        <v>0</v>
      </c>
      <c r="G52" s="158">
        <v>0</v>
      </c>
      <c r="H52" s="115">
        <f t="shared" si="0"/>
        <v>0</v>
      </c>
      <c r="I52" s="159">
        <f>SUMIFS(Arrival!M:M,Arrival!K:K,'Stock statement'!$C52)</f>
        <v>0</v>
      </c>
      <c r="J52" s="160">
        <f t="shared" si="1"/>
        <v>0</v>
      </c>
      <c r="K52" s="160">
        <f>SUMIFS(Arrival!R:R,Arrival!K:K,'Stock statement'!$C52)</f>
        <v>0</v>
      </c>
      <c r="L52" s="160">
        <f t="shared" si="2"/>
        <v>0</v>
      </c>
      <c r="M52" s="160">
        <f t="shared" si="3"/>
        <v>0</v>
      </c>
      <c r="N52" s="161">
        <f t="shared" si="4"/>
        <v>0</v>
      </c>
      <c r="O52" s="159">
        <f t="shared" si="5"/>
        <v>0</v>
      </c>
      <c r="P52" s="162">
        <f t="shared" si="6"/>
        <v>0</v>
      </c>
      <c r="Q52" s="162">
        <f t="shared" si="7"/>
        <v>0</v>
      </c>
      <c r="R52" s="160">
        <f>IFERROR(VLOOKUP(C52,'Monthly Op &amp; Clo Stock (invoic)'!A:C,3,0),0)</f>
        <v>0</v>
      </c>
      <c r="S52" s="163">
        <f t="shared" si="8"/>
        <v>0</v>
      </c>
      <c r="T52" s="162">
        <f t="shared" si="9"/>
        <v>0</v>
      </c>
      <c r="U52" s="16"/>
      <c r="V52" s="71"/>
      <c r="W52" s="16"/>
    </row>
    <row r="53" spans="1:23">
      <c r="A53" s="35" t="s">
        <v>138</v>
      </c>
      <c r="B53" s="35" t="s">
        <v>138</v>
      </c>
      <c r="C53" s="157">
        <v>111245</v>
      </c>
      <c r="D53" s="157" t="s">
        <v>168</v>
      </c>
      <c r="E53" s="36" t="s">
        <v>610</v>
      </c>
      <c r="F53" s="98">
        <v>0</v>
      </c>
      <c r="G53" s="158">
        <v>0</v>
      </c>
      <c r="H53" s="115">
        <f t="shared" si="0"/>
        <v>0</v>
      </c>
      <c r="I53" s="159">
        <f>SUMIFS(Arrival!M:M,Arrival!K:K,'Stock statement'!$C53)</f>
        <v>0</v>
      </c>
      <c r="J53" s="160">
        <f t="shared" si="1"/>
        <v>0</v>
      </c>
      <c r="K53" s="160">
        <f>SUMIFS(Arrival!R:R,Arrival!K:K,'Stock statement'!$C53)</f>
        <v>0</v>
      </c>
      <c r="L53" s="160">
        <f t="shared" si="2"/>
        <v>0</v>
      </c>
      <c r="M53" s="160">
        <f t="shared" si="3"/>
        <v>0</v>
      </c>
      <c r="N53" s="161">
        <f t="shared" si="4"/>
        <v>0</v>
      </c>
      <c r="O53" s="159">
        <f t="shared" si="5"/>
        <v>0</v>
      </c>
      <c r="P53" s="162">
        <f t="shared" si="6"/>
        <v>0</v>
      </c>
      <c r="Q53" s="162">
        <f t="shared" si="7"/>
        <v>0</v>
      </c>
      <c r="R53" s="160">
        <f>IFERROR(VLOOKUP(C53,'Monthly Op &amp; Clo Stock (invoic)'!A:C,3,0),0)</f>
        <v>0</v>
      </c>
      <c r="S53" s="163">
        <f t="shared" si="8"/>
        <v>0</v>
      </c>
      <c r="T53" s="162">
        <f t="shared" si="9"/>
        <v>0</v>
      </c>
      <c r="U53" s="16"/>
      <c r="V53" s="71"/>
      <c r="W53" s="16"/>
    </row>
    <row r="54" spans="1:23">
      <c r="A54" s="35" t="s">
        <v>138</v>
      </c>
      <c r="B54" s="35" t="s">
        <v>138</v>
      </c>
      <c r="C54" s="157">
        <v>111408</v>
      </c>
      <c r="D54" s="157" t="s">
        <v>354</v>
      </c>
      <c r="E54" s="36" t="s">
        <v>611</v>
      </c>
      <c r="F54" s="98">
        <v>2.5</v>
      </c>
      <c r="G54" s="158">
        <v>257.60769230769233</v>
      </c>
      <c r="H54" s="115">
        <f t="shared" si="0"/>
        <v>644.01923076923083</v>
      </c>
      <c r="I54" s="159">
        <f>SUMIFS(Arrival!M:M,Arrival!K:K,'Stock statement'!$C54)</f>
        <v>0</v>
      </c>
      <c r="J54" s="160">
        <f t="shared" si="1"/>
        <v>0</v>
      </c>
      <c r="K54" s="160">
        <f>SUMIFS(Arrival!R:R,Arrival!K:K,'Stock statement'!$C54)</f>
        <v>0</v>
      </c>
      <c r="L54" s="160">
        <f t="shared" si="2"/>
        <v>2.5</v>
      </c>
      <c r="M54" s="160">
        <f t="shared" si="3"/>
        <v>257.60769230769233</v>
      </c>
      <c r="N54" s="161">
        <f t="shared" si="4"/>
        <v>644.01923076923083</v>
      </c>
      <c r="O54" s="159">
        <f t="shared" si="5"/>
        <v>0</v>
      </c>
      <c r="P54" s="162">
        <f t="shared" si="6"/>
        <v>257.60769230769233</v>
      </c>
      <c r="Q54" s="162">
        <f t="shared" si="7"/>
        <v>0</v>
      </c>
      <c r="R54" s="160">
        <f>IFERROR(VLOOKUP(C54,'Monthly Op &amp; Clo Stock (invoic)'!A:C,3,0),0)</f>
        <v>2.5</v>
      </c>
      <c r="S54" s="163">
        <f t="shared" si="8"/>
        <v>257.60769230769233</v>
      </c>
      <c r="T54" s="162">
        <f t="shared" si="9"/>
        <v>644.01923076923083</v>
      </c>
      <c r="U54" s="16"/>
      <c r="V54" s="71"/>
      <c r="W54" s="16"/>
    </row>
    <row r="55" spans="1:23">
      <c r="A55" s="35" t="s">
        <v>138</v>
      </c>
      <c r="B55" s="35" t="s">
        <v>138</v>
      </c>
      <c r="C55" s="157">
        <v>111598</v>
      </c>
      <c r="D55" s="157" t="s">
        <v>308</v>
      </c>
      <c r="E55" s="36" t="s">
        <v>612</v>
      </c>
      <c r="F55" s="98">
        <v>0</v>
      </c>
      <c r="G55" s="158">
        <v>191.48666666666665</v>
      </c>
      <c r="H55" s="115">
        <f t="shared" si="0"/>
        <v>0</v>
      </c>
      <c r="I55" s="159">
        <f>SUMIFS(Arrival!M:M,Arrival!K:K,'Stock statement'!$C55)</f>
        <v>0</v>
      </c>
      <c r="J55" s="160">
        <f t="shared" si="1"/>
        <v>0</v>
      </c>
      <c r="K55" s="160">
        <f>SUMIFS(Arrival!R:R,Arrival!K:K,'Stock statement'!$C55)</f>
        <v>0</v>
      </c>
      <c r="L55" s="160">
        <f t="shared" si="2"/>
        <v>0</v>
      </c>
      <c r="M55" s="160">
        <f t="shared" si="3"/>
        <v>0</v>
      </c>
      <c r="N55" s="161">
        <f t="shared" si="4"/>
        <v>0</v>
      </c>
      <c r="O55" s="159">
        <f t="shared" si="5"/>
        <v>0</v>
      </c>
      <c r="P55" s="162">
        <f t="shared" si="6"/>
        <v>0</v>
      </c>
      <c r="Q55" s="162">
        <f t="shared" si="7"/>
        <v>0</v>
      </c>
      <c r="R55" s="160">
        <f>IFERROR(VLOOKUP(C55,'Monthly Op &amp; Clo Stock (invoic)'!A:C,3,0),0)</f>
        <v>0</v>
      </c>
      <c r="S55" s="163">
        <f t="shared" si="8"/>
        <v>0</v>
      </c>
      <c r="T55" s="162">
        <f t="shared" si="9"/>
        <v>0</v>
      </c>
      <c r="U55" s="16"/>
      <c r="V55" s="71"/>
      <c r="W55" s="16"/>
    </row>
    <row r="56" spans="1:23">
      <c r="A56" s="35" t="s">
        <v>138</v>
      </c>
      <c r="B56" s="35" t="s">
        <v>138</v>
      </c>
      <c r="C56" s="157">
        <v>111264</v>
      </c>
      <c r="D56" s="157" t="s">
        <v>263</v>
      </c>
      <c r="E56" s="36" t="s">
        <v>613</v>
      </c>
      <c r="F56" s="98">
        <v>180.55</v>
      </c>
      <c r="G56" s="158">
        <v>727.39117410789402</v>
      </c>
      <c r="H56" s="115">
        <f t="shared" si="0"/>
        <v>131330.47648518026</v>
      </c>
      <c r="I56" s="159">
        <f>SUMIFS(Arrival!M:M,Arrival!K:K,'Stock statement'!$C56)</f>
        <v>0</v>
      </c>
      <c r="J56" s="160">
        <f t="shared" si="1"/>
        <v>0</v>
      </c>
      <c r="K56" s="160">
        <f>SUMIFS(Arrival!R:R,Arrival!K:K,'Stock statement'!$C56)</f>
        <v>0</v>
      </c>
      <c r="L56" s="160">
        <f t="shared" si="2"/>
        <v>180.55</v>
      </c>
      <c r="M56" s="160">
        <f t="shared" si="3"/>
        <v>727.3911741078939</v>
      </c>
      <c r="N56" s="161">
        <f t="shared" si="4"/>
        <v>131330.47648518026</v>
      </c>
      <c r="O56" s="159">
        <f t="shared" si="5"/>
        <v>65.550000000000011</v>
      </c>
      <c r="P56" s="162">
        <f t="shared" si="6"/>
        <v>727.3911741078939</v>
      </c>
      <c r="Q56" s="162">
        <f t="shared" si="7"/>
        <v>47680.49146277245</v>
      </c>
      <c r="R56" s="160">
        <f>IFERROR(VLOOKUP(C56,'Monthly Op &amp; Clo Stock (invoic)'!A:C,3,0),0)</f>
        <v>115</v>
      </c>
      <c r="S56" s="163">
        <f t="shared" si="8"/>
        <v>727.3911741078939</v>
      </c>
      <c r="T56" s="162">
        <f t="shared" si="9"/>
        <v>83649.985022407796</v>
      </c>
      <c r="U56" s="16"/>
      <c r="V56" s="71"/>
      <c r="W56" s="16"/>
    </row>
    <row r="57" spans="1:23">
      <c r="A57" s="35" t="s">
        <v>138</v>
      </c>
      <c r="B57" s="35" t="s">
        <v>138</v>
      </c>
      <c r="C57" s="157">
        <v>118219</v>
      </c>
      <c r="D57" s="157" t="s">
        <v>259</v>
      </c>
      <c r="E57" s="36" t="s">
        <v>614</v>
      </c>
      <c r="F57" s="98">
        <v>6.2</v>
      </c>
      <c r="G57" s="158">
        <v>894.46244467712404</v>
      </c>
      <c r="H57" s="115">
        <f t="shared" si="0"/>
        <v>5545.667156998169</v>
      </c>
      <c r="I57" s="159">
        <f>SUMIFS(Arrival!M:M,Arrival!K:K,'Stock statement'!$C57)</f>
        <v>0</v>
      </c>
      <c r="J57" s="160">
        <f t="shared" si="1"/>
        <v>0</v>
      </c>
      <c r="K57" s="160">
        <f>SUMIFS(Arrival!R:R,Arrival!K:K,'Stock statement'!$C57)</f>
        <v>0</v>
      </c>
      <c r="L57" s="160">
        <f t="shared" si="2"/>
        <v>6.2</v>
      </c>
      <c r="M57" s="160">
        <f t="shared" si="3"/>
        <v>894.46244467712404</v>
      </c>
      <c r="N57" s="161">
        <f t="shared" si="4"/>
        <v>5545.667156998169</v>
      </c>
      <c r="O57" s="159">
        <f t="shared" si="5"/>
        <v>1.21</v>
      </c>
      <c r="P57" s="162">
        <f t="shared" si="6"/>
        <v>894.46244467712404</v>
      </c>
      <c r="Q57" s="162">
        <f t="shared" si="7"/>
        <v>1082.2995580593201</v>
      </c>
      <c r="R57" s="160">
        <f>IFERROR(VLOOKUP(C57,'Monthly Op &amp; Clo Stock (invoic)'!A:C,3,0),0)</f>
        <v>4.99</v>
      </c>
      <c r="S57" s="163">
        <f t="shared" si="8"/>
        <v>894.46244467712404</v>
      </c>
      <c r="T57" s="162">
        <f t="shared" si="9"/>
        <v>4463.3675989388494</v>
      </c>
      <c r="U57" s="16"/>
      <c r="V57" s="71"/>
      <c r="W57" s="16"/>
    </row>
    <row r="58" spans="1:23">
      <c r="A58" s="35" t="s">
        <v>138</v>
      </c>
      <c r="B58" s="35" t="s">
        <v>138</v>
      </c>
      <c r="C58" s="157">
        <v>111266</v>
      </c>
      <c r="D58" s="157" t="s">
        <v>257</v>
      </c>
      <c r="E58" s="36" t="s">
        <v>615</v>
      </c>
      <c r="F58" s="98">
        <v>5.26</v>
      </c>
      <c r="G58" s="158">
        <v>1031.4407683596341</v>
      </c>
      <c r="H58" s="115">
        <f t="shared" si="0"/>
        <v>5425.3784415716755</v>
      </c>
      <c r="I58" s="159">
        <f>SUMIFS(Arrival!M:M,Arrival!K:K,'Stock statement'!$C58)</f>
        <v>0</v>
      </c>
      <c r="J58" s="160">
        <f t="shared" si="1"/>
        <v>0</v>
      </c>
      <c r="K58" s="160">
        <f>SUMIFS(Arrival!R:R,Arrival!K:K,'Stock statement'!$C58)</f>
        <v>0</v>
      </c>
      <c r="L58" s="160">
        <f t="shared" si="2"/>
        <v>5.26</v>
      </c>
      <c r="M58" s="160">
        <f t="shared" si="3"/>
        <v>1031.4407683596341</v>
      </c>
      <c r="N58" s="161">
        <f t="shared" si="4"/>
        <v>5425.3784415716755</v>
      </c>
      <c r="O58" s="159">
        <f t="shared" si="5"/>
        <v>1</v>
      </c>
      <c r="P58" s="162">
        <f t="shared" si="6"/>
        <v>1031.4407683596341</v>
      </c>
      <c r="Q58" s="162">
        <f t="shared" si="7"/>
        <v>1031.4407683596341</v>
      </c>
      <c r="R58" s="160">
        <f>IFERROR(VLOOKUP(C58,'Monthly Op &amp; Clo Stock (invoic)'!A:C,3,0),0)</f>
        <v>4.26</v>
      </c>
      <c r="S58" s="163">
        <f t="shared" si="8"/>
        <v>1031.4407683596341</v>
      </c>
      <c r="T58" s="162">
        <f t="shared" si="9"/>
        <v>4393.9376732120409</v>
      </c>
      <c r="U58" s="16"/>
      <c r="V58" s="71"/>
      <c r="W58" s="16"/>
    </row>
    <row r="59" spans="1:23">
      <c r="A59" s="35" t="s">
        <v>138</v>
      </c>
      <c r="B59" s="35" t="s">
        <v>138</v>
      </c>
      <c r="C59" s="157">
        <v>110261</v>
      </c>
      <c r="D59" s="157" t="s">
        <v>306</v>
      </c>
      <c r="E59" s="36" t="s">
        <v>487</v>
      </c>
      <c r="F59" s="98">
        <v>353.9</v>
      </c>
      <c r="G59" s="158">
        <v>225.96058764692859</v>
      </c>
      <c r="H59" s="115">
        <f t="shared" si="0"/>
        <v>79967.451968248017</v>
      </c>
      <c r="I59" s="159">
        <f>SUMIFS(Arrival!M:M,Arrival!K:K,'Stock statement'!$C59)</f>
        <v>0</v>
      </c>
      <c r="J59" s="160">
        <f t="shared" si="1"/>
        <v>0</v>
      </c>
      <c r="K59" s="160">
        <f>SUMIFS(Arrival!R:R,Arrival!K:K,'Stock statement'!$C59)</f>
        <v>0</v>
      </c>
      <c r="L59" s="160">
        <f t="shared" si="2"/>
        <v>353.9</v>
      </c>
      <c r="M59" s="160">
        <f t="shared" si="3"/>
        <v>225.96058764692856</v>
      </c>
      <c r="N59" s="161">
        <f t="shared" si="4"/>
        <v>79967.451968248017</v>
      </c>
      <c r="O59" s="159">
        <f t="shared" si="5"/>
        <v>103.89999999999998</v>
      </c>
      <c r="P59" s="162">
        <f t="shared" si="6"/>
        <v>225.96058764692856</v>
      </c>
      <c r="Q59" s="162">
        <f t="shared" si="7"/>
        <v>23477.305056515874</v>
      </c>
      <c r="R59" s="160">
        <f>IFERROR(VLOOKUP(C59,'Monthly Op &amp; Clo Stock (invoic)'!A:C,3,0),0)</f>
        <v>250</v>
      </c>
      <c r="S59" s="163">
        <f t="shared" si="8"/>
        <v>225.96058764692856</v>
      </c>
      <c r="T59" s="162">
        <f t="shared" si="9"/>
        <v>56490.146911732139</v>
      </c>
      <c r="U59" s="16"/>
      <c r="V59" s="71"/>
      <c r="W59" s="16"/>
    </row>
    <row r="60" spans="1:23">
      <c r="A60" s="35" t="s">
        <v>138</v>
      </c>
      <c r="B60" s="35" t="s">
        <v>138</v>
      </c>
      <c r="C60" s="157">
        <v>118370</v>
      </c>
      <c r="D60" s="157" t="s">
        <v>491</v>
      </c>
      <c r="E60" s="36" t="s">
        <v>616</v>
      </c>
      <c r="F60" s="98">
        <v>15.82</v>
      </c>
      <c r="G60" s="158">
        <v>4330.5600000000004</v>
      </c>
      <c r="H60" s="115">
        <f t="shared" si="0"/>
        <v>68509.459200000012</v>
      </c>
      <c r="I60" s="159">
        <f>SUMIFS(Arrival!M:M,Arrival!K:K,'Stock statement'!$C60)</f>
        <v>0</v>
      </c>
      <c r="J60" s="160">
        <f t="shared" si="1"/>
        <v>0</v>
      </c>
      <c r="K60" s="160">
        <f>SUMIFS(Arrival!R:R,Arrival!K:K,'Stock statement'!$C60)</f>
        <v>0</v>
      </c>
      <c r="L60" s="160">
        <f t="shared" si="2"/>
        <v>15.82</v>
      </c>
      <c r="M60" s="160">
        <f t="shared" si="3"/>
        <v>4330.5600000000004</v>
      </c>
      <c r="N60" s="161">
        <f t="shared" si="4"/>
        <v>68509.459200000012</v>
      </c>
      <c r="O60" s="159">
        <f t="shared" si="5"/>
        <v>7.0000000000000284E-2</v>
      </c>
      <c r="P60" s="162">
        <f t="shared" si="6"/>
        <v>4330.5600000000004</v>
      </c>
      <c r="Q60" s="162">
        <f t="shared" si="7"/>
        <v>303.13920000000127</v>
      </c>
      <c r="R60" s="160">
        <f>IFERROR(VLOOKUP(C60,'Monthly Op &amp; Clo Stock (invoic)'!A:C,3,0),0)</f>
        <v>15.75</v>
      </c>
      <c r="S60" s="163">
        <f t="shared" si="8"/>
        <v>4330.5600000000004</v>
      </c>
      <c r="T60" s="162">
        <f t="shared" si="9"/>
        <v>68206.320000000007</v>
      </c>
      <c r="U60" s="16"/>
      <c r="V60" s="71"/>
      <c r="W60" s="16"/>
    </row>
    <row r="61" spans="1:23">
      <c r="A61" s="35" t="s">
        <v>138</v>
      </c>
      <c r="B61" s="35" t="s">
        <v>138</v>
      </c>
      <c r="C61" s="157">
        <v>230701</v>
      </c>
      <c r="D61" s="157" t="s">
        <v>376</v>
      </c>
      <c r="E61" s="36" t="s">
        <v>617</v>
      </c>
      <c r="F61" s="98">
        <v>810.8</v>
      </c>
      <c r="G61" s="158">
        <v>765.96648239785543</v>
      </c>
      <c r="H61" s="115">
        <f t="shared" si="0"/>
        <v>621045.62392818113</v>
      </c>
      <c r="I61" s="159">
        <f>SUMIFS(Arrival!M:M,Arrival!K:K,'Stock statement'!$C61)</f>
        <v>4000</v>
      </c>
      <c r="J61" s="160">
        <f t="shared" si="1"/>
        <v>769</v>
      </c>
      <c r="K61" s="160">
        <f>SUMIFS(Arrival!R:R,Arrival!K:K,'Stock statement'!$C61)</f>
        <v>3076000</v>
      </c>
      <c r="L61" s="160">
        <f t="shared" si="2"/>
        <v>4810.8</v>
      </c>
      <c r="M61" s="160">
        <f t="shared" si="3"/>
        <v>768.48873865639405</v>
      </c>
      <c r="N61" s="161">
        <f t="shared" si="4"/>
        <v>3697045.6239281809</v>
      </c>
      <c r="O61" s="159">
        <f t="shared" si="5"/>
        <v>2575.75</v>
      </c>
      <c r="P61" s="162">
        <f t="shared" si="6"/>
        <v>768.48873865639405</v>
      </c>
      <c r="Q61" s="162">
        <f t="shared" si="7"/>
        <v>1979434.8685942069</v>
      </c>
      <c r="R61" s="160">
        <f>IFERROR(VLOOKUP(C61,'Monthly Op &amp; Clo Stock (invoic)'!A:C,3,0),0)</f>
        <v>2235.0500000000002</v>
      </c>
      <c r="S61" s="163">
        <f t="shared" si="8"/>
        <v>768.48873865639405</v>
      </c>
      <c r="T61" s="162">
        <f t="shared" si="9"/>
        <v>1717610.7553339736</v>
      </c>
      <c r="U61" s="16"/>
      <c r="V61" s="71"/>
      <c r="W61" s="16"/>
    </row>
    <row r="62" spans="1:23">
      <c r="A62" s="35" t="s">
        <v>138</v>
      </c>
      <c r="B62" s="35" t="s">
        <v>138</v>
      </c>
      <c r="C62" s="157">
        <v>118232</v>
      </c>
      <c r="D62" s="157" t="s">
        <v>314</v>
      </c>
      <c r="E62" s="36" t="s">
        <v>315</v>
      </c>
      <c r="F62" s="98">
        <v>17.7</v>
      </c>
      <c r="G62" s="158">
        <v>176.70653542569758</v>
      </c>
      <c r="H62" s="115">
        <f t="shared" si="0"/>
        <v>3127.7056770348472</v>
      </c>
      <c r="I62" s="159">
        <f>SUMIFS(Arrival!M:M,Arrival!K:K,'Stock statement'!$C62)</f>
        <v>0</v>
      </c>
      <c r="J62" s="160">
        <f t="shared" si="1"/>
        <v>0</v>
      </c>
      <c r="K62" s="160">
        <f>SUMIFS(Arrival!R:R,Arrival!K:K,'Stock statement'!$C62)</f>
        <v>0</v>
      </c>
      <c r="L62" s="160">
        <f t="shared" si="2"/>
        <v>17.7</v>
      </c>
      <c r="M62" s="160">
        <f t="shared" si="3"/>
        <v>176.70653542569758</v>
      </c>
      <c r="N62" s="161">
        <f t="shared" si="4"/>
        <v>3127.7056770348472</v>
      </c>
      <c r="O62" s="159">
        <f t="shared" si="5"/>
        <v>12.399999999999999</v>
      </c>
      <c r="P62" s="162">
        <f t="shared" si="6"/>
        <v>176.70653542569758</v>
      </c>
      <c r="Q62" s="162">
        <f t="shared" si="7"/>
        <v>2191.1610392786497</v>
      </c>
      <c r="R62" s="160">
        <f>IFERROR(VLOOKUP(C62,'Monthly Op &amp; Clo Stock (invoic)'!A:C,3,0),0)</f>
        <v>5.3</v>
      </c>
      <c r="S62" s="163">
        <f t="shared" si="8"/>
        <v>176.70653542569758</v>
      </c>
      <c r="T62" s="162">
        <f t="shared" si="9"/>
        <v>936.54463775619718</v>
      </c>
      <c r="U62" s="16"/>
      <c r="V62" s="71"/>
      <c r="W62" s="16"/>
    </row>
    <row r="63" spans="1:23">
      <c r="A63" s="35" t="s">
        <v>138</v>
      </c>
      <c r="B63" s="35" t="s">
        <v>138</v>
      </c>
      <c r="C63" s="157">
        <v>114201</v>
      </c>
      <c r="D63" s="157" t="s">
        <v>312</v>
      </c>
      <c r="E63" s="36" t="s">
        <v>618</v>
      </c>
      <c r="F63" s="98">
        <v>190.65</v>
      </c>
      <c r="G63" s="158">
        <v>1093.6077250082903</v>
      </c>
      <c r="H63" s="115">
        <f t="shared" si="0"/>
        <v>208496.31277283057</v>
      </c>
      <c r="I63" s="159">
        <f>SUMIFS(Arrival!M:M,Arrival!K:K,'Stock statement'!$C63)</f>
        <v>0</v>
      </c>
      <c r="J63" s="160">
        <f t="shared" si="1"/>
        <v>0</v>
      </c>
      <c r="K63" s="160">
        <f>SUMIFS(Arrival!R:R,Arrival!K:K,'Stock statement'!$C63)</f>
        <v>0</v>
      </c>
      <c r="L63" s="160">
        <f t="shared" si="2"/>
        <v>190.65</v>
      </c>
      <c r="M63" s="160">
        <f t="shared" si="3"/>
        <v>1093.6077250082903</v>
      </c>
      <c r="N63" s="161">
        <f t="shared" si="4"/>
        <v>208496.31277283057</v>
      </c>
      <c r="O63" s="159">
        <f t="shared" si="5"/>
        <v>118.15</v>
      </c>
      <c r="P63" s="162">
        <f t="shared" si="6"/>
        <v>1093.6077250082903</v>
      </c>
      <c r="Q63" s="162">
        <f t="shared" si="7"/>
        <v>129209.75270972951</v>
      </c>
      <c r="R63" s="160">
        <f>IFERROR(VLOOKUP(C63,'Monthly Op &amp; Clo Stock (invoic)'!A:C,3,0),0)</f>
        <v>72.5</v>
      </c>
      <c r="S63" s="163">
        <f t="shared" si="8"/>
        <v>1093.6077250082903</v>
      </c>
      <c r="T63" s="162">
        <f t="shared" si="9"/>
        <v>79286.560063101046</v>
      </c>
      <c r="U63" s="16"/>
      <c r="V63" s="71"/>
      <c r="W63" s="16"/>
    </row>
    <row r="64" spans="1:23">
      <c r="A64" s="35" t="s">
        <v>138</v>
      </c>
      <c r="B64" s="35" t="s">
        <v>138</v>
      </c>
      <c r="C64" s="157">
        <v>114270</v>
      </c>
      <c r="D64" s="157">
        <v>114270</v>
      </c>
      <c r="E64" s="36" t="s">
        <v>619</v>
      </c>
      <c r="F64" s="98">
        <v>9.83</v>
      </c>
      <c r="G64" s="158">
        <v>1000</v>
      </c>
      <c r="H64" s="115">
        <f t="shared" si="0"/>
        <v>9830</v>
      </c>
      <c r="I64" s="159">
        <f>SUMIFS(Arrival!M:M,Arrival!K:K,'Stock statement'!$C64)</f>
        <v>0</v>
      </c>
      <c r="J64" s="160">
        <f t="shared" si="1"/>
        <v>0</v>
      </c>
      <c r="K64" s="160">
        <f>SUMIFS(Arrival!R:R,Arrival!K:K,'Stock statement'!$C64)</f>
        <v>0</v>
      </c>
      <c r="L64" s="160">
        <f t="shared" si="2"/>
        <v>9.83</v>
      </c>
      <c r="M64" s="160">
        <f t="shared" si="3"/>
        <v>1000</v>
      </c>
      <c r="N64" s="161">
        <f t="shared" si="4"/>
        <v>9830</v>
      </c>
      <c r="O64" s="159">
        <f t="shared" si="5"/>
        <v>0</v>
      </c>
      <c r="P64" s="162">
        <f t="shared" si="6"/>
        <v>1000</v>
      </c>
      <c r="Q64" s="162">
        <f t="shared" si="7"/>
        <v>0</v>
      </c>
      <c r="R64" s="160">
        <f>IFERROR(VLOOKUP(C64,'Monthly Op &amp; Clo Stock (invoic)'!A:C,3,0),0)</f>
        <v>9.83</v>
      </c>
      <c r="S64" s="163">
        <f t="shared" si="8"/>
        <v>1000</v>
      </c>
      <c r="T64" s="162">
        <f t="shared" si="9"/>
        <v>9830</v>
      </c>
      <c r="U64" s="16"/>
      <c r="V64" s="71"/>
      <c r="W64" s="16"/>
    </row>
    <row r="65" spans="1:23">
      <c r="A65" s="35" t="s">
        <v>138</v>
      </c>
      <c r="B65" s="35" t="s">
        <v>138</v>
      </c>
      <c r="C65" s="157">
        <v>114273</v>
      </c>
      <c r="D65" s="157">
        <v>114273</v>
      </c>
      <c r="E65" s="36" t="s">
        <v>620</v>
      </c>
      <c r="F65" s="98">
        <v>390</v>
      </c>
      <c r="G65" s="158">
        <v>734.07091095950022</v>
      </c>
      <c r="H65" s="115">
        <f t="shared" si="0"/>
        <v>286287.65527420508</v>
      </c>
      <c r="I65" s="159">
        <f>SUMIFS(Arrival!M:M,Arrival!K:K,'Stock statement'!$C65)</f>
        <v>0</v>
      </c>
      <c r="J65" s="160">
        <f t="shared" si="1"/>
        <v>0</v>
      </c>
      <c r="K65" s="160">
        <f>SUMIFS(Arrival!R:R,Arrival!K:K,'Stock statement'!$C65)</f>
        <v>0</v>
      </c>
      <c r="L65" s="160">
        <f t="shared" si="2"/>
        <v>390</v>
      </c>
      <c r="M65" s="160">
        <f t="shared" si="3"/>
        <v>734.07091095950022</v>
      </c>
      <c r="N65" s="161">
        <f t="shared" si="4"/>
        <v>286287.65527420508</v>
      </c>
      <c r="O65" s="159">
        <f t="shared" si="5"/>
        <v>15</v>
      </c>
      <c r="P65" s="162">
        <f t="shared" si="6"/>
        <v>734.07091095950022</v>
      </c>
      <c r="Q65" s="162">
        <f t="shared" si="7"/>
        <v>11011.063664392503</v>
      </c>
      <c r="R65" s="160">
        <f>IFERROR(VLOOKUP(C65,'Monthly Op &amp; Clo Stock (invoic)'!A:C,3,0),0)</f>
        <v>375</v>
      </c>
      <c r="S65" s="163">
        <f t="shared" si="8"/>
        <v>734.07091095950022</v>
      </c>
      <c r="T65" s="162">
        <f t="shared" si="9"/>
        <v>275276.59160981257</v>
      </c>
      <c r="U65" s="16"/>
      <c r="V65" s="71"/>
      <c r="W65" s="16"/>
    </row>
    <row r="66" spans="1:23">
      <c r="A66" s="35" t="s">
        <v>138</v>
      </c>
      <c r="B66" s="35" t="s">
        <v>138</v>
      </c>
      <c r="C66" s="157">
        <v>114271</v>
      </c>
      <c r="D66" s="157">
        <v>114271</v>
      </c>
      <c r="E66" s="36" t="s">
        <v>621</v>
      </c>
      <c r="F66" s="98">
        <v>127</v>
      </c>
      <c r="G66" s="158">
        <v>407.26831661471198</v>
      </c>
      <c r="H66" s="115">
        <f t="shared" si="0"/>
        <v>51723.076210068422</v>
      </c>
      <c r="I66" s="159">
        <f>SUMIFS(Arrival!M:M,Arrival!K:K,'Stock statement'!$C66)</f>
        <v>0</v>
      </c>
      <c r="J66" s="160">
        <f t="shared" si="1"/>
        <v>0</v>
      </c>
      <c r="K66" s="160">
        <f>SUMIFS(Arrival!R:R,Arrival!K:K,'Stock statement'!$C66)</f>
        <v>0</v>
      </c>
      <c r="L66" s="160">
        <f t="shared" si="2"/>
        <v>127</v>
      </c>
      <c r="M66" s="160">
        <f t="shared" si="3"/>
        <v>407.26831661471198</v>
      </c>
      <c r="N66" s="161">
        <f t="shared" si="4"/>
        <v>51723.076210068422</v>
      </c>
      <c r="O66" s="159">
        <f t="shared" si="5"/>
        <v>24</v>
      </c>
      <c r="P66" s="162">
        <f t="shared" si="6"/>
        <v>407.26831661471198</v>
      </c>
      <c r="Q66" s="162">
        <f t="shared" si="7"/>
        <v>9774.4395987530879</v>
      </c>
      <c r="R66" s="160">
        <f>IFERROR(VLOOKUP(C66,'Monthly Op &amp; Clo Stock (invoic)'!A:C,3,0),0)</f>
        <v>103</v>
      </c>
      <c r="S66" s="163">
        <f t="shared" si="8"/>
        <v>407.26831661471198</v>
      </c>
      <c r="T66" s="162">
        <f t="shared" si="9"/>
        <v>41948.636611315334</v>
      </c>
      <c r="U66" s="16"/>
      <c r="V66" s="71"/>
      <c r="W66" s="16"/>
    </row>
    <row r="67" spans="1:23">
      <c r="A67" s="35"/>
      <c r="B67" s="35" t="s">
        <v>183</v>
      </c>
      <c r="C67" s="157">
        <v>222463</v>
      </c>
      <c r="D67" s="157" t="s">
        <v>184</v>
      </c>
      <c r="E67" s="36" t="s">
        <v>622</v>
      </c>
      <c r="F67" s="98">
        <v>680</v>
      </c>
      <c r="G67" s="158">
        <v>45.42307692307692</v>
      </c>
      <c r="H67" s="115">
        <f t="shared" ref="H67:H130" si="10">IFERROR(F67*G67,)</f>
        <v>30887.692307692305</v>
      </c>
      <c r="I67" s="159">
        <f>SUMIFS(Arrival!M:M,Arrival!K:K,'Stock statement'!$C67)</f>
        <v>0</v>
      </c>
      <c r="J67" s="160">
        <f t="shared" si="1"/>
        <v>0</v>
      </c>
      <c r="K67" s="160">
        <f>SUMIFS(Arrival!R:R,Arrival!K:K,'Stock statement'!$C67)</f>
        <v>0</v>
      </c>
      <c r="L67" s="160">
        <f t="shared" si="2"/>
        <v>680</v>
      </c>
      <c r="M67" s="160">
        <f t="shared" si="3"/>
        <v>45.42307692307692</v>
      </c>
      <c r="N67" s="161">
        <f t="shared" si="4"/>
        <v>30887.692307692305</v>
      </c>
      <c r="O67" s="159">
        <f t="shared" si="5"/>
        <v>160</v>
      </c>
      <c r="P67" s="162">
        <f t="shared" si="6"/>
        <v>45.42307692307692</v>
      </c>
      <c r="Q67" s="162">
        <f t="shared" si="7"/>
        <v>7267.6923076923067</v>
      </c>
      <c r="R67" s="160">
        <f>IFERROR(VLOOKUP(C67,'Monthly Op &amp; Clo Stock (invoic)'!A:C,3,0),0)</f>
        <v>520</v>
      </c>
      <c r="S67" s="163">
        <f t="shared" si="8"/>
        <v>45.42307692307692</v>
      </c>
      <c r="T67" s="162">
        <f t="shared" si="9"/>
        <v>23620</v>
      </c>
      <c r="U67" s="16"/>
      <c r="V67" s="71"/>
      <c r="W67" s="16"/>
    </row>
    <row r="68" spans="1:23">
      <c r="A68" s="35"/>
      <c r="B68" s="35" t="s">
        <v>183</v>
      </c>
      <c r="C68" s="157">
        <v>222464</v>
      </c>
      <c r="D68" s="157" t="s">
        <v>187</v>
      </c>
      <c r="E68" s="36" t="s">
        <v>623</v>
      </c>
      <c r="F68" s="98">
        <v>28000</v>
      </c>
      <c r="G68" s="158">
        <v>3.758072167201024</v>
      </c>
      <c r="H68" s="115">
        <f t="shared" si="10"/>
        <v>105226.02068162867</v>
      </c>
      <c r="I68" s="159">
        <f>SUMIFS(Arrival!M:M,Arrival!K:K,'Stock statement'!$C68)</f>
        <v>0</v>
      </c>
      <c r="J68" s="160">
        <f t="shared" ref="J68:J131" si="11">IFERROR(K68/I68,0)</f>
        <v>0</v>
      </c>
      <c r="K68" s="160">
        <f>SUMIFS(Arrival!R:R,Arrival!K:K,'Stock statement'!$C68)</f>
        <v>0</v>
      </c>
      <c r="L68" s="160">
        <f t="shared" ref="L68:L131" si="12">F68+I68</f>
        <v>28000</v>
      </c>
      <c r="M68" s="160">
        <f t="shared" ref="M68:M131" si="13">IFERROR(N68/L68,0)</f>
        <v>3.758072167201024</v>
      </c>
      <c r="N68" s="161">
        <f t="shared" ref="N68:N131" si="14">H68+K68</f>
        <v>105226.02068162867</v>
      </c>
      <c r="O68" s="159">
        <f t="shared" ref="O68:O131" si="15">L68-R68</f>
        <v>11000</v>
      </c>
      <c r="P68" s="162">
        <f t="shared" ref="P68:P131" si="16">M68</f>
        <v>3.758072167201024</v>
      </c>
      <c r="Q68" s="162">
        <f t="shared" ref="Q68:Q131" si="17">IFERROR(O68*P68,0)</f>
        <v>41338.793839211263</v>
      </c>
      <c r="R68" s="160">
        <f>IFERROR(VLOOKUP(C68,'Monthly Op &amp; Clo Stock (invoic)'!A:C,3,0),0)</f>
        <v>17000</v>
      </c>
      <c r="S68" s="163">
        <f t="shared" ref="S68:S131" si="18">P68</f>
        <v>3.758072167201024</v>
      </c>
      <c r="T68" s="162">
        <f t="shared" ref="T68:T131" si="19">IFERROR(R68*S68,0)</f>
        <v>63887.226842417411</v>
      </c>
      <c r="U68" s="16"/>
      <c r="V68" s="71"/>
      <c r="W68" s="16"/>
    </row>
    <row r="69" spans="1:23">
      <c r="A69" s="35"/>
      <c r="B69" s="35" t="s">
        <v>183</v>
      </c>
      <c r="C69" s="157">
        <v>222465</v>
      </c>
      <c r="D69" s="157" t="s">
        <v>624</v>
      </c>
      <c r="E69" s="36" t="s">
        <v>625</v>
      </c>
      <c r="F69" s="98">
        <v>0</v>
      </c>
      <c r="G69" s="158">
        <v>0</v>
      </c>
      <c r="H69" s="115">
        <f t="shared" si="10"/>
        <v>0</v>
      </c>
      <c r="I69" s="159">
        <f>SUMIFS(Arrival!M:M,Arrival!K:K,'Stock statement'!$C69)</f>
        <v>0</v>
      </c>
      <c r="J69" s="160">
        <f t="shared" si="11"/>
        <v>0</v>
      </c>
      <c r="K69" s="160">
        <f>SUMIFS(Arrival!R:R,Arrival!K:K,'Stock statement'!$C69)</f>
        <v>0</v>
      </c>
      <c r="L69" s="160">
        <f t="shared" si="12"/>
        <v>0</v>
      </c>
      <c r="M69" s="160">
        <f t="shared" si="13"/>
        <v>0</v>
      </c>
      <c r="N69" s="161">
        <f t="shared" si="14"/>
        <v>0</v>
      </c>
      <c r="O69" s="159">
        <f t="shared" si="15"/>
        <v>0</v>
      </c>
      <c r="P69" s="162">
        <f t="shared" si="16"/>
        <v>0</v>
      </c>
      <c r="Q69" s="162">
        <f t="shared" si="17"/>
        <v>0</v>
      </c>
      <c r="R69" s="160">
        <f>IFERROR(VLOOKUP(C69,'Monthly Op &amp; Clo Stock (invoic)'!A:C,3,0),0)</f>
        <v>0</v>
      </c>
      <c r="S69" s="163">
        <f t="shared" si="18"/>
        <v>0</v>
      </c>
      <c r="T69" s="162">
        <f t="shared" si="19"/>
        <v>0</v>
      </c>
      <c r="U69" s="16"/>
      <c r="V69" s="71"/>
      <c r="W69" s="16"/>
    </row>
    <row r="70" spans="1:23">
      <c r="A70" s="35"/>
      <c r="B70" s="35" t="s">
        <v>183</v>
      </c>
      <c r="C70" s="157">
        <v>222466</v>
      </c>
      <c r="D70" s="157" t="s">
        <v>185</v>
      </c>
      <c r="E70" s="36" t="s">
        <v>626</v>
      </c>
      <c r="F70" s="98">
        <v>20100</v>
      </c>
      <c r="G70" s="158">
        <v>3.7035825643868883</v>
      </c>
      <c r="H70" s="115">
        <f t="shared" si="10"/>
        <v>74442.009544176457</v>
      </c>
      <c r="I70" s="159">
        <f>SUMIFS(Arrival!M:M,Arrival!K:K,'Stock statement'!$C70)</f>
        <v>0</v>
      </c>
      <c r="J70" s="160">
        <f t="shared" si="11"/>
        <v>0</v>
      </c>
      <c r="K70" s="160">
        <f>SUMIFS(Arrival!R:R,Arrival!K:K,'Stock statement'!$C70)</f>
        <v>0</v>
      </c>
      <c r="L70" s="160">
        <f t="shared" si="12"/>
        <v>20100</v>
      </c>
      <c r="M70" s="160">
        <f t="shared" si="13"/>
        <v>3.7035825643868883</v>
      </c>
      <c r="N70" s="161">
        <f t="shared" si="14"/>
        <v>74442.009544176457</v>
      </c>
      <c r="O70" s="159">
        <f t="shared" si="15"/>
        <v>10200</v>
      </c>
      <c r="P70" s="162">
        <f t="shared" si="16"/>
        <v>3.7035825643868883</v>
      </c>
      <c r="Q70" s="162">
        <f t="shared" si="17"/>
        <v>37776.542156746262</v>
      </c>
      <c r="R70" s="160">
        <f>IFERROR(VLOOKUP(C70,'Monthly Op &amp; Clo Stock (invoic)'!A:C,3,0),0)</f>
        <v>9900</v>
      </c>
      <c r="S70" s="163">
        <f t="shared" si="18"/>
        <v>3.7035825643868883</v>
      </c>
      <c r="T70" s="162">
        <f t="shared" si="19"/>
        <v>36665.467387430195</v>
      </c>
      <c r="U70" s="16"/>
      <c r="V70" s="71"/>
      <c r="W70" s="16"/>
    </row>
    <row r="71" spans="1:23">
      <c r="A71" s="35"/>
      <c r="B71" s="35" t="s">
        <v>183</v>
      </c>
      <c r="C71" s="157">
        <v>222467</v>
      </c>
      <c r="D71" s="157" t="s">
        <v>627</v>
      </c>
      <c r="E71" s="36" t="s">
        <v>628</v>
      </c>
      <c r="F71" s="98">
        <v>0</v>
      </c>
      <c r="G71" s="158">
        <v>0</v>
      </c>
      <c r="H71" s="115">
        <f t="shared" si="10"/>
        <v>0</v>
      </c>
      <c r="I71" s="159">
        <f>SUMIFS(Arrival!M:M,Arrival!K:K,'Stock statement'!$C71)</f>
        <v>0</v>
      </c>
      <c r="J71" s="160">
        <f t="shared" si="11"/>
        <v>0</v>
      </c>
      <c r="K71" s="160">
        <f>SUMIFS(Arrival!R:R,Arrival!K:K,'Stock statement'!$C71)</f>
        <v>0</v>
      </c>
      <c r="L71" s="160">
        <f t="shared" si="12"/>
        <v>0</v>
      </c>
      <c r="M71" s="160">
        <f t="shared" si="13"/>
        <v>0</v>
      </c>
      <c r="N71" s="161">
        <f t="shared" si="14"/>
        <v>0</v>
      </c>
      <c r="O71" s="159">
        <f t="shared" si="15"/>
        <v>0</v>
      </c>
      <c r="P71" s="162">
        <f t="shared" si="16"/>
        <v>0</v>
      </c>
      <c r="Q71" s="162">
        <f t="shared" si="17"/>
        <v>0</v>
      </c>
      <c r="R71" s="160">
        <f>IFERROR(VLOOKUP(C71,'Monthly Op &amp; Clo Stock (invoic)'!A:C,3,0),0)</f>
        <v>0</v>
      </c>
      <c r="S71" s="163">
        <f t="shared" si="18"/>
        <v>0</v>
      </c>
      <c r="T71" s="162">
        <f t="shared" si="19"/>
        <v>0</v>
      </c>
      <c r="U71" s="16"/>
      <c r="V71" s="71"/>
      <c r="W71" s="16"/>
    </row>
    <row r="72" spans="1:23">
      <c r="A72" s="35"/>
      <c r="B72" s="35" t="s">
        <v>183</v>
      </c>
      <c r="C72" s="157">
        <v>222468</v>
      </c>
      <c r="D72" s="157" t="s">
        <v>629</v>
      </c>
      <c r="E72" s="36" t="s">
        <v>630</v>
      </c>
      <c r="F72" s="98">
        <v>0</v>
      </c>
      <c r="G72" s="158">
        <v>0</v>
      </c>
      <c r="H72" s="115">
        <f t="shared" si="10"/>
        <v>0</v>
      </c>
      <c r="I72" s="159">
        <f>SUMIFS(Arrival!M:M,Arrival!K:K,'Stock statement'!$C72)</f>
        <v>0</v>
      </c>
      <c r="J72" s="160">
        <f t="shared" si="11"/>
        <v>0</v>
      </c>
      <c r="K72" s="160">
        <f>SUMIFS(Arrival!R:R,Arrival!K:K,'Stock statement'!$C72)</f>
        <v>0</v>
      </c>
      <c r="L72" s="160">
        <f t="shared" si="12"/>
        <v>0</v>
      </c>
      <c r="M72" s="160">
        <f t="shared" si="13"/>
        <v>0</v>
      </c>
      <c r="N72" s="161">
        <f t="shared" si="14"/>
        <v>0</v>
      </c>
      <c r="O72" s="159">
        <f t="shared" si="15"/>
        <v>0</v>
      </c>
      <c r="P72" s="162">
        <f t="shared" si="16"/>
        <v>0</v>
      </c>
      <c r="Q72" s="162">
        <f t="shared" si="17"/>
        <v>0</v>
      </c>
      <c r="R72" s="160">
        <f>IFERROR(VLOOKUP(C72,'Monthly Op &amp; Clo Stock (invoic)'!A:C,3,0),0)</f>
        <v>0</v>
      </c>
      <c r="S72" s="163">
        <f t="shared" si="18"/>
        <v>0</v>
      </c>
      <c r="T72" s="162">
        <f t="shared" si="19"/>
        <v>0</v>
      </c>
      <c r="U72" s="16"/>
      <c r="V72" s="71"/>
      <c r="W72" s="16"/>
    </row>
    <row r="73" spans="1:23">
      <c r="A73" s="35"/>
      <c r="B73" s="35" t="s">
        <v>183</v>
      </c>
      <c r="C73" s="157">
        <v>213771</v>
      </c>
      <c r="D73" s="157" t="s">
        <v>408</v>
      </c>
      <c r="E73" s="36" t="s">
        <v>631</v>
      </c>
      <c r="F73" s="98">
        <v>640</v>
      </c>
      <c r="G73" s="158">
        <v>23.508945271639824</v>
      </c>
      <c r="H73" s="115">
        <f t="shared" si="10"/>
        <v>15045.724973849487</v>
      </c>
      <c r="I73" s="159">
        <f>SUMIFS(Arrival!M:M,Arrival!K:K,'Stock statement'!$C73)</f>
        <v>0</v>
      </c>
      <c r="J73" s="160">
        <f t="shared" si="11"/>
        <v>0</v>
      </c>
      <c r="K73" s="160">
        <f>SUMIFS(Arrival!R:R,Arrival!K:K,'Stock statement'!$C73)</f>
        <v>0</v>
      </c>
      <c r="L73" s="160">
        <f t="shared" si="12"/>
        <v>640</v>
      </c>
      <c r="M73" s="160">
        <f t="shared" si="13"/>
        <v>23.508945271639824</v>
      </c>
      <c r="N73" s="161">
        <f t="shared" si="14"/>
        <v>15045.724973849487</v>
      </c>
      <c r="O73" s="159">
        <f t="shared" si="15"/>
        <v>0</v>
      </c>
      <c r="P73" s="162">
        <f t="shared" si="16"/>
        <v>23.508945271639824</v>
      </c>
      <c r="Q73" s="162">
        <f t="shared" si="17"/>
        <v>0</v>
      </c>
      <c r="R73" s="160">
        <f>IFERROR(VLOOKUP(C73,'Monthly Op &amp; Clo Stock (invoic)'!A:C,3,0),0)</f>
        <v>640</v>
      </c>
      <c r="S73" s="163">
        <f t="shared" si="18"/>
        <v>23.508945271639824</v>
      </c>
      <c r="T73" s="162">
        <f t="shared" si="19"/>
        <v>15045.724973849487</v>
      </c>
      <c r="U73" s="16"/>
      <c r="V73" s="71"/>
      <c r="W73" s="16"/>
    </row>
    <row r="74" spans="1:23">
      <c r="A74" s="35"/>
      <c r="B74" s="35" t="s">
        <v>183</v>
      </c>
      <c r="C74" s="157">
        <v>222470</v>
      </c>
      <c r="D74" s="157" t="s">
        <v>410</v>
      </c>
      <c r="E74" s="36" t="s">
        <v>632</v>
      </c>
      <c r="F74" s="98">
        <v>40500</v>
      </c>
      <c r="G74" s="158">
        <v>0.35469600666996953</v>
      </c>
      <c r="H74" s="115">
        <f t="shared" si="10"/>
        <v>14365.188270133765</v>
      </c>
      <c r="I74" s="159">
        <f>SUMIFS(Arrival!M:M,Arrival!K:K,'Stock statement'!$C74)</f>
        <v>0</v>
      </c>
      <c r="J74" s="160">
        <f t="shared" si="11"/>
        <v>0</v>
      </c>
      <c r="K74" s="160">
        <f>SUMIFS(Arrival!R:R,Arrival!K:K,'Stock statement'!$C74)</f>
        <v>0</v>
      </c>
      <c r="L74" s="160">
        <f t="shared" si="12"/>
        <v>40500</v>
      </c>
      <c r="M74" s="160">
        <f t="shared" si="13"/>
        <v>0.35469600666996953</v>
      </c>
      <c r="N74" s="161">
        <f t="shared" si="14"/>
        <v>14365.188270133765</v>
      </c>
      <c r="O74" s="159">
        <f t="shared" si="15"/>
        <v>-500</v>
      </c>
      <c r="P74" s="162">
        <f t="shared" si="16"/>
        <v>0.35469600666996953</v>
      </c>
      <c r="Q74" s="162">
        <f t="shared" si="17"/>
        <v>-177.34800333498475</v>
      </c>
      <c r="R74" s="160">
        <f>IFERROR(VLOOKUP(C74,'Monthly Op &amp; Clo Stock (invoic)'!A:C,3,0),0)</f>
        <v>41000</v>
      </c>
      <c r="S74" s="163">
        <f t="shared" si="18"/>
        <v>0.35469600666996953</v>
      </c>
      <c r="T74" s="162">
        <f t="shared" si="19"/>
        <v>14542.536273468751</v>
      </c>
      <c r="U74" s="16"/>
      <c r="V74" s="71"/>
      <c r="W74" s="16"/>
    </row>
    <row r="75" spans="1:23">
      <c r="A75" s="35"/>
      <c r="B75" s="35" t="s">
        <v>183</v>
      </c>
      <c r="C75" s="157">
        <v>229099</v>
      </c>
      <c r="D75" s="157" t="s">
        <v>412</v>
      </c>
      <c r="E75" s="36" t="s">
        <v>633</v>
      </c>
      <c r="F75" s="98">
        <v>1498</v>
      </c>
      <c r="G75" s="158">
        <v>13.237421172099852</v>
      </c>
      <c r="H75" s="115">
        <f t="shared" si="10"/>
        <v>19829.656915805579</v>
      </c>
      <c r="I75" s="159">
        <f>SUMIFS(Arrival!M:M,Arrival!K:K,'Stock statement'!$C75)</f>
        <v>2084</v>
      </c>
      <c r="J75" s="160">
        <f t="shared" si="11"/>
        <v>13.199616122840691</v>
      </c>
      <c r="K75" s="160">
        <f>SUMIFS(Arrival!R:R,Arrival!K:K,'Stock statement'!$C75)</f>
        <v>27508</v>
      </c>
      <c r="L75" s="160">
        <f t="shared" si="12"/>
        <v>3582</v>
      </c>
      <c r="M75" s="160">
        <f t="shared" si="13"/>
        <v>13.215426274652591</v>
      </c>
      <c r="N75" s="161">
        <f t="shared" si="14"/>
        <v>47337.656915805579</v>
      </c>
      <c r="O75" s="159">
        <f t="shared" si="15"/>
        <v>2332</v>
      </c>
      <c r="P75" s="162">
        <f t="shared" si="16"/>
        <v>13.215426274652591</v>
      </c>
      <c r="Q75" s="162">
        <f t="shared" si="17"/>
        <v>30818.374072489842</v>
      </c>
      <c r="R75" s="160">
        <f>IFERROR(VLOOKUP(C75,'Monthly Op &amp; Clo Stock (invoic)'!A:C,3,0),0)</f>
        <v>1250</v>
      </c>
      <c r="S75" s="163">
        <f t="shared" si="18"/>
        <v>13.215426274652591</v>
      </c>
      <c r="T75" s="162">
        <f t="shared" si="19"/>
        <v>16519.282843315737</v>
      </c>
      <c r="U75" s="16"/>
      <c r="V75" s="71"/>
      <c r="W75" s="16"/>
    </row>
    <row r="76" spans="1:23">
      <c r="A76" s="35"/>
      <c r="B76" s="35" t="s">
        <v>183</v>
      </c>
      <c r="C76" s="157">
        <v>222472</v>
      </c>
      <c r="D76" s="157" t="s">
        <v>414</v>
      </c>
      <c r="E76" s="36" t="s">
        <v>634</v>
      </c>
      <c r="F76" s="98">
        <v>10000</v>
      </c>
      <c r="G76" s="158">
        <v>1.1001630203509891</v>
      </c>
      <c r="H76" s="115">
        <f t="shared" si="10"/>
        <v>11001.630203509891</v>
      </c>
      <c r="I76" s="159">
        <f>SUMIFS(Arrival!M:M,Arrival!K:K,'Stock statement'!$C76)</f>
        <v>0</v>
      </c>
      <c r="J76" s="160">
        <f t="shared" si="11"/>
        <v>0</v>
      </c>
      <c r="K76" s="160">
        <f>SUMIFS(Arrival!R:R,Arrival!K:K,'Stock statement'!$C76)</f>
        <v>0</v>
      </c>
      <c r="L76" s="160">
        <f t="shared" si="12"/>
        <v>10000</v>
      </c>
      <c r="M76" s="160">
        <f t="shared" si="13"/>
        <v>1.1001630203509891</v>
      </c>
      <c r="N76" s="161">
        <f t="shared" si="14"/>
        <v>11001.630203509891</v>
      </c>
      <c r="O76" s="159">
        <f t="shared" si="15"/>
        <v>0</v>
      </c>
      <c r="P76" s="162">
        <f t="shared" si="16"/>
        <v>1.1001630203509891</v>
      </c>
      <c r="Q76" s="162">
        <f t="shared" si="17"/>
        <v>0</v>
      </c>
      <c r="R76" s="160">
        <f>IFERROR(VLOOKUP(C76,'Monthly Op &amp; Clo Stock (invoic)'!A:C,3,0),0)</f>
        <v>10000</v>
      </c>
      <c r="S76" s="163">
        <f t="shared" si="18"/>
        <v>1.1001630203509891</v>
      </c>
      <c r="T76" s="162">
        <f t="shared" si="19"/>
        <v>11001.630203509891</v>
      </c>
      <c r="U76" s="16"/>
      <c r="V76" s="71"/>
      <c r="W76" s="16"/>
    </row>
    <row r="77" spans="1:23">
      <c r="A77" s="35"/>
      <c r="B77" s="35" t="s">
        <v>183</v>
      </c>
      <c r="C77" s="157">
        <v>222473</v>
      </c>
      <c r="D77" s="157" t="s">
        <v>233</v>
      </c>
      <c r="E77" s="36" t="s">
        <v>635</v>
      </c>
      <c r="F77" s="98">
        <v>87600</v>
      </c>
      <c r="G77" s="158">
        <v>1.8849477525115979</v>
      </c>
      <c r="H77" s="115">
        <f t="shared" si="10"/>
        <v>165121.42312001597</v>
      </c>
      <c r="I77" s="159">
        <f>SUMIFS(Arrival!M:M,Arrival!K:K,'Stock statement'!$C77)</f>
        <v>0</v>
      </c>
      <c r="J77" s="160">
        <f t="shared" si="11"/>
        <v>0</v>
      </c>
      <c r="K77" s="160">
        <f>SUMIFS(Arrival!R:R,Arrival!K:K,'Stock statement'!$C77)</f>
        <v>0</v>
      </c>
      <c r="L77" s="160">
        <f t="shared" si="12"/>
        <v>87600</v>
      </c>
      <c r="M77" s="160">
        <f t="shared" si="13"/>
        <v>1.8849477525115979</v>
      </c>
      <c r="N77" s="161">
        <f t="shared" si="14"/>
        <v>165121.42312001597</v>
      </c>
      <c r="O77" s="159">
        <f t="shared" si="15"/>
        <v>30000</v>
      </c>
      <c r="P77" s="162">
        <f t="shared" si="16"/>
        <v>1.8849477525115979</v>
      </c>
      <c r="Q77" s="162">
        <f t="shared" si="17"/>
        <v>56548.432575347935</v>
      </c>
      <c r="R77" s="160">
        <f>IFERROR(VLOOKUP(C77,'Monthly Op &amp; Clo Stock (invoic)'!A:C,3,0),0)</f>
        <v>57600</v>
      </c>
      <c r="S77" s="163">
        <f t="shared" si="18"/>
        <v>1.8849477525115979</v>
      </c>
      <c r="T77" s="162">
        <f t="shared" si="19"/>
        <v>108572.99054466803</v>
      </c>
      <c r="U77" s="16"/>
      <c r="V77" s="71"/>
      <c r="W77" s="16"/>
    </row>
    <row r="78" spans="1:23">
      <c r="A78" s="35"/>
      <c r="B78" s="35" t="s">
        <v>183</v>
      </c>
      <c r="C78" s="157">
        <v>222474</v>
      </c>
      <c r="D78" s="157" t="s">
        <v>636</v>
      </c>
      <c r="E78" s="36" t="s">
        <v>637</v>
      </c>
      <c r="F78" s="98">
        <v>0</v>
      </c>
      <c r="G78" s="158">
        <v>0</v>
      </c>
      <c r="H78" s="115">
        <f t="shared" si="10"/>
        <v>0</v>
      </c>
      <c r="I78" s="159">
        <f>SUMIFS(Arrival!M:M,Arrival!K:K,'Stock statement'!$C78)</f>
        <v>0</v>
      </c>
      <c r="J78" s="160">
        <f t="shared" si="11"/>
        <v>0</v>
      </c>
      <c r="K78" s="160">
        <f>SUMIFS(Arrival!R:R,Arrival!K:K,'Stock statement'!$C78)</f>
        <v>0</v>
      </c>
      <c r="L78" s="160">
        <f t="shared" si="12"/>
        <v>0</v>
      </c>
      <c r="M78" s="160">
        <f t="shared" si="13"/>
        <v>0</v>
      </c>
      <c r="N78" s="161">
        <f t="shared" si="14"/>
        <v>0</v>
      </c>
      <c r="O78" s="159">
        <f t="shared" si="15"/>
        <v>0</v>
      </c>
      <c r="P78" s="162">
        <f t="shared" si="16"/>
        <v>0</v>
      </c>
      <c r="Q78" s="162">
        <f t="shared" si="17"/>
        <v>0</v>
      </c>
      <c r="R78" s="160">
        <f>IFERROR(VLOOKUP(C78,'Monthly Op &amp; Clo Stock (invoic)'!A:C,3,0),0)</f>
        <v>0</v>
      </c>
      <c r="S78" s="163">
        <f t="shared" si="18"/>
        <v>0</v>
      </c>
      <c r="T78" s="162">
        <f t="shared" si="19"/>
        <v>0</v>
      </c>
      <c r="U78" s="16"/>
      <c r="V78" s="71"/>
      <c r="W78" s="16"/>
    </row>
    <row r="79" spans="1:23">
      <c r="A79" s="35"/>
      <c r="B79" s="35" t="s">
        <v>183</v>
      </c>
      <c r="C79" s="157">
        <v>222475</v>
      </c>
      <c r="D79" s="157" t="s">
        <v>202</v>
      </c>
      <c r="E79" s="36" t="s">
        <v>638</v>
      </c>
      <c r="F79" s="98">
        <v>19800</v>
      </c>
      <c r="G79" s="158">
        <v>3.4435005965610177</v>
      </c>
      <c r="H79" s="115">
        <f t="shared" si="10"/>
        <v>68181.311811908148</v>
      </c>
      <c r="I79" s="159">
        <f>SUMIFS(Arrival!M:M,Arrival!K:K,'Stock statement'!$C79)</f>
        <v>0</v>
      </c>
      <c r="J79" s="160">
        <f t="shared" si="11"/>
        <v>0</v>
      </c>
      <c r="K79" s="160">
        <f>SUMIFS(Arrival!R:R,Arrival!K:K,'Stock statement'!$C79)</f>
        <v>0</v>
      </c>
      <c r="L79" s="160">
        <f t="shared" si="12"/>
        <v>19800</v>
      </c>
      <c r="M79" s="160">
        <f t="shared" si="13"/>
        <v>3.4435005965610177</v>
      </c>
      <c r="N79" s="161">
        <f t="shared" si="14"/>
        <v>68181.311811908148</v>
      </c>
      <c r="O79" s="159">
        <f t="shared" si="15"/>
        <v>14400</v>
      </c>
      <c r="P79" s="162">
        <f t="shared" si="16"/>
        <v>3.4435005965610177</v>
      </c>
      <c r="Q79" s="162">
        <f t="shared" si="17"/>
        <v>49586.408590478655</v>
      </c>
      <c r="R79" s="160">
        <f>IFERROR(VLOOKUP(C79,'Monthly Op &amp; Clo Stock (invoic)'!A:C,3,0),0)</f>
        <v>5400</v>
      </c>
      <c r="S79" s="163">
        <f t="shared" si="18"/>
        <v>3.4435005965610177</v>
      </c>
      <c r="T79" s="162">
        <f t="shared" si="19"/>
        <v>18594.903221429497</v>
      </c>
      <c r="U79" s="16"/>
      <c r="V79" s="71"/>
      <c r="W79" s="16"/>
    </row>
    <row r="80" spans="1:23">
      <c r="A80" s="35"/>
      <c r="B80" s="35" t="s">
        <v>183</v>
      </c>
      <c r="C80" s="157">
        <v>222476</v>
      </c>
      <c r="D80" s="157" t="s">
        <v>199</v>
      </c>
      <c r="E80" s="36" t="s">
        <v>639</v>
      </c>
      <c r="F80" s="98">
        <v>440</v>
      </c>
      <c r="G80" s="158">
        <v>38.303168306187175</v>
      </c>
      <c r="H80" s="115">
        <f t="shared" si="10"/>
        <v>16853.394054722357</v>
      </c>
      <c r="I80" s="159">
        <f>SUMIFS(Arrival!M:M,Arrival!K:K,'Stock statement'!$C80)</f>
        <v>0</v>
      </c>
      <c r="J80" s="160">
        <f t="shared" si="11"/>
        <v>0</v>
      </c>
      <c r="K80" s="160">
        <f>SUMIFS(Arrival!R:R,Arrival!K:K,'Stock statement'!$C80)</f>
        <v>0</v>
      </c>
      <c r="L80" s="160">
        <f t="shared" si="12"/>
        <v>440</v>
      </c>
      <c r="M80" s="160">
        <f t="shared" si="13"/>
        <v>38.303168306187175</v>
      </c>
      <c r="N80" s="161">
        <f t="shared" si="14"/>
        <v>16853.394054722357</v>
      </c>
      <c r="O80" s="159">
        <f t="shared" si="15"/>
        <v>260</v>
      </c>
      <c r="P80" s="162">
        <f t="shared" si="16"/>
        <v>38.303168306187175</v>
      </c>
      <c r="Q80" s="162">
        <f t="shared" si="17"/>
        <v>9958.8237596086656</v>
      </c>
      <c r="R80" s="160">
        <f>IFERROR(VLOOKUP(C80,'Monthly Op &amp; Clo Stock (invoic)'!A:C,3,0),0)</f>
        <v>180</v>
      </c>
      <c r="S80" s="163">
        <f t="shared" si="18"/>
        <v>38.303168306187175</v>
      </c>
      <c r="T80" s="162">
        <f t="shared" si="19"/>
        <v>6894.5702951136918</v>
      </c>
      <c r="U80" s="16"/>
      <c r="V80" s="71"/>
      <c r="W80" s="16"/>
    </row>
    <row r="81" spans="1:23">
      <c r="A81" s="35"/>
      <c r="B81" s="35" t="s">
        <v>183</v>
      </c>
      <c r="C81" s="157">
        <v>211559</v>
      </c>
      <c r="D81" s="157" t="s">
        <v>206</v>
      </c>
      <c r="E81" s="36" t="s">
        <v>640</v>
      </c>
      <c r="F81" s="98">
        <v>44500</v>
      </c>
      <c r="G81" s="158">
        <v>4.2025763620200998</v>
      </c>
      <c r="H81" s="115">
        <f t="shared" si="10"/>
        <v>187014.64810989445</v>
      </c>
      <c r="I81" s="159">
        <f>SUMIFS(Arrival!M:M,Arrival!K:K,'Stock statement'!$C81)</f>
        <v>0</v>
      </c>
      <c r="J81" s="160">
        <f t="shared" si="11"/>
        <v>0</v>
      </c>
      <c r="K81" s="160">
        <f>SUMIFS(Arrival!R:R,Arrival!K:K,'Stock statement'!$C81)</f>
        <v>0</v>
      </c>
      <c r="L81" s="160">
        <f t="shared" si="12"/>
        <v>44500</v>
      </c>
      <c r="M81" s="160">
        <f t="shared" si="13"/>
        <v>4.2025763620200998</v>
      </c>
      <c r="N81" s="161">
        <f t="shared" si="14"/>
        <v>187014.64810989445</v>
      </c>
      <c r="O81" s="159">
        <f t="shared" si="15"/>
        <v>1500</v>
      </c>
      <c r="P81" s="162">
        <f t="shared" si="16"/>
        <v>4.2025763620200998</v>
      </c>
      <c r="Q81" s="162">
        <f t="shared" si="17"/>
        <v>6303.8645430301494</v>
      </c>
      <c r="R81" s="160">
        <f>IFERROR(VLOOKUP(C81,'Monthly Op &amp; Clo Stock (invoic)'!A:C,3,0),0)</f>
        <v>43000</v>
      </c>
      <c r="S81" s="163">
        <f t="shared" si="18"/>
        <v>4.2025763620200998</v>
      </c>
      <c r="T81" s="162">
        <f t="shared" si="19"/>
        <v>180710.78356686429</v>
      </c>
      <c r="U81" s="16"/>
      <c r="V81" s="71"/>
      <c r="W81" s="16"/>
    </row>
    <row r="82" spans="1:23">
      <c r="A82" s="35"/>
      <c r="B82" s="35" t="s">
        <v>183</v>
      </c>
      <c r="C82" s="157">
        <v>229075</v>
      </c>
      <c r="D82" s="157" t="s">
        <v>200</v>
      </c>
      <c r="E82" s="36" t="s">
        <v>641</v>
      </c>
      <c r="F82" s="98">
        <v>27200</v>
      </c>
      <c r="G82" s="158">
        <v>4.8721495707176867</v>
      </c>
      <c r="H82" s="115">
        <f t="shared" si="10"/>
        <v>132522.46832352108</v>
      </c>
      <c r="I82" s="159">
        <f>SUMIFS(Arrival!M:M,Arrival!K:K,'Stock statement'!$C82)</f>
        <v>0</v>
      </c>
      <c r="J82" s="160">
        <f t="shared" si="11"/>
        <v>0</v>
      </c>
      <c r="K82" s="160">
        <f>SUMIFS(Arrival!R:R,Arrival!K:K,'Stock statement'!$C82)</f>
        <v>0</v>
      </c>
      <c r="L82" s="160">
        <f t="shared" si="12"/>
        <v>27200</v>
      </c>
      <c r="M82" s="160">
        <f t="shared" si="13"/>
        <v>4.8721495707176867</v>
      </c>
      <c r="N82" s="161">
        <f t="shared" si="14"/>
        <v>132522.46832352108</v>
      </c>
      <c r="O82" s="159">
        <f t="shared" si="15"/>
        <v>12400</v>
      </c>
      <c r="P82" s="162">
        <f t="shared" si="16"/>
        <v>4.8721495707176867</v>
      </c>
      <c r="Q82" s="162">
        <f t="shared" si="17"/>
        <v>60414.654676899314</v>
      </c>
      <c r="R82" s="160">
        <f>IFERROR(VLOOKUP(C82,'Monthly Op &amp; Clo Stock (invoic)'!A:C,3,0),0)</f>
        <v>14800</v>
      </c>
      <c r="S82" s="163">
        <f t="shared" si="18"/>
        <v>4.8721495707176867</v>
      </c>
      <c r="T82" s="162">
        <f t="shared" si="19"/>
        <v>72107.813646621769</v>
      </c>
      <c r="U82" s="16"/>
      <c r="V82" s="71"/>
      <c r="W82" s="16"/>
    </row>
    <row r="83" spans="1:23">
      <c r="A83" s="35"/>
      <c r="B83" s="35" t="s">
        <v>183</v>
      </c>
      <c r="C83" s="157">
        <v>229593</v>
      </c>
      <c r="D83" s="157" t="s">
        <v>642</v>
      </c>
      <c r="E83" s="36" t="s">
        <v>643</v>
      </c>
      <c r="F83" s="98">
        <v>13500</v>
      </c>
      <c r="G83" s="158">
        <v>1.21</v>
      </c>
      <c r="H83" s="115">
        <f t="shared" si="10"/>
        <v>16335</v>
      </c>
      <c r="I83" s="159">
        <f>SUMIFS(Arrival!M:M,Arrival!K:K,'Stock statement'!$C83)</f>
        <v>0</v>
      </c>
      <c r="J83" s="160">
        <f t="shared" si="11"/>
        <v>0</v>
      </c>
      <c r="K83" s="160">
        <f>SUMIFS(Arrival!R:R,Arrival!K:K,'Stock statement'!$C83)</f>
        <v>0</v>
      </c>
      <c r="L83" s="160">
        <f t="shared" si="12"/>
        <v>13500</v>
      </c>
      <c r="M83" s="160">
        <f t="shared" si="13"/>
        <v>1.21</v>
      </c>
      <c r="N83" s="161">
        <f t="shared" si="14"/>
        <v>16335</v>
      </c>
      <c r="O83" s="159">
        <f t="shared" si="15"/>
        <v>0</v>
      </c>
      <c r="P83" s="162">
        <f t="shared" si="16"/>
        <v>1.21</v>
      </c>
      <c r="Q83" s="162">
        <f t="shared" si="17"/>
        <v>0</v>
      </c>
      <c r="R83" s="160">
        <f>IFERROR(VLOOKUP(C83,'Monthly Op &amp; Clo Stock (invoic)'!A:C,3,0),0)</f>
        <v>13500</v>
      </c>
      <c r="S83" s="163">
        <f t="shared" si="18"/>
        <v>1.21</v>
      </c>
      <c r="T83" s="162">
        <f t="shared" si="19"/>
        <v>16335</v>
      </c>
      <c r="U83" s="16"/>
      <c r="V83" s="71"/>
      <c r="W83" s="16"/>
    </row>
    <row r="84" spans="1:23">
      <c r="A84" s="35"/>
      <c r="B84" s="35" t="s">
        <v>183</v>
      </c>
      <c r="C84" s="157">
        <v>229594</v>
      </c>
      <c r="D84" s="157" t="s">
        <v>644</v>
      </c>
      <c r="E84" s="36" t="s">
        <v>645</v>
      </c>
      <c r="F84" s="98">
        <v>13500</v>
      </c>
      <c r="G84" s="158">
        <v>0.59</v>
      </c>
      <c r="H84" s="115">
        <f t="shared" si="10"/>
        <v>7965</v>
      </c>
      <c r="I84" s="159">
        <f>SUMIFS(Arrival!M:M,Arrival!K:K,'Stock statement'!$C84)</f>
        <v>0</v>
      </c>
      <c r="J84" s="160">
        <f t="shared" si="11"/>
        <v>0</v>
      </c>
      <c r="K84" s="160">
        <f>SUMIFS(Arrival!R:R,Arrival!K:K,'Stock statement'!$C84)</f>
        <v>0</v>
      </c>
      <c r="L84" s="160">
        <f t="shared" si="12"/>
        <v>13500</v>
      </c>
      <c r="M84" s="160">
        <f t="shared" si="13"/>
        <v>0.59</v>
      </c>
      <c r="N84" s="161">
        <f t="shared" si="14"/>
        <v>7965</v>
      </c>
      <c r="O84" s="159">
        <f t="shared" si="15"/>
        <v>0</v>
      </c>
      <c r="P84" s="162">
        <f t="shared" si="16"/>
        <v>0.59</v>
      </c>
      <c r="Q84" s="162">
        <f t="shared" si="17"/>
        <v>0</v>
      </c>
      <c r="R84" s="160">
        <f>IFERROR(VLOOKUP(C84,'Monthly Op &amp; Clo Stock (invoic)'!A:C,3,0),0)</f>
        <v>13500</v>
      </c>
      <c r="S84" s="163">
        <f t="shared" si="18"/>
        <v>0.59</v>
      </c>
      <c r="T84" s="162">
        <f t="shared" si="19"/>
        <v>7965</v>
      </c>
      <c r="U84" s="16"/>
      <c r="V84" s="71"/>
      <c r="W84" s="16"/>
    </row>
    <row r="85" spans="1:23">
      <c r="A85" s="35"/>
      <c r="B85" s="35" t="s">
        <v>183</v>
      </c>
      <c r="C85" s="157">
        <v>229833</v>
      </c>
      <c r="D85" s="157" t="s">
        <v>646</v>
      </c>
      <c r="E85" s="36" t="s">
        <v>647</v>
      </c>
      <c r="F85" s="98">
        <v>500</v>
      </c>
      <c r="G85" s="158">
        <v>23.921893984514593</v>
      </c>
      <c r="H85" s="115">
        <f t="shared" si="10"/>
        <v>11960.946992257297</v>
      </c>
      <c r="I85" s="159">
        <f>SUMIFS(Arrival!M:M,Arrival!K:K,'Stock statement'!$C85)</f>
        <v>0</v>
      </c>
      <c r="J85" s="160">
        <f t="shared" si="11"/>
        <v>0</v>
      </c>
      <c r="K85" s="160">
        <f>SUMIFS(Arrival!R:R,Arrival!K:K,'Stock statement'!$C85)</f>
        <v>0</v>
      </c>
      <c r="L85" s="160">
        <f t="shared" si="12"/>
        <v>500</v>
      </c>
      <c r="M85" s="160">
        <f t="shared" si="13"/>
        <v>23.921893984514593</v>
      </c>
      <c r="N85" s="161">
        <f t="shared" si="14"/>
        <v>11960.946992257297</v>
      </c>
      <c r="O85" s="159">
        <f t="shared" si="15"/>
        <v>200</v>
      </c>
      <c r="P85" s="162">
        <f t="shared" si="16"/>
        <v>23.921893984514593</v>
      </c>
      <c r="Q85" s="162">
        <f t="shared" si="17"/>
        <v>4784.378796902919</v>
      </c>
      <c r="R85" s="160">
        <f>IFERROR(VLOOKUP(C85,'Monthly Op &amp; Clo Stock (invoic)'!A:C,3,0),0)</f>
        <v>300</v>
      </c>
      <c r="S85" s="163">
        <f t="shared" si="18"/>
        <v>23.921893984514593</v>
      </c>
      <c r="T85" s="162">
        <f t="shared" si="19"/>
        <v>7176.5681953543781</v>
      </c>
      <c r="U85" s="16"/>
      <c r="V85" s="71"/>
      <c r="W85" s="16"/>
    </row>
    <row r="86" spans="1:23">
      <c r="A86" s="35"/>
      <c r="B86" s="35" t="s">
        <v>183</v>
      </c>
      <c r="C86" s="157">
        <v>229743</v>
      </c>
      <c r="D86" s="157" t="s">
        <v>648</v>
      </c>
      <c r="E86" s="36" t="s">
        <v>649</v>
      </c>
      <c r="F86" s="98">
        <v>288000</v>
      </c>
      <c r="G86" s="158">
        <v>0.35657271963009673</v>
      </c>
      <c r="H86" s="115">
        <f t="shared" si="10"/>
        <v>102692.94325346786</v>
      </c>
      <c r="I86" s="159">
        <f>SUMIFS(Arrival!M:M,Arrival!K:K,'Stock statement'!$C86)</f>
        <v>0</v>
      </c>
      <c r="J86" s="160">
        <f t="shared" si="11"/>
        <v>0</v>
      </c>
      <c r="K86" s="160">
        <f>SUMIFS(Arrival!R:R,Arrival!K:K,'Stock statement'!$C86)</f>
        <v>0</v>
      </c>
      <c r="L86" s="160">
        <f t="shared" si="12"/>
        <v>288000</v>
      </c>
      <c r="M86" s="160">
        <f t="shared" si="13"/>
        <v>0.35657271963009673</v>
      </c>
      <c r="N86" s="161">
        <f t="shared" si="14"/>
        <v>102692.94325346786</v>
      </c>
      <c r="O86" s="159">
        <f t="shared" si="15"/>
        <v>157500</v>
      </c>
      <c r="P86" s="162">
        <f t="shared" si="16"/>
        <v>0.35657271963009673</v>
      </c>
      <c r="Q86" s="162">
        <f t="shared" si="17"/>
        <v>56160.203341740234</v>
      </c>
      <c r="R86" s="160">
        <f>IFERROR(VLOOKUP(C86,'Monthly Op &amp; Clo Stock (invoic)'!A:C,3,0),0)</f>
        <v>130500</v>
      </c>
      <c r="S86" s="163">
        <f t="shared" si="18"/>
        <v>0.35657271963009673</v>
      </c>
      <c r="T86" s="162">
        <f t="shared" si="19"/>
        <v>46532.739911727622</v>
      </c>
      <c r="U86" s="16"/>
      <c r="V86" s="71"/>
      <c r="W86" s="16"/>
    </row>
    <row r="87" spans="1:23">
      <c r="A87" s="35"/>
      <c r="B87" s="35" t="s">
        <v>183</v>
      </c>
      <c r="C87" s="157">
        <v>229745</v>
      </c>
      <c r="D87" s="157" t="s">
        <v>237</v>
      </c>
      <c r="E87" s="36" t="s">
        <v>650</v>
      </c>
      <c r="F87" s="98">
        <v>660</v>
      </c>
      <c r="G87" s="158">
        <v>13.181298014053503</v>
      </c>
      <c r="H87" s="115">
        <f t="shared" si="10"/>
        <v>8699.6566892753126</v>
      </c>
      <c r="I87" s="159">
        <f>SUMIFS(Arrival!M:M,Arrival!K:K,'Stock statement'!$C87)</f>
        <v>2046</v>
      </c>
      <c r="J87" s="160">
        <f t="shared" si="11"/>
        <v>13.466275659824047</v>
      </c>
      <c r="K87" s="160">
        <f>SUMIFS(Arrival!R:R,Arrival!K:K,'Stock statement'!$C87)</f>
        <v>27552</v>
      </c>
      <c r="L87" s="160">
        <f t="shared" si="12"/>
        <v>2706</v>
      </c>
      <c r="M87" s="160">
        <f t="shared" si="13"/>
        <v>13.396768916953182</v>
      </c>
      <c r="N87" s="161">
        <f t="shared" si="14"/>
        <v>36251.656689275311</v>
      </c>
      <c r="O87" s="159">
        <f t="shared" si="15"/>
        <v>2178</v>
      </c>
      <c r="P87" s="162">
        <f t="shared" si="16"/>
        <v>13.396768916953182</v>
      </c>
      <c r="Q87" s="162">
        <f t="shared" si="17"/>
        <v>29178.162701124031</v>
      </c>
      <c r="R87" s="160">
        <f>IFERROR(VLOOKUP(C87,'Monthly Op &amp; Clo Stock (invoic)'!A:C,3,0),0)</f>
        <v>528</v>
      </c>
      <c r="S87" s="163">
        <f t="shared" si="18"/>
        <v>13.396768916953182</v>
      </c>
      <c r="T87" s="162">
        <f t="shared" si="19"/>
        <v>7073.4939881512801</v>
      </c>
      <c r="U87" s="16"/>
      <c r="V87" s="71"/>
      <c r="W87" s="16"/>
    </row>
    <row r="88" spans="1:23">
      <c r="A88" s="35"/>
      <c r="B88" s="35" t="s">
        <v>183</v>
      </c>
      <c r="C88" s="157">
        <v>225003</v>
      </c>
      <c r="D88" s="157" t="s">
        <v>651</v>
      </c>
      <c r="E88" s="36" t="s">
        <v>652</v>
      </c>
      <c r="F88" s="98">
        <v>2900</v>
      </c>
      <c r="G88" s="158">
        <v>1.1001817286275044</v>
      </c>
      <c r="H88" s="115">
        <f t="shared" si="10"/>
        <v>3190.5270130197628</v>
      </c>
      <c r="I88" s="159">
        <f>SUMIFS(Arrival!M:M,Arrival!K:K,'Stock statement'!$C88)</f>
        <v>0</v>
      </c>
      <c r="J88" s="160">
        <f t="shared" si="11"/>
        <v>0</v>
      </c>
      <c r="K88" s="160">
        <f>SUMIFS(Arrival!R:R,Arrival!K:K,'Stock statement'!$C88)</f>
        <v>0</v>
      </c>
      <c r="L88" s="160">
        <f t="shared" si="12"/>
        <v>2900</v>
      </c>
      <c r="M88" s="160">
        <f t="shared" si="13"/>
        <v>1.1001817286275044</v>
      </c>
      <c r="N88" s="161">
        <f t="shared" si="14"/>
        <v>3190.5270130197628</v>
      </c>
      <c r="O88" s="159">
        <f t="shared" si="15"/>
        <v>-100</v>
      </c>
      <c r="P88" s="162">
        <f t="shared" si="16"/>
        <v>1.1001817286275044</v>
      </c>
      <c r="Q88" s="162">
        <f t="shared" si="17"/>
        <v>-110.01817286275045</v>
      </c>
      <c r="R88" s="160">
        <f>IFERROR(VLOOKUP(C88,'Monthly Op &amp; Clo Stock (invoic)'!A:C,3,0),0)</f>
        <v>3000</v>
      </c>
      <c r="S88" s="163">
        <f t="shared" si="18"/>
        <v>1.1001817286275044</v>
      </c>
      <c r="T88" s="162">
        <f t="shared" si="19"/>
        <v>3300.5451858825131</v>
      </c>
      <c r="U88" s="16"/>
      <c r="V88" s="71"/>
      <c r="W88" s="16"/>
    </row>
    <row r="89" spans="1:23">
      <c r="A89" s="35"/>
      <c r="B89" s="35" t="s">
        <v>183</v>
      </c>
      <c r="C89" s="157">
        <v>229742</v>
      </c>
      <c r="D89" s="157" t="s">
        <v>241</v>
      </c>
      <c r="E89" s="36" t="s">
        <v>653</v>
      </c>
      <c r="F89" s="98">
        <v>61000</v>
      </c>
      <c r="G89" s="158">
        <v>0.66563908676021066</v>
      </c>
      <c r="H89" s="115">
        <f t="shared" si="10"/>
        <v>40603.98429237285</v>
      </c>
      <c r="I89" s="159">
        <f>SUMIFS(Arrival!M:M,Arrival!K:K,'Stock statement'!$C89)</f>
        <v>0</v>
      </c>
      <c r="J89" s="160">
        <f t="shared" si="11"/>
        <v>0</v>
      </c>
      <c r="K89" s="160">
        <f>SUMIFS(Arrival!R:R,Arrival!K:K,'Stock statement'!$C89)</f>
        <v>0</v>
      </c>
      <c r="L89" s="160">
        <f t="shared" si="12"/>
        <v>61000</v>
      </c>
      <c r="M89" s="160">
        <f t="shared" si="13"/>
        <v>0.66563908676021066</v>
      </c>
      <c r="N89" s="161">
        <f t="shared" si="14"/>
        <v>40603.98429237285</v>
      </c>
      <c r="O89" s="159">
        <f t="shared" si="15"/>
        <v>31400</v>
      </c>
      <c r="P89" s="162">
        <f t="shared" si="16"/>
        <v>0.66563908676021066</v>
      </c>
      <c r="Q89" s="162">
        <f t="shared" si="17"/>
        <v>20901.067324270614</v>
      </c>
      <c r="R89" s="160">
        <f>IFERROR(VLOOKUP(C89,'Monthly Op &amp; Clo Stock (invoic)'!A:C,3,0),0)</f>
        <v>29600</v>
      </c>
      <c r="S89" s="163">
        <f t="shared" si="18"/>
        <v>0.66563908676021066</v>
      </c>
      <c r="T89" s="162">
        <f t="shared" si="19"/>
        <v>19702.916968102236</v>
      </c>
      <c r="U89" s="16"/>
      <c r="V89" s="71"/>
      <c r="W89" s="16"/>
    </row>
    <row r="90" spans="1:23">
      <c r="A90" s="35"/>
      <c r="B90" s="35" t="s">
        <v>183</v>
      </c>
      <c r="C90" s="157">
        <v>229824</v>
      </c>
      <c r="D90" s="157" t="s">
        <v>654</v>
      </c>
      <c r="E90" s="36" t="s">
        <v>655</v>
      </c>
      <c r="F90" s="98">
        <v>520</v>
      </c>
      <c r="G90" s="158">
        <v>23.211225071225073</v>
      </c>
      <c r="H90" s="115">
        <f t="shared" si="10"/>
        <v>12069.837037037038</v>
      </c>
      <c r="I90" s="159">
        <f>SUMIFS(Arrival!M:M,Arrival!K:K,'Stock statement'!$C90)</f>
        <v>0</v>
      </c>
      <c r="J90" s="160">
        <f t="shared" si="11"/>
        <v>0</v>
      </c>
      <c r="K90" s="160">
        <f>SUMIFS(Arrival!R:R,Arrival!K:K,'Stock statement'!$C90)</f>
        <v>0</v>
      </c>
      <c r="L90" s="160">
        <f t="shared" si="12"/>
        <v>520</v>
      </c>
      <c r="M90" s="160">
        <f t="shared" si="13"/>
        <v>23.211225071225073</v>
      </c>
      <c r="N90" s="161">
        <f t="shared" si="14"/>
        <v>12069.837037037038</v>
      </c>
      <c r="O90" s="159">
        <f t="shared" si="15"/>
        <v>0</v>
      </c>
      <c r="P90" s="162">
        <f t="shared" si="16"/>
        <v>23.211225071225073</v>
      </c>
      <c r="Q90" s="162">
        <f t="shared" si="17"/>
        <v>0</v>
      </c>
      <c r="R90" s="160">
        <f>IFERROR(VLOOKUP(C90,'Monthly Op &amp; Clo Stock (invoic)'!A:C,3,0),0)</f>
        <v>520</v>
      </c>
      <c r="S90" s="163">
        <f t="shared" si="18"/>
        <v>23.211225071225073</v>
      </c>
      <c r="T90" s="162">
        <f t="shared" si="19"/>
        <v>12069.837037037038</v>
      </c>
      <c r="U90" s="16"/>
      <c r="V90" s="71"/>
      <c r="W90" s="16"/>
    </row>
    <row r="91" spans="1:23">
      <c r="A91" s="35"/>
      <c r="B91" s="35" t="s">
        <v>183</v>
      </c>
      <c r="C91" s="157">
        <v>229747</v>
      </c>
      <c r="D91" s="157" t="s">
        <v>248</v>
      </c>
      <c r="E91" s="36" t="s">
        <v>656</v>
      </c>
      <c r="F91" s="98">
        <v>136640</v>
      </c>
      <c r="G91" s="158">
        <v>3.1661470602783846</v>
      </c>
      <c r="H91" s="115">
        <f t="shared" si="10"/>
        <v>432622.33431643847</v>
      </c>
      <c r="I91" s="159">
        <f>SUMIFS(Arrival!M:M,Arrival!K:K,'Stock statement'!$C91)</f>
        <v>0</v>
      </c>
      <c r="J91" s="160">
        <f t="shared" si="11"/>
        <v>0</v>
      </c>
      <c r="K91" s="160">
        <f>SUMIFS(Arrival!R:R,Arrival!K:K,'Stock statement'!$C91)</f>
        <v>0</v>
      </c>
      <c r="L91" s="160">
        <f t="shared" si="12"/>
        <v>136640</v>
      </c>
      <c r="M91" s="160">
        <f t="shared" si="13"/>
        <v>3.1661470602783846</v>
      </c>
      <c r="N91" s="161">
        <f t="shared" si="14"/>
        <v>432622.33431643847</v>
      </c>
      <c r="O91" s="159">
        <f t="shared" si="15"/>
        <v>25640</v>
      </c>
      <c r="P91" s="162">
        <f t="shared" si="16"/>
        <v>3.1661470602783846</v>
      </c>
      <c r="Q91" s="162">
        <f t="shared" si="17"/>
        <v>81180.010625537776</v>
      </c>
      <c r="R91" s="160">
        <f>IFERROR(VLOOKUP(C91,'Monthly Op &amp; Clo Stock (invoic)'!A:C,3,0),0)</f>
        <v>111000</v>
      </c>
      <c r="S91" s="163">
        <f t="shared" si="18"/>
        <v>3.1661470602783846</v>
      </c>
      <c r="T91" s="162">
        <f t="shared" si="19"/>
        <v>351442.3236909007</v>
      </c>
      <c r="U91" s="16"/>
      <c r="V91" s="71"/>
      <c r="W91" s="16"/>
    </row>
    <row r="92" spans="1:23">
      <c r="A92" s="35"/>
      <c r="B92" s="35" t="s">
        <v>183</v>
      </c>
      <c r="C92" s="157">
        <v>229895</v>
      </c>
      <c r="D92" s="157" t="s">
        <v>254</v>
      </c>
      <c r="E92" s="36" t="s">
        <v>657</v>
      </c>
      <c r="F92" s="98">
        <v>17500</v>
      </c>
      <c r="G92" s="158">
        <v>2.6</v>
      </c>
      <c r="H92" s="115">
        <f t="shared" si="10"/>
        <v>45500</v>
      </c>
      <c r="I92" s="159">
        <f>SUMIFS(Arrival!M:M,Arrival!K:K,'Stock statement'!$C92)</f>
        <v>36000</v>
      </c>
      <c r="J92" s="160">
        <f t="shared" si="11"/>
        <v>2.6</v>
      </c>
      <c r="K92" s="160">
        <f>SUMIFS(Arrival!R:R,Arrival!K:K,'Stock statement'!$C92)</f>
        <v>93600</v>
      </c>
      <c r="L92" s="160">
        <f t="shared" si="12"/>
        <v>53500</v>
      </c>
      <c r="M92" s="160">
        <f t="shared" si="13"/>
        <v>2.6</v>
      </c>
      <c r="N92" s="161">
        <f t="shared" si="14"/>
        <v>139100</v>
      </c>
      <c r="O92" s="159">
        <f t="shared" si="15"/>
        <v>6000</v>
      </c>
      <c r="P92" s="162">
        <f t="shared" si="16"/>
        <v>2.6</v>
      </c>
      <c r="Q92" s="162">
        <f t="shared" si="17"/>
        <v>15600</v>
      </c>
      <c r="R92" s="160">
        <f>IFERROR(VLOOKUP(C92,'Monthly Op &amp; Clo Stock (invoic)'!A:C,3,0),0)</f>
        <v>47500</v>
      </c>
      <c r="S92" s="163">
        <f t="shared" si="18"/>
        <v>2.6</v>
      </c>
      <c r="T92" s="162">
        <f t="shared" si="19"/>
        <v>123500</v>
      </c>
      <c r="U92" s="16"/>
      <c r="V92" s="71"/>
      <c r="W92" s="16"/>
    </row>
    <row r="93" spans="1:23">
      <c r="A93" s="35"/>
      <c r="B93" s="35" t="s">
        <v>183</v>
      </c>
      <c r="C93" s="157">
        <v>229740</v>
      </c>
      <c r="D93" s="157" t="s">
        <v>246</v>
      </c>
      <c r="E93" s="36" t="s">
        <v>658</v>
      </c>
      <c r="F93" s="98">
        <v>46800</v>
      </c>
      <c r="G93" s="158">
        <v>3.4262434039361702</v>
      </c>
      <c r="H93" s="115">
        <f t="shared" si="10"/>
        <v>160348.19130421276</v>
      </c>
      <c r="I93" s="159">
        <f>SUMIFS(Arrival!M:M,Arrival!K:K,'Stock statement'!$C93)</f>
        <v>0</v>
      </c>
      <c r="J93" s="160">
        <f t="shared" si="11"/>
        <v>0</v>
      </c>
      <c r="K93" s="160">
        <f>SUMIFS(Arrival!R:R,Arrival!K:K,'Stock statement'!$C93)</f>
        <v>0</v>
      </c>
      <c r="L93" s="160">
        <f t="shared" si="12"/>
        <v>46800</v>
      </c>
      <c r="M93" s="160">
        <f t="shared" si="13"/>
        <v>3.4262434039361702</v>
      </c>
      <c r="N93" s="161">
        <f t="shared" si="14"/>
        <v>160348.19130421276</v>
      </c>
      <c r="O93" s="159">
        <f t="shared" si="15"/>
        <v>23300</v>
      </c>
      <c r="P93" s="162">
        <f t="shared" si="16"/>
        <v>3.4262434039361702</v>
      </c>
      <c r="Q93" s="162">
        <f t="shared" si="17"/>
        <v>79831.471311712769</v>
      </c>
      <c r="R93" s="160">
        <f>IFERROR(VLOOKUP(C93,'Monthly Op &amp; Clo Stock (invoic)'!A:C,3,0),0)</f>
        <v>23500</v>
      </c>
      <c r="S93" s="163">
        <f t="shared" si="18"/>
        <v>3.4262434039361702</v>
      </c>
      <c r="T93" s="162">
        <f t="shared" si="19"/>
        <v>80516.719992500002</v>
      </c>
      <c r="U93" s="16"/>
      <c r="V93" s="71"/>
      <c r="W93" s="16"/>
    </row>
    <row r="94" spans="1:23">
      <c r="A94" s="35"/>
      <c r="B94" s="35" t="s">
        <v>183</v>
      </c>
      <c r="C94" s="157">
        <v>229736</v>
      </c>
      <c r="D94" s="157" t="s">
        <v>250</v>
      </c>
      <c r="E94" s="36" t="s">
        <v>659</v>
      </c>
      <c r="F94" s="98">
        <v>0</v>
      </c>
      <c r="G94" s="158">
        <v>1.1951778429977811</v>
      </c>
      <c r="H94" s="115">
        <f t="shared" si="10"/>
        <v>0</v>
      </c>
      <c r="I94" s="159">
        <f>SUMIFS(Arrival!M:M,Arrival!K:K,'Stock statement'!$C94)</f>
        <v>31500</v>
      </c>
      <c r="J94" s="160">
        <f t="shared" si="11"/>
        <v>1.2403875968992248</v>
      </c>
      <c r="K94" s="160">
        <f>SUMIFS(Arrival!R:R,Arrival!K:K,'Stock statement'!$C94)</f>
        <v>39072.20930232558</v>
      </c>
      <c r="L94" s="160">
        <f t="shared" si="12"/>
        <v>31500</v>
      </c>
      <c r="M94" s="160">
        <f t="shared" si="13"/>
        <v>1.2403875968992248</v>
      </c>
      <c r="N94" s="161">
        <f t="shared" si="14"/>
        <v>39072.20930232558</v>
      </c>
      <c r="O94" s="159">
        <f t="shared" si="15"/>
        <v>0</v>
      </c>
      <c r="P94" s="162">
        <f t="shared" si="16"/>
        <v>1.2403875968992248</v>
      </c>
      <c r="Q94" s="162">
        <f t="shared" si="17"/>
        <v>0</v>
      </c>
      <c r="R94" s="160">
        <f>IFERROR(VLOOKUP(C94,'Monthly Op &amp; Clo Stock (invoic)'!A:C,3,0),0)</f>
        <v>31500</v>
      </c>
      <c r="S94" s="163">
        <f t="shared" si="18"/>
        <v>1.2403875968992248</v>
      </c>
      <c r="T94" s="162">
        <f t="shared" si="19"/>
        <v>39072.20930232558</v>
      </c>
      <c r="U94" s="16"/>
      <c r="V94" s="71"/>
      <c r="W94" s="16"/>
    </row>
    <row r="95" spans="1:23">
      <c r="A95" s="35"/>
      <c r="B95" s="35" t="s">
        <v>183</v>
      </c>
      <c r="C95" s="157">
        <v>229737</v>
      </c>
      <c r="D95" s="157" t="s">
        <v>660</v>
      </c>
      <c r="E95" s="36" t="s">
        <v>661</v>
      </c>
      <c r="F95" s="98">
        <v>2700</v>
      </c>
      <c r="G95" s="158">
        <v>0.89973029692387585</v>
      </c>
      <c r="H95" s="115">
        <f t="shared" si="10"/>
        <v>2429.271801694465</v>
      </c>
      <c r="I95" s="159">
        <f>SUMIFS(Arrival!M:M,Arrival!K:K,'Stock statement'!$C95)</f>
        <v>31500</v>
      </c>
      <c r="J95" s="160">
        <f t="shared" si="11"/>
        <v>0.93038759689922479</v>
      </c>
      <c r="K95" s="160">
        <f>SUMIFS(Arrival!R:R,Arrival!K:K,'Stock statement'!$C95)</f>
        <v>29307.20930232558</v>
      </c>
      <c r="L95" s="160">
        <f t="shared" si="12"/>
        <v>34200</v>
      </c>
      <c r="M95" s="160">
        <f t="shared" si="13"/>
        <v>0.92796728374327608</v>
      </c>
      <c r="N95" s="161">
        <f t="shared" si="14"/>
        <v>31736.481104020044</v>
      </c>
      <c r="O95" s="159">
        <f t="shared" si="15"/>
        <v>200</v>
      </c>
      <c r="P95" s="162">
        <f t="shared" si="16"/>
        <v>0.92796728374327608</v>
      </c>
      <c r="Q95" s="162">
        <f t="shared" si="17"/>
        <v>185.59345674865523</v>
      </c>
      <c r="R95" s="160">
        <f>IFERROR(VLOOKUP(C95,'Monthly Op &amp; Clo Stock (invoic)'!A:C,3,0),0)</f>
        <v>34000</v>
      </c>
      <c r="S95" s="163">
        <f t="shared" si="18"/>
        <v>0.92796728374327608</v>
      </c>
      <c r="T95" s="162">
        <f t="shared" si="19"/>
        <v>31550.887647271386</v>
      </c>
      <c r="U95" s="16"/>
      <c r="V95" s="71"/>
      <c r="W95" s="16"/>
    </row>
    <row r="96" spans="1:23">
      <c r="A96" s="35"/>
      <c r="B96" s="35" t="s">
        <v>183</v>
      </c>
      <c r="C96" s="157">
        <v>229825</v>
      </c>
      <c r="D96" s="157" t="s">
        <v>662</v>
      </c>
      <c r="E96" s="36" t="s">
        <v>663</v>
      </c>
      <c r="F96" s="98">
        <v>1040</v>
      </c>
      <c r="G96" s="158">
        <v>20.880311344114645</v>
      </c>
      <c r="H96" s="115">
        <f t="shared" si="10"/>
        <v>21715.523797879232</v>
      </c>
      <c r="I96" s="159">
        <f>SUMIFS(Arrival!M:M,Arrival!K:K,'Stock statement'!$C96)</f>
        <v>0</v>
      </c>
      <c r="J96" s="160">
        <f t="shared" si="11"/>
        <v>0</v>
      </c>
      <c r="K96" s="160">
        <f>SUMIFS(Arrival!R:R,Arrival!K:K,'Stock statement'!$C96)</f>
        <v>0</v>
      </c>
      <c r="L96" s="160">
        <f t="shared" si="12"/>
        <v>1040</v>
      </c>
      <c r="M96" s="160">
        <f t="shared" si="13"/>
        <v>20.880311344114645</v>
      </c>
      <c r="N96" s="161">
        <f t="shared" si="14"/>
        <v>21715.523797879232</v>
      </c>
      <c r="O96" s="159">
        <f t="shared" si="15"/>
        <v>420</v>
      </c>
      <c r="P96" s="162">
        <f t="shared" si="16"/>
        <v>20.880311344114645</v>
      </c>
      <c r="Q96" s="162">
        <f t="shared" si="17"/>
        <v>8769.7307645281508</v>
      </c>
      <c r="R96" s="160">
        <f>IFERROR(VLOOKUP(C96,'Monthly Op &amp; Clo Stock (invoic)'!A:C,3,0),0)</f>
        <v>620</v>
      </c>
      <c r="S96" s="163">
        <f t="shared" si="18"/>
        <v>20.880311344114645</v>
      </c>
      <c r="T96" s="162">
        <f t="shared" si="19"/>
        <v>12945.793033351079</v>
      </c>
      <c r="U96" s="16"/>
      <c r="V96" s="71"/>
      <c r="W96" s="16"/>
    </row>
    <row r="97" spans="1:23">
      <c r="A97" s="35"/>
      <c r="B97" s="35" t="s">
        <v>183</v>
      </c>
      <c r="C97" s="157">
        <v>229741</v>
      </c>
      <c r="D97" s="157" t="s">
        <v>664</v>
      </c>
      <c r="E97" s="36" t="s">
        <v>665</v>
      </c>
      <c r="F97" s="98">
        <v>38000</v>
      </c>
      <c r="G97" s="158">
        <v>5.065278176547567</v>
      </c>
      <c r="H97" s="115">
        <f t="shared" si="10"/>
        <v>192480.57070880756</v>
      </c>
      <c r="I97" s="159">
        <f>SUMIFS(Arrival!M:M,Arrival!K:K,'Stock statement'!$C97)</f>
        <v>10885</v>
      </c>
      <c r="J97" s="160">
        <f t="shared" si="11"/>
        <v>5.2534129536058796</v>
      </c>
      <c r="K97" s="160">
        <f>SUMIFS(Arrival!R:R,Arrival!K:K,'Stock statement'!$C97)</f>
        <v>57183.4</v>
      </c>
      <c r="L97" s="160">
        <f t="shared" si="12"/>
        <v>48885</v>
      </c>
      <c r="M97" s="160">
        <f t="shared" si="13"/>
        <v>5.1071692893281693</v>
      </c>
      <c r="N97" s="161">
        <f t="shared" si="14"/>
        <v>249663.97070880755</v>
      </c>
      <c r="O97" s="159">
        <f t="shared" si="15"/>
        <v>22000</v>
      </c>
      <c r="P97" s="162">
        <f t="shared" si="16"/>
        <v>5.1071692893281693</v>
      </c>
      <c r="Q97" s="162">
        <f t="shared" si="17"/>
        <v>112357.72436521972</v>
      </c>
      <c r="R97" s="160">
        <f>IFERROR(VLOOKUP(C97,'Monthly Op &amp; Clo Stock (invoic)'!A:C,3,0),0)</f>
        <v>26885</v>
      </c>
      <c r="S97" s="163">
        <f t="shared" si="18"/>
        <v>5.1071692893281693</v>
      </c>
      <c r="T97" s="162">
        <f t="shared" si="19"/>
        <v>137306.24634358785</v>
      </c>
      <c r="U97" s="16"/>
      <c r="V97" s="71"/>
      <c r="W97" s="16"/>
    </row>
    <row r="98" spans="1:23">
      <c r="A98" s="35"/>
      <c r="B98" s="35" t="s">
        <v>183</v>
      </c>
      <c r="C98" s="157">
        <v>229738</v>
      </c>
      <c r="D98" s="157" t="s">
        <v>286</v>
      </c>
      <c r="E98" s="36" t="s">
        <v>666</v>
      </c>
      <c r="F98" s="98">
        <v>45500</v>
      </c>
      <c r="G98" s="158">
        <v>1.9334937219668653</v>
      </c>
      <c r="H98" s="115">
        <f t="shared" si="10"/>
        <v>87973.964349492366</v>
      </c>
      <c r="I98" s="159">
        <f>SUMIFS(Arrival!M:M,Arrival!K:K,'Stock statement'!$C98)</f>
        <v>22000</v>
      </c>
      <c r="J98" s="160">
        <f t="shared" si="11"/>
        <v>1.9603875968992248</v>
      </c>
      <c r="K98" s="160">
        <f>SUMIFS(Arrival!R:R,Arrival!K:K,'Stock statement'!$C98)</f>
        <v>43128.527131782947</v>
      </c>
      <c r="L98" s="160">
        <f t="shared" si="12"/>
        <v>67500</v>
      </c>
      <c r="M98" s="160">
        <f t="shared" si="13"/>
        <v>1.9422591330559302</v>
      </c>
      <c r="N98" s="161">
        <f t="shared" si="14"/>
        <v>131102.4914812753</v>
      </c>
      <c r="O98" s="159">
        <f t="shared" si="15"/>
        <v>19000</v>
      </c>
      <c r="P98" s="162">
        <f t="shared" si="16"/>
        <v>1.9422591330559302</v>
      </c>
      <c r="Q98" s="162">
        <f t="shared" si="17"/>
        <v>36902.923528062674</v>
      </c>
      <c r="R98" s="160">
        <f>IFERROR(VLOOKUP(C98,'Monthly Op &amp; Clo Stock (invoic)'!A:C,3,0),0)</f>
        <v>48500</v>
      </c>
      <c r="S98" s="163">
        <f t="shared" si="18"/>
        <v>1.9422591330559302</v>
      </c>
      <c r="T98" s="162">
        <f t="shared" si="19"/>
        <v>94199.567953212623</v>
      </c>
      <c r="U98" s="16"/>
      <c r="V98" s="71"/>
      <c r="W98" s="16"/>
    </row>
    <row r="99" spans="1:23">
      <c r="A99" s="35"/>
      <c r="B99" s="35" t="s">
        <v>183</v>
      </c>
      <c r="C99" s="157">
        <v>229739</v>
      </c>
      <c r="D99" s="157" t="s">
        <v>288</v>
      </c>
      <c r="E99" s="36" t="s">
        <v>667</v>
      </c>
      <c r="F99" s="98">
        <v>42800</v>
      </c>
      <c r="G99" s="158">
        <v>1.4582537558717013</v>
      </c>
      <c r="H99" s="115">
        <f t="shared" si="10"/>
        <v>62413.260751308815</v>
      </c>
      <c r="I99" s="159">
        <f>SUMIFS(Arrival!M:M,Arrival!K:K,'Stock statement'!$C99)</f>
        <v>22000</v>
      </c>
      <c r="J99" s="160">
        <f t="shared" si="11"/>
        <v>1.4703875968992248</v>
      </c>
      <c r="K99" s="160">
        <f>SUMIFS(Arrival!R:R,Arrival!K:K,'Stock statement'!$C99)</f>
        <v>32348.527131782947</v>
      </c>
      <c r="L99" s="160">
        <f t="shared" si="12"/>
        <v>64800</v>
      </c>
      <c r="M99" s="160">
        <f t="shared" si="13"/>
        <v>1.4623732698007987</v>
      </c>
      <c r="N99" s="161">
        <f t="shared" si="14"/>
        <v>94761.787883091762</v>
      </c>
      <c r="O99" s="159">
        <f t="shared" si="15"/>
        <v>19300</v>
      </c>
      <c r="P99" s="162">
        <f t="shared" si="16"/>
        <v>1.4623732698007987</v>
      </c>
      <c r="Q99" s="162">
        <f t="shared" si="17"/>
        <v>28223.804107155414</v>
      </c>
      <c r="R99" s="160">
        <f>IFERROR(VLOOKUP(C99,'Monthly Op &amp; Clo Stock (invoic)'!A:C,3,0),0)</f>
        <v>45500</v>
      </c>
      <c r="S99" s="163">
        <f t="shared" si="18"/>
        <v>1.4623732698007987</v>
      </c>
      <c r="T99" s="162">
        <f t="shared" si="19"/>
        <v>66537.983775936344</v>
      </c>
      <c r="U99" s="16"/>
      <c r="V99" s="71"/>
      <c r="W99" s="16"/>
    </row>
    <row r="100" spans="1:23">
      <c r="A100" s="35"/>
      <c r="B100" s="35" t="s">
        <v>183</v>
      </c>
      <c r="C100" s="157">
        <v>229827</v>
      </c>
      <c r="D100" s="157" t="s">
        <v>668</v>
      </c>
      <c r="E100" s="36" t="s">
        <v>669</v>
      </c>
      <c r="F100" s="98">
        <v>140</v>
      </c>
      <c r="G100" s="158">
        <v>34.630000000000003</v>
      </c>
      <c r="H100" s="115">
        <f t="shared" si="10"/>
        <v>4848.2000000000007</v>
      </c>
      <c r="I100" s="159">
        <f>SUMIFS(Arrival!M:M,Arrival!K:K,'Stock statement'!$C100)</f>
        <v>0</v>
      </c>
      <c r="J100" s="160">
        <f t="shared" si="11"/>
        <v>0</v>
      </c>
      <c r="K100" s="160">
        <f>SUMIFS(Arrival!R:R,Arrival!K:K,'Stock statement'!$C100)</f>
        <v>0</v>
      </c>
      <c r="L100" s="160">
        <f t="shared" si="12"/>
        <v>140</v>
      </c>
      <c r="M100" s="160">
        <f t="shared" si="13"/>
        <v>34.630000000000003</v>
      </c>
      <c r="N100" s="161">
        <f t="shared" si="14"/>
        <v>4848.2000000000007</v>
      </c>
      <c r="O100" s="159">
        <f t="shared" si="15"/>
        <v>31</v>
      </c>
      <c r="P100" s="162">
        <f t="shared" si="16"/>
        <v>34.630000000000003</v>
      </c>
      <c r="Q100" s="162">
        <f t="shared" si="17"/>
        <v>1073.53</v>
      </c>
      <c r="R100" s="160">
        <f>IFERROR(VLOOKUP(C100,'Monthly Op &amp; Clo Stock (invoic)'!A:C,3,0),0)</f>
        <v>109</v>
      </c>
      <c r="S100" s="163">
        <f t="shared" si="18"/>
        <v>34.630000000000003</v>
      </c>
      <c r="T100" s="162">
        <f t="shared" si="19"/>
        <v>3774.67</v>
      </c>
      <c r="U100" s="16"/>
      <c r="V100" s="71"/>
      <c r="W100" s="16"/>
    </row>
    <row r="101" spans="1:23">
      <c r="A101" s="35"/>
      <c r="B101" s="35" t="s">
        <v>183</v>
      </c>
      <c r="C101" s="157">
        <v>229896</v>
      </c>
      <c r="D101" s="157" t="s">
        <v>670</v>
      </c>
      <c r="E101" s="36" t="s">
        <v>671</v>
      </c>
      <c r="F101" s="98">
        <v>500</v>
      </c>
      <c r="G101" s="158">
        <v>1.8440742985640945</v>
      </c>
      <c r="H101" s="115">
        <f t="shared" si="10"/>
        <v>922.03714928204727</v>
      </c>
      <c r="I101" s="159">
        <f>SUMIFS(Arrival!M:M,Arrival!K:K,'Stock statement'!$C101)</f>
        <v>11000</v>
      </c>
      <c r="J101" s="160">
        <f t="shared" si="11"/>
        <v>1.9603875968992248</v>
      </c>
      <c r="K101" s="160">
        <f>SUMIFS(Arrival!R:R,Arrival!K:K,'Stock statement'!$C101)</f>
        <v>21564.263565891473</v>
      </c>
      <c r="L101" s="160">
        <f t="shared" si="12"/>
        <v>11500</v>
      </c>
      <c r="M101" s="160">
        <f t="shared" si="13"/>
        <v>1.9553304969716105</v>
      </c>
      <c r="N101" s="161">
        <f t="shared" si="14"/>
        <v>22486.300715173522</v>
      </c>
      <c r="O101" s="159">
        <f t="shared" si="15"/>
        <v>1000</v>
      </c>
      <c r="P101" s="162">
        <f t="shared" si="16"/>
        <v>1.9553304969716105</v>
      </c>
      <c r="Q101" s="162">
        <f t="shared" si="17"/>
        <v>1955.3304969716105</v>
      </c>
      <c r="R101" s="160">
        <f>IFERROR(VLOOKUP(C101,'Monthly Op &amp; Clo Stock (invoic)'!A:C,3,0),0)</f>
        <v>10500</v>
      </c>
      <c r="S101" s="163">
        <f t="shared" si="18"/>
        <v>1.9553304969716105</v>
      </c>
      <c r="T101" s="162">
        <f t="shared" si="19"/>
        <v>20530.97021820191</v>
      </c>
      <c r="U101" s="16"/>
      <c r="V101" s="71"/>
      <c r="W101" s="16"/>
    </row>
    <row r="102" spans="1:23">
      <c r="A102" s="35"/>
      <c r="B102" s="35" t="s">
        <v>183</v>
      </c>
      <c r="C102" s="157">
        <v>229897</v>
      </c>
      <c r="D102" s="157" t="s">
        <v>672</v>
      </c>
      <c r="E102" s="36" t="s">
        <v>673</v>
      </c>
      <c r="F102" s="98">
        <v>500</v>
      </c>
      <c r="G102" s="158">
        <v>1.3960985677312208</v>
      </c>
      <c r="H102" s="115">
        <f t="shared" si="10"/>
        <v>698.04928386561039</v>
      </c>
      <c r="I102" s="159">
        <f>SUMIFS(Arrival!M:M,Arrival!K:K,'Stock statement'!$C102)</f>
        <v>11000</v>
      </c>
      <c r="J102" s="160">
        <f t="shared" si="11"/>
        <v>1.4703875968992248</v>
      </c>
      <c r="K102" s="160">
        <f>SUMIFS(Arrival!R:R,Arrival!K:K,'Stock statement'!$C102)</f>
        <v>16174.263565891473</v>
      </c>
      <c r="L102" s="160">
        <f t="shared" si="12"/>
        <v>11500</v>
      </c>
      <c r="M102" s="160">
        <f t="shared" si="13"/>
        <v>1.4671576391093115</v>
      </c>
      <c r="N102" s="161">
        <f t="shared" si="14"/>
        <v>16872.312849757083</v>
      </c>
      <c r="O102" s="159">
        <f t="shared" si="15"/>
        <v>1000</v>
      </c>
      <c r="P102" s="162">
        <f t="shared" si="16"/>
        <v>1.4671576391093115</v>
      </c>
      <c r="Q102" s="162">
        <f t="shared" si="17"/>
        <v>1467.1576391093115</v>
      </c>
      <c r="R102" s="160">
        <f>IFERROR(VLOOKUP(C102,'Monthly Op &amp; Clo Stock (invoic)'!A:C,3,0),0)</f>
        <v>10500</v>
      </c>
      <c r="S102" s="163">
        <f t="shared" si="18"/>
        <v>1.4671576391093115</v>
      </c>
      <c r="T102" s="162">
        <f t="shared" si="19"/>
        <v>15405.15521064777</v>
      </c>
      <c r="U102" s="16"/>
      <c r="V102" s="71"/>
      <c r="W102" s="16"/>
    </row>
    <row r="103" spans="1:23">
      <c r="A103" s="35"/>
      <c r="B103" s="35" t="s">
        <v>183</v>
      </c>
      <c r="C103" s="157">
        <v>229826</v>
      </c>
      <c r="D103" s="157" t="s">
        <v>674</v>
      </c>
      <c r="E103" s="36" t="s">
        <v>675</v>
      </c>
      <c r="F103" s="98">
        <v>560</v>
      </c>
      <c r="G103" s="158">
        <v>26.824390815370194</v>
      </c>
      <c r="H103" s="115">
        <f t="shared" si="10"/>
        <v>15021.658856607308</v>
      </c>
      <c r="I103" s="159">
        <f>SUMIFS(Arrival!M:M,Arrival!K:K,'Stock statement'!$C103)</f>
        <v>0</v>
      </c>
      <c r="J103" s="160">
        <f t="shared" si="11"/>
        <v>0</v>
      </c>
      <c r="K103" s="160">
        <f>SUMIFS(Arrival!R:R,Arrival!K:K,'Stock statement'!$C103)</f>
        <v>0</v>
      </c>
      <c r="L103" s="160">
        <f t="shared" si="12"/>
        <v>560</v>
      </c>
      <c r="M103" s="160">
        <f t="shared" si="13"/>
        <v>26.824390815370194</v>
      </c>
      <c r="N103" s="161">
        <f t="shared" si="14"/>
        <v>15021.658856607308</v>
      </c>
      <c r="O103" s="159">
        <f t="shared" si="15"/>
        <v>0</v>
      </c>
      <c r="P103" s="162">
        <f t="shared" si="16"/>
        <v>26.824390815370194</v>
      </c>
      <c r="Q103" s="162">
        <f t="shared" si="17"/>
        <v>0</v>
      </c>
      <c r="R103" s="160">
        <f>IFERROR(VLOOKUP(C103,'Monthly Op &amp; Clo Stock (invoic)'!A:C,3,0),0)</f>
        <v>560</v>
      </c>
      <c r="S103" s="163">
        <f t="shared" si="18"/>
        <v>26.824390815370194</v>
      </c>
      <c r="T103" s="162">
        <f t="shared" si="19"/>
        <v>15021.658856607308</v>
      </c>
      <c r="U103" s="16"/>
      <c r="V103" s="71"/>
      <c r="W103" s="16"/>
    </row>
    <row r="104" spans="1:23">
      <c r="A104" s="35"/>
      <c r="B104" s="35" t="s">
        <v>183</v>
      </c>
      <c r="C104" s="157">
        <v>229899</v>
      </c>
      <c r="D104" s="157" t="s">
        <v>676</v>
      </c>
      <c r="E104" s="36" t="s">
        <v>677</v>
      </c>
      <c r="F104" s="98">
        <v>6500</v>
      </c>
      <c r="G104" s="158">
        <v>4.0504226563082311</v>
      </c>
      <c r="H104" s="115">
        <f t="shared" si="10"/>
        <v>26327.747266003502</v>
      </c>
      <c r="I104" s="159">
        <f>SUMIFS(Arrival!M:M,Arrival!K:K,'Stock statement'!$C104)</f>
        <v>0</v>
      </c>
      <c r="J104" s="160">
        <f t="shared" si="11"/>
        <v>0</v>
      </c>
      <c r="K104" s="160">
        <f>SUMIFS(Arrival!R:R,Arrival!K:K,'Stock statement'!$C104)</f>
        <v>0</v>
      </c>
      <c r="L104" s="160">
        <f t="shared" si="12"/>
        <v>6500</v>
      </c>
      <c r="M104" s="160">
        <f t="shared" si="13"/>
        <v>4.0504226563082311</v>
      </c>
      <c r="N104" s="161">
        <f t="shared" si="14"/>
        <v>26327.747266003502</v>
      </c>
      <c r="O104" s="159">
        <f t="shared" si="15"/>
        <v>0</v>
      </c>
      <c r="P104" s="162">
        <f t="shared" si="16"/>
        <v>4.0504226563082311</v>
      </c>
      <c r="Q104" s="162">
        <f t="shared" si="17"/>
        <v>0</v>
      </c>
      <c r="R104" s="160">
        <f>IFERROR(VLOOKUP(C104,'Monthly Op &amp; Clo Stock (invoic)'!A:C,3,0),0)</f>
        <v>6500</v>
      </c>
      <c r="S104" s="163">
        <f t="shared" si="18"/>
        <v>4.0504226563082311</v>
      </c>
      <c r="T104" s="162">
        <f t="shared" si="19"/>
        <v>26327.747266003502</v>
      </c>
      <c r="U104" s="16"/>
      <c r="V104" s="71"/>
      <c r="W104" s="16"/>
    </row>
    <row r="105" spans="1:23">
      <c r="A105" s="35"/>
      <c r="B105" s="35" t="s">
        <v>183</v>
      </c>
      <c r="C105" s="157">
        <v>229900</v>
      </c>
      <c r="D105" s="157" t="s">
        <v>678</v>
      </c>
      <c r="E105" s="36" t="s">
        <v>679</v>
      </c>
      <c r="F105" s="98">
        <v>4000</v>
      </c>
      <c r="G105" s="158">
        <v>1.8057114032233634</v>
      </c>
      <c r="H105" s="115">
        <f t="shared" si="10"/>
        <v>7222.845612893454</v>
      </c>
      <c r="I105" s="159">
        <f>SUMIFS(Arrival!M:M,Arrival!K:K,'Stock statement'!$C105)</f>
        <v>0</v>
      </c>
      <c r="J105" s="160">
        <f t="shared" si="11"/>
        <v>0</v>
      </c>
      <c r="K105" s="160">
        <f>SUMIFS(Arrival!R:R,Arrival!K:K,'Stock statement'!$C105)</f>
        <v>0</v>
      </c>
      <c r="L105" s="160">
        <f t="shared" si="12"/>
        <v>4000</v>
      </c>
      <c r="M105" s="160">
        <f t="shared" si="13"/>
        <v>1.8057114032233634</v>
      </c>
      <c r="N105" s="161">
        <f t="shared" si="14"/>
        <v>7222.845612893454</v>
      </c>
      <c r="O105" s="159">
        <f t="shared" si="15"/>
        <v>0</v>
      </c>
      <c r="P105" s="162">
        <f t="shared" si="16"/>
        <v>1.8057114032233634</v>
      </c>
      <c r="Q105" s="162">
        <f t="shared" si="17"/>
        <v>0</v>
      </c>
      <c r="R105" s="160">
        <f>IFERROR(VLOOKUP(C105,'Monthly Op &amp; Clo Stock (invoic)'!A:C,3,0),0)</f>
        <v>4000</v>
      </c>
      <c r="S105" s="163">
        <f t="shared" si="18"/>
        <v>1.8057114032233634</v>
      </c>
      <c r="T105" s="162">
        <f t="shared" si="19"/>
        <v>7222.845612893454</v>
      </c>
      <c r="U105" s="16"/>
      <c r="V105" s="71"/>
      <c r="W105" s="16"/>
    </row>
    <row r="106" spans="1:23">
      <c r="A106" s="35"/>
      <c r="B106" s="35" t="s">
        <v>183</v>
      </c>
      <c r="C106" s="157">
        <v>229901</v>
      </c>
      <c r="D106" s="157" t="s">
        <v>680</v>
      </c>
      <c r="E106" s="36" t="s">
        <v>681</v>
      </c>
      <c r="F106" s="98">
        <v>4500</v>
      </c>
      <c r="G106" s="158">
        <v>1.5081897488876137</v>
      </c>
      <c r="H106" s="115">
        <f t="shared" si="10"/>
        <v>6786.8538699942619</v>
      </c>
      <c r="I106" s="159">
        <f>SUMIFS(Arrival!M:M,Arrival!K:K,'Stock statement'!$C106)</f>
        <v>0</v>
      </c>
      <c r="J106" s="160">
        <f t="shared" si="11"/>
        <v>0</v>
      </c>
      <c r="K106" s="160">
        <f>SUMIFS(Arrival!R:R,Arrival!K:K,'Stock statement'!$C106)</f>
        <v>0</v>
      </c>
      <c r="L106" s="160">
        <f t="shared" si="12"/>
        <v>4500</v>
      </c>
      <c r="M106" s="160">
        <f t="shared" si="13"/>
        <v>1.5081897488876137</v>
      </c>
      <c r="N106" s="161">
        <f t="shared" si="14"/>
        <v>6786.8538699942619</v>
      </c>
      <c r="O106" s="159">
        <f t="shared" si="15"/>
        <v>0</v>
      </c>
      <c r="P106" s="162">
        <f t="shared" si="16"/>
        <v>1.5081897488876137</v>
      </c>
      <c r="Q106" s="162">
        <f t="shared" si="17"/>
        <v>0</v>
      </c>
      <c r="R106" s="160">
        <f>IFERROR(VLOOKUP(C106,'Monthly Op &amp; Clo Stock (invoic)'!A:C,3,0),0)</f>
        <v>4500</v>
      </c>
      <c r="S106" s="163">
        <f t="shared" si="18"/>
        <v>1.5081897488876137</v>
      </c>
      <c r="T106" s="162">
        <f t="shared" si="19"/>
        <v>6786.8538699942619</v>
      </c>
      <c r="U106" s="16"/>
      <c r="V106" s="71"/>
      <c r="W106" s="16"/>
    </row>
    <row r="107" spans="1:23">
      <c r="A107" s="35"/>
      <c r="B107" s="35" t="s">
        <v>183</v>
      </c>
      <c r="C107" s="157">
        <v>230225</v>
      </c>
      <c r="D107" s="157" t="s">
        <v>290</v>
      </c>
      <c r="E107" s="36" t="s">
        <v>682</v>
      </c>
      <c r="F107" s="98">
        <v>1180</v>
      </c>
      <c r="G107" s="158">
        <v>24.692365269461074</v>
      </c>
      <c r="H107" s="115">
        <f t="shared" si="10"/>
        <v>29136.991017964068</v>
      </c>
      <c r="I107" s="159">
        <f>SUMIFS(Arrival!M:M,Arrival!K:K,'Stock statement'!$C107)</f>
        <v>0</v>
      </c>
      <c r="J107" s="160">
        <f t="shared" si="11"/>
        <v>0</v>
      </c>
      <c r="K107" s="160">
        <f>SUMIFS(Arrival!R:R,Arrival!K:K,'Stock statement'!$C107)</f>
        <v>0</v>
      </c>
      <c r="L107" s="160">
        <f t="shared" si="12"/>
        <v>1180</v>
      </c>
      <c r="M107" s="160">
        <f t="shared" si="13"/>
        <v>24.692365269461074</v>
      </c>
      <c r="N107" s="161">
        <f t="shared" si="14"/>
        <v>29136.991017964068</v>
      </c>
      <c r="O107" s="159">
        <f t="shared" si="15"/>
        <v>0</v>
      </c>
      <c r="P107" s="162">
        <f t="shared" si="16"/>
        <v>24.692365269461074</v>
      </c>
      <c r="Q107" s="162">
        <f t="shared" si="17"/>
        <v>0</v>
      </c>
      <c r="R107" s="160">
        <f>IFERROR(VLOOKUP(C107,'Monthly Op &amp; Clo Stock (invoic)'!A:C,3,0),0)</f>
        <v>1180</v>
      </c>
      <c r="S107" s="163">
        <f t="shared" si="18"/>
        <v>24.692365269461074</v>
      </c>
      <c r="T107" s="162">
        <f t="shared" si="19"/>
        <v>29136.991017964068</v>
      </c>
      <c r="U107" s="16"/>
      <c r="V107" s="71"/>
      <c r="W107" s="16"/>
    </row>
    <row r="108" spans="1:23">
      <c r="A108" s="35"/>
      <c r="B108" s="35" t="s">
        <v>183</v>
      </c>
      <c r="C108" s="157">
        <v>229898</v>
      </c>
      <c r="D108" s="157" t="s">
        <v>294</v>
      </c>
      <c r="E108" s="36" t="s">
        <v>683</v>
      </c>
      <c r="F108" s="98">
        <v>13500</v>
      </c>
      <c r="G108" s="158">
        <v>3.5590061241147728</v>
      </c>
      <c r="H108" s="115">
        <f t="shared" si="10"/>
        <v>48046.582675549434</v>
      </c>
      <c r="I108" s="159">
        <f>SUMIFS(Arrival!M:M,Arrival!K:K,'Stock statement'!$C108)</f>
        <v>0</v>
      </c>
      <c r="J108" s="160">
        <f t="shared" si="11"/>
        <v>0</v>
      </c>
      <c r="K108" s="160">
        <f>SUMIFS(Arrival!R:R,Arrival!K:K,'Stock statement'!$C108)</f>
        <v>0</v>
      </c>
      <c r="L108" s="160">
        <f t="shared" si="12"/>
        <v>13500</v>
      </c>
      <c r="M108" s="160">
        <f t="shared" si="13"/>
        <v>3.5590061241147728</v>
      </c>
      <c r="N108" s="161">
        <f t="shared" si="14"/>
        <v>48046.582675549434</v>
      </c>
      <c r="O108" s="159">
        <f t="shared" si="15"/>
        <v>0</v>
      </c>
      <c r="P108" s="162">
        <f t="shared" si="16"/>
        <v>3.5590061241147728</v>
      </c>
      <c r="Q108" s="162">
        <f t="shared" si="17"/>
        <v>0</v>
      </c>
      <c r="R108" s="160">
        <f>IFERROR(VLOOKUP(C108,'Monthly Op &amp; Clo Stock (invoic)'!A:C,3,0),0)</f>
        <v>13500</v>
      </c>
      <c r="S108" s="163">
        <f t="shared" si="18"/>
        <v>3.5590061241147728</v>
      </c>
      <c r="T108" s="162">
        <f t="shared" si="19"/>
        <v>48046.582675549434</v>
      </c>
      <c r="U108" s="16"/>
      <c r="V108" s="71"/>
      <c r="W108" s="16"/>
    </row>
    <row r="109" spans="1:23">
      <c r="A109" s="35"/>
      <c r="B109" s="35" t="s">
        <v>183</v>
      </c>
      <c r="C109" s="157">
        <v>230223</v>
      </c>
      <c r="D109" s="157" t="s">
        <v>296</v>
      </c>
      <c r="E109" s="36" t="s">
        <v>684</v>
      </c>
      <c r="F109" s="98">
        <v>19000</v>
      </c>
      <c r="G109" s="158">
        <v>1.2029985604933282</v>
      </c>
      <c r="H109" s="115">
        <f t="shared" si="10"/>
        <v>22856.972649373234</v>
      </c>
      <c r="I109" s="159">
        <f>SUMIFS(Arrival!M:M,Arrival!K:K,'Stock statement'!$C109)</f>
        <v>0</v>
      </c>
      <c r="J109" s="160">
        <f t="shared" si="11"/>
        <v>0</v>
      </c>
      <c r="K109" s="160">
        <f>SUMIFS(Arrival!R:R,Arrival!K:K,'Stock statement'!$C109)</f>
        <v>0</v>
      </c>
      <c r="L109" s="160">
        <f t="shared" si="12"/>
        <v>19000</v>
      </c>
      <c r="M109" s="160">
        <f t="shared" si="13"/>
        <v>1.2029985604933282</v>
      </c>
      <c r="N109" s="161">
        <f t="shared" si="14"/>
        <v>22856.972649373234</v>
      </c>
      <c r="O109" s="159">
        <f t="shared" si="15"/>
        <v>5000</v>
      </c>
      <c r="P109" s="162">
        <f t="shared" si="16"/>
        <v>1.2029985604933282</v>
      </c>
      <c r="Q109" s="162">
        <f t="shared" si="17"/>
        <v>6014.9928024666415</v>
      </c>
      <c r="R109" s="160">
        <f>IFERROR(VLOOKUP(C109,'Monthly Op &amp; Clo Stock (invoic)'!A:C,3,0),0)</f>
        <v>14000</v>
      </c>
      <c r="S109" s="163">
        <f t="shared" si="18"/>
        <v>1.2029985604933282</v>
      </c>
      <c r="T109" s="162">
        <f t="shared" si="19"/>
        <v>16841.979846906594</v>
      </c>
      <c r="U109" s="16"/>
      <c r="V109" s="71"/>
      <c r="W109" s="16"/>
    </row>
    <row r="110" spans="1:23">
      <c r="A110" s="35"/>
      <c r="B110" s="35" t="s">
        <v>183</v>
      </c>
      <c r="C110" s="157">
        <v>230224</v>
      </c>
      <c r="D110" s="157" t="s">
        <v>298</v>
      </c>
      <c r="E110" s="36" t="s">
        <v>685</v>
      </c>
      <c r="F110" s="98">
        <v>22500</v>
      </c>
      <c r="G110" s="158">
        <v>0.91008493081490049</v>
      </c>
      <c r="H110" s="115">
        <f t="shared" si="10"/>
        <v>20476.910943335261</v>
      </c>
      <c r="I110" s="159">
        <f>SUMIFS(Arrival!M:M,Arrival!K:K,'Stock statement'!$C110)</f>
        <v>0</v>
      </c>
      <c r="J110" s="160">
        <f t="shared" si="11"/>
        <v>0</v>
      </c>
      <c r="K110" s="160">
        <f>SUMIFS(Arrival!R:R,Arrival!K:K,'Stock statement'!$C110)</f>
        <v>0</v>
      </c>
      <c r="L110" s="160">
        <f t="shared" si="12"/>
        <v>22500</v>
      </c>
      <c r="M110" s="160">
        <f t="shared" si="13"/>
        <v>0.91008493081490049</v>
      </c>
      <c r="N110" s="161">
        <f t="shared" si="14"/>
        <v>20476.910943335261</v>
      </c>
      <c r="O110" s="159">
        <f t="shared" si="15"/>
        <v>5500</v>
      </c>
      <c r="P110" s="162">
        <f t="shared" si="16"/>
        <v>0.91008493081490049</v>
      </c>
      <c r="Q110" s="162">
        <f t="shared" si="17"/>
        <v>5005.467119481953</v>
      </c>
      <c r="R110" s="160">
        <f>IFERROR(VLOOKUP(C110,'Monthly Op &amp; Clo Stock (invoic)'!A:C,3,0),0)</f>
        <v>17000</v>
      </c>
      <c r="S110" s="163">
        <f t="shared" si="18"/>
        <v>0.91008493081490049</v>
      </c>
      <c r="T110" s="162">
        <f t="shared" si="19"/>
        <v>15471.443823853308</v>
      </c>
      <c r="U110" s="16"/>
      <c r="V110" s="71"/>
      <c r="W110" s="16"/>
    </row>
    <row r="111" spans="1:23">
      <c r="A111" s="35"/>
      <c r="B111" s="35" t="s">
        <v>183</v>
      </c>
      <c r="C111" s="157">
        <v>229919</v>
      </c>
      <c r="D111" s="157" t="s">
        <v>292</v>
      </c>
      <c r="E111" s="36" t="s">
        <v>686</v>
      </c>
      <c r="F111" s="98">
        <v>8100</v>
      </c>
      <c r="G111" s="158">
        <v>3.1261620977354001</v>
      </c>
      <c r="H111" s="115">
        <f t="shared" si="10"/>
        <v>25321.91299165674</v>
      </c>
      <c r="I111" s="159">
        <f>SUMIFS(Arrival!M:M,Arrival!K:K,'Stock statement'!$C111)</f>
        <v>0</v>
      </c>
      <c r="J111" s="160">
        <f t="shared" si="11"/>
        <v>0</v>
      </c>
      <c r="K111" s="160">
        <f>SUMIFS(Arrival!R:R,Arrival!K:K,'Stock statement'!$C111)</f>
        <v>0</v>
      </c>
      <c r="L111" s="160">
        <f t="shared" si="12"/>
        <v>8100</v>
      </c>
      <c r="M111" s="160">
        <f t="shared" si="13"/>
        <v>3.1261620977354001</v>
      </c>
      <c r="N111" s="161">
        <f t="shared" si="14"/>
        <v>25321.91299165674</v>
      </c>
      <c r="O111" s="159">
        <f t="shared" si="15"/>
        <v>0</v>
      </c>
      <c r="P111" s="162">
        <f t="shared" si="16"/>
        <v>3.1261620977354001</v>
      </c>
      <c r="Q111" s="162">
        <f t="shared" si="17"/>
        <v>0</v>
      </c>
      <c r="R111" s="160">
        <f>IFERROR(VLOOKUP(C111,'Monthly Op &amp; Clo Stock (invoic)'!A:C,3,0),0)</f>
        <v>8100</v>
      </c>
      <c r="S111" s="163">
        <f t="shared" si="18"/>
        <v>3.1261620977354001</v>
      </c>
      <c r="T111" s="162">
        <f t="shared" si="19"/>
        <v>25321.91299165674</v>
      </c>
      <c r="U111" s="16"/>
      <c r="V111" s="71"/>
      <c r="W111" s="16"/>
    </row>
    <row r="112" spans="1:23">
      <c r="A112" s="35"/>
      <c r="B112" s="35" t="s">
        <v>183</v>
      </c>
      <c r="C112" s="157">
        <v>229918</v>
      </c>
      <c r="D112" s="157" t="s">
        <v>687</v>
      </c>
      <c r="E112" s="36" t="s">
        <v>688</v>
      </c>
      <c r="F112" s="98">
        <v>0</v>
      </c>
      <c r="G112" s="158">
        <v>0</v>
      </c>
      <c r="H112" s="115">
        <f t="shared" si="10"/>
        <v>0</v>
      </c>
      <c r="I112" s="159">
        <f>SUMIFS(Arrival!M:M,Arrival!K:K,'Stock statement'!$C112)</f>
        <v>0</v>
      </c>
      <c r="J112" s="160">
        <f t="shared" si="11"/>
        <v>0</v>
      </c>
      <c r="K112" s="160">
        <f>SUMIFS(Arrival!R:R,Arrival!K:K,'Stock statement'!$C112)</f>
        <v>0</v>
      </c>
      <c r="L112" s="160">
        <f t="shared" si="12"/>
        <v>0</v>
      </c>
      <c r="M112" s="160">
        <f t="shared" si="13"/>
        <v>0</v>
      </c>
      <c r="N112" s="161">
        <f t="shared" si="14"/>
        <v>0</v>
      </c>
      <c r="O112" s="159">
        <f t="shared" si="15"/>
        <v>0</v>
      </c>
      <c r="P112" s="162">
        <f t="shared" si="16"/>
        <v>0</v>
      </c>
      <c r="Q112" s="162">
        <f t="shared" si="17"/>
        <v>0</v>
      </c>
      <c r="R112" s="160">
        <f>IFERROR(VLOOKUP(C112,'Monthly Op &amp; Clo Stock (invoic)'!A:C,3,0),0)</f>
        <v>0</v>
      </c>
      <c r="S112" s="163">
        <f t="shared" si="18"/>
        <v>0</v>
      </c>
      <c r="T112" s="162">
        <f t="shared" si="19"/>
        <v>0</v>
      </c>
      <c r="U112" s="16"/>
      <c r="V112" s="71"/>
      <c r="W112" s="16"/>
    </row>
    <row r="113" spans="1:23">
      <c r="A113" s="35"/>
      <c r="B113" s="35" t="s">
        <v>183</v>
      </c>
      <c r="C113" s="157">
        <v>225004</v>
      </c>
      <c r="D113" s="157" t="s">
        <v>689</v>
      </c>
      <c r="E113" s="36" t="s">
        <v>690</v>
      </c>
      <c r="F113" s="98">
        <v>19500</v>
      </c>
      <c r="G113" s="158">
        <v>1.1774993220645398</v>
      </c>
      <c r="H113" s="115">
        <f t="shared" si="10"/>
        <v>22961.236780258525</v>
      </c>
      <c r="I113" s="159">
        <f>SUMIFS(Arrival!M:M,Arrival!K:K,'Stock statement'!$C113)</f>
        <v>0</v>
      </c>
      <c r="J113" s="160">
        <f t="shared" si="11"/>
        <v>0</v>
      </c>
      <c r="K113" s="160">
        <f>SUMIFS(Arrival!R:R,Arrival!K:K,'Stock statement'!$C113)</f>
        <v>0</v>
      </c>
      <c r="L113" s="160">
        <f t="shared" si="12"/>
        <v>19500</v>
      </c>
      <c r="M113" s="160">
        <f t="shared" si="13"/>
        <v>1.1774993220645398</v>
      </c>
      <c r="N113" s="161">
        <f t="shared" si="14"/>
        <v>22961.236780258525</v>
      </c>
      <c r="O113" s="159">
        <f t="shared" si="15"/>
        <v>0</v>
      </c>
      <c r="P113" s="162">
        <f t="shared" si="16"/>
        <v>1.1774993220645398</v>
      </c>
      <c r="Q113" s="162">
        <f t="shared" si="17"/>
        <v>0</v>
      </c>
      <c r="R113" s="160">
        <f>IFERROR(VLOOKUP(C113,'Monthly Op &amp; Clo Stock (invoic)'!A:C,3,0),0)</f>
        <v>19500</v>
      </c>
      <c r="S113" s="163">
        <f t="shared" si="18"/>
        <v>1.1774993220645398</v>
      </c>
      <c r="T113" s="162">
        <f t="shared" si="19"/>
        <v>22961.236780258525</v>
      </c>
      <c r="U113" s="16"/>
      <c r="V113" s="71"/>
      <c r="W113" s="16"/>
    </row>
    <row r="114" spans="1:23">
      <c r="A114" s="35"/>
      <c r="B114" s="35" t="s">
        <v>183</v>
      </c>
      <c r="C114" s="157">
        <v>225005</v>
      </c>
      <c r="D114" s="157" t="s">
        <v>691</v>
      </c>
      <c r="E114" s="36" t="s">
        <v>692</v>
      </c>
      <c r="F114" s="98">
        <v>19500</v>
      </c>
      <c r="G114" s="158">
        <v>0.88830889594047491</v>
      </c>
      <c r="H114" s="115">
        <f t="shared" si="10"/>
        <v>17322.02347083926</v>
      </c>
      <c r="I114" s="159">
        <f>SUMIFS(Arrival!M:M,Arrival!K:K,'Stock statement'!$C114)</f>
        <v>0</v>
      </c>
      <c r="J114" s="160">
        <f t="shared" si="11"/>
        <v>0</v>
      </c>
      <c r="K114" s="160">
        <f>SUMIFS(Arrival!R:R,Arrival!K:K,'Stock statement'!$C114)</f>
        <v>0</v>
      </c>
      <c r="L114" s="160">
        <f t="shared" si="12"/>
        <v>19500</v>
      </c>
      <c r="M114" s="160">
        <f t="shared" si="13"/>
        <v>0.88830889594047491</v>
      </c>
      <c r="N114" s="161">
        <f t="shared" si="14"/>
        <v>17322.02347083926</v>
      </c>
      <c r="O114" s="159">
        <f t="shared" si="15"/>
        <v>0</v>
      </c>
      <c r="P114" s="162">
        <f t="shared" si="16"/>
        <v>0.88830889594047491</v>
      </c>
      <c r="Q114" s="162">
        <f t="shared" si="17"/>
        <v>0</v>
      </c>
      <c r="R114" s="160">
        <f>IFERROR(VLOOKUP(C114,'Monthly Op &amp; Clo Stock (invoic)'!A:C,3,0),0)</f>
        <v>19500</v>
      </c>
      <c r="S114" s="163">
        <f t="shared" si="18"/>
        <v>0.88830889594047491</v>
      </c>
      <c r="T114" s="162">
        <f t="shared" si="19"/>
        <v>17322.02347083926</v>
      </c>
      <c r="U114" s="16"/>
      <c r="V114" s="71"/>
      <c r="W114" s="16"/>
    </row>
    <row r="115" spans="1:23">
      <c r="A115" s="35"/>
      <c r="B115" s="35" t="s">
        <v>183</v>
      </c>
      <c r="C115" s="157">
        <v>229841</v>
      </c>
      <c r="D115" s="157" t="s">
        <v>300</v>
      </c>
      <c r="E115" s="36" t="s">
        <v>693</v>
      </c>
      <c r="F115" s="98">
        <v>270</v>
      </c>
      <c r="G115" s="158">
        <v>24.745652173913044</v>
      </c>
      <c r="H115" s="115">
        <f t="shared" si="10"/>
        <v>6681.326086956522</v>
      </c>
      <c r="I115" s="159">
        <f>SUMIFS(Arrival!M:M,Arrival!K:K,'Stock statement'!$C115)</f>
        <v>0</v>
      </c>
      <c r="J115" s="160">
        <f t="shared" si="11"/>
        <v>0</v>
      </c>
      <c r="K115" s="160">
        <f>SUMIFS(Arrival!R:R,Arrival!K:K,'Stock statement'!$C115)</f>
        <v>0</v>
      </c>
      <c r="L115" s="160">
        <f t="shared" si="12"/>
        <v>270</v>
      </c>
      <c r="M115" s="160">
        <f t="shared" si="13"/>
        <v>24.745652173913044</v>
      </c>
      <c r="N115" s="161">
        <f t="shared" si="14"/>
        <v>6681.326086956522</v>
      </c>
      <c r="O115" s="159">
        <f t="shared" si="15"/>
        <v>0</v>
      </c>
      <c r="P115" s="162">
        <f t="shared" si="16"/>
        <v>24.745652173913044</v>
      </c>
      <c r="Q115" s="162">
        <f t="shared" si="17"/>
        <v>0</v>
      </c>
      <c r="R115" s="160">
        <f>IFERROR(VLOOKUP(C115,'Monthly Op &amp; Clo Stock (invoic)'!A:C,3,0),0)</f>
        <v>270</v>
      </c>
      <c r="S115" s="163">
        <f t="shared" si="18"/>
        <v>24.745652173913044</v>
      </c>
      <c r="T115" s="162">
        <f t="shared" si="19"/>
        <v>6681.326086956522</v>
      </c>
      <c r="U115" s="16"/>
      <c r="V115" s="71"/>
      <c r="W115" s="16"/>
    </row>
    <row r="116" spans="1:23">
      <c r="A116" s="35"/>
      <c r="B116" s="35" t="s">
        <v>183</v>
      </c>
      <c r="C116" s="157">
        <v>221882</v>
      </c>
      <c r="D116" s="157" t="s">
        <v>468</v>
      </c>
      <c r="E116" s="36" t="s">
        <v>469</v>
      </c>
      <c r="F116" s="98">
        <v>0</v>
      </c>
      <c r="G116" s="158">
        <v>0</v>
      </c>
      <c r="H116" s="115">
        <f t="shared" si="10"/>
        <v>0</v>
      </c>
      <c r="I116" s="159">
        <f>SUMIFS(Arrival!M:M,Arrival!K:K,'Stock statement'!$C116)</f>
        <v>0</v>
      </c>
      <c r="J116" s="160">
        <f t="shared" si="11"/>
        <v>0</v>
      </c>
      <c r="K116" s="160">
        <f>SUMIFS(Arrival!R:R,Arrival!K:K,'Stock statement'!$C116)</f>
        <v>0</v>
      </c>
      <c r="L116" s="160">
        <f t="shared" si="12"/>
        <v>0</v>
      </c>
      <c r="M116" s="160">
        <f t="shared" si="13"/>
        <v>0</v>
      </c>
      <c r="N116" s="161">
        <f t="shared" si="14"/>
        <v>0</v>
      </c>
      <c r="O116" s="159">
        <f t="shared" si="15"/>
        <v>0</v>
      </c>
      <c r="P116" s="162">
        <f t="shared" si="16"/>
        <v>0</v>
      </c>
      <c r="Q116" s="162">
        <f t="shared" si="17"/>
        <v>0</v>
      </c>
      <c r="R116" s="160">
        <f>IFERROR(VLOOKUP(C116,'Monthly Op &amp; Clo Stock (invoic)'!A:C,3,0),0)</f>
        <v>0</v>
      </c>
      <c r="S116" s="163">
        <f t="shared" si="18"/>
        <v>0</v>
      </c>
      <c r="T116" s="162">
        <f t="shared" si="19"/>
        <v>0</v>
      </c>
      <c r="U116" s="16"/>
      <c r="V116" s="71"/>
      <c r="W116" s="16"/>
    </row>
    <row r="117" spans="1:23">
      <c r="A117" s="35"/>
      <c r="B117" s="35" t="s">
        <v>183</v>
      </c>
      <c r="C117" s="157">
        <v>211680</v>
      </c>
      <c r="D117" s="157" t="s">
        <v>330</v>
      </c>
      <c r="E117" s="36" t="s">
        <v>694</v>
      </c>
      <c r="F117" s="98">
        <v>5250</v>
      </c>
      <c r="G117" s="158">
        <v>3.9657155537658859</v>
      </c>
      <c r="H117" s="115">
        <f t="shared" si="10"/>
        <v>20820.0066572709</v>
      </c>
      <c r="I117" s="159">
        <f>SUMIFS(Arrival!M:M,Arrival!K:K,'Stock statement'!$C117)</f>
        <v>0</v>
      </c>
      <c r="J117" s="160">
        <f t="shared" si="11"/>
        <v>0</v>
      </c>
      <c r="K117" s="160">
        <f>SUMIFS(Arrival!R:R,Arrival!K:K,'Stock statement'!$C117)</f>
        <v>0</v>
      </c>
      <c r="L117" s="160">
        <f t="shared" si="12"/>
        <v>5250</v>
      </c>
      <c r="M117" s="160">
        <f t="shared" si="13"/>
        <v>3.9657155537658859</v>
      </c>
      <c r="N117" s="161">
        <f t="shared" si="14"/>
        <v>20820.0066572709</v>
      </c>
      <c r="O117" s="159">
        <f t="shared" si="15"/>
        <v>5250</v>
      </c>
      <c r="P117" s="162">
        <f t="shared" si="16"/>
        <v>3.9657155537658859</v>
      </c>
      <c r="Q117" s="162">
        <f t="shared" si="17"/>
        <v>20820.0066572709</v>
      </c>
      <c r="R117" s="160">
        <f>IFERROR(VLOOKUP(C117,'Monthly Op &amp; Clo Stock (invoic)'!A:C,3,0),0)</f>
        <v>0</v>
      </c>
      <c r="S117" s="163">
        <f t="shared" si="18"/>
        <v>3.9657155537658859</v>
      </c>
      <c r="T117" s="162">
        <f t="shared" si="19"/>
        <v>0</v>
      </c>
      <c r="U117" s="16"/>
      <c r="V117" s="71"/>
      <c r="W117" s="16"/>
    </row>
    <row r="118" spans="1:23">
      <c r="A118" s="35"/>
      <c r="B118" s="35" t="s">
        <v>183</v>
      </c>
      <c r="C118" s="157">
        <v>211683</v>
      </c>
      <c r="D118" s="157" t="s">
        <v>332</v>
      </c>
      <c r="E118" s="36" t="s">
        <v>695</v>
      </c>
      <c r="F118" s="98">
        <v>29000</v>
      </c>
      <c r="G118" s="158">
        <v>1.6852</v>
      </c>
      <c r="H118" s="115">
        <f t="shared" si="10"/>
        <v>48870.8</v>
      </c>
      <c r="I118" s="159">
        <f>SUMIFS(Arrival!M:M,Arrival!K:K,'Stock statement'!$C118)</f>
        <v>0</v>
      </c>
      <c r="J118" s="160">
        <f t="shared" si="11"/>
        <v>0</v>
      </c>
      <c r="K118" s="160">
        <f>SUMIFS(Arrival!R:R,Arrival!K:K,'Stock statement'!$C118)</f>
        <v>0</v>
      </c>
      <c r="L118" s="160">
        <f t="shared" si="12"/>
        <v>29000</v>
      </c>
      <c r="M118" s="160">
        <f t="shared" si="13"/>
        <v>1.6852</v>
      </c>
      <c r="N118" s="161">
        <f t="shared" si="14"/>
        <v>48870.8</v>
      </c>
      <c r="O118" s="159">
        <f t="shared" si="15"/>
        <v>2000</v>
      </c>
      <c r="P118" s="162">
        <f t="shared" si="16"/>
        <v>1.6852</v>
      </c>
      <c r="Q118" s="162">
        <f t="shared" si="17"/>
        <v>3370.4</v>
      </c>
      <c r="R118" s="160">
        <f>IFERROR(VLOOKUP(C118,'Monthly Op &amp; Clo Stock (invoic)'!A:C,3,0),0)</f>
        <v>27000</v>
      </c>
      <c r="S118" s="163">
        <f t="shared" si="18"/>
        <v>1.6852</v>
      </c>
      <c r="T118" s="162">
        <f t="shared" si="19"/>
        <v>45500.4</v>
      </c>
      <c r="U118" s="16"/>
      <c r="V118" s="71"/>
      <c r="W118" s="16"/>
    </row>
    <row r="119" spans="1:23">
      <c r="A119" s="35"/>
      <c r="B119" s="35" t="s">
        <v>183</v>
      </c>
      <c r="C119" s="157">
        <v>211686</v>
      </c>
      <c r="D119" s="157" t="s">
        <v>334</v>
      </c>
      <c r="E119" s="36" t="s">
        <v>696</v>
      </c>
      <c r="F119" s="98">
        <v>29000</v>
      </c>
      <c r="G119" s="158">
        <v>1.6852</v>
      </c>
      <c r="H119" s="115">
        <f t="shared" si="10"/>
        <v>48870.8</v>
      </c>
      <c r="I119" s="159">
        <f>SUMIFS(Arrival!M:M,Arrival!K:K,'Stock statement'!$C119)</f>
        <v>0</v>
      </c>
      <c r="J119" s="160">
        <f t="shared" si="11"/>
        <v>0</v>
      </c>
      <c r="K119" s="160">
        <f>SUMIFS(Arrival!R:R,Arrival!K:K,'Stock statement'!$C119)</f>
        <v>0</v>
      </c>
      <c r="L119" s="160">
        <f t="shared" si="12"/>
        <v>29000</v>
      </c>
      <c r="M119" s="160">
        <f t="shared" si="13"/>
        <v>1.6852</v>
      </c>
      <c r="N119" s="161">
        <f t="shared" si="14"/>
        <v>48870.8</v>
      </c>
      <c r="O119" s="159">
        <f t="shared" si="15"/>
        <v>5500</v>
      </c>
      <c r="P119" s="162">
        <f t="shared" si="16"/>
        <v>1.6852</v>
      </c>
      <c r="Q119" s="162">
        <f t="shared" si="17"/>
        <v>9268.6</v>
      </c>
      <c r="R119" s="160">
        <f>IFERROR(VLOOKUP(C119,'Monthly Op &amp; Clo Stock (invoic)'!A:C,3,0),0)</f>
        <v>23500</v>
      </c>
      <c r="S119" s="163">
        <f t="shared" si="18"/>
        <v>1.6852</v>
      </c>
      <c r="T119" s="162">
        <f t="shared" si="19"/>
        <v>39602.200000000004</v>
      </c>
      <c r="U119" s="16"/>
      <c r="V119" s="71"/>
      <c r="W119" s="16"/>
    </row>
    <row r="120" spans="1:23">
      <c r="A120" s="35"/>
      <c r="B120" s="35" t="s">
        <v>183</v>
      </c>
      <c r="C120" s="157">
        <v>211681</v>
      </c>
      <c r="D120" s="157" t="s">
        <v>697</v>
      </c>
      <c r="E120" s="36" t="s">
        <v>698</v>
      </c>
      <c r="F120" s="98">
        <v>0</v>
      </c>
      <c r="G120" s="158">
        <v>0</v>
      </c>
      <c r="H120" s="115">
        <f t="shared" si="10"/>
        <v>0</v>
      </c>
      <c r="I120" s="159">
        <f>SUMIFS(Arrival!M:M,Arrival!K:K,'Stock statement'!$C120)</f>
        <v>0</v>
      </c>
      <c r="J120" s="160">
        <f t="shared" si="11"/>
        <v>0</v>
      </c>
      <c r="K120" s="160">
        <f>SUMIFS(Arrival!R:R,Arrival!K:K,'Stock statement'!$C120)</f>
        <v>0</v>
      </c>
      <c r="L120" s="160">
        <f t="shared" si="12"/>
        <v>0</v>
      </c>
      <c r="M120" s="160">
        <f t="shared" si="13"/>
        <v>0</v>
      </c>
      <c r="N120" s="161">
        <f t="shared" si="14"/>
        <v>0</v>
      </c>
      <c r="O120" s="159">
        <f t="shared" si="15"/>
        <v>0</v>
      </c>
      <c r="P120" s="162">
        <f t="shared" si="16"/>
        <v>0</v>
      </c>
      <c r="Q120" s="162">
        <f t="shared" si="17"/>
        <v>0</v>
      </c>
      <c r="R120" s="160">
        <f>IFERROR(VLOOKUP(C120,'Monthly Op &amp; Clo Stock (invoic)'!A:C,3,0),0)</f>
        <v>0</v>
      </c>
      <c r="S120" s="163">
        <f t="shared" si="18"/>
        <v>0</v>
      </c>
      <c r="T120" s="162">
        <f t="shared" si="19"/>
        <v>0</v>
      </c>
      <c r="U120" s="16"/>
      <c r="V120" s="71"/>
      <c r="W120" s="16"/>
    </row>
    <row r="121" spans="1:23">
      <c r="A121" s="35"/>
      <c r="B121" s="35" t="s">
        <v>183</v>
      </c>
      <c r="C121" s="157">
        <v>211687</v>
      </c>
      <c r="D121" s="157" t="s">
        <v>328</v>
      </c>
      <c r="E121" s="36" t="s">
        <v>699</v>
      </c>
      <c r="F121" s="98">
        <v>355</v>
      </c>
      <c r="G121" s="158">
        <v>21.923237394385549</v>
      </c>
      <c r="H121" s="115">
        <f t="shared" si="10"/>
        <v>7782.7492750068695</v>
      </c>
      <c r="I121" s="159">
        <f>SUMIFS(Arrival!M:M,Arrival!K:K,'Stock statement'!$C121)</f>
        <v>0</v>
      </c>
      <c r="J121" s="160">
        <f t="shared" si="11"/>
        <v>0</v>
      </c>
      <c r="K121" s="160">
        <f>SUMIFS(Arrival!R:R,Arrival!K:K,'Stock statement'!$C121)</f>
        <v>0</v>
      </c>
      <c r="L121" s="160">
        <f t="shared" si="12"/>
        <v>355</v>
      </c>
      <c r="M121" s="160">
        <f t="shared" si="13"/>
        <v>21.923237394385549</v>
      </c>
      <c r="N121" s="161">
        <f t="shared" si="14"/>
        <v>7782.7492750068695</v>
      </c>
      <c r="O121" s="159">
        <f t="shared" si="15"/>
        <v>115</v>
      </c>
      <c r="P121" s="162">
        <f t="shared" si="16"/>
        <v>21.923237394385549</v>
      </c>
      <c r="Q121" s="162">
        <f t="shared" si="17"/>
        <v>2521.1723003543379</v>
      </c>
      <c r="R121" s="160">
        <f>IFERROR(VLOOKUP(C121,'Monthly Op &amp; Clo Stock (invoic)'!A:C,3,0),0)</f>
        <v>240</v>
      </c>
      <c r="S121" s="163">
        <f t="shared" si="18"/>
        <v>21.923237394385549</v>
      </c>
      <c r="T121" s="162">
        <f t="shared" si="19"/>
        <v>5261.576974652532</v>
      </c>
      <c r="U121" s="16"/>
      <c r="V121" s="71"/>
      <c r="W121" s="16"/>
    </row>
    <row r="122" spans="1:23">
      <c r="A122" s="35"/>
      <c r="B122" s="35" t="s">
        <v>183</v>
      </c>
      <c r="C122" s="157">
        <v>211675</v>
      </c>
      <c r="D122" s="157" t="s">
        <v>321</v>
      </c>
      <c r="E122" s="36" t="s">
        <v>322</v>
      </c>
      <c r="F122" s="98">
        <v>33750</v>
      </c>
      <c r="G122" s="158">
        <v>3.0960075845789552</v>
      </c>
      <c r="H122" s="115">
        <f t="shared" si="10"/>
        <v>104490.25597953974</v>
      </c>
      <c r="I122" s="159">
        <f>SUMIFS(Arrival!M:M,Arrival!K:K,'Stock statement'!$C122)</f>
        <v>0</v>
      </c>
      <c r="J122" s="160">
        <f t="shared" si="11"/>
        <v>0</v>
      </c>
      <c r="K122" s="160">
        <f>SUMIFS(Arrival!R:R,Arrival!K:K,'Stock statement'!$C122)</f>
        <v>0</v>
      </c>
      <c r="L122" s="160">
        <f t="shared" si="12"/>
        <v>33750</v>
      </c>
      <c r="M122" s="160">
        <f t="shared" si="13"/>
        <v>3.0960075845789552</v>
      </c>
      <c r="N122" s="161">
        <f t="shared" si="14"/>
        <v>104490.25597953974</v>
      </c>
      <c r="O122" s="159">
        <f t="shared" si="15"/>
        <v>12600</v>
      </c>
      <c r="P122" s="162">
        <f t="shared" si="16"/>
        <v>3.0960075845789552</v>
      </c>
      <c r="Q122" s="162">
        <f t="shared" si="17"/>
        <v>39009.695565694834</v>
      </c>
      <c r="R122" s="160">
        <f>IFERROR(VLOOKUP(C122,'Monthly Op &amp; Clo Stock (invoic)'!A:C,3,0),0)</f>
        <v>21150</v>
      </c>
      <c r="S122" s="163">
        <f t="shared" si="18"/>
        <v>3.0960075845789552</v>
      </c>
      <c r="T122" s="162">
        <f t="shared" si="19"/>
        <v>65480.560413844905</v>
      </c>
      <c r="U122" s="16"/>
      <c r="V122" s="71"/>
      <c r="W122" s="16"/>
    </row>
    <row r="123" spans="1:23">
      <c r="A123" s="35"/>
      <c r="B123" s="35" t="s">
        <v>183</v>
      </c>
      <c r="C123" s="157">
        <v>211682</v>
      </c>
      <c r="D123" s="157" t="s">
        <v>324</v>
      </c>
      <c r="E123" s="36" t="s">
        <v>700</v>
      </c>
      <c r="F123" s="98">
        <v>25000</v>
      </c>
      <c r="G123" s="158">
        <v>1.1997168865845851</v>
      </c>
      <c r="H123" s="115">
        <f t="shared" si="10"/>
        <v>29992.922164614629</v>
      </c>
      <c r="I123" s="159">
        <f>SUMIFS(Arrival!M:M,Arrival!K:K,'Stock statement'!$C123)</f>
        <v>0</v>
      </c>
      <c r="J123" s="160">
        <f t="shared" si="11"/>
        <v>0</v>
      </c>
      <c r="K123" s="160">
        <f>SUMIFS(Arrival!R:R,Arrival!K:K,'Stock statement'!$C123)</f>
        <v>0</v>
      </c>
      <c r="L123" s="160">
        <f t="shared" si="12"/>
        <v>25000</v>
      </c>
      <c r="M123" s="160">
        <f t="shared" si="13"/>
        <v>1.1997168865845851</v>
      </c>
      <c r="N123" s="161">
        <f t="shared" si="14"/>
        <v>29992.922164614629</v>
      </c>
      <c r="O123" s="159">
        <f t="shared" si="15"/>
        <v>15000</v>
      </c>
      <c r="P123" s="162">
        <f t="shared" si="16"/>
        <v>1.1997168865845851</v>
      </c>
      <c r="Q123" s="162">
        <f t="shared" si="17"/>
        <v>17995.753298768777</v>
      </c>
      <c r="R123" s="160">
        <f>IFERROR(VLOOKUP(C123,'Monthly Op &amp; Clo Stock (invoic)'!A:C,3,0),0)</f>
        <v>10000</v>
      </c>
      <c r="S123" s="163">
        <f t="shared" si="18"/>
        <v>1.1997168865845851</v>
      </c>
      <c r="T123" s="162">
        <f t="shared" si="19"/>
        <v>11997.168865845852</v>
      </c>
      <c r="U123" s="16"/>
      <c r="V123" s="71"/>
      <c r="W123" s="16"/>
    </row>
    <row r="124" spans="1:23">
      <c r="A124" s="35"/>
      <c r="B124" s="35" t="s">
        <v>183</v>
      </c>
      <c r="C124" s="157">
        <v>211685</v>
      </c>
      <c r="D124" s="157" t="s">
        <v>326</v>
      </c>
      <c r="E124" s="36" t="s">
        <v>701</v>
      </c>
      <c r="F124" s="98">
        <v>23000</v>
      </c>
      <c r="G124" s="158">
        <v>1.1997168865845851</v>
      </c>
      <c r="H124" s="115">
        <f t="shared" si="10"/>
        <v>27593.488391445459</v>
      </c>
      <c r="I124" s="159">
        <f>SUMIFS(Arrival!M:M,Arrival!K:K,'Stock statement'!$C124)</f>
        <v>0</v>
      </c>
      <c r="J124" s="160">
        <f t="shared" si="11"/>
        <v>0</v>
      </c>
      <c r="K124" s="160">
        <f>SUMIFS(Arrival!R:R,Arrival!K:K,'Stock statement'!$C124)</f>
        <v>0</v>
      </c>
      <c r="L124" s="160">
        <f t="shared" si="12"/>
        <v>23000</v>
      </c>
      <c r="M124" s="160">
        <f t="shared" si="13"/>
        <v>1.1997168865845851</v>
      </c>
      <c r="N124" s="161">
        <f t="shared" si="14"/>
        <v>27593.488391445459</v>
      </c>
      <c r="O124" s="159">
        <f t="shared" si="15"/>
        <v>15000</v>
      </c>
      <c r="P124" s="162">
        <f t="shared" si="16"/>
        <v>1.1997168865845851</v>
      </c>
      <c r="Q124" s="162">
        <f t="shared" si="17"/>
        <v>17995.753298768777</v>
      </c>
      <c r="R124" s="160">
        <f>IFERROR(VLOOKUP(C124,'Monthly Op &amp; Clo Stock (invoic)'!A:C,3,0),0)</f>
        <v>8000</v>
      </c>
      <c r="S124" s="163">
        <f t="shared" si="18"/>
        <v>1.1997168865845851</v>
      </c>
      <c r="T124" s="162">
        <f t="shared" si="19"/>
        <v>9597.7350926766812</v>
      </c>
      <c r="U124" s="16"/>
      <c r="V124" s="71"/>
      <c r="W124" s="16"/>
    </row>
    <row r="125" spans="1:23">
      <c r="A125" s="35"/>
      <c r="B125" s="35" t="s">
        <v>183</v>
      </c>
      <c r="C125" s="157">
        <v>211684</v>
      </c>
      <c r="D125" s="157" t="s">
        <v>319</v>
      </c>
      <c r="E125" s="36" t="s">
        <v>702</v>
      </c>
      <c r="F125" s="98">
        <v>380</v>
      </c>
      <c r="G125" s="158">
        <v>28.495656262647898</v>
      </c>
      <c r="H125" s="115">
        <f t="shared" si="10"/>
        <v>10828.349379806201</v>
      </c>
      <c r="I125" s="159">
        <f>SUMIFS(Arrival!M:M,Arrival!K:K,'Stock statement'!$C125)</f>
        <v>0</v>
      </c>
      <c r="J125" s="160">
        <f t="shared" si="11"/>
        <v>0</v>
      </c>
      <c r="K125" s="160">
        <f>SUMIFS(Arrival!R:R,Arrival!K:K,'Stock statement'!$C125)</f>
        <v>0</v>
      </c>
      <c r="L125" s="160">
        <f t="shared" si="12"/>
        <v>380</v>
      </c>
      <c r="M125" s="160">
        <f t="shared" si="13"/>
        <v>28.495656262647898</v>
      </c>
      <c r="N125" s="161">
        <f t="shared" si="14"/>
        <v>10828.349379806201</v>
      </c>
      <c r="O125" s="159">
        <f t="shared" si="15"/>
        <v>0</v>
      </c>
      <c r="P125" s="162">
        <f t="shared" si="16"/>
        <v>28.495656262647898</v>
      </c>
      <c r="Q125" s="162">
        <f t="shared" si="17"/>
        <v>0</v>
      </c>
      <c r="R125" s="160">
        <f>IFERROR(VLOOKUP(C125,'Monthly Op &amp; Clo Stock (invoic)'!A:C,3,0),0)</f>
        <v>380</v>
      </c>
      <c r="S125" s="163">
        <f t="shared" si="18"/>
        <v>28.495656262647898</v>
      </c>
      <c r="T125" s="162">
        <f t="shared" si="19"/>
        <v>10828.349379806201</v>
      </c>
      <c r="U125" s="16"/>
      <c r="V125" s="71"/>
      <c r="W125" s="16"/>
    </row>
    <row r="126" spans="1:23">
      <c r="A126" s="35"/>
      <c r="B126" s="35" t="s">
        <v>183</v>
      </c>
      <c r="C126" s="157">
        <v>220393</v>
      </c>
      <c r="D126" s="157" t="s">
        <v>191</v>
      </c>
      <c r="E126" s="36" t="s">
        <v>703</v>
      </c>
      <c r="F126" s="98">
        <v>7200</v>
      </c>
      <c r="G126" s="158">
        <v>44.985184600082377</v>
      </c>
      <c r="H126" s="115">
        <f t="shared" si="10"/>
        <v>323893.32912059309</v>
      </c>
      <c r="I126" s="159">
        <f>SUMIFS(Arrival!M:M,Arrival!K:K,'Stock statement'!$C126)</f>
        <v>5072</v>
      </c>
      <c r="J126" s="160">
        <f t="shared" si="11"/>
        <v>44.985804416403788</v>
      </c>
      <c r="K126" s="160">
        <f>SUMIFS(Arrival!R:R,Arrival!K:K,'Stock statement'!$C126)</f>
        <v>228168</v>
      </c>
      <c r="L126" s="160">
        <f t="shared" si="12"/>
        <v>12272</v>
      </c>
      <c r="M126" s="160">
        <f t="shared" si="13"/>
        <v>44.985440769279101</v>
      </c>
      <c r="N126" s="161">
        <f t="shared" si="14"/>
        <v>552061.32912059315</v>
      </c>
      <c r="O126" s="159">
        <f t="shared" si="15"/>
        <v>6192</v>
      </c>
      <c r="P126" s="162">
        <f t="shared" si="16"/>
        <v>44.985440769279101</v>
      </c>
      <c r="Q126" s="162">
        <f t="shared" si="17"/>
        <v>278549.84924337617</v>
      </c>
      <c r="R126" s="160">
        <f>IFERROR(VLOOKUP(C126,'Monthly Op &amp; Clo Stock (invoic)'!A:C,3,0),0)</f>
        <v>6080</v>
      </c>
      <c r="S126" s="163">
        <f t="shared" si="18"/>
        <v>44.985440769279101</v>
      </c>
      <c r="T126" s="162">
        <f t="shared" si="19"/>
        <v>273511.47987721692</v>
      </c>
      <c r="U126" s="16"/>
      <c r="V126" s="71"/>
      <c r="W126" s="16"/>
    </row>
    <row r="127" spans="1:23">
      <c r="A127" s="35"/>
      <c r="B127" s="35" t="s">
        <v>183</v>
      </c>
      <c r="C127" s="157">
        <v>229732</v>
      </c>
      <c r="D127" s="157" t="s">
        <v>704</v>
      </c>
      <c r="E127" s="36" t="s">
        <v>705</v>
      </c>
      <c r="F127" s="98">
        <v>0</v>
      </c>
      <c r="G127" s="158">
        <v>0</v>
      </c>
      <c r="H127" s="115">
        <f t="shared" si="10"/>
        <v>0</v>
      </c>
      <c r="I127" s="159">
        <f>SUMIFS(Arrival!M:M,Arrival!K:K,'Stock statement'!$C127)</f>
        <v>0</v>
      </c>
      <c r="J127" s="160">
        <f t="shared" si="11"/>
        <v>0</v>
      </c>
      <c r="K127" s="160">
        <f>SUMIFS(Arrival!R:R,Arrival!K:K,'Stock statement'!$C127)</f>
        <v>0</v>
      </c>
      <c r="L127" s="160">
        <f t="shared" si="12"/>
        <v>0</v>
      </c>
      <c r="M127" s="160">
        <f t="shared" si="13"/>
        <v>0</v>
      </c>
      <c r="N127" s="161">
        <f t="shared" si="14"/>
        <v>0</v>
      </c>
      <c r="O127" s="159">
        <f t="shared" si="15"/>
        <v>0</v>
      </c>
      <c r="P127" s="162">
        <f t="shared" si="16"/>
        <v>0</v>
      </c>
      <c r="Q127" s="162">
        <f t="shared" si="17"/>
        <v>0</v>
      </c>
      <c r="R127" s="160">
        <f>IFERROR(VLOOKUP(C127,'Monthly Op &amp; Clo Stock (invoic)'!A:C,3,0),0)</f>
        <v>0</v>
      </c>
      <c r="S127" s="163">
        <f t="shared" si="18"/>
        <v>0</v>
      </c>
      <c r="T127" s="162">
        <f t="shared" si="19"/>
        <v>0</v>
      </c>
      <c r="U127" s="16"/>
      <c r="V127" s="71"/>
      <c r="W127" s="16"/>
    </row>
    <row r="128" spans="1:23">
      <c r="A128" s="35"/>
      <c r="B128" s="35" t="s">
        <v>183</v>
      </c>
      <c r="C128" s="157">
        <v>212461</v>
      </c>
      <c r="D128" s="157">
        <v>212461</v>
      </c>
      <c r="E128" s="36" t="s">
        <v>706</v>
      </c>
      <c r="F128" s="98">
        <v>0</v>
      </c>
      <c r="G128" s="158">
        <v>0</v>
      </c>
      <c r="H128" s="115">
        <f t="shared" si="10"/>
        <v>0</v>
      </c>
      <c r="I128" s="159">
        <f>SUMIFS(Arrival!M:M,Arrival!K:K,'Stock statement'!$C128)</f>
        <v>0</v>
      </c>
      <c r="J128" s="160">
        <f t="shared" si="11"/>
        <v>0</v>
      </c>
      <c r="K128" s="160">
        <f>SUMIFS(Arrival!R:R,Arrival!K:K,'Stock statement'!$C128)</f>
        <v>0</v>
      </c>
      <c r="L128" s="160">
        <f t="shared" si="12"/>
        <v>0</v>
      </c>
      <c r="M128" s="160">
        <f t="shared" si="13"/>
        <v>0</v>
      </c>
      <c r="N128" s="161">
        <f t="shared" si="14"/>
        <v>0</v>
      </c>
      <c r="O128" s="159">
        <f t="shared" si="15"/>
        <v>0</v>
      </c>
      <c r="P128" s="162">
        <f t="shared" si="16"/>
        <v>0</v>
      </c>
      <c r="Q128" s="162">
        <f t="shared" si="17"/>
        <v>0</v>
      </c>
      <c r="R128" s="160">
        <f>IFERROR(VLOOKUP(C128,'Monthly Op &amp; Clo Stock (invoic)'!A:C,3,0),0)</f>
        <v>0</v>
      </c>
      <c r="S128" s="163">
        <f t="shared" si="18"/>
        <v>0</v>
      </c>
      <c r="T128" s="162">
        <f t="shared" si="19"/>
        <v>0</v>
      </c>
      <c r="U128" s="16"/>
      <c r="V128" s="71"/>
      <c r="W128" s="16"/>
    </row>
    <row r="129" spans="1:23">
      <c r="A129" s="35"/>
      <c r="B129" s="35" t="s">
        <v>183</v>
      </c>
      <c r="C129" s="157">
        <v>211656</v>
      </c>
      <c r="D129" s="157" t="s">
        <v>707</v>
      </c>
      <c r="E129" s="36" t="s">
        <v>708</v>
      </c>
      <c r="F129" s="98">
        <v>0</v>
      </c>
      <c r="G129" s="158">
        <v>0</v>
      </c>
      <c r="H129" s="115">
        <f t="shared" si="10"/>
        <v>0</v>
      </c>
      <c r="I129" s="159">
        <f>SUMIFS(Arrival!M:M,Arrival!K:K,'Stock statement'!$C129)</f>
        <v>0</v>
      </c>
      <c r="J129" s="160">
        <f t="shared" si="11"/>
        <v>0</v>
      </c>
      <c r="K129" s="160">
        <f>SUMIFS(Arrival!R:R,Arrival!K:K,'Stock statement'!$C129)</f>
        <v>0</v>
      </c>
      <c r="L129" s="160">
        <f t="shared" si="12"/>
        <v>0</v>
      </c>
      <c r="M129" s="160">
        <f t="shared" si="13"/>
        <v>0</v>
      </c>
      <c r="N129" s="161">
        <f t="shared" si="14"/>
        <v>0</v>
      </c>
      <c r="O129" s="159">
        <f t="shared" si="15"/>
        <v>0</v>
      </c>
      <c r="P129" s="162">
        <f t="shared" si="16"/>
        <v>0</v>
      </c>
      <c r="Q129" s="162">
        <f t="shared" si="17"/>
        <v>0</v>
      </c>
      <c r="R129" s="160">
        <f>IFERROR(VLOOKUP(C129,'Monthly Op &amp; Clo Stock (invoic)'!A:C,3,0),0)</f>
        <v>0</v>
      </c>
      <c r="S129" s="163">
        <f t="shared" si="18"/>
        <v>0</v>
      </c>
      <c r="T129" s="162">
        <f t="shared" si="19"/>
        <v>0</v>
      </c>
      <c r="U129" s="16"/>
      <c r="V129" s="71"/>
      <c r="W129" s="16"/>
    </row>
    <row r="130" spans="1:23">
      <c r="A130" s="35"/>
      <c r="B130" s="35" t="s">
        <v>183</v>
      </c>
      <c r="C130" s="157">
        <v>229728</v>
      </c>
      <c r="D130" s="157" t="s">
        <v>709</v>
      </c>
      <c r="E130" s="36" t="s">
        <v>710</v>
      </c>
      <c r="F130" s="98">
        <v>0</v>
      </c>
      <c r="G130" s="158">
        <v>0</v>
      </c>
      <c r="H130" s="115">
        <f t="shared" si="10"/>
        <v>0</v>
      </c>
      <c r="I130" s="159">
        <f>SUMIFS(Arrival!M:M,Arrival!K:K,'Stock statement'!$C130)</f>
        <v>0</v>
      </c>
      <c r="J130" s="160">
        <f t="shared" si="11"/>
        <v>0</v>
      </c>
      <c r="K130" s="160">
        <f>SUMIFS(Arrival!R:R,Arrival!K:K,'Stock statement'!$C130)</f>
        <v>0</v>
      </c>
      <c r="L130" s="160">
        <f t="shared" si="12"/>
        <v>0</v>
      </c>
      <c r="M130" s="160">
        <f t="shared" si="13"/>
        <v>0</v>
      </c>
      <c r="N130" s="161">
        <f t="shared" si="14"/>
        <v>0</v>
      </c>
      <c r="O130" s="159">
        <f t="shared" si="15"/>
        <v>0</v>
      </c>
      <c r="P130" s="162">
        <f t="shared" si="16"/>
        <v>0</v>
      </c>
      <c r="Q130" s="162">
        <f t="shared" si="17"/>
        <v>0</v>
      </c>
      <c r="R130" s="160">
        <f>IFERROR(VLOOKUP(C130,'Monthly Op &amp; Clo Stock (invoic)'!A:C,3,0),0)</f>
        <v>0</v>
      </c>
      <c r="S130" s="163">
        <f t="shared" si="18"/>
        <v>0</v>
      </c>
      <c r="T130" s="162">
        <f t="shared" si="19"/>
        <v>0</v>
      </c>
      <c r="U130" s="16"/>
      <c r="V130" s="71"/>
      <c r="W130" s="16"/>
    </row>
    <row r="131" spans="1:23">
      <c r="A131" s="35"/>
      <c r="B131" s="35" t="s">
        <v>183</v>
      </c>
      <c r="C131" s="157">
        <v>229822</v>
      </c>
      <c r="D131" s="157" t="s">
        <v>711</v>
      </c>
      <c r="E131" s="36" t="s">
        <v>712</v>
      </c>
      <c r="F131" s="98">
        <v>0</v>
      </c>
      <c r="G131" s="158">
        <v>0</v>
      </c>
      <c r="H131" s="115">
        <f t="shared" ref="H131:H194" si="20">IFERROR(F131*G131,)</f>
        <v>0</v>
      </c>
      <c r="I131" s="159">
        <f>SUMIFS(Arrival!M:M,Arrival!K:K,'Stock statement'!$C131)</f>
        <v>0</v>
      </c>
      <c r="J131" s="160">
        <f t="shared" si="11"/>
        <v>0</v>
      </c>
      <c r="K131" s="160">
        <f>SUMIFS(Arrival!R:R,Arrival!K:K,'Stock statement'!$C131)</f>
        <v>0</v>
      </c>
      <c r="L131" s="160">
        <f t="shared" si="12"/>
        <v>0</v>
      </c>
      <c r="M131" s="160">
        <f t="shared" si="13"/>
        <v>0</v>
      </c>
      <c r="N131" s="161">
        <f t="shared" si="14"/>
        <v>0</v>
      </c>
      <c r="O131" s="159">
        <f t="shared" si="15"/>
        <v>0</v>
      </c>
      <c r="P131" s="162">
        <f t="shared" si="16"/>
        <v>0</v>
      </c>
      <c r="Q131" s="162">
        <f t="shared" si="17"/>
        <v>0</v>
      </c>
      <c r="R131" s="160">
        <f>IFERROR(VLOOKUP(C131,'Monthly Op &amp; Clo Stock (invoic)'!A:C,3,0),0)</f>
        <v>0</v>
      </c>
      <c r="S131" s="163">
        <f t="shared" si="18"/>
        <v>0</v>
      </c>
      <c r="T131" s="162">
        <f t="shared" si="19"/>
        <v>0</v>
      </c>
      <c r="U131" s="16"/>
      <c r="V131" s="71"/>
      <c r="W131" s="16"/>
    </row>
    <row r="132" spans="1:23">
      <c r="A132" s="35"/>
      <c r="B132" s="35" t="s">
        <v>183</v>
      </c>
      <c r="C132" s="157">
        <v>229823</v>
      </c>
      <c r="D132" s="157" t="s">
        <v>713</v>
      </c>
      <c r="E132" s="36" t="s">
        <v>714</v>
      </c>
      <c r="F132" s="98">
        <v>0</v>
      </c>
      <c r="G132" s="158">
        <v>0</v>
      </c>
      <c r="H132" s="115">
        <f t="shared" si="20"/>
        <v>0</v>
      </c>
      <c r="I132" s="159">
        <f>SUMIFS(Arrival!M:M,Arrival!K:K,'Stock statement'!$C132)</f>
        <v>0</v>
      </c>
      <c r="J132" s="160">
        <f t="shared" ref="J132:J195" si="21">IFERROR(K132/I132,0)</f>
        <v>0</v>
      </c>
      <c r="K132" s="160">
        <f>SUMIFS(Arrival!R:R,Arrival!K:K,'Stock statement'!$C132)</f>
        <v>0</v>
      </c>
      <c r="L132" s="160">
        <f t="shared" ref="L132:L195" si="22">F132+I132</f>
        <v>0</v>
      </c>
      <c r="M132" s="160">
        <f t="shared" ref="M132:M195" si="23">IFERROR(N132/L132,0)</f>
        <v>0</v>
      </c>
      <c r="N132" s="161">
        <f t="shared" ref="N132:N195" si="24">H132+K132</f>
        <v>0</v>
      </c>
      <c r="O132" s="159">
        <f t="shared" ref="O132:O195" si="25">L132-R132</f>
        <v>0</v>
      </c>
      <c r="P132" s="162">
        <f t="shared" ref="P132:P195" si="26">M132</f>
        <v>0</v>
      </c>
      <c r="Q132" s="162">
        <f t="shared" ref="Q132:Q195" si="27">IFERROR(O132*P132,0)</f>
        <v>0</v>
      </c>
      <c r="R132" s="160">
        <f>IFERROR(VLOOKUP(C132,'Monthly Op &amp; Clo Stock (invoic)'!A:C,3,0),0)</f>
        <v>0</v>
      </c>
      <c r="S132" s="163">
        <f t="shared" ref="S132:S195" si="28">P132</f>
        <v>0</v>
      </c>
      <c r="T132" s="162">
        <f t="shared" ref="T132:T195" si="29">IFERROR(R132*S132,0)</f>
        <v>0</v>
      </c>
      <c r="U132" s="16"/>
      <c r="V132" s="71"/>
      <c r="W132" s="16"/>
    </row>
    <row r="133" spans="1:23">
      <c r="A133" s="35"/>
      <c r="B133" s="35" t="s">
        <v>183</v>
      </c>
      <c r="C133" s="157">
        <v>229850</v>
      </c>
      <c r="D133" s="157" t="s">
        <v>715</v>
      </c>
      <c r="E133" s="36" t="s">
        <v>716</v>
      </c>
      <c r="F133" s="98">
        <v>38</v>
      </c>
      <c r="G133" s="158">
        <v>35.200695003585942</v>
      </c>
      <c r="H133" s="115">
        <f t="shared" si="20"/>
        <v>1337.6264101362658</v>
      </c>
      <c r="I133" s="159">
        <f>SUMIFS(Arrival!M:M,Arrival!K:K,'Stock statement'!$C133)</f>
        <v>0</v>
      </c>
      <c r="J133" s="160">
        <f t="shared" si="21"/>
        <v>0</v>
      </c>
      <c r="K133" s="160">
        <f>SUMIFS(Arrival!R:R,Arrival!K:K,'Stock statement'!$C133)</f>
        <v>0</v>
      </c>
      <c r="L133" s="160">
        <f t="shared" si="22"/>
        <v>38</v>
      </c>
      <c r="M133" s="160">
        <f t="shared" si="23"/>
        <v>35.200695003585942</v>
      </c>
      <c r="N133" s="161">
        <f t="shared" si="24"/>
        <v>1337.6264101362658</v>
      </c>
      <c r="O133" s="159">
        <f t="shared" si="25"/>
        <v>0</v>
      </c>
      <c r="P133" s="162">
        <f t="shared" si="26"/>
        <v>35.200695003585942</v>
      </c>
      <c r="Q133" s="162">
        <f t="shared" si="27"/>
        <v>0</v>
      </c>
      <c r="R133" s="160">
        <f>IFERROR(VLOOKUP(C133,'Monthly Op &amp; Clo Stock (invoic)'!A:C,3,0),0)</f>
        <v>38</v>
      </c>
      <c r="S133" s="163">
        <f t="shared" si="28"/>
        <v>35.200695003585942</v>
      </c>
      <c r="T133" s="162">
        <f t="shared" si="29"/>
        <v>1337.6264101362658</v>
      </c>
      <c r="U133" s="16"/>
      <c r="V133" s="71"/>
      <c r="W133" s="16"/>
    </row>
    <row r="134" spans="1:23">
      <c r="A134" s="35"/>
      <c r="B134" s="35" t="s">
        <v>183</v>
      </c>
      <c r="C134" s="157">
        <v>229851</v>
      </c>
      <c r="D134" s="157" t="s">
        <v>717</v>
      </c>
      <c r="E134" s="36" t="s">
        <v>718</v>
      </c>
      <c r="F134" s="98">
        <v>1524</v>
      </c>
      <c r="G134" s="158">
        <v>9.61</v>
      </c>
      <c r="H134" s="115">
        <f t="shared" si="20"/>
        <v>14645.64</v>
      </c>
      <c r="I134" s="159">
        <f>SUMIFS(Arrival!M:M,Arrival!K:K,'Stock statement'!$C134)</f>
        <v>0</v>
      </c>
      <c r="J134" s="160">
        <f t="shared" si="21"/>
        <v>0</v>
      </c>
      <c r="K134" s="160">
        <f>SUMIFS(Arrival!R:R,Arrival!K:K,'Stock statement'!$C134)</f>
        <v>0</v>
      </c>
      <c r="L134" s="160">
        <f t="shared" si="22"/>
        <v>1524</v>
      </c>
      <c r="M134" s="160">
        <f t="shared" si="23"/>
        <v>9.61</v>
      </c>
      <c r="N134" s="161">
        <f t="shared" si="24"/>
        <v>14645.64</v>
      </c>
      <c r="O134" s="159">
        <f t="shared" si="25"/>
        <v>0</v>
      </c>
      <c r="P134" s="162">
        <f t="shared" si="26"/>
        <v>9.61</v>
      </c>
      <c r="Q134" s="162">
        <f t="shared" si="27"/>
        <v>0</v>
      </c>
      <c r="R134" s="160">
        <f>IFERROR(VLOOKUP(C134,'Monthly Op &amp; Clo Stock (invoic)'!A:C,3,0),0)</f>
        <v>1524</v>
      </c>
      <c r="S134" s="163">
        <f t="shared" si="28"/>
        <v>9.61</v>
      </c>
      <c r="T134" s="162">
        <f t="shared" si="29"/>
        <v>14645.64</v>
      </c>
      <c r="U134" s="16"/>
      <c r="V134" s="71"/>
      <c r="W134" s="16"/>
    </row>
    <row r="135" spans="1:23">
      <c r="A135" s="35"/>
      <c r="B135" s="35" t="s">
        <v>183</v>
      </c>
      <c r="C135" s="157">
        <v>229854</v>
      </c>
      <c r="D135" s="157" t="s">
        <v>719</v>
      </c>
      <c r="E135" s="36" t="s">
        <v>720</v>
      </c>
      <c r="F135" s="98">
        <v>0</v>
      </c>
      <c r="G135" s="158">
        <v>0</v>
      </c>
      <c r="H135" s="115">
        <f t="shared" si="20"/>
        <v>0</v>
      </c>
      <c r="I135" s="159">
        <f>SUMIFS(Arrival!M:M,Arrival!K:K,'Stock statement'!$C135)</f>
        <v>0</v>
      </c>
      <c r="J135" s="160">
        <f t="shared" si="21"/>
        <v>0</v>
      </c>
      <c r="K135" s="160">
        <f>SUMIFS(Arrival!R:R,Arrival!K:K,'Stock statement'!$C135)</f>
        <v>0</v>
      </c>
      <c r="L135" s="160">
        <f t="shared" si="22"/>
        <v>0</v>
      </c>
      <c r="M135" s="160">
        <f t="shared" si="23"/>
        <v>0</v>
      </c>
      <c r="N135" s="161">
        <f t="shared" si="24"/>
        <v>0</v>
      </c>
      <c r="O135" s="159">
        <f t="shared" si="25"/>
        <v>0</v>
      </c>
      <c r="P135" s="162">
        <f t="shared" si="26"/>
        <v>0</v>
      </c>
      <c r="Q135" s="162">
        <f t="shared" si="27"/>
        <v>0</v>
      </c>
      <c r="R135" s="160">
        <f>IFERROR(VLOOKUP(C135,'Monthly Op &amp; Clo Stock (invoic)'!A:C,3,0),0)</f>
        <v>0</v>
      </c>
      <c r="S135" s="163">
        <f t="shared" si="28"/>
        <v>0</v>
      </c>
      <c r="T135" s="162">
        <f t="shared" si="29"/>
        <v>0</v>
      </c>
      <c r="U135" s="16"/>
      <c r="V135" s="71"/>
      <c r="W135" s="16"/>
    </row>
    <row r="136" spans="1:23">
      <c r="A136" s="35"/>
      <c r="B136" s="35" t="s">
        <v>183</v>
      </c>
      <c r="C136" s="157">
        <v>229855</v>
      </c>
      <c r="D136" s="157" t="s">
        <v>721</v>
      </c>
      <c r="E136" s="36" t="s">
        <v>722</v>
      </c>
      <c r="F136" s="98">
        <v>0</v>
      </c>
      <c r="G136" s="158">
        <v>0</v>
      </c>
      <c r="H136" s="115">
        <f t="shared" si="20"/>
        <v>0</v>
      </c>
      <c r="I136" s="159">
        <f>SUMIFS(Arrival!M:M,Arrival!K:K,'Stock statement'!$C136)</f>
        <v>0</v>
      </c>
      <c r="J136" s="160">
        <f t="shared" si="21"/>
        <v>0</v>
      </c>
      <c r="K136" s="160">
        <f>SUMIFS(Arrival!R:R,Arrival!K:K,'Stock statement'!$C136)</f>
        <v>0</v>
      </c>
      <c r="L136" s="160">
        <f t="shared" si="22"/>
        <v>0</v>
      </c>
      <c r="M136" s="160">
        <f t="shared" si="23"/>
        <v>0</v>
      </c>
      <c r="N136" s="161">
        <f t="shared" si="24"/>
        <v>0</v>
      </c>
      <c r="O136" s="159">
        <f t="shared" si="25"/>
        <v>0</v>
      </c>
      <c r="P136" s="162">
        <f t="shared" si="26"/>
        <v>0</v>
      </c>
      <c r="Q136" s="162">
        <f t="shared" si="27"/>
        <v>0</v>
      </c>
      <c r="R136" s="160">
        <f>IFERROR(VLOOKUP(C136,'Monthly Op &amp; Clo Stock (invoic)'!A:C,3,0),0)</f>
        <v>0</v>
      </c>
      <c r="S136" s="163">
        <f t="shared" si="28"/>
        <v>0</v>
      </c>
      <c r="T136" s="162">
        <f t="shared" si="29"/>
        <v>0</v>
      </c>
      <c r="U136" s="16"/>
      <c r="V136" s="71"/>
      <c r="W136" s="16"/>
    </row>
    <row r="137" spans="1:23">
      <c r="A137" s="35"/>
      <c r="B137" s="35" t="s">
        <v>183</v>
      </c>
      <c r="C137" s="157">
        <v>211657</v>
      </c>
      <c r="D137" s="157" t="s">
        <v>723</v>
      </c>
      <c r="E137" s="36" t="s">
        <v>724</v>
      </c>
      <c r="F137" s="98">
        <v>2680</v>
      </c>
      <c r="G137" s="158">
        <v>0</v>
      </c>
      <c r="H137" s="115">
        <f t="shared" si="20"/>
        <v>0</v>
      </c>
      <c r="I137" s="159">
        <f>SUMIFS(Arrival!M:M,Arrival!K:K,'Stock statement'!$C137)</f>
        <v>0</v>
      </c>
      <c r="J137" s="160">
        <f t="shared" si="21"/>
        <v>0</v>
      </c>
      <c r="K137" s="160">
        <f>SUMIFS(Arrival!R:R,Arrival!K:K,'Stock statement'!$C137)</f>
        <v>0</v>
      </c>
      <c r="L137" s="160">
        <f t="shared" si="22"/>
        <v>2680</v>
      </c>
      <c r="M137" s="160">
        <f t="shared" si="23"/>
        <v>0</v>
      </c>
      <c r="N137" s="161">
        <f t="shared" si="24"/>
        <v>0</v>
      </c>
      <c r="O137" s="159">
        <f t="shared" si="25"/>
        <v>0</v>
      </c>
      <c r="P137" s="162">
        <f t="shared" si="26"/>
        <v>0</v>
      </c>
      <c r="Q137" s="162">
        <f t="shared" si="27"/>
        <v>0</v>
      </c>
      <c r="R137" s="210">
        <f>IFERROR(VLOOKUP(C137,'Monthly Op &amp; Clo Stock (invoic)'!A:C,3,0),0)</f>
        <v>2680</v>
      </c>
      <c r="S137" s="163">
        <f t="shared" si="28"/>
        <v>0</v>
      </c>
      <c r="T137" s="162">
        <f t="shared" si="29"/>
        <v>0</v>
      </c>
      <c r="U137" s="16"/>
      <c r="V137" s="71"/>
      <c r="W137" s="16"/>
    </row>
    <row r="138" spans="1:23">
      <c r="A138" s="35"/>
      <c r="B138" s="35" t="s">
        <v>183</v>
      </c>
      <c r="C138" s="157">
        <v>211655</v>
      </c>
      <c r="D138" s="157" t="s">
        <v>725</v>
      </c>
      <c r="E138" s="36" t="s">
        <v>726</v>
      </c>
      <c r="F138" s="98">
        <v>11000</v>
      </c>
      <c r="G138" s="158">
        <v>0</v>
      </c>
      <c r="H138" s="115">
        <f t="shared" si="20"/>
        <v>0</v>
      </c>
      <c r="I138" s="159">
        <f>SUMIFS(Arrival!M:M,Arrival!K:K,'Stock statement'!$C138)</f>
        <v>0</v>
      </c>
      <c r="J138" s="160">
        <f t="shared" si="21"/>
        <v>0</v>
      </c>
      <c r="K138" s="160">
        <f>SUMIFS(Arrival!R:R,Arrival!K:K,'Stock statement'!$C138)</f>
        <v>0</v>
      </c>
      <c r="L138" s="160">
        <f t="shared" si="22"/>
        <v>11000</v>
      </c>
      <c r="M138" s="160">
        <f t="shared" si="23"/>
        <v>0</v>
      </c>
      <c r="N138" s="161">
        <f t="shared" si="24"/>
        <v>0</v>
      </c>
      <c r="O138" s="159">
        <f t="shared" si="25"/>
        <v>0</v>
      </c>
      <c r="P138" s="162">
        <f t="shared" si="26"/>
        <v>0</v>
      </c>
      <c r="Q138" s="162">
        <f t="shared" si="27"/>
        <v>0</v>
      </c>
      <c r="R138" s="210">
        <f>IFERROR(VLOOKUP(C138,'Monthly Op &amp; Clo Stock (invoic)'!A:C,3,0),0)</f>
        <v>11000</v>
      </c>
      <c r="S138" s="163">
        <f t="shared" si="28"/>
        <v>0</v>
      </c>
      <c r="T138" s="162">
        <f t="shared" si="29"/>
        <v>0</v>
      </c>
      <c r="U138" s="16"/>
      <c r="V138" s="71"/>
      <c r="W138" s="16"/>
    </row>
    <row r="139" spans="1:23">
      <c r="A139" s="35"/>
      <c r="B139" s="35" t="s">
        <v>183</v>
      </c>
      <c r="C139" s="157">
        <v>230153</v>
      </c>
      <c r="D139" s="157" t="s">
        <v>727</v>
      </c>
      <c r="E139" s="36" t="s">
        <v>728</v>
      </c>
      <c r="F139" s="98">
        <v>0</v>
      </c>
      <c r="G139" s="158">
        <v>0</v>
      </c>
      <c r="H139" s="115">
        <f t="shared" si="20"/>
        <v>0</v>
      </c>
      <c r="I139" s="159">
        <f>SUMIFS(Arrival!M:M,Arrival!K:K,'Stock statement'!$C139)</f>
        <v>0</v>
      </c>
      <c r="J139" s="160">
        <f t="shared" si="21"/>
        <v>0</v>
      </c>
      <c r="K139" s="160">
        <f>SUMIFS(Arrival!R:R,Arrival!K:K,'Stock statement'!$C139)</f>
        <v>0</v>
      </c>
      <c r="L139" s="160">
        <f t="shared" si="22"/>
        <v>0</v>
      </c>
      <c r="M139" s="160">
        <f t="shared" si="23"/>
        <v>0</v>
      </c>
      <c r="N139" s="161">
        <f t="shared" si="24"/>
        <v>0</v>
      </c>
      <c r="O139" s="159">
        <f t="shared" si="25"/>
        <v>0</v>
      </c>
      <c r="P139" s="162">
        <f t="shared" si="26"/>
        <v>0</v>
      </c>
      <c r="Q139" s="162">
        <f t="shared" si="27"/>
        <v>0</v>
      </c>
      <c r="R139" s="160">
        <f>IFERROR(VLOOKUP(C139,'Monthly Op &amp; Clo Stock (invoic)'!A:C,3,0),0)</f>
        <v>0</v>
      </c>
      <c r="S139" s="163">
        <f t="shared" si="28"/>
        <v>0</v>
      </c>
      <c r="T139" s="162">
        <f t="shared" si="29"/>
        <v>0</v>
      </c>
      <c r="U139" s="16"/>
      <c r="V139" s="71"/>
      <c r="W139" s="16"/>
    </row>
    <row r="140" spans="1:23">
      <c r="A140" s="35"/>
      <c r="B140" s="35" t="s">
        <v>183</v>
      </c>
      <c r="C140" s="157">
        <v>230152</v>
      </c>
      <c r="D140" s="157" t="s">
        <v>729</v>
      </c>
      <c r="E140" s="36" t="s">
        <v>227</v>
      </c>
      <c r="F140" s="98">
        <v>0</v>
      </c>
      <c r="G140" s="158">
        <v>0</v>
      </c>
      <c r="H140" s="115">
        <f t="shared" si="20"/>
        <v>0</v>
      </c>
      <c r="I140" s="159">
        <f>SUMIFS(Arrival!M:M,Arrival!K:K,'Stock statement'!$C140)</f>
        <v>0</v>
      </c>
      <c r="J140" s="160">
        <f t="shared" si="21"/>
        <v>0</v>
      </c>
      <c r="K140" s="160">
        <f>SUMIFS(Arrival!R:R,Arrival!K:K,'Stock statement'!$C140)</f>
        <v>0</v>
      </c>
      <c r="L140" s="160">
        <f t="shared" si="22"/>
        <v>0</v>
      </c>
      <c r="M140" s="160">
        <f t="shared" si="23"/>
        <v>0</v>
      </c>
      <c r="N140" s="161">
        <f t="shared" si="24"/>
        <v>0</v>
      </c>
      <c r="O140" s="159">
        <f t="shared" si="25"/>
        <v>0</v>
      </c>
      <c r="P140" s="162">
        <f t="shared" si="26"/>
        <v>0</v>
      </c>
      <c r="Q140" s="162">
        <f t="shared" si="27"/>
        <v>0</v>
      </c>
      <c r="R140" s="160">
        <f>IFERROR(VLOOKUP(C140,'Monthly Op &amp; Clo Stock (invoic)'!A:C,3,0),0)</f>
        <v>0</v>
      </c>
      <c r="S140" s="163">
        <f t="shared" si="28"/>
        <v>0</v>
      </c>
      <c r="T140" s="162">
        <f t="shared" si="29"/>
        <v>0</v>
      </c>
      <c r="U140" s="16"/>
      <c r="V140" s="71"/>
      <c r="W140" s="16"/>
    </row>
    <row r="141" spans="1:23">
      <c r="A141" s="35"/>
      <c r="B141" s="35" t="s">
        <v>183</v>
      </c>
      <c r="C141" s="157">
        <v>211671</v>
      </c>
      <c r="D141" s="157">
        <v>211671</v>
      </c>
      <c r="E141" s="183" t="s">
        <v>317</v>
      </c>
      <c r="F141" s="98">
        <v>3161</v>
      </c>
      <c r="G141" s="158">
        <v>260.44800541281188</v>
      </c>
      <c r="H141" s="115">
        <f t="shared" si="20"/>
        <v>823276.14510989841</v>
      </c>
      <c r="I141" s="159">
        <f>SUMIFS(Arrival!M:M,Arrival!K:K,'Stock statement'!$C141)</f>
        <v>0</v>
      </c>
      <c r="J141" s="160">
        <f t="shared" si="21"/>
        <v>0</v>
      </c>
      <c r="K141" s="160">
        <f>SUMIFS(Arrival!R:R,Arrival!K:K,'Stock statement'!$C141)</f>
        <v>0</v>
      </c>
      <c r="L141" s="160">
        <f t="shared" si="22"/>
        <v>3161</v>
      </c>
      <c r="M141" s="160">
        <f t="shared" si="23"/>
        <v>260.44800541281188</v>
      </c>
      <c r="N141" s="161">
        <f t="shared" si="24"/>
        <v>823276.14510989841</v>
      </c>
      <c r="O141" s="159">
        <f t="shared" si="25"/>
        <v>1661</v>
      </c>
      <c r="P141" s="162">
        <f t="shared" si="26"/>
        <v>260.44800541281188</v>
      </c>
      <c r="Q141" s="162">
        <f t="shared" si="27"/>
        <v>432604.13699068053</v>
      </c>
      <c r="R141" s="160">
        <f>IFERROR(VLOOKUP(C141,'Monthly Op &amp; Clo Stock (invoic)'!A:C,3,0),0)</f>
        <v>1500</v>
      </c>
      <c r="S141" s="163">
        <f t="shared" si="28"/>
        <v>260.44800541281188</v>
      </c>
      <c r="T141" s="162">
        <f t="shared" si="29"/>
        <v>390672.00811921782</v>
      </c>
      <c r="U141" s="16"/>
      <c r="V141" s="71"/>
      <c r="W141" s="16"/>
    </row>
    <row r="142" spans="1:23">
      <c r="A142" s="35"/>
      <c r="B142" s="35" t="s">
        <v>183</v>
      </c>
      <c r="C142" s="157">
        <v>229935</v>
      </c>
      <c r="D142" s="157" t="s">
        <v>548</v>
      </c>
      <c r="E142" s="36" t="s">
        <v>549</v>
      </c>
      <c r="F142" s="98">
        <v>0</v>
      </c>
      <c r="G142" s="158">
        <v>235.49000000000007</v>
      </c>
      <c r="H142" s="115">
        <f t="shared" si="20"/>
        <v>0</v>
      </c>
      <c r="I142" s="159">
        <f>SUMIFS(Arrival!M:M,Arrival!K:K,'Stock statement'!$C142)</f>
        <v>0</v>
      </c>
      <c r="J142" s="160">
        <f t="shared" si="21"/>
        <v>0</v>
      </c>
      <c r="K142" s="160">
        <f>SUMIFS(Arrival!R:R,Arrival!K:K,'Stock statement'!$C142)</f>
        <v>0</v>
      </c>
      <c r="L142" s="160">
        <f t="shared" si="22"/>
        <v>0</v>
      </c>
      <c r="M142" s="160">
        <f t="shared" si="23"/>
        <v>0</v>
      </c>
      <c r="N142" s="161">
        <f t="shared" si="24"/>
        <v>0</v>
      </c>
      <c r="O142" s="159">
        <f t="shared" si="25"/>
        <v>0</v>
      </c>
      <c r="P142" s="162">
        <f t="shared" si="26"/>
        <v>0</v>
      </c>
      <c r="Q142" s="162">
        <f t="shared" si="27"/>
        <v>0</v>
      </c>
      <c r="R142" s="160">
        <f>IFERROR(VLOOKUP(C142,'Monthly Op &amp; Clo Stock (invoic)'!A:C,3,0),0)</f>
        <v>0</v>
      </c>
      <c r="S142" s="163">
        <f t="shared" si="28"/>
        <v>0</v>
      </c>
      <c r="T142" s="162">
        <f t="shared" si="29"/>
        <v>0</v>
      </c>
      <c r="U142" s="16"/>
      <c r="V142" s="71"/>
      <c r="W142" s="16"/>
    </row>
    <row r="143" spans="1:23">
      <c r="A143" s="35"/>
      <c r="B143" s="35" t="s">
        <v>183</v>
      </c>
      <c r="C143" s="157">
        <v>229937</v>
      </c>
      <c r="D143" s="157" t="s">
        <v>501</v>
      </c>
      <c r="E143" s="36" t="s">
        <v>730</v>
      </c>
      <c r="F143" s="98">
        <v>0</v>
      </c>
      <c r="G143" s="158">
        <v>308.36126162841788</v>
      </c>
      <c r="H143" s="115">
        <f t="shared" si="20"/>
        <v>0</v>
      </c>
      <c r="I143" s="159">
        <f>SUMIFS(Arrival!M:M,Arrival!K:K,'Stock statement'!$C143)</f>
        <v>0</v>
      </c>
      <c r="J143" s="160">
        <f t="shared" si="21"/>
        <v>0</v>
      </c>
      <c r="K143" s="160">
        <f>SUMIFS(Arrival!R:R,Arrival!K:K,'Stock statement'!$C143)</f>
        <v>0</v>
      </c>
      <c r="L143" s="160">
        <f t="shared" si="22"/>
        <v>0</v>
      </c>
      <c r="M143" s="160">
        <f t="shared" si="23"/>
        <v>0</v>
      </c>
      <c r="N143" s="161">
        <f t="shared" si="24"/>
        <v>0</v>
      </c>
      <c r="O143" s="159">
        <f t="shared" si="25"/>
        <v>0</v>
      </c>
      <c r="P143" s="162">
        <f t="shared" si="26"/>
        <v>0</v>
      </c>
      <c r="Q143" s="162">
        <f t="shared" si="27"/>
        <v>0</v>
      </c>
      <c r="R143" s="160">
        <f>IFERROR(VLOOKUP(C143,'Monthly Op &amp; Clo Stock (invoic)'!A:C,3,0),0)</f>
        <v>0</v>
      </c>
      <c r="S143" s="163">
        <f t="shared" si="28"/>
        <v>0</v>
      </c>
      <c r="T143" s="162">
        <f t="shared" si="29"/>
        <v>0</v>
      </c>
      <c r="U143" s="16"/>
      <c r="V143" s="71"/>
      <c r="W143" s="16"/>
    </row>
    <row r="144" spans="1:23">
      <c r="A144" s="35"/>
      <c r="B144" s="35" t="s">
        <v>183</v>
      </c>
      <c r="C144" s="157">
        <v>230240</v>
      </c>
      <c r="D144" s="157">
        <v>230240</v>
      </c>
      <c r="E144" s="36" t="s">
        <v>230</v>
      </c>
      <c r="F144" s="98">
        <v>1210</v>
      </c>
      <c r="G144" s="158">
        <v>41.036011061452271</v>
      </c>
      <c r="H144" s="115">
        <f t="shared" si="20"/>
        <v>49653.573384357245</v>
      </c>
      <c r="I144" s="159">
        <f>SUMIFS(Arrival!M:M,Arrival!K:K,'Stock statement'!$C144)</f>
        <v>2964</v>
      </c>
      <c r="J144" s="160">
        <f t="shared" si="21"/>
        <v>41.01</v>
      </c>
      <c r="K144" s="160">
        <f>SUMIFS(Arrival!R:R,Arrival!K:K,'Stock statement'!$C144)</f>
        <v>121553.63999999998</v>
      </c>
      <c r="L144" s="160">
        <f t="shared" si="22"/>
        <v>4174</v>
      </c>
      <c r="M144" s="160">
        <f t="shared" si="23"/>
        <v>41.017540341245144</v>
      </c>
      <c r="N144" s="161">
        <f t="shared" si="24"/>
        <v>171207.21338435722</v>
      </c>
      <c r="O144" s="159">
        <f t="shared" si="25"/>
        <v>4174</v>
      </c>
      <c r="P144" s="162">
        <f t="shared" si="26"/>
        <v>41.017540341245144</v>
      </c>
      <c r="Q144" s="162">
        <f t="shared" si="27"/>
        <v>171207.21338435722</v>
      </c>
      <c r="R144" s="160">
        <f>IFERROR(VLOOKUP(C144,'Monthly Op &amp; Clo Stock (invoic)'!A:C,3,0),0)</f>
        <v>0</v>
      </c>
      <c r="S144" s="163">
        <f t="shared" si="28"/>
        <v>41.017540341245144</v>
      </c>
      <c r="T144" s="162">
        <f t="shared" si="29"/>
        <v>0</v>
      </c>
      <c r="U144" s="16"/>
      <c r="V144" s="71"/>
      <c r="W144" s="16"/>
    </row>
    <row r="145" spans="1:23">
      <c r="A145" s="35"/>
      <c r="B145" s="35" t="s">
        <v>183</v>
      </c>
      <c r="C145" s="157">
        <v>230241</v>
      </c>
      <c r="D145" s="157">
        <v>230241</v>
      </c>
      <c r="E145" s="36" t="s">
        <v>228</v>
      </c>
      <c r="F145" s="98">
        <v>3640</v>
      </c>
      <c r="G145" s="158">
        <v>41.229428237909396</v>
      </c>
      <c r="H145" s="115">
        <f t="shared" si="20"/>
        <v>150075.1187859902</v>
      </c>
      <c r="I145" s="159">
        <f>SUMIFS(Arrival!M:M,Arrival!K:K,'Stock statement'!$C145)</f>
        <v>806</v>
      </c>
      <c r="J145" s="160">
        <f t="shared" si="21"/>
        <v>41.01</v>
      </c>
      <c r="K145" s="160">
        <f>SUMIFS(Arrival!R:R,Arrival!K:K,'Stock statement'!$C145)</f>
        <v>33054.06</v>
      </c>
      <c r="L145" s="160">
        <f t="shared" si="22"/>
        <v>4446</v>
      </c>
      <c r="M145" s="160">
        <f t="shared" si="23"/>
        <v>41.189648849750384</v>
      </c>
      <c r="N145" s="161">
        <f t="shared" si="24"/>
        <v>183129.1787859902</v>
      </c>
      <c r="O145" s="159">
        <f t="shared" si="25"/>
        <v>2366</v>
      </c>
      <c r="P145" s="162">
        <f t="shared" si="26"/>
        <v>41.189648849750384</v>
      </c>
      <c r="Q145" s="162">
        <f t="shared" si="27"/>
        <v>97454.709178509409</v>
      </c>
      <c r="R145" s="160">
        <f>IFERROR(VLOOKUP(C145,'Monthly Op &amp; Clo Stock (invoic)'!A:C,3,0),0)</f>
        <v>2080</v>
      </c>
      <c r="S145" s="163">
        <f t="shared" si="28"/>
        <v>41.189648849750384</v>
      </c>
      <c r="T145" s="162">
        <f t="shared" si="29"/>
        <v>85674.469607480802</v>
      </c>
      <c r="U145" s="16"/>
      <c r="V145" s="71"/>
      <c r="W145" s="16"/>
    </row>
    <row r="146" spans="1:23">
      <c r="A146" s="35"/>
      <c r="B146" s="35" t="s">
        <v>183</v>
      </c>
      <c r="C146" s="157">
        <v>230290</v>
      </c>
      <c r="D146" s="157" t="s">
        <v>731</v>
      </c>
      <c r="E146" s="36" t="s">
        <v>732</v>
      </c>
      <c r="F146" s="98">
        <v>0</v>
      </c>
      <c r="G146" s="158">
        <v>0</v>
      </c>
      <c r="H146" s="115">
        <f t="shared" si="20"/>
        <v>0</v>
      </c>
      <c r="I146" s="159">
        <f>SUMIFS(Arrival!M:M,Arrival!K:K,'Stock statement'!$C146)</f>
        <v>0</v>
      </c>
      <c r="J146" s="160">
        <f t="shared" si="21"/>
        <v>0</v>
      </c>
      <c r="K146" s="160">
        <f>SUMIFS(Arrival!R:R,Arrival!K:K,'Stock statement'!$C146)</f>
        <v>0</v>
      </c>
      <c r="L146" s="160">
        <f t="shared" si="22"/>
        <v>0</v>
      </c>
      <c r="M146" s="160">
        <f t="shared" si="23"/>
        <v>0</v>
      </c>
      <c r="N146" s="161">
        <f t="shared" si="24"/>
        <v>0</v>
      </c>
      <c r="O146" s="159">
        <f t="shared" si="25"/>
        <v>0</v>
      </c>
      <c r="P146" s="162">
        <f t="shared" si="26"/>
        <v>0</v>
      </c>
      <c r="Q146" s="162">
        <f t="shared" si="27"/>
        <v>0</v>
      </c>
      <c r="R146" s="160">
        <f>IFERROR(VLOOKUP(C146,'Monthly Op &amp; Clo Stock (invoic)'!A:C,3,0),0)</f>
        <v>0</v>
      </c>
      <c r="S146" s="163">
        <f t="shared" si="28"/>
        <v>0</v>
      </c>
      <c r="T146" s="162">
        <f t="shared" si="29"/>
        <v>0</v>
      </c>
      <c r="U146" s="16"/>
      <c r="V146" s="71"/>
      <c r="W146" s="16"/>
    </row>
    <row r="147" spans="1:23">
      <c r="A147" s="35"/>
      <c r="B147" s="35" t="s">
        <v>183</v>
      </c>
      <c r="C147" s="157">
        <v>230242</v>
      </c>
      <c r="D147" s="157" t="s">
        <v>337</v>
      </c>
      <c r="E147" s="36" t="s">
        <v>733</v>
      </c>
      <c r="F147" s="98">
        <v>1220</v>
      </c>
      <c r="G147" s="158">
        <v>42.659819600159089</v>
      </c>
      <c r="H147" s="115">
        <f t="shared" si="20"/>
        <v>52044.979912194089</v>
      </c>
      <c r="I147" s="159">
        <f>SUMIFS(Arrival!M:M,Arrival!K:K,'Stock statement'!$C147)</f>
        <v>0</v>
      </c>
      <c r="J147" s="160">
        <f t="shared" si="21"/>
        <v>0</v>
      </c>
      <c r="K147" s="160">
        <f>SUMIFS(Arrival!R:R,Arrival!K:K,'Stock statement'!$C147)</f>
        <v>0</v>
      </c>
      <c r="L147" s="160">
        <f t="shared" si="22"/>
        <v>1220</v>
      </c>
      <c r="M147" s="160">
        <f t="shared" si="23"/>
        <v>42.659819600159089</v>
      </c>
      <c r="N147" s="161">
        <f t="shared" si="24"/>
        <v>52044.979912194089</v>
      </c>
      <c r="O147" s="159">
        <f t="shared" si="25"/>
        <v>930</v>
      </c>
      <c r="P147" s="162">
        <f t="shared" si="26"/>
        <v>42.659819600159089</v>
      </c>
      <c r="Q147" s="162">
        <f t="shared" si="27"/>
        <v>39673.632228147952</v>
      </c>
      <c r="R147" s="160">
        <f>IFERROR(VLOOKUP(C147,'Monthly Op &amp; Clo Stock (invoic)'!A:C,3,0),0)</f>
        <v>290</v>
      </c>
      <c r="S147" s="163">
        <f t="shared" si="28"/>
        <v>42.659819600159089</v>
      </c>
      <c r="T147" s="162">
        <f t="shared" si="29"/>
        <v>12371.347684046135</v>
      </c>
      <c r="U147" s="16"/>
      <c r="V147" s="71"/>
      <c r="W147" s="16"/>
    </row>
    <row r="148" spans="1:23">
      <c r="A148" s="35"/>
      <c r="B148" s="35" t="s">
        <v>183</v>
      </c>
      <c r="C148" s="157">
        <v>230220</v>
      </c>
      <c r="D148" s="157" t="s">
        <v>734</v>
      </c>
      <c r="E148" s="36" t="s">
        <v>735</v>
      </c>
      <c r="F148" s="98">
        <v>0</v>
      </c>
      <c r="G148" s="158">
        <v>0</v>
      </c>
      <c r="H148" s="115">
        <f t="shared" si="20"/>
        <v>0</v>
      </c>
      <c r="I148" s="159">
        <f>SUMIFS(Arrival!M:M,Arrival!K:K,'Stock statement'!$C148)</f>
        <v>0</v>
      </c>
      <c r="J148" s="160">
        <f t="shared" si="21"/>
        <v>0</v>
      </c>
      <c r="K148" s="160">
        <f>SUMIFS(Arrival!R:R,Arrival!K:K,'Stock statement'!$C148)</f>
        <v>0</v>
      </c>
      <c r="L148" s="160">
        <f t="shared" si="22"/>
        <v>0</v>
      </c>
      <c r="M148" s="160">
        <f t="shared" si="23"/>
        <v>0</v>
      </c>
      <c r="N148" s="161">
        <f t="shared" si="24"/>
        <v>0</v>
      </c>
      <c r="O148" s="159">
        <f t="shared" si="25"/>
        <v>0</v>
      </c>
      <c r="P148" s="162">
        <f t="shared" si="26"/>
        <v>0</v>
      </c>
      <c r="Q148" s="162">
        <f t="shared" si="27"/>
        <v>0</v>
      </c>
      <c r="R148" s="160">
        <f>IFERROR(VLOOKUP(C148,'Monthly Op &amp; Clo Stock (invoic)'!A:C,3,0),0)</f>
        <v>0</v>
      </c>
      <c r="S148" s="163">
        <f t="shared" si="28"/>
        <v>0</v>
      </c>
      <c r="T148" s="162">
        <f t="shared" si="29"/>
        <v>0</v>
      </c>
      <c r="U148" s="16"/>
      <c r="V148" s="71"/>
      <c r="W148" s="16"/>
    </row>
    <row r="149" spans="1:23">
      <c r="A149" s="35"/>
      <c r="B149" s="35" t="s">
        <v>183</v>
      </c>
      <c r="C149" s="157">
        <v>211673</v>
      </c>
      <c r="D149" s="157">
        <v>211673</v>
      </c>
      <c r="E149" s="36" t="s">
        <v>318</v>
      </c>
      <c r="F149" s="98">
        <v>3870</v>
      </c>
      <c r="G149" s="158">
        <v>36.209969287609546</v>
      </c>
      <c r="H149" s="115">
        <f t="shared" si="20"/>
        <v>140132.58114304894</v>
      </c>
      <c r="I149" s="159">
        <f>SUMIFS(Arrival!M:M,Arrival!K:K,'Stock statement'!$C149)</f>
        <v>0</v>
      </c>
      <c r="J149" s="160">
        <f t="shared" si="21"/>
        <v>0</v>
      </c>
      <c r="K149" s="160">
        <f>SUMIFS(Arrival!R:R,Arrival!K:K,'Stock statement'!$C149)</f>
        <v>0</v>
      </c>
      <c r="L149" s="160">
        <f t="shared" si="22"/>
        <v>3870</v>
      </c>
      <c r="M149" s="160">
        <f t="shared" si="23"/>
        <v>36.209969287609546</v>
      </c>
      <c r="N149" s="161">
        <f t="shared" si="24"/>
        <v>140132.58114304894</v>
      </c>
      <c r="O149" s="159">
        <f t="shared" si="25"/>
        <v>1630</v>
      </c>
      <c r="P149" s="162">
        <f t="shared" si="26"/>
        <v>36.209969287609546</v>
      </c>
      <c r="Q149" s="162">
        <f t="shared" si="27"/>
        <v>59022.249938803558</v>
      </c>
      <c r="R149" s="160">
        <f>IFERROR(VLOOKUP(C149,'Monthly Op &amp; Clo Stock (invoic)'!A:C,3,0),0)</f>
        <v>2240</v>
      </c>
      <c r="S149" s="163">
        <f t="shared" si="28"/>
        <v>36.209969287609546</v>
      </c>
      <c r="T149" s="162">
        <f t="shared" si="29"/>
        <v>81110.331204245376</v>
      </c>
      <c r="U149" s="16"/>
      <c r="V149" s="71"/>
      <c r="W149" s="16"/>
    </row>
    <row r="150" spans="1:23">
      <c r="A150" s="35"/>
      <c r="B150" s="35" t="s">
        <v>183</v>
      </c>
      <c r="C150" s="157">
        <v>230067</v>
      </c>
      <c r="D150" s="157" t="s">
        <v>550</v>
      </c>
      <c r="E150" s="36" t="s">
        <v>551</v>
      </c>
      <c r="F150" s="98">
        <v>0</v>
      </c>
      <c r="G150" s="158">
        <v>0</v>
      </c>
      <c r="H150" s="115">
        <f t="shared" si="20"/>
        <v>0</v>
      </c>
      <c r="I150" s="159">
        <f>SUMIFS(Arrival!M:M,Arrival!K:K,'Stock statement'!$C150)</f>
        <v>0</v>
      </c>
      <c r="J150" s="160">
        <f t="shared" si="21"/>
        <v>0</v>
      </c>
      <c r="K150" s="160">
        <f>SUMIFS(Arrival!R:R,Arrival!K:K,'Stock statement'!$C150)</f>
        <v>0</v>
      </c>
      <c r="L150" s="160">
        <f t="shared" si="22"/>
        <v>0</v>
      </c>
      <c r="M150" s="160">
        <f t="shared" si="23"/>
        <v>0</v>
      </c>
      <c r="N150" s="161">
        <f t="shared" si="24"/>
        <v>0</v>
      </c>
      <c r="O150" s="159">
        <f t="shared" si="25"/>
        <v>0</v>
      </c>
      <c r="P150" s="162">
        <f t="shared" si="26"/>
        <v>0</v>
      </c>
      <c r="Q150" s="162">
        <f t="shared" si="27"/>
        <v>0</v>
      </c>
      <c r="R150" s="160">
        <f>IFERROR(VLOOKUP(C150,'Monthly Op &amp; Clo Stock (invoic)'!A:C,3,0),0)</f>
        <v>0</v>
      </c>
      <c r="S150" s="163">
        <f t="shared" si="28"/>
        <v>0</v>
      </c>
      <c r="T150" s="162">
        <f t="shared" si="29"/>
        <v>0</v>
      </c>
      <c r="U150" s="16"/>
      <c r="V150" s="71"/>
      <c r="W150" s="16"/>
    </row>
    <row r="151" spans="1:23">
      <c r="A151" s="35"/>
      <c r="B151" s="35" t="s">
        <v>183</v>
      </c>
      <c r="C151" s="157">
        <v>230069</v>
      </c>
      <c r="D151" s="157" t="s">
        <v>503</v>
      </c>
      <c r="E151" s="36" t="s">
        <v>736</v>
      </c>
      <c r="F151" s="98">
        <v>0</v>
      </c>
      <c r="G151" s="158">
        <v>49.128199548616294</v>
      </c>
      <c r="H151" s="115">
        <f t="shared" si="20"/>
        <v>0</v>
      </c>
      <c r="I151" s="159">
        <f>SUMIFS(Arrival!M:M,Arrival!K:K,'Stock statement'!$C151)</f>
        <v>0</v>
      </c>
      <c r="J151" s="160">
        <f t="shared" si="21"/>
        <v>0</v>
      </c>
      <c r="K151" s="160">
        <f>SUMIFS(Arrival!R:R,Arrival!K:K,'Stock statement'!$C151)</f>
        <v>0</v>
      </c>
      <c r="L151" s="160">
        <f t="shared" si="22"/>
        <v>0</v>
      </c>
      <c r="M151" s="160">
        <f t="shared" si="23"/>
        <v>0</v>
      </c>
      <c r="N151" s="161">
        <f t="shared" si="24"/>
        <v>0</v>
      </c>
      <c r="O151" s="159">
        <f t="shared" si="25"/>
        <v>0</v>
      </c>
      <c r="P151" s="162">
        <f t="shared" si="26"/>
        <v>0</v>
      </c>
      <c r="Q151" s="162">
        <f t="shared" si="27"/>
        <v>0</v>
      </c>
      <c r="R151" s="160">
        <f>IFERROR(VLOOKUP(C151,'Monthly Op &amp; Clo Stock (invoic)'!A:C,3,0),0)</f>
        <v>0</v>
      </c>
      <c r="S151" s="163">
        <f t="shared" si="28"/>
        <v>0</v>
      </c>
      <c r="T151" s="162">
        <f t="shared" si="29"/>
        <v>0</v>
      </c>
      <c r="U151" s="16"/>
      <c r="V151" s="71"/>
      <c r="W151" s="16"/>
    </row>
    <row r="152" spans="1:23">
      <c r="A152" s="35"/>
      <c r="B152" s="35" t="s">
        <v>183</v>
      </c>
      <c r="C152" s="157">
        <v>211669</v>
      </c>
      <c r="D152" s="157">
        <v>211669</v>
      </c>
      <c r="E152" s="36" t="s">
        <v>737</v>
      </c>
      <c r="F152" s="98">
        <v>0</v>
      </c>
      <c r="G152" s="158">
        <v>0</v>
      </c>
      <c r="H152" s="115">
        <f t="shared" si="20"/>
        <v>0</v>
      </c>
      <c r="I152" s="159">
        <f>SUMIFS(Arrival!M:M,Arrival!K:K,'Stock statement'!$C152)</f>
        <v>0</v>
      </c>
      <c r="J152" s="160">
        <f t="shared" si="21"/>
        <v>0</v>
      </c>
      <c r="K152" s="160">
        <f>SUMIFS(Arrival!R:R,Arrival!K:K,'Stock statement'!$C152)</f>
        <v>0</v>
      </c>
      <c r="L152" s="160">
        <f t="shared" si="22"/>
        <v>0</v>
      </c>
      <c r="M152" s="160">
        <f t="shared" si="23"/>
        <v>0</v>
      </c>
      <c r="N152" s="161">
        <f t="shared" si="24"/>
        <v>0</v>
      </c>
      <c r="O152" s="159">
        <f t="shared" si="25"/>
        <v>0</v>
      </c>
      <c r="P152" s="162">
        <f t="shared" si="26"/>
        <v>0</v>
      </c>
      <c r="Q152" s="162">
        <f t="shared" si="27"/>
        <v>0</v>
      </c>
      <c r="R152" s="160">
        <f>IFERROR(VLOOKUP(C152,'Monthly Op &amp; Clo Stock (invoic)'!A:C,3,0),0)</f>
        <v>0</v>
      </c>
      <c r="S152" s="163">
        <f t="shared" si="28"/>
        <v>0</v>
      </c>
      <c r="T152" s="162">
        <f t="shared" si="29"/>
        <v>0</v>
      </c>
      <c r="U152" s="16"/>
      <c r="V152" s="71"/>
      <c r="W152" s="16"/>
    </row>
    <row r="153" spans="1:23">
      <c r="A153" s="35"/>
      <c r="B153" s="35" t="s">
        <v>183</v>
      </c>
      <c r="C153" s="157">
        <v>211670</v>
      </c>
      <c r="D153" s="157">
        <v>211670</v>
      </c>
      <c r="E153" s="36" t="s">
        <v>738</v>
      </c>
      <c r="F153" s="98">
        <v>0</v>
      </c>
      <c r="G153" s="158">
        <v>0</v>
      </c>
      <c r="H153" s="115">
        <f t="shared" si="20"/>
        <v>0</v>
      </c>
      <c r="I153" s="159">
        <f>SUMIFS(Arrival!M:M,Arrival!K:K,'Stock statement'!$C153)</f>
        <v>0</v>
      </c>
      <c r="J153" s="160">
        <f t="shared" si="21"/>
        <v>0</v>
      </c>
      <c r="K153" s="160">
        <f>SUMIFS(Arrival!R:R,Arrival!K:K,'Stock statement'!$C153)</f>
        <v>0</v>
      </c>
      <c r="L153" s="160">
        <f t="shared" si="22"/>
        <v>0</v>
      </c>
      <c r="M153" s="160">
        <f t="shared" si="23"/>
        <v>0</v>
      </c>
      <c r="N153" s="161">
        <f t="shared" si="24"/>
        <v>0</v>
      </c>
      <c r="O153" s="159">
        <f t="shared" si="25"/>
        <v>0</v>
      </c>
      <c r="P153" s="162">
        <f t="shared" si="26"/>
        <v>0</v>
      </c>
      <c r="Q153" s="162">
        <f t="shared" si="27"/>
        <v>0</v>
      </c>
      <c r="R153" s="160">
        <f>IFERROR(VLOOKUP(C153,'Monthly Op &amp; Clo Stock (invoic)'!A:C,3,0),0)</f>
        <v>0</v>
      </c>
      <c r="S153" s="163">
        <f t="shared" si="28"/>
        <v>0</v>
      </c>
      <c r="T153" s="162">
        <f t="shared" si="29"/>
        <v>0</v>
      </c>
      <c r="U153" s="16"/>
      <c r="V153" s="71"/>
      <c r="W153" s="16"/>
    </row>
    <row r="154" spans="1:23">
      <c r="A154" s="35" t="s">
        <v>138</v>
      </c>
      <c r="B154" s="35" t="s">
        <v>138</v>
      </c>
      <c r="C154" s="157">
        <v>114476</v>
      </c>
      <c r="D154" s="157">
        <v>114476</v>
      </c>
      <c r="E154" s="36" t="s">
        <v>172</v>
      </c>
      <c r="F154" s="98">
        <v>425</v>
      </c>
      <c r="G154" s="158">
        <v>739.94553432531984</v>
      </c>
      <c r="H154" s="115">
        <f t="shared" si="20"/>
        <v>314476.85208826093</v>
      </c>
      <c r="I154" s="159">
        <f>SUMIFS(Arrival!M:M,Arrival!K:K,'Stock statement'!$C154)</f>
        <v>1400</v>
      </c>
      <c r="J154" s="160">
        <f t="shared" si="21"/>
        <v>740</v>
      </c>
      <c r="K154" s="160">
        <f>SUMIFS(Arrival!R:R,Arrival!K:K,'Stock statement'!$C154)</f>
        <v>1036000</v>
      </c>
      <c r="L154" s="160">
        <f t="shared" si="22"/>
        <v>1825</v>
      </c>
      <c r="M154" s="160">
        <f t="shared" si="23"/>
        <v>739.98731621274567</v>
      </c>
      <c r="N154" s="161">
        <f t="shared" si="24"/>
        <v>1350476.8520882609</v>
      </c>
      <c r="O154" s="159">
        <f t="shared" si="25"/>
        <v>542.55999999999995</v>
      </c>
      <c r="P154" s="162">
        <f t="shared" si="26"/>
        <v>739.98731621274567</v>
      </c>
      <c r="Q154" s="162">
        <f t="shared" si="27"/>
        <v>401487.51828438725</v>
      </c>
      <c r="R154" s="160">
        <f>IFERROR(VLOOKUP(C154,'Monthly Op &amp; Clo Stock (invoic)'!A:C,3,0),0)</f>
        <v>1282.44</v>
      </c>
      <c r="S154" s="163">
        <f t="shared" si="28"/>
        <v>739.98731621274567</v>
      </c>
      <c r="T154" s="162">
        <f t="shared" si="29"/>
        <v>948989.33380387363</v>
      </c>
      <c r="U154" s="16"/>
      <c r="V154" s="71"/>
      <c r="W154" s="16"/>
    </row>
    <row r="155" spans="1:23">
      <c r="A155" s="35"/>
      <c r="B155" s="35" t="s">
        <v>183</v>
      </c>
      <c r="C155" s="157">
        <v>212374</v>
      </c>
      <c r="D155" s="157">
        <v>212374</v>
      </c>
      <c r="E155" s="36" t="s">
        <v>739</v>
      </c>
      <c r="F155" s="98">
        <v>1400</v>
      </c>
      <c r="G155" s="158">
        <v>28</v>
      </c>
      <c r="H155" s="115">
        <f t="shared" si="20"/>
        <v>39200</v>
      </c>
      <c r="I155" s="159">
        <f>SUMIFS(Arrival!M:M,Arrival!K:K,'Stock statement'!$C155)</f>
        <v>0</v>
      </c>
      <c r="J155" s="160">
        <f t="shared" si="21"/>
        <v>0</v>
      </c>
      <c r="K155" s="160">
        <f>SUMIFS(Arrival!R:R,Arrival!K:K,'Stock statement'!$C155)</f>
        <v>0</v>
      </c>
      <c r="L155" s="160">
        <f t="shared" si="22"/>
        <v>1400</v>
      </c>
      <c r="M155" s="160">
        <f t="shared" si="23"/>
        <v>28</v>
      </c>
      <c r="N155" s="161">
        <f t="shared" si="24"/>
        <v>39200</v>
      </c>
      <c r="O155" s="159">
        <f t="shared" si="25"/>
        <v>0</v>
      </c>
      <c r="P155" s="162">
        <f t="shared" si="26"/>
        <v>28</v>
      </c>
      <c r="Q155" s="162">
        <f t="shared" si="27"/>
        <v>0</v>
      </c>
      <c r="R155" s="160">
        <f>IFERROR(VLOOKUP(C155,'Monthly Op &amp; Clo Stock (invoic)'!A:C,3,0),0)</f>
        <v>1400</v>
      </c>
      <c r="S155" s="163">
        <f t="shared" si="28"/>
        <v>28</v>
      </c>
      <c r="T155" s="162">
        <f t="shared" si="29"/>
        <v>39200</v>
      </c>
      <c r="U155" s="16"/>
      <c r="V155" s="71"/>
      <c r="W155" s="16"/>
    </row>
    <row r="156" spans="1:23">
      <c r="A156" s="35"/>
      <c r="B156" s="35" t="s">
        <v>183</v>
      </c>
      <c r="C156" s="157">
        <v>212375</v>
      </c>
      <c r="D156" s="157">
        <v>212375</v>
      </c>
      <c r="E156" s="36" t="s">
        <v>740</v>
      </c>
      <c r="F156" s="98">
        <v>0</v>
      </c>
      <c r="G156" s="158">
        <v>0</v>
      </c>
      <c r="H156" s="115">
        <f t="shared" si="20"/>
        <v>0</v>
      </c>
      <c r="I156" s="159">
        <f>SUMIFS(Arrival!M:M,Arrival!K:K,'Stock statement'!$C156)</f>
        <v>0</v>
      </c>
      <c r="J156" s="160">
        <f t="shared" si="21"/>
        <v>0</v>
      </c>
      <c r="K156" s="160">
        <f>SUMIFS(Arrival!R:R,Arrival!K:K,'Stock statement'!$C156)</f>
        <v>0</v>
      </c>
      <c r="L156" s="160">
        <f t="shared" si="22"/>
        <v>0</v>
      </c>
      <c r="M156" s="160">
        <f t="shared" si="23"/>
        <v>0</v>
      </c>
      <c r="N156" s="161">
        <f t="shared" si="24"/>
        <v>0</v>
      </c>
      <c r="O156" s="159">
        <f t="shared" si="25"/>
        <v>0</v>
      </c>
      <c r="P156" s="162">
        <f t="shared" si="26"/>
        <v>0</v>
      </c>
      <c r="Q156" s="162">
        <f t="shared" si="27"/>
        <v>0</v>
      </c>
      <c r="R156" s="160">
        <f>IFERROR(VLOOKUP(C156,'Monthly Op &amp; Clo Stock (invoic)'!A:C,3,0),0)</f>
        <v>0</v>
      </c>
      <c r="S156" s="163">
        <f t="shared" si="28"/>
        <v>0</v>
      </c>
      <c r="T156" s="162">
        <f t="shared" si="29"/>
        <v>0</v>
      </c>
      <c r="U156" s="16"/>
      <c r="V156" s="71"/>
      <c r="W156" s="16"/>
    </row>
    <row r="157" spans="1:23">
      <c r="A157" s="35"/>
      <c r="B157" s="35" t="s">
        <v>183</v>
      </c>
      <c r="C157" s="157">
        <v>212501</v>
      </c>
      <c r="D157" s="157">
        <v>212501</v>
      </c>
      <c r="E157" s="36" t="s">
        <v>741</v>
      </c>
      <c r="F157" s="98">
        <v>0</v>
      </c>
      <c r="G157" s="158">
        <v>0</v>
      </c>
      <c r="H157" s="115">
        <f t="shared" si="20"/>
        <v>0</v>
      </c>
      <c r="I157" s="159">
        <f>SUMIFS(Arrival!M:M,Arrival!K:K,'Stock statement'!$C157)</f>
        <v>0</v>
      </c>
      <c r="J157" s="160">
        <f t="shared" si="21"/>
        <v>0</v>
      </c>
      <c r="K157" s="160">
        <f>SUMIFS(Arrival!R:R,Arrival!K:K,'Stock statement'!$C157)</f>
        <v>0</v>
      </c>
      <c r="L157" s="160">
        <f t="shared" si="22"/>
        <v>0</v>
      </c>
      <c r="M157" s="160">
        <f t="shared" si="23"/>
        <v>0</v>
      </c>
      <c r="N157" s="161">
        <f t="shared" si="24"/>
        <v>0</v>
      </c>
      <c r="O157" s="159">
        <f t="shared" si="25"/>
        <v>0</v>
      </c>
      <c r="P157" s="162">
        <f t="shared" si="26"/>
        <v>0</v>
      </c>
      <c r="Q157" s="162">
        <f t="shared" si="27"/>
        <v>0</v>
      </c>
      <c r="R157" s="160">
        <f>IFERROR(VLOOKUP(C157,'Monthly Op &amp; Clo Stock (invoic)'!A:C,3,0),0)</f>
        <v>0</v>
      </c>
      <c r="S157" s="163">
        <f t="shared" si="28"/>
        <v>0</v>
      </c>
      <c r="T157" s="162">
        <f t="shared" si="29"/>
        <v>0</v>
      </c>
      <c r="U157" s="16"/>
      <c r="V157" s="71"/>
      <c r="W157" s="16"/>
    </row>
    <row r="158" spans="1:23">
      <c r="A158" s="35"/>
      <c r="B158" s="35" t="s">
        <v>183</v>
      </c>
      <c r="C158" s="157">
        <v>212502</v>
      </c>
      <c r="D158" s="157">
        <v>212502</v>
      </c>
      <c r="E158" s="36" t="s">
        <v>742</v>
      </c>
      <c r="F158" s="98">
        <v>0</v>
      </c>
      <c r="G158" s="158">
        <v>0</v>
      </c>
      <c r="H158" s="115">
        <f t="shared" si="20"/>
        <v>0</v>
      </c>
      <c r="I158" s="159">
        <f>SUMIFS(Arrival!M:M,Arrival!K:K,'Stock statement'!$C158)</f>
        <v>0</v>
      </c>
      <c r="J158" s="160">
        <f t="shared" si="21"/>
        <v>0</v>
      </c>
      <c r="K158" s="160">
        <f>SUMIFS(Arrival!R:R,Arrival!K:K,'Stock statement'!$C158)</f>
        <v>0</v>
      </c>
      <c r="L158" s="160">
        <f t="shared" si="22"/>
        <v>0</v>
      </c>
      <c r="M158" s="160">
        <f t="shared" si="23"/>
        <v>0</v>
      </c>
      <c r="N158" s="161">
        <f t="shared" si="24"/>
        <v>0</v>
      </c>
      <c r="O158" s="159">
        <f t="shared" si="25"/>
        <v>0</v>
      </c>
      <c r="P158" s="162">
        <f t="shared" si="26"/>
        <v>0</v>
      </c>
      <c r="Q158" s="162">
        <f t="shared" si="27"/>
        <v>0</v>
      </c>
      <c r="R158" s="160">
        <f>IFERROR(VLOOKUP(C158,'Monthly Op &amp; Clo Stock (invoic)'!A:C,3,0),0)</f>
        <v>0</v>
      </c>
      <c r="S158" s="163">
        <f t="shared" si="28"/>
        <v>0</v>
      </c>
      <c r="T158" s="162">
        <f t="shared" si="29"/>
        <v>0</v>
      </c>
      <c r="U158" s="16"/>
      <c r="V158" s="71"/>
      <c r="W158" s="16"/>
    </row>
    <row r="159" spans="1:23">
      <c r="A159" s="35"/>
      <c r="B159" s="35" t="s">
        <v>183</v>
      </c>
      <c r="C159" s="157">
        <v>212459</v>
      </c>
      <c r="D159" s="157">
        <v>212459</v>
      </c>
      <c r="E159" s="36" t="s">
        <v>743</v>
      </c>
      <c r="F159" s="98">
        <v>0</v>
      </c>
      <c r="G159" s="158">
        <v>0</v>
      </c>
      <c r="H159" s="115">
        <f t="shared" si="20"/>
        <v>0</v>
      </c>
      <c r="I159" s="159">
        <f>SUMIFS(Arrival!M:M,Arrival!K:K,'Stock statement'!$C159)</f>
        <v>0</v>
      </c>
      <c r="J159" s="160">
        <f t="shared" si="21"/>
        <v>0</v>
      </c>
      <c r="K159" s="160">
        <f>SUMIFS(Arrival!R:R,Arrival!K:K,'Stock statement'!$C159)</f>
        <v>0</v>
      </c>
      <c r="L159" s="160">
        <f t="shared" si="22"/>
        <v>0</v>
      </c>
      <c r="M159" s="160">
        <f t="shared" si="23"/>
        <v>0</v>
      </c>
      <c r="N159" s="161">
        <f t="shared" si="24"/>
        <v>0</v>
      </c>
      <c r="O159" s="159">
        <f t="shared" si="25"/>
        <v>0</v>
      </c>
      <c r="P159" s="162">
        <f t="shared" si="26"/>
        <v>0</v>
      </c>
      <c r="Q159" s="162">
        <f t="shared" si="27"/>
        <v>0</v>
      </c>
      <c r="R159" s="160">
        <f>IFERROR(VLOOKUP(C159,'Monthly Op &amp; Clo Stock (invoic)'!A:C,3,0),0)</f>
        <v>0</v>
      </c>
      <c r="S159" s="163">
        <f t="shared" si="28"/>
        <v>0</v>
      </c>
      <c r="T159" s="162">
        <f t="shared" si="29"/>
        <v>0</v>
      </c>
      <c r="U159" s="16"/>
      <c r="V159" s="71"/>
      <c r="W159" s="16"/>
    </row>
    <row r="160" spans="1:23">
      <c r="A160" s="35"/>
      <c r="B160" s="35" t="s">
        <v>183</v>
      </c>
      <c r="C160" s="157">
        <v>212536</v>
      </c>
      <c r="D160" s="157">
        <v>212536</v>
      </c>
      <c r="E160" s="36" t="s">
        <v>744</v>
      </c>
      <c r="F160" s="98">
        <v>0</v>
      </c>
      <c r="G160" s="158">
        <v>0</v>
      </c>
      <c r="H160" s="115">
        <f t="shared" si="20"/>
        <v>0</v>
      </c>
      <c r="I160" s="159">
        <f>SUMIFS(Arrival!M:M,Arrival!K:K,'Stock statement'!$C160)</f>
        <v>0</v>
      </c>
      <c r="J160" s="160">
        <f t="shared" si="21"/>
        <v>0</v>
      </c>
      <c r="K160" s="160">
        <f>SUMIFS(Arrival!R:R,Arrival!K:K,'Stock statement'!$C160)</f>
        <v>0</v>
      </c>
      <c r="L160" s="160">
        <f t="shared" si="22"/>
        <v>0</v>
      </c>
      <c r="M160" s="160">
        <f t="shared" si="23"/>
        <v>0</v>
      </c>
      <c r="N160" s="161">
        <f t="shared" si="24"/>
        <v>0</v>
      </c>
      <c r="O160" s="159">
        <f t="shared" si="25"/>
        <v>0</v>
      </c>
      <c r="P160" s="162">
        <f t="shared" si="26"/>
        <v>0</v>
      </c>
      <c r="Q160" s="162">
        <f t="shared" si="27"/>
        <v>0</v>
      </c>
      <c r="R160" s="160">
        <f>IFERROR(VLOOKUP(C160,'Monthly Op &amp; Clo Stock (invoic)'!A:C,3,0),0)</f>
        <v>0</v>
      </c>
      <c r="S160" s="163">
        <f t="shared" si="28"/>
        <v>0</v>
      </c>
      <c r="T160" s="162">
        <f t="shared" si="29"/>
        <v>0</v>
      </c>
      <c r="U160" s="16"/>
      <c r="V160" s="71"/>
      <c r="W160" s="16"/>
    </row>
    <row r="161" spans="1:23">
      <c r="A161" s="35"/>
      <c r="B161" s="35" t="s">
        <v>183</v>
      </c>
      <c r="C161" s="157">
        <v>212639</v>
      </c>
      <c r="D161" s="157">
        <v>212639</v>
      </c>
      <c r="E161" s="36" t="s">
        <v>745</v>
      </c>
      <c r="F161" s="98">
        <v>0</v>
      </c>
      <c r="G161" s="158">
        <v>0</v>
      </c>
      <c r="H161" s="115">
        <f t="shared" si="20"/>
        <v>0</v>
      </c>
      <c r="I161" s="159">
        <f>SUMIFS(Arrival!M:M,Arrival!K:K,'Stock statement'!$C161)</f>
        <v>0</v>
      </c>
      <c r="J161" s="160">
        <f t="shared" si="21"/>
        <v>0</v>
      </c>
      <c r="K161" s="160">
        <f>SUMIFS(Arrival!R:R,Arrival!K:K,'Stock statement'!$C161)</f>
        <v>0</v>
      </c>
      <c r="L161" s="160">
        <f t="shared" si="22"/>
        <v>0</v>
      </c>
      <c r="M161" s="160">
        <f t="shared" si="23"/>
        <v>0</v>
      </c>
      <c r="N161" s="161">
        <f t="shared" si="24"/>
        <v>0</v>
      </c>
      <c r="O161" s="159">
        <f t="shared" si="25"/>
        <v>0</v>
      </c>
      <c r="P161" s="162">
        <f t="shared" si="26"/>
        <v>0</v>
      </c>
      <c r="Q161" s="162">
        <f t="shared" si="27"/>
        <v>0</v>
      </c>
      <c r="R161" s="160">
        <f>IFERROR(VLOOKUP(C161,'Monthly Op &amp; Clo Stock (invoic)'!A:C,3,0),0)</f>
        <v>0</v>
      </c>
      <c r="S161" s="163">
        <f t="shared" si="28"/>
        <v>0</v>
      </c>
      <c r="T161" s="162">
        <f t="shared" si="29"/>
        <v>0</v>
      </c>
      <c r="U161" s="16"/>
      <c r="V161" s="71"/>
      <c r="W161" s="16"/>
    </row>
    <row r="162" spans="1:23">
      <c r="A162" s="35"/>
      <c r="B162" s="35" t="s">
        <v>183</v>
      </c>
      <c r="C162" s="157">
        <v>212640</v>
      </c>
      <c r="D162" s="157">
        <v>212640</v>
      </c>
      <c r="E162" s="36" t="s">
        <v>746</v>
      </c>
      <c r="F162" s="98">
        <v>0</v>
      </c>
      <c r="G162" s="158">
        <v>0</v>
      </c>
      <c r="H162" s="115">
        <f t="shared" si="20"/>
        <v>0</v>
      </c>
      <c r="I162" s="159">
        <f>SUMIFS(Arrival!M:M,Arrival!K:K,'Stock statement'!$C162)</f>
        <v>0</v>
      </c>
      <c r="J162" s="160">
        <f t="shared" si="21"/>
        <v>0</v>
      </c>
      <c r="K162" s="160">
        <f>SUMIFS(Arrival!R:R,Arrival!K:K,'Stock statement'!$C162)</f>
        <v>0</v>
      </c>
      <c r="L162" s="160">
        <f t="shared" si="22"/>
        <v>0</v>
      </c>
      <c r="M162" s="160">
        <f t="shared" si="23"/>
        <v>0</v>
      </c>
      <c r="N162" s="161">
        <f t="shared" si="24"/>
        <v>0</v>
      </c>
      <c r="O162" s="159">
        <f t="shared" si="25"/>
        <v>0</v>
      </c>
      <c r="P162" s="162">
        <f t="shared" si="26"/>
        <v>0</v>
      </c>
      <c r="Q162" s="162">
        <f t="shared" si="27"/>
        <v>0</v>
      </c>
      <c r="R162" s="160">
        <f>IFERROR(VLOOKUP(C162,'Monthly Op &amp; Clo Stock (invoic)'!A:C,3,0),0)</f>
        <v>0</v>
      </c>
      <c r="S162" s="163">
        <f t="shared" si="28"/>
        <v>0</v>
      </c>
      <c r="T162" s="162">
        <f t="shared" si="29"/>
        <v>0</v>
      </c>
      <c r="U162" s="16"/>
      <c r="V162" s="71"/>
      <c r="W162" s="16"/>
    </row>
    <row r="163" spans="1:23">
      <c r="A163" s="35"/>
      <c r="B163" s="35" t="s">
        <v>183</v>
      </c>
      <c r="C163" s="157">
        <v>222274</v>
      </c>
      <c r="D163" s="157">
        <v>222274</v>
      </c>
      <c r="E163" s="36" t="s">
        <v>747</v>
      </c>
      <c r="F163" s="98">
        <v>0</v>
      </c>
      <c r="G163" s="158">
        <v>0</v>
      </c>
      <c r="H163" s="115">
        <f t="shared" si="20"/>
        <v>0</v>
      </c>
      <c r="I163" s="159">
        <f>SUMIFS(Arrival!M:M,Arrival!K:K,'Stock statement'!$C163)</f>
        <v>0</v>
      </c>
      <c r="J163" s="160">
        <f t="shared" si="21"/>
        <v>0</v>
      </c>
      <c r="K163" s="160">
        <f>SUMIFS(Arrival!R:R,Arrival!K:K,'Stock statement'!$C163)</f>
        <v>0</v>
      </c>
      <c r="L163" s="160">
        <f t="shared" si="22"/>
        <v>0</v>
      </c>
      <c r="M163" s="160">
        <f t="shared" si="23"/>
        <v>0</v>
      </c>
      <c r="N163" s="161">
        <f t="shared" si="24"/>
        <v>0</v>
      </c>
      <c r="O163" s="159">
        <f t="shared" si="25"/>
        <v>0</v>
      </c>
      <c r="P163" s="162">
        <f t="shared" si="26"/>
        <v>0</v>
      </c>
      <c r="Q163" s="162">
        <f t="shared" si="27"/>
        <v>0</v>
      </c>
      <c r="R163" s="160">
        <f>IFERROR(VLOOKUP(C163,'Monthly Op &amp; Clo Stock (invoic)'!A:C,3,0),0)</f>
        <v>0</v>
      </c>
      <c r="S163" s="163">
        <f t="shared" si="28"/>
        <v>0</v>
      </c>
      <c r="T163" s="162">
        <f t="shared" si="29"/>
        <v>0</v>
      </c>
      <c r="U163" s="16"/>
      <c r="V163" s="71"/>
      <c r="W163" s="16"/>
    </row>
    <row r="164" spans="1:23">
      <c r="A164" s="35"/>
      <c r="B164" s="35" t="s">
        <v>183</v>
      </c>
      <c r="C164" s="157">
        <v>212460</v>
      </c>
      <c r="D164" s="157">
        <v>212460</v>
      </c>
      <c r="E164" s="36" t="s">
        <v>748</v>
      </c>
      <c r="F164" s="98">
        <v>0</v>
      </c>
      <c r="G164" s="158">
        <v>0</v>
      </c>
      <c r="H164" s="115">
        <f t="shared" si="20"/>
        <v>0</v>
      </c>
      <c r="I164" s="159">
        <f>SUMIFS(Arrival!M:M,Arrival!K:K,'Stock statement'!$C164)</f>
        <v>0</v>
      </c>
      <c r="J164" s="160">
        <f t="shared" si="21"/>
        <v>0</v>
      </c>
      <c r="K164" s="160">
        <f>SUMIFS(Arrival!R:R,Arrival!K:K,'Stock statement'!$C164)</f>
        <v>0</v>
      </c>
      <c r="L164" s="160">
        <f t="shared" si="22"/>
        <v>0</v>
      </c>
      <c r="M164" s="160">
        <f t="shared" si="23"/>
        <v>0</v>
      </c>
      <c r="N164" s="161">
        <f t="shared" si="24"/>
        <v>0</v>
      </c>
      <c r="O164" s="159">
        <f t="shared" si="25"/>
        <v>0</v>
      </c>
      <c r="P164" s="162">
        <f t="shared" si="26"/>
        <v>0</v>
      </c>
      <c r="Q164" s="162">
        <f t="shared" si="27"/>
        <v>0</v>
      </c>
      <c r="R164" s="160">
        <f>IFERROR(VLOOKUP(C164,'Monthly Op &amp; Clo Stock (invoic)'!A:C,3,0),0)</f>
        <v>0</v>
      </c>
      <c r="S164" s="163">
        <f t="shared" si="28"/>
        <v>0</v>
      </c>
      <c r="T164" s="162">
        <f t="shared" si="29"/>
        <v>0</v>
      </c>
      <c r="U164" s="16"/>
      <c r="V164" s="71"/>
      <c r="W164" s="16"/>
    </row>
    <row r="165" spans="1:23">
      <c r="A165" s="35"/>
      <c r="B165" s="35" t="s">
        <v>183</v>
      </c>
      <c r="C165" s="157">
        <v>212500</v>
      </c>
      <c r="D165" s="157">
        <v>212500</v>
      </c>
      <c r="E165" s="36" t="s">
        <v>749</v>
      </c>
      <c r="F165" s="98">
        <v>0</v>
      </c>
      <c r="G165" s="158">
        <v>0</v>
      </c>
      <c r="H165" s="115">
        <f t="shared" si="20"/>
        <v>0</v>
      </c>
      <c r="I165" s="159">
        <f>SUMIFS(Arrival!M:M,Arrival!K:K,'Stock statement'!$C165)</f>
        <v>0</v>
      </c>
      <c r="J165" s="160">
        <f t="shared" si="21"/>
        <v>0</v>
      </c>
      <c r="K165" s="160">
        <f>SUMIFS(Arrival!R:R,Arrival!K:K,'Stock statement'!$C165)</f>
        <v>0</v>
      </c>
      <c r="L165" s="160">
        <f t="shared" si="22"/>
        <v>0</v>
      </c>
      <c r="M165" s="160">
        <f t="shared" si="23"/>
        <v>0</v>
      </c>
      <c r="N165" s="161">
        <f t="shared" si="24"/>
        <v>0</v>
      </c>
      <c r="O165" s="159">
        <f t="shared" si="25"/>
        <v>0</v>
      </c>
      <c r="P165" s="162">
        <f t="shared" si="26"/>
        <v>0</v>
      </c>
      <c r="Q165" s="162">
        <f t="shared" si="27"/>
        <v>0</v>
      </c>
      <c r="R165" s="160">
        <f>IFERROR(VLOOKUP(C165,'Monthly Op &amp; Clo Stock (invoic)'!A:C,3,0),0)</f>
        <v>0</v>
      </c>
      <c r="S165" s="163">
        <f t="shared" si="28"/>
        <v>0</v>
      </c>
      <c r="T165" s="162">
        <f t="shared" si="29"/>
        <v>0</v>
      </c>
      <c r="U165" s="16"/>
      <c r="V165" s="71"/>
      <c r="W165" s="16"/>
    </row>
    <row r="166" spans="1:23">
      <c r="A166" s="35"/>
      <c r="B166" s="35" t="s">
        <v>183</v>
      </c>
      <c r="C166" s="157">
        <v>212792</v>
      </c>
      <c r="D166" s="157">
        <v>212792</v>
      </c>
      <c r="E166" s="36" t="s">
        <v>750</v>
      </c>
      <c r="F166" s="98">
        <v>0</v>
      </c>
      <c r="G166" s="158">
        <v>0</v>
      </c>
      <c r="H166" s="115">
        <f t="shared" si="20"/>
        <v>0</v>
      </c>
      <c r="I166" s="159">
        <f>SUMIFS(Arrival!M:M,Arrival!K:K,'Stock statement'!$C166)</f>
        <v>0</v>
      </c>
      <c r="J166" s="160">
        <f t="shared" si="21"/>
        <v>0</v>
      </c>
      <c r="K166" s="160">
        <f>SUMIFS(Arrival!R:R,Arrival!K:K,'Stock statement'!$C166)</f>
        <v>0</v>
      </c>
      <c r="L166" s="160">
        <f t="shared" si="22"/>
        <v>0</v>
      </c>
      <c r="M166" s="160">
        <f t="shared" si="23"/>
        <v>0</v>
      </c>
      <c r="N166" s="161">
        <f t="shared" si="24"/>
        <v>0</v>
      </c>
      <c r="O166" s="159">
        <f t="shared" si="25"/>
        <v>0</v>
      </c>
      <c r="P166" s="162">
        <f t="shared" si="26"/>
        <v>0</v>
      </c>
      <c r="Q166" s="162">
        <f t="shared" si="27"/>
        <v>0</v>
      </c>
      <c r="R166" s="160">
        <f>IFERROR(VLOOKUP(C166,'Monthly Op &amp; Clo Stock (invoic)'!A:C,3,0),0)</f>
        <v>0</v>
      </c>
      <c r="S166" s="163">
        <f t="shared" si="28"/>
        <v>0</v>
      </c>
      <c r="T166" s="162">
        <f t="shared" si="29"/>
        <v>0</v>
      </c>
      <c r="U166" s="16"/>
      <c r="V166" s="71"/>
      <c r="W166" s="16"/>
    </row>
    <row r="167" spans="1:23">
      <c r="A167" s="35"/>
      <c r="B167" s="35" t="s">
        <v>183</v>
      </c>
      <c r="C167" s="157">
        <v>212791</v>
      </c>
      <c r="D167" s="157">
        <v>212791</v>
      </c>
      <c r="E167" s="36" t="s">
        <v>751</v>
      </c>
      <c r="F167" s="98">
        <v>0</v>
      </c>
      <c r="G167" s="158">
        <v>0</v>
      </c>
      <c r="H167" s="115">
        <f t="shared" si="20"/>
        <v>0</v>
      </c>
      <c r="I167" s="159">
        <f>SUMIFS(Arrival!M:M,Arrival!K:K,'Stock statement'!$C167)</f>
        <v>0</v>
      </c>
      <c r="J167" s="160">
        <f t="shared" si="21"/>
        <v>0</v>
      </c>
      <c r="K167" s="160">
        <f>SUMIFS(Arrival!R:R,Arrival!K:K,'Stock statement'!$C167)</f>
        <v>0</v>
      </c>
      <c r="L167" s="160">
        <f t="shared" si="22"/>
        <v>0</v>
      </c>
      <c r="M167" s="160">
        <f t="shared" si="23"/>
        <v>0</v>
      </c>
      <c r="N167" s="161">
        <f t="shared" si="24"/>
        <v>0</v>
      </c>
      <c r="O167" s="159">
        <f t="shared" si="25"/>
        <v>0</v>
      </c>
      <c r="P167" s="162">
        <f t="shared" si="26"/>
        <v>0</v>
      </c>
      <c r="Q167" s="162">
        <f t="shared" si="27"/>
        <v>0</v>
      </c>
      <c r="R167" s="160">
        <f>IFERROR(VLOOKUP(C167,'Monthly Op &amp; Clo Stock (invoic)'!A:C,3,0),0)</f>
        <v>0</v>
      </c>
      <c r="S167" s="163">
        <f t="shared" si="28"/>
        <v>0</v>
      </c>
      <c r="T167" s="162">
        <f t="shared" si="29"/>
        <v>0</v>
      </c>
      <c r="U167" s="16"/>
      <c r="V167" s="71"/>
      <c r="W167" s="16"/>
    </row>
    <row r="168" spans="1:23">
      <c r="A168" s="35"/>
      <c r="B168" s="35" t="s">
        <v>183</v>
      </c>
      <c r="C168" s="157">
        <v>212463</v>
      </c>
      <c r="D168" s="157">
        <v>212463</v>
      </c>
      <c r="E168" s="36" t="s">
        <v>752</v>
      </c>
      <c r="F168" s="98">
        <v>0</v>
      </c>
      <c r="G168" s="158">
        <v>0</v>
      </c>
      <c r="H168" s="115">
        <f t="shared" si="20"/>
        <v>0</v>
      </c>
      <c r="I168" s="159">
        <f>SUMIFS(Arrival!M:M,Arrival!K:K,'Stock statement'!$C168)</f>
        <v>0</v>
      </c>
      <c r="J168" s="160">
        <f t="shared" si="21"/>
        <v>0</v>
      </c>
      <c r="K168" s="160">
        <f>SUMIFS(Arrival!R:R,Arrival!K:K,'Stock statement'!$C168)</f>
        <v>0</v>
      </c>
      <c r="L168" s="160">
        <f t="shared" si="22"/>
        <v>0</v>
      </c>
      <c r="M168" s="160">
        <f t="shared" si="23"/>
        <v>0</v>
      </c>
      <c r="N168" s="161">
        <f t="shared" si="24"/>
        <v>0</v>
      </c>
      <c r="O168" s="159">
        <f t="shared" si="25"/>
        <v>0</v>
      </c>
      <c r="P168" s="162">
        <f t="shared" si="26"/>
        <v>0</v>
      </c>
      <c r="Q168" s="162">
        <f t="shared" si="27"/>
        <v>0</v>
      </c>
      <c r="R168" s="160">
        <f>IFERROR(VLOOKUP(C168,'Monthly Op &amp; Clo Stock (invoic)'!A:C,3,0),0)</f>
        <v>0</v>
      </c>
      <c r="S168" s="163">
        <f t="shared" si="28"/>
        <v>0</v>
      </c>
      <c r="T168" s="162">
        <f t="shared" si="29"/>
        <v>0</v>
      </c>
      <c r="U168" s="16"/>
      <c r="V168" s="71"/>
      <c r="W168" s="16"/>
    </row>
    <row r="169" spans="1:23">
      <c r="A169" s="35"/>
      <c r="B169" s="35" t="s">
        <v>183</v>
      </c>
      <c r="C169" s="157">
        <v>212839</v>
      </c>
      <c r="D169" s="157">
        <v>212839</v>
      </c>
      <c r="E169" s="36" t="s">
        <v>753</v>
      </c>
      <c r="F169" s="98">
        <v>0</v>
      </c>
      <c r="G169" s="158">
        <v>0</v>
      </c>
      <c r="H169" s="115">
        <f t="shared" si="20"/>
        <v>0</v>
      </c>
      <c r="I169" s="159">
        <f>SUMIFS(Arrival!M:M,Arrival!K:K,'Stock statement'!$C169)</f>
        <v>0</v>
      </c>
      <c r="J169" s="160">
        <f t="shared" si="21"/>
        <v>0</v>
      </c>
      <c r="K169" s="160">
        <f>SUMIFS(Arrival!R:R,Arrival!K:K,'Stock statement'!$C169)</f>
        <v>0</v>
      </c>
      <c r="L169" s="160">
        <f t="shared" si="22"/>
        <v>0</v>
      </c>
      <c r="M169" s="160">
        <f t="shared" si="23"/>
        <v>0</v>
      </c>
      <c r="N169" s="161">
        <f t="shared" si="24"/>
        <v>0</v>
      </c>
      <c r="O169" s="159">
        <f t="shared" si="25"/>
        <v>0</v>
      </c>
      <c r="P169" s="162">
        <f t="shared" si="26"/>
        <v>0</v>
      </c>
      <c r="Q169" s="162">
        <f t="shared" si="27"/>
        <v>0</v>
      </c>
      <c r="R169" s="160">
        <f>IFERROR(VLOOKUP(C169,'Monthly Op &amp; Clo Stock (invoic)'!A:C,3,0),0)</f>
        <v>0</v>
      </c>
      <c r="S169" s="163">
        <f t="shared" si="28"/>
        <v>0</v>
      </c>
      <c r="T169" s="162">
        <f t="shared" si="29"/>
        <v>0</v>
      </c>
      <c r="U169" s="16"/>
      <c r="V169" s="71"/>
      <c r="W169" s="16"/>
    </row>
    <row r="170" spans="1:23">
      <c r="A170" s="35"/>
      <c r="B170" s="35" t="s">
        <v>183</v>
      </c>
      <c r="C170" s="157">
        <v>212840</v>
      </c>
      <c r="D170" s="157">
        <v>212840</v>
      </c>
      <c r="E170" s="36" t="s">
        <v>754</v>
      </c>
      <c r="F170" s="98">
        <v>0</v>
      </c>
      <c r="G170" s="158">
        <v>0</v>
      </c>
      <c r="H170" s="115">
        <f t="shared" si="20"/>
        <v>0</v>
      </c>
      <c r="I170" s="159">
        <f>SUMIFS(Arrival!M:M,Arrival!K:K,'Stock statement'!$C170)</f>
        <v>0</v>
      </c>
      <c r="J170" s="160">
        <f t="shared" si="21"/>
        <v>0</v>
      </c>
      <c r="K170" s="160">
        <f>SUMIFS(Arrival!R:R,Arrival!K:K,'Stock statement'!$C170)</f>
        <v>0</v>
      </c>
      <c r="L170" s="160">
        <f t="shared" si="22"/>
        <v>0</v>
      </c>
      <c r="M170" s="160">
        <f t="shared" si="23"/>
        <v>0</v>
      </c>
      <c r="N170" s="161">
        <f t="shared" si="24"/>
        <v>0</v>
      </c>
      <c r="O170" s="159">
        <f t="shared" si="25"/>
        <v>0</v>
      </c>
      <c r="P170" s="162">
        <f t="shared" si="26"/>
        <v>0</v>
      </c>
      <c r="Q170" s="162">
        <f t="shared" si="27"/>
        <v>0</v>
      </c>
      <c r="R170" s="160">
        <f>IFERROR(VLOOKUP(C170,'Monthly Op &amp; Clo Stock (invoic)'!A:C,3,0),0)</f>
        <v>0</v>
      </c>
      <c r="S170" s="163">
        <f t="shared" si="28"/>
        <v>0</v>
      </c>
      <c r="T170" s="162">
        <f t="shared" si="29"/>
        <v>0</v>
      </c>
      <c r="U170" s="16"/>
      <c r="V170" s="71"/>
      <c r="W170" s="16"/>
    </row>
    <row r="171" spans="1:23">
      <c r="A171" s="35"/>
      <c r="B171" s="35" t="s">
        <v>183</v>
      </c>
      <c r="C171" s="157">
        <v>212797</v>
      </c>
      <c r="D171" s="157">
        <v>212797</v>
      </c>
      <c r="E171" s="36" t="s">
        <v>755</v>
      </c>
      <c r="F171" s="98">
        <v>523</v>
      </c>
      <c r="G171" s="158">
        <v>174.47</v>
      </c>
      <c r="H171" s="115">
        <f t="shared" si="20"/>
        <v>91247.81</v>
      </c>
      <c r="I171" s="159">
        <f>SUMIFS(Arrival!M:M,Arrival!K:K,'Stock statement'!$C171)</f>
        <v>0</v>
      </c>
      <c r="J171" s="160">
        <f t="shared" si="21"/>
        <v>0</v>
      </c>
      <c r="K171" s="160">
        <f>SUMIFS(Arrival!R:R,Arrival!K:K,'Stock statement'!$C171)</f>
        <v>0</v>
      </c>
      <c r="L171" s="160">
        <f t="shared" si="22"/>
        <v>523</v>
      </c>
      <c r="M171" s="160">
        <f t="shared" si="23"/>
        <v>174.47</v>
      </c>
      <c r="N171" s="161">
        <f t="shared" si="24"/>
        <v>91247.81</v>
      </c>
      <c r="O171" s="159">
        <f t="shared" si="25"/>
        <v>2</v>
      </c>
      <c r="P171" s="162">
        <f t="shared" si="26"/>
        <v>174.47</v>
      </c>
      <c r="Q171" s="162">
        <f t="shared" si="27"/>
        <v>348.94</v>
      </c>
      <c r="R171" s="160">
        <f>IFERROR(VLOOKUP(C171,'Monthly Op &amp; Clo Stock (invoic)'!A:C,3,0),0)</f>
        <v>521</v>
      </c>
      <c r="S171" s="163">
        <f t="shared" si="28"/>
        <v>174.47</v>
      </c>
      <c r="T171" s="162">
        <f t="shared" si="29"/>
        <v>90898.87</v>
      </c>
      <c r="U171" s="16"/>
      <c r="V171" s="71"/>
      <c r="W171" s="16"/>
    </row>
    <row r="172" spans="1:23">
      <c r="A172" s="35"/>
      <c r="B172" s="35" t="s">
        <v>183</v>
      </c>
      <c r="C172" s="157">
        <v>212462</v>
      </c>
      <c r="D172" s="157">
        <v>212462</v>
      </c>
      <c r="E172" s="36" t="s">
        <v>756</v>
      </c>
      <c r="F172" s="98">
        <v>0</v>
      </c>
      <c r="G172" s="158">
        <v>0</v>
      </c>
      <c r="H172" s="115">
        <f t="shared" si="20"/>
        <v>0</v>
      </c>
      <c r="I172" s="159">
        <f>SUMIFS(Arrival!M:M,Arrival!K:K,'Stock statement'!$C172)</f>
        <v>0</v>
      </c>
      <c r="J172" s="160">
        <f t="shared" si="21"/>
        <v>0</v>
      </c>
      <c r="K172" s="160">
        <f>SUMIFS(Arrival!R:R,Arrival!K:K,'Stock statement'!$C172)</f>
        <v>0</v>
      </c>
      <c r="L172" s="160">
        <f t="shared" si="22"/>
        <v>0</v>
      </c>
      <c r="M172" s="160">
        <f t="shared" si="23"/>
        <v>0</v>
      </c>
      <c r="N172" s="161">
        <f t="shared" si="24"/>
        <v>0</v>
      </c>
      <c r="O172" s="159">
        <f t="shared" si="25"/>
        <v>0</v>
      </c>
      <c r="P172" s="162">
        <f t="shared" si="26"/>
        <v>0</v>
      </c>
      <c r="Q172" s="162">
        <f t="shared" si="27"/>
        <v>0</v>
      </c>
      <c r="R172" s="160">
        <f>IFERROR(VLOOKUP(C172,'Monthly Op &amp; Clo Stock (invoic)'!A:C,3,0),0)</f>
        <v>0</v>
      </c>
      <c r="S172" s="163">
        <f t="shared" si="28"/>
        <v>0</v>
      </c>
      <c r="T172" s="162">
        <f t="shared" si="29"/>
        <v>0</v>
      </c>
      <c r="U172" s="16"/>
      <c r="V172" s="71"/>
      <c r="W172" s="16"/>
    </row>
    <row r="173" spans="1:23">
      <c r="A173" s="35"/>
      <c r="B173" s="35" t="s">
        <v>183</v>
      </c>
      <c r="C173" s="157">
        <v>212455</v>
      </c>
      <c r="D173" s="157">
        <v>212455</v>
      </c>
      <c r="E173" s="36" t="s">
        <v>757</v>
      </c>
      <c r="F173" s="98">
        <v>0</v>
      </c>
      <c r="G173" s="158">
        <v>0</v>
      </c>
      <c r="H173" s="115">
        <f t="shared" si="20"/>
        <v>0</v>
      </c>
      <c r="I173" s="159">
        <f>SUMIFS(Arrival!M:M,Arrival!K:K,'Stock statement'!$C173)</f>
        <v>0</v>
      </c>
      <c r="J173" s="160">
        <f t="shared" si="21"/>
        <v>0</v>
      </c>
      <c r="K173" s="160">
        <f>SUMIFS(Arrival!R:R,Arrival!K:K,'Stock statement'!$C173)</f>
        <v>0</v>
      </c>
      <c r="L173" s="160">
        <f t="shared" si="22"/>
        <v>0</v>
      </c>
      <c r="M173" s="160">
        <f t="shared" si="23"/>
        <v>0</v>
      </c>
      <c r="N173" s="161">
        <f t="shared" si="24"/>
        <v>0</v>
      </c>
      <c r="O173" s="159">
        <f t="shared" si="25"/>
        <v>0</v>
      </c>
      <c r="P173" s="162">
        <f t="shared" si="26"/>
        <v>0</v>
      </c>
      <c r="Q173" s="162">
        <f t="shared" si="27"/>
        <v>0</v>
      </c>
      <c r="R173" s="160">
        <f>IFERROR(VLOOKUP(C173,'Monthly Op &amp; Clo Stock (invoic)'!A:C,3,0),0)</f>
        <v>0</v>
      </c>
      <c r="S173" s="163">
        <f t="shared" si="28"/>
        <v>0</v>
      </c>
      <c r="T173" s="162">
        <f t="shared" si="29"/>
        <v>0</v>
      </c>
      <c r="U173" s="16"/>
      <c r="V173" s="71"/>
      <c r="W173" s="16"/>
    </row>
    <row r="174" spans="1:23">
      <c r="A174" s="35"/>
      <c r="B174" s="35" t="s">
        <v>183</v>
      </c>
      <c r="C174" s="157">
        <v>212457</v>
      </c>
      <c r="D174" s="157">
        <v>212457</v>
      </c>
      <c r="E174" s="36" t="s">
        <v>758</v>
      </c>
      <c r="F174" s="98">
        <v>0</v>
      </c>
      <c r="G174" s="158">
        <v>0</v>
      </c>
      <c r="H174" s="115">
        <f t="shared" si="20"/>
        <v>0</v>
      </c>
      <c r="I174" s="159">
        <f>SUMIFS(Arrival!M:M,Arrival!K:K,'Stock statement'!$C174)</f>
        <v>0</v>
      </c>
      <c r="J174" s="160">
        <f t="shared" si="21"/>
        <v>0</v>
      </c>
      <c r="K174" s="160">
        <f>SUMIFS(Arrival!R:R,Arrival!K:K,'Stock statement'!$C174)</f>
        <v>0</v>
      </c>
      <c r="L174" s="160">
        <f t="shared" si="22"/>
        <v>0</v>
      </c>
      <c r="M174" s="160">
        <f t="shared" si="23"/>
        <v>0</v>
      </c>
      <c r="N174" s="161">
        <f t="shared" si="24"/>
        <v>0</v>
      </c>
      <c r="O174" s="159">
        <f t="shared" si="25"/>
        <v>0</v>
      </c>
      <c r="P174" s="162">
        <f t="shared" si="26"/>
        <v>0</v>
      </c>
      <c r="Q174" s="162">
        <f t="shared" si="27"/>
        <v>0</v>
      </c>
      <c r="R174" s="160">
        <f>IFERROR(VLOOKUP(C174,'Monthly Op &amp; Clo Stock (invoic)'!A:C,3,0),0)</f>
        <v>0</v>
      </c>
      <c r="S174" s="163">
        <f t="shared" si="28"/>
        <v>0</v>
      </c>
      <c r="T174" s="162">
        <f t="shared" si="29"/>
        <v>0</v>
      </c>
      <c r="U174" s="16"/>
      <c r="V174" s="71"/>
      <c r="W174" s="16"/>
    </row>
    <row r="175" spans="1:23">
      <c r="A175" s="35"/>
      <c r="B175" s="35" t="s">
        <v>183</v>
      </c>
      <c r="C175" s="157">
        <v>230154</v>
      </c>
      <c r="D175" s="157">
        <v>230154</v>
      </c>
      <c r="E175" s="36" t="s">
        <v>759</v>
      </c>
      <c r="F175" s="98">
        <v>0</v>
      </c>
      <c r="G175" s="158">
        <v>0</v>
      </c>
      <c r="H175" s="115">
        <f t="shared" si="20"/>
        <v>0</v>
      </c>
      <c r="I175" s="159">
        <f>SUMIFS(Arrival!M:M,Arrival!K:K,'Stock statement'!$C175)</f>
        <v>0</v>
      </c>
      <c r="J175" s="160">
        <f t="shared" si="21"/>
        <v>0</v>
      </c>
      <c r="K175" s="160">
        <f>SUMIFS(Arrival!R:R,Arrival!K:K,'Stock statement'!$C175)</f>
        <v>0</v>
      </c>
      <c r="L175" s="160">
        <f t="shared" si="22"/>
        <v>0</v>
      </c>
      <c r="M175" s="160">
        <f t="shared" si="23"/>
        <v>0</v>
      </c>
      <c r="N175" s="161">
        <f t="shared" si="24"/>
        <v>0</v>
      </c>
      <c r="O175" s="159">
        <f t="shared" si="25"/>
        <v>0</v>
      </c>
      <c r="P175" s="162">
        <f t="shared" si="26"/>
        <v>0</v>
      </c>
      <c r="Q175" s="162">
        <f t="shared" si="27"/>
        <v>0</v>
      </c>
      <c r="R175" s="160">
        <f>IFERROR(VLOOKUP(C175,'Monthly Op &amp; Clo Stock (invoic)'!A:C,3,0),0)</f>
        <v>0</v>
      </c>
      <c r="S175" s="163">
        <f t="shared" si="28"/>
        <v>0</v>
      </c>
      <c r="T175" s="162">
        <f t="shared" si="29"/>
        <v>0</v>
      </c>
      <c r="U175" s="16"/>
      <c r="V175" s="71"/>
      <c r="W175" s="16"/>
    </row>
    <row r="176" spans="1:23">
      <c r="A176" s="35" t="s">
        <v>138</v>
      </c>
      <c r="B176" s="35" t="s">
        <v>138</v>
      </c>
      <c r="C176" s="157">
        <v>114601</v>
      </c>
      <c r="D176" s="157">
        <v>114601</v>
      </c>
      <c r="E176" s="36" t="s">
        <v>554</v>
      </c>
      <c r="F176" s="98">
        <v>453.6</v>
      </c>
      <c r="G176" s="158">
        <v>579.11543535620046</v>
      </c>
      <c r="H176" s="115">
        <f t="shared" si="20"/>
        <v>262686.76147757255</v>
      </c>
      <c r="I176" s="159">
        <f>SUMIFS(Arrival!M:M,Arrival!K:K,'Stock statement'!$C176)</f>
        <v>0</v>
      </c>
      <c r="J176" s="160">
        <f t="shared" si="21"/>
        <v>0</v>
      </c>
      <c r="K176" s="160">
        <f>SUMIFS(Arrival!R:R,Arrival!K:K,'Stock statement'!$C176)</f>
        <v>0</v>
      </c>
      <c r="L176" s="160">
        <f t="shared" si="22"/>
        <v>453.6</v>
      </c>
      <c r="M176" s="160">
        <f t="shared" si="23"/>
        <v>579.11543535620046</v>
      </c>
      <c r="N176" s="161">
        <f t="shared" si="24"/>
        <v>262686.76147757255</v>
      </c>
      <c r="O176" s="159">
        <f t="shared" si="25"/>
        <v>292.85000000000002</v>
      </c>
      <c r="P176" s="162">
        <f t="shared" si="26"/>
        <v>579.11543535620046</v>
      </c>
      <c r="Q176" s="162">
        <f t="shared" si="27"/>
        <v>169593.95524406331</v>
      </c>
      <c r="R176" s="160">
        <f>IFERROR(VLOOKUP(C176,'Monthly Op &amp; Clo Stock (invoic)'!A:C,3,0),0)</f>
        <v>160.75</v>
      </c>
      <c r="S176" s="163">
        <f t="shared" si="28"/>
        <v>579.11543535620046</v>
      </c>
      <c r="T176" s="162">
        <f t="shared" si="29"/>
        <v>93092.806233509225</v>
      </c>
      <c r="U176" s="16"/>
      <c r="V176" s="71"/>
      <c r="W176" s="16"/>
    </row>
    <row r="177" spans="1:23">
      <c r="A177" s="35" t="s">
        <v>138</v>
      </c>
      <c r="B177" s="35" t="s">
        <v>138</v>
      </c>
      <c r="C177" s="157">
        <v>114604</v>
      </c>
      <c r="D177" s="157">
        <v>114604</v>
      </c>
      <c r="E177" s="36" t="s">
        <v>559</v>
      </c>
      <c r="F177" s="98">
        <v>94.3</v>
      </c>
      <c r="G177" s="158">
        <v>316.73877034015652</v>
      </c>
      <c r="H177" s="115">
        <f t="shared" si="20"/>
        <v>29868.466043076758</v>
      </c>
      <c r="I177" s="159">
        <f>SUMIFS(Arrival!M:M,Arrival!K:K,'Stock statement'!$C177)</f>
        <v>0</v>
      </c>
      <c r="J177" s="160">
        <f t="shared" si="21"/>
        <v>0</v>
      </c>
      <c r="K177" s="160">
        <f>SUMIFS(Arrival!R:R,Arrival!K:K,'Stock statement'!$C177)</f>
        <v>0</v>
      </c>
      <c r="L177" s="160">
        <f t="shared" si="22"/>
        <v>94.3</v>
      </c>
      <c r="M177" s="160">
        <f t="shared" si="23"/>
        <v>316.73877034015652</v>
      </c>
      <c r="N177" s="161">
        <f t="shared" si="24"/>
        <v>29868.466043076758</v>
      </c>
      <c r="O177" s="159">
        <f t="shared" si="25"/>
        <v>54.75</v>
      </c>
      <c r="P177" s="162">
        <f t="shared" si="26"/>
        <v>316.73877034015652</v>
      </c>
      <c r="Q177" s="162">
        <f t="shared" si="27"/>
        <v>17341.447676123571</v>
      </c>
      <c r="R177" s="160">
        <f>IFERROR(VLOOKUP(C177,'Monthly Op &amp; Clo Stock (invoic)'!A:C,3,0),0)</f>
        <v>39.549999999999997</v>
      </c>
      <c r="S177" s="163">
        <f t="shared" si="28"/>
        <v>316.73877034015652</v>
      </c>
      <c r="T177" s="162">
        <f t="shared" si="29"/>
        <v>12527.018366953189</v>
      </c>
      <c r="U177" s="16"/>
      <c r="V177" s="71"/>
      <c r="W177" s="16"/>
    </row>
    <row r="178" spans="1:23">
      <c r="A178" s="35"/>
      <c r="B178" s="35" t="s">
        <v>183</v>
      </c>
      <c r="C178" s="157">
        <v>213012</v>
      </c>
      <c r="D178" s="157">
        <v>213012</v>
      </c>
      <c r="E178" s="36" t="s">
        <v>760</v>
      </c>
      <c r="F178" s="98">
        <v>0</v>
      </c>
      <c r="G178" s="158">
        <v>0</v>
      </c>
      <c r="H178" s="115">
        <f t="shared" si="20"/>
        <v>0</v>
      </c>
      <c r="I178" s="159">
        <f>SUMIFS(Arrival!M:M,Arrival!K:K,'Stock statement'!$C178)</f>
        <v>0</v>
      </c>
      <c r="J178" s="160">
        <f t="shared" si="21"/>
        <v>0</v>
      </c>
      <c r="K178" s="160">
        <f>SUMIFS(Arrival!R:R,Arrival!K:K,'Stock statement'!$C178)</f>
        <v>0</v>
      </c>
      <c r="L178" s="160">
        <f t="shared" si="22"/>
        <v>0</v>
      </c>
      <c r="M178" s="160">
        <f t="shared" si="23"/>
        <v>0</v>
      </c>
      <c r="N178" s="161">
        <f t="shared" si="24"/>
        <v>0</v>
      </c>
      <c r="O178" s="159">
        <f t="shared" si="25"/>
        <v>0</v>
      </c>
      <c r="P178" s="162">
        <f t="shared" si="26"/>
        <v>0</v>
      </c>
      <c r="Q178" s="162">
        <f t="shared" si="27"/>
        <v>0</v>
      </c>
      <c r="R178" s="160">
        <f>IFERROR(VLOOKUP(C178,'Monthly Op &amp; Clo Stock (invoic)'!A:C,3,0),0)</f>
        <v>0</v>
      </c>
      <c r="S178" s="163">
        <f t="shared" si="28"/>
        <v>0</v>
      </c>
      <c r="T178" s="162">
        <f t="shared" si="29"/>
        <v>0</v>
      </c>
      <c r="U178" s="16"/>
      <c r="V178" s="71"/>
      <c r="W178" s="16"/>
    </row>
    <row r="179" spans="1:23">
      <c r="A179" s="35" t="s">
        <v>138</v>
      </c>
      <c r="B179" s="35" t="s">
        <v>138</v>
      </c>
      <c r="C179" s="157">
        <v>110979</v>
      </c>
      <c r="D179" s="157">
        <v>110979</v>
      </c>
      <c r="E179" s="36" t="s">
        <v>761</v>
      </c>
      <c r="F179" s="98">
        <v>527.45000000000005</v>
      </c>
      <c r="G179" s="158">
        <v>206.60696966872479</v>
      </c>
      <c r="H179" s="115">
        <f t="shared" si="20"/>
        <v>108974.8461517689</v>
      </c>
      <c r="I179" s="159">
        <f>SUMIFS(Arrival!M:M,Arrival!K:K,'Stock statement'!$C179)</f>
        <v>0</v>
      </c>
      <c r="J179" s="160">
        <f t="shared" si="21"/>
        <v>0</v>
      </c>
      <c r="K179" s="160">
        <f>SUMIFS(Arrival!R:R,Arrival!K:K,'Stock statement'!$C179)</f>
        <v>0</v>
      </c>
      <c r="L179" s="160">
        <f t="shared" si="22"/>
        <v>527.45000000000005</v>
      </c>
      <c r="M179" s="160">
        <f t="shared" si="23"/>
        <v>206.60696966872479</v>
      </c>
      <c r="N179" s="161">
        <f t="shared" si="24"/>
        <v>108974.8461517689</v>
      </c>
      <c r="O179" s="159">
        <f t="shared" si="25"/>
        <v>527.45000000000005</v>
      </c>
      <c r="P179" s="162">
        <f t="shared" si="26"/>
        <v>206.60696966872479</v>
      </c>
      <c r="Q179" s="162">
        <f t="shared" si="27"/>
        <v>108974.8461517689</v>
      </c>
      <c r="R179" s="160">
        <f>IFERROR(VLOOKUP(C179,'Monthly Op &amp; Clo Stock (invoic)'!A:C,3,0),0)</f>
        <v>0</v>
      </c>
      <c r="S179" s="163">
        <f t="shared" si="28"/>
        <v>206.60696966872479</v>
      </c>
      <c r="T179" s="162">
        <f t="shared" si="29"/>
        <v>0</v>
      </c>
      <c r="U179" s="16"/>
      <c r="V179" s="71"/>
      <c r="W179" s="16"/>
    </row>
    <row r="180" spans="1:23">
      <c r="A180" s="35" t="s">
        <v>138</v>
      </c>
      <c r="B180" s="35" t="s">
        <v>138</v>
      </c>
      <c r="C180" s="157">
        <v>114603</v>
      </c>
      <c r="D180" s="157">
        <v>114603</v>
      </c>
      <c r="E180" s="36" t="s">
        <v>558</v>
      </c>
      <c r="F180" s="98">
        <v>5</v>
      </c>
      <c r="G180" s="158">
        <v>2604.3319047619048</v>
      </c>
      <c r="H180" s="115">
        <f t="shared" si="20"/>
        <v>13021.659523809523</v>
      </c>
      <c r="I180" s="159">
        <f>SUMIFS(Arrival!M:M,Arrival!K:K,'Stock statement'!$C180)</f>
        <v>0</v>
      </c>
      <c r="J180" s="160">
        <f t="shared" si="21"/>
        <v>0</v>
      </c>
      <c r="K180" s="160">
        <f>SUMIFS(Arrival!R:R,Arrival!K:K,'Stock statement'!$C180)</f>
        <v>0</v>
      </c>
      <c r="L180" s="160">
        <f t="shared" si="22"/>
        <v>5</v>
      </c>
      <c r="M180" s="160">
        <f t="shared" si="23"/>
        <v>2604.3319047619048</v>
      </c>
      <c r="N180" s="161">
        <f t="shared" si="24"/>
        <v>13021.659523809523</v>
      </c>
      <c r="O180" s="159">
        <f t="shared" si="25"/>
        <v>0.44999999999999929</v>
      </c>
      <c r="P180" s="162">
        <f t="shared" si="26"/>
        <v>2604.3319047619048</v>
      </c>
      <c r="Q180" s="162">
        <f t="shared" si="27"/>
        <v>1171.9493571428552</v>
      </c>
      <c r="R180" s="160">
        <f>IFERROR(VLOOKUP(C180,'Monthly Op &amp; Clo Stock (invoic)'!A:C,3,0),0)</f>
        <v>4.5500000000000007</v>
      </c>
      <c r="S180" s="163">
        <f t="shared" si="28"/>
        <v>2604.3319047619048</v>
      </c>
      <c r="T180" s="162">
        <f t="shared" si="29"/>
        <v>11849.710166666668</v>
      </c>
      <c r="U180" s="16"/>
      <c r="V180" s="71"/>
      <c r="W180" s="16"/>
    </row>
    <row r="181" spans="1:23">
      <c r="A181" s="35" t="s">
        <v>138</v>
      </c>
      <c r="B181" s="35" t="s">
        <v>138</v>
      </c>
      <c r="C181" s="157">
        <v>114588</v>
      </c>
      <c r="D181" s="157">
        <v>114588</v>
      </c>
      <c r="E181" s="36" t="s">
        <v>762</v>
      </c>
      <c r="F181" s="98">
        <v>0</v>
      </c>
      <c r="G181" s="158">
        <v>0</v>
      </c>
      <c r="H181" s="115">
        <f t="shared" si="20"/>
        <v>0</v>
      </c>
      <c r="I181" s="159">
        <f>SUMIFS(Arrival!M:M,Arrival!K:K,'Stock statement'!$C181)</f>
        <v>0</v>
      </c>
      <c r="J181" s="160">
        <f t="shared" si="21"/>
        <v>0</v>
      </c>
      <c r="K181" s="160">
        <f>SUMIFS(Arrival!R:R,Arrival!K:K,'Stock statement'!$C181)</f>
        <v>0</v>
      </c>
      <c r="L181" s="160">
        <f t="shared" si="22"/>
        <v>0</v>
      </c>
      <c r="M181" s="160">
        <f t="shared" si="23"/>
        <v>0</v>
      </c>
      <c r="N181" s="161">
        <f t="shared" si="24"/>
        <v>0</v>
      </c>
      <c r="O181" s="159">
        <f t="shared" si="25"/>
        <v>0</v>
      </c>
      <c r="P181" s="162">
        <f t="shared" si="26"/>
        <v>0</v>
      </c>
      <c r="Q181" s="162">
        <f t="shared" si="27"/>
        <v>0</v>
      </c>
      <c r="R181" s="160">
        <f>IFERROR(VLOOKUP(C181,'Monthly Op &amp; Clo Stock (invoic)'!A:C,3,0),0)</f>
        <v>0</v>
      </c>
      <c r="S181" s="163">
        <f t="shared" si="28"/>
        <v>0</v>
      </c>
      <c r="T181" s="162">
        <f t="shared" si="29"/>
        <v>0</v>
      </c>
      <c r="U181" s="16"/>
      <c r="V181" s="71"/>
      <c r="W181" s="16"/>
    </row>
    <row r="182" spans="1:23">
      <c r="A182" s="35" t="s">
        <v>138</v>
      </c>
      <c r="B182" s="35" t="s">
        <v>138</v>
      </c>
      <c r="C182" s="157">
        <v>114602</v>
      </c>
      <c r="D182" s="157">
        <v>114602</v>
      </c>
      <c r="E182" s="36" t="s">
        <v>556</v>
      </c>
      <c r="F182" s="98">
        <v>0.71</v>
      </c>
      <c r="G182" s="158">
        <v>412.5</v>
      </c>
      <c r="H182" s="115">
        <f t="shared" si="20"/>
        <v>292.875</v>
      </c>
      <c r="I182" s="159">
        <f>SUMIFS(Arrival!M:M,Arrival!K:K,'Stock statement'!$C182)</f>
        <v>0</v>
      </c>
      <c r="J182" s="160">
        <f t="shared" si="21"/>
        <v>0</v>
      </c>
      <c r="K182" s="160">
        <f>SUMIFS(Arrival!R:R,Arrival!K:K,'Stock statement'!$C182)</f>
        <v>0</v>
      </c>
      <c r="L182" s="160">
        <f t="shared" si="22"/>
        <v>0.71</v>
      </c>
      <c r="M182" s="160">
        <f t="shared" si="23"/>
        <v>412.5</v>
      </c>
      <c r="N182" s="161">
        <f t="shared" si="24"/>
        <v>292.875</v>
      </c>
      <c r="O182" s="159">
        <f t="shared" si="25"/>
        <v>0.53</v>
      </c>
      <c r="P182" s="162">
        <f t="shared" si="26"/>
        <v>412.5</v>
      </c>
      <c r="Q182" s="162">
        <f t="shared" si="27"/>
        <v>218.625</v>
      </c>
      <c r="R182" s="160">
        <f>IFERROR(VLOOKUP(C182,'Monthly Op &amp; Clo Stock (invoic)'!A:C,3,0),0)</f>
        <v>0.18</v>
      </c>
      <c r="S182" s="163">
        <f t="shared" si="28"/>
        <v>412.5</v>
      </c>
      <c r="T182" s="162">
        <f t="shared" si="29"/>
        <v>74.25</v>
      </c>
      <c r="U182" s="16"/>
      <c r="V182" s="71"/>
      <c r="W182" s="16"/>
    </row>
    <row r="183" spans="1:23">
      <c r="A183" s="35" t="s">
        <v>138</v>
      </c>
      <c r="B183" s="35" t="s">
        <v>138</v>
      </c>
      <c r="C183" s="157">
        <v>114600</v>
      </c>
      <c r="D183" s="157">
        <v>114600</v>
      </c>
      <c r="E183" s="36" t="s">
        <v>553</v>
      </c>
      <c r="F183" s="98">
        <v>424.5</v>
      </c>
      <c r="G183" s="158">
        <v>1009.2685512367491</v>
      </c>
      <c r="H183" s="115">
        <f t="shared" si="20"/>
        <v>428434.5</v>
      </c>
      <c r="I183" s="159">
        <f>SUMIFS(Arrival!M:M,Arrival!K:K,'Stock statement'!$C183)</f>
        <v>0</v>
      </c>
      <c r="J183" s="160">
        <f t="shared" si="21"/>
        <v>0</v>
      </c>
      <c r="K183" s="160">
        <f>SUMIFS(Arrival!R:R,Arrival!K:K,'Stock statement'!$C183)</f>
        <v>0</v>
      </c>
      <c r="L183" s="160">
        <f t="shared" si="22"/>
        <v>424.5</v>
      </c>
      <c r="M183" s="160">
        <f t="shared" si="23"/>
        <v>1009.2685512367491</v>
      </c>
      <c r="N183" s="161">
        <f t="shared" si="24"/>
        <v>428434.5</v>
      </c>
      <c r="O183" s="159">
        <f t="shared" si="25"/>
        <v>330.4</v>
      </c>
      <c r="P183" s="162">
        <f t="shared" si="26"/>
        <v>1009.2685512367491</v>
      </c>
      <c r="Q183" s="162">
        <f t="shared" si="27"/>
        <v>333462.32932862185</v>
      </c>
      <c r="R183" s="160">
        <f>IFERROR(VLOOKUP(C183,'Monthly Op &amp; Clo Stock (invoic)'!A:C,3,0),0)</f>
        <v>94.1</v>
      </c>
      <c r="S183" s="163">
        <f t="shared" si="28"/>
        <v>1009.2685512367491</v>
      </c>
      <c r="T183" s="162">
        <f t="shared" si="29"/>
        <v>94972.170671378088</v>
      </c>
      <c r="U183" s="16"/>
      <c r="V183" s="71"/>
      <c r="W183" s="16"/>
    </row>
    <row r="184" spans="1:23">
      <c r="A184" s="35" t="s">
        <v>138</v>
      </c>
      <c r="B184" s="35" t="s">
        <v>138</v>
      </c>
      <c r="C184" s="157">
        <v>111275</v>
      </c>
      <c r="D184" s="157">
        <v>111275</v>
      </c>
      <c r="E184" s="36" t="s">
        <v>560</v>
      </c>
      <c r="F184" s="98">
        <v>875</v>
      </c>
      <c r="G184" s="158">
        <v>227.6704701334331</v>
      </c>
      <c r="H184" s="115">
        <f t="shared" si="20"/>
        <v>199211.66136675395</v>
      </c>
      <c r="I184" s="159">
        <f>SUMIFS(Arrival!M:M,Arrival!K:K,'Stock statement'!$C184)</f>
        <v>0</v>
      </c>
      <c r="J184" s="160">
        <f t="shared" si="21"/>
        <v>0</v>
      </c>
      <c r="K184" s="160">
        <f>SUMIFS(Arrival!R:R,Arrival!K:K,'Stock statement'!$C184)</f>
        <v>0</v>
      </c>
      <c r="L184" s="160">
        <f t="shared" si="22"/>
        <v>875</v>
      </c>
      <c r="M184" s="160">
        <f t="shared" si="23"/>
        <v>227.6704701334331</v>
      </c>
      <c r="N184" s="161">
        <f t="shared" si="24"/>
        <v>199211.66136675395</v>
      </c>
      <c r="O184" s="159">
        <f t="shared" si="25"/>
        <v>875</v>
      </c>
      <c r="P184" s="162">
        <f t="shared" si="26"/>
        <v>227.6704701334331</v>
      </c>
      <c r="Q184" s="162">
        <f t="shared" si="27"/>
        <v>199211.66136675395</v>
      </c>
      <c r="R184" s="160">
        <f>IFERROR(VLOOKUP(C184,'Monthly Op &amp; Clo Stock (invoic)'!A:C,3,0),0)</f>
        <v>0</v>
      </c>
      <c r="S184" s="163">
        <f t="shared" si="28"/>
        <v>227.6704701334331</v>
      </c>
      <c r="T184" s="162">
        <f t="shared" si="29"/>
        <v>0</v>
      </c>
      <c r="U184" s="16"/>
      <c r="V184" s="71"/>
      <c r="W184" s="16"/>
    </row>
    <row r="185" spans="1:23">
      <c r="A185" s="35" t="s">
        <v>138</v>
      </c>
      <c r="B185" s="35" t="s">
        <v>138</v>
      </c>
      <c r="C185" s="157">
        <v>114509</v>
      </c>
      <c r="D185" s="157">
        <v>114509</v>
      </c>
      <c r="E185" s="36" t="s">
        <v>763</v>
      </c>
      <c r="F185" s="98">
        <v>0</v>
      </c>
      <c r="G185" s="158">
        <v>0</v>
      </c>
      <c r="H185" s="115">
        <f t="shared" si="20"/>
        <v>0</v>
      </c>
      <c r="I185" s="159">
        <f>SUMIFS(Arrival!M:M,Arrival!K:K,'Stock statement'!$C185)</f>
        <v>0</v>
      </c>
      <c r="J185" s="160">
        <f t="shared" si="21"/>
        <v>0</v>
      </c>
      <c r="K185" s="160">
        <f>SUMIFS(Arrival!R:R,Arrival!K:K,'Stock statement'!$C185)</f>
        <v>0</v>
      </c>
      <c r="L185" s="160">
        <f t="shared" si="22"/>
        <v>0</v>
      </c>
      <c r="M185" s="160">
        <f t="shared" si="23"/>
        <v>0</v>
      </c>
      <c r="N185" s="161">
        <f t="shared" si="24"/>
        <v>0</v>
      </c>
      <c r="O185" s="159">
        <f t="shared" si="25"/>
        <v>0</v>
      </c>
      <c r="P185" s="162">
        <f t="shared" si="26"/>
        <v>0</v>
      </c>
      <c r="Q185" s="162">
        <f t="shared" si="27"/>
        <v>0</v>
      </c>
      <c r="R185" s="160">
        <f>IFERROR(VLOOKUP(C185,'Monthly Op &amp; Clo Stock (invoic)'!A:C,3,0),0)</f>
        <v>0</v>
      </c>
      <c r="S185" s="163">
        <f t="shared" si="28"/>
        <v>0</v>
      </c>
      <c r="T185" s="162">
        <f t="shared" si="29"/>
        <v>0</v>
      </c>
      <c r="U185" s="16"/>
      <c r="V185" s="71"/>
      <c r="W185" s="16"/>
    </row>
    <row r="186" spans="1:23">
      <c r="A186" s="35"/>
      <c r="B186" s="35" t="s">
        <v>183</v>
      </c>
      <c r="C186" s="157">
        <v>213022</v>
      </c>
      <c r="D186" s="157">
        <v>213022</v>
      </c>
      <c r="E186" s="36" t="s">
        <v>764</v>
      </c>
      <c r="F186" s="98">
        <v>493</v>
      </c>
      <c r="G186" s="158">
        <v>0</v>
      </c>
      <c r="H186" s="115">
        <f t="shared" si="20"/>
        <v>0</v>
      </c>
      <c r="I186" s="159">
        <f>SUMIFS(Arrival!M:M,Arrival!K:K,'Stock statement'!$C186)</f>
        <v>0</v>
      </c>
      <c r="J186" s="160">
        <f t="shared" si="21"/>
        <v>0</v>
      </c>
      <c r="K186" s="160">
        <f>SUMIFS(Arrival!R:R,Arrival!K:K,'Stock statement'!$C186)</f>
        <v>0</v>
      </c>
      <c r="L186" s="160">
        <f t="shared" si="22"/>
        <v>493</v>
      </c>
      <c r="M186" s="160">
        <f t="shared" si="23"/>
        <v>0</v>
      </c>
      <c r="N186" s="161">
        <f t="shared" si="24"/>
        <v>0</v>
      </c>
      <c r="O186" s="159">
        <f t="shared" si="25"/>
        <v>0</v>
      </c>
      <c r="P186" s="162">
        <f t="shared" si="26"/>
        <v>0</v>
      </c>
      <c r="Q186" s="162">
        <f t="shared" si="27"/>
        <v>0</v>
      </c>
      <c r="R186" s="210">
        <f>IFERROR(VLOOKUP(C186,'Monthly Op &amp; Clo Stock (invoic)'!A:C,3,0),0)</f>
        <v>493</v>
      </c>
      <c r="S186" s="163">
        <f t="shared" si="28"/>
        <v>0</v>
      </c>
      <c r="T186" s="162">
        <f t="shared" si="29"/>
        <v>0</v>
      </c>
      <c r="U186" s="16"/>
      <c r="V186" s="71"/>
      <c r="W186" s="16"/>
    </row>
    <row r="187" spans="1:23">
      <c r="A187" s="35"/>
      <c r="B187" s="35" t="s">
        <v>183</v>
      </c>
      <c r="C187" s="157">
        <v>213023</v>
      </c>
      <c r="D187" s="157">
        <v>213023</v>
      </c>
      <c r="E187" s="36" t="s">
        <v>765</v>
      </c>
      <c r="F187" s="98">
        <v>121.99999999999999</v>
      </c>
      <c r="G187" s="158">
        <v>244.04271069695386</v>
      </c>
      <c r="H187" s="115">
        <f t="shared" si="20"/>
        <v>29773.210705028367</v>
      </c>
      <c r="I187" s="159">
        <f>SUMIFS(Arrival!M:M,Arrival!K:K,'Stock statement'!$C187)</f>
        <v>0</v>
      </c>
      <c r="J187" s="160">
        <f t="shared" si="21"/>
        <v>0</v>
      </c>
      <c r="K187" s="160">
        <f>SUMIFS(Arrival!R:R,Arrival!K:K,'Stock statement'!$C187)</f>
        <v>0</v>
      </c>
      <c r="L187" s="160">
        <f t="shared" si="22"/>
        <v>121.99999999999999</v>
      </c>
      <c r="M187" s="160">
        <f t="shared" si="23"/>
        <v>244.04271069695386</v>
      </c>
      <c r="N187" s="161">
        <f t="shared" si="24"/>
        <v>29773.210705028367</v>
      </c>
      <c r="O187" s="159">
        <f t="shared" si="25"/>
        <v>0</v>
      </c>
      <c r="P187" s="162">
        <f t="shared" si="26"/>
        <v>244.04271069695386</v>
      </c>
      <c r="Q187" s="162">
        <f t="shared" si="27"/>
        <v>0</v>
      </c>
      <c r="R187" s="160">
        <f>IFERROR(VLOOKUP(C187,'Monthly Op &amp; Clo Stock (invoic)'!A:C,3,0),0)</f>
        <v>121.99999999999999</v>
      </c>
      <c r="S187" s="163">
        <f t="shared" si="28"/>
        <v>244.04271069695386</v>
      </c>
      <c r="T187" s="162">
        <f t="shared" si="29"/>
        <v>29773.210705028367</v>
      </c>
      <c r="U187" s="16"/>
      <c r="V187" s="71"/>
      <c r="W187" s="16"/>
    </row>
    <row r="188" spans="1:23">
      <c r="A188" s="35"/>
      <c r="B188" s="35" t="s">
        <v>183</v>
      </c>
      <c r="C188" s="157">
        <v>213024</v>
      </c>
      <c r="D188" s="157">
        <v>213024</v>
      </c>
      <c r="E188" s="36" t="s">
        <v>343</v>
      </c>
      <c r="F188" s="98">
        <v>0</v>
      </c>
      <c r="G188" s="158">
        <v>242.51113307886948</v>
      </c>
      <c r="H188" s="115">
        <f t="shared" si="20"/>
        <v>0</v>
      </c>
      <c r="I188" s="159">
        <f>SUMIFS(Arrival!M:M,Arrival!K:K,'Stock statement'!$C188)</f>
        <v>0</v>
      </c>
      <c r="J188" s="160">
        <f t="shared" si="21"/>
        <v>0</v>
      </c>
      <c r="K188" s="160">
        <f>SUMIFS(Arrival!R:R,Arrival!K:K,'Stock statement'!$C188)</f>
        <v>0</v>
      </c>
      <c r="L188" s="160">
        <f t="shared" si="22"/>
        <v>0</v>
      </c>
      <c r="M188" s="160">
        <f t="shared" si="23"/>
        <v>0</v>
      </c>
      <c r="N188" s="161">
        <f t="shared" si="24"/>
        <v>0</v>
      </c>
      <c r="O188" s="159">
        <f t="shared" si="25"/>
        <v>0</v>
      </c>
      <c r="P188" s="162">
        <f t="shared" si="26"/>
        <v>0</v>
      </c>
      <c r="Q188" s="162">
        <f t="shared" si="27"/>
        <v>0</v>
      </c>
      <c r="R188" s="160">
        <f>IFERROR(VLOOKUP(C188,'Monthly Op &amp; Clo Stock (invoic)'!A:C,3,0),0)</f>
        <v>0</v>
      </c>
      <c r="S188" s="163">
        <f t="shared" si="28"/>
        <v>0</v>
      </c>
      <c r="T188" s="162">
        <f t="shared" si="29"/>
        <v>0</v>
      </c>
      <c r="U188" s="16"/>
      <c r="V188" s="71"/>
      <c r="W188" s="16"/>
    </row>
    <row r="189" spans="1:23">
      <c r="A189" s="35"/>
      <c r="B189" s="35" t="s">
        <v>183</v>
      </c>
      <c r="C189" s="157">
        <v>213100</v>
      </c>
      <c r="D189" s="157">
        <v>213100</v>
      </c>
      <c r="E189" s="36" t="s">
        <v>766</v>
      </c>
      <c r="F189" s="98">
        <v>0</v>
      </c>
      <c r="G189" s="158">
        <v>0</v>
      </c>
      <c r="H189" s="115">
        <f t="shared" si="20"/>
        <v>0</v>
      </c>
      <c r="I189" s="159">
        <f>SUMIFS(Arrival!M:M,Arrival!K:K,'Stock statement'!$C189)</f>
        <v>0</v>
      </c>
      <c r="J189" s="160">
        <f t="shared" si="21"/>
        <v>0</v>
      </c>
      <c r="K189" s="160">
        <f>SUMIFS(Arrival!R:R,Arrival!K:K,'Stock statement'!$C189)</f>
        <v>0</v>
      </c>
      <c r="L189" s="160">
        <f t="shared" si="22"/>
        <v>0</v>
      </c>
      <c r="M189" s="160">
        <f t="shared" si="23"/>
        <v>0</v>
      </c>
      <c r="N189" s="161">
        <f t="shared" si="24"/>
        <v>0</v>
      </c>
      <c r="O189" s="159">
        <f t="shared" si="25"/>
        <v>0</v>
      </c>
      <c r="P189" s="162">
        <f t="shared" si="26"/>
        <v>0</v>
      </c>
      <c r="Q189" s="162">
        <f t="shared" si="27"/>
        <v>0</v>
      </c>
      <c r="R189" s="160">
        <f>IFERROR(VLOOKUP(C189,'Monthly Op &amp; Clo Stock (invoic)'!A:C,3,0),0)</f>
        <v>0</v>
      </c>
      <c r="S189" s="163">
        <f t="shared" si="28"/>
        <v>0</v>
      </c>
      <c r="T189" s="162">
        <f t="shared" si="29"/>
        <v>0</v>
      </c>
      <c r="U189" s="16"/>
      <c r="V189" s="71"/>
      <c r="W189" s="16"/>
    </row>
    <row r="190" spans="1:23">
      <c r="A190" s="35"/>
      <c r="B190" s="35" t="s">
        <v>183</v>
      </c>
      <c r="C190" s="157">
        <v>213101</v>
      </c>
      <c r="D190" s="157">
        <v>213101</v>
      </c>
      <c r="E190" s="36" t="s">
        <v>767</v>
      </c>
      <c r="F190" s="98">
        <v>0</v>
      </c>
      <c r="G190" s="158">
        <v>0</v>
      </c>
      <c r="H190" s="115">
        <f t="shared" si="20"/>
        <v>0</v>
      </c>
      <c r="I190" s="159">
        <f>SUMIFS(Arrival!M:M,Arrival!K:K,'Stock statement'!$C190)</f>
        <v>0</v>
      </c>
      <c r="J190" s="160">
        <f t="shared" si="21"/>
        <v>0</v>
      </c>
      <c r="K190" s="160">
        <f>SUMIFS(Arrival!R:R,Arrival!K:K,'Stock statement'!$C190)</f>
        <v>0</v>
      </c>
      <c r="L190" s="160">
        <f t="shared" si="22"/>
        <v>0</v>
      </c>
      <c r="M190" s="160">
        <f t="shared" si="23"/>
        <v>0</v>
      </c>
      <c r="N190" s="161">
        <f t="shared" si="24"/>
        <v>0</v>
      </c>
      <c r="O190" s="159">
        <f t="shared" si="25"/>
        <v>0</v>
      </c>
      <c r="P190" s="162">
        <f t="shared" si="26"/>
        <v>0</v>
      </c>
      <c r="Q190" s="162">
        <f t="shared" si="27"/>
        <v>0</v>
      </c>
      <c r="R190" s="160">
        <f>IFERROR(VLOOKUP(C190,'Monthly Op &amp; Clo Stock (invoic)'!A:C,3,0),0)</f>
        <v>0</v>
      </c>
      <c r="S190" s="163">
        <f t="shared" si="28"/>
        <v>0</v>
      </c>
      <c r="T190" s="162">
        <f t="shared" si="29"/>
        <v>0</v>
      </c>
      <c r="U190" s="16"/>
      <c r="V190" s="71"/>
      <c r="W190" s="16"/>
    </row>
    <row r="191" spans="1:23">
      <c r="A191" s="35"/>
      <c r="B191" s="35" t="s">
        <v>183</v>
      </c>
      <c r="C191" s="157">
        <v>213102</v>
      </c>
      <c r="D191" s="157">
        <v>213102</v>
      </c>
      <c r="E191" s="36" t="s">
        <v>768</v>
      </c>
      <c r="F191" s="98">
        <v>180</v>
      </c>
      <c r="G191" s="158">
        <v>37.523333333333333</v>
      </c>
      <c r="H191" s="115">
        <f t="shared" si="20"/>
        <v>6754.2</v>
      </c>
      <c r="I191" s="159">
        <f>SUMIFS(Arrival!M:M,Arrival!K:K,'Stock statement'!$C191)</f>
        <v>0</v>
      </c>
      <c r="J191" s="160">
        <f t="shared" si="21"/>
        <v>0</v>
      </c>
      <c r="K191" s="160">
        <f>SUMIFS(Arrival!R:R,Arrival!K:K,'Stock statement'!$C191)</f>
        <v>0</v>
      </c>
      <c r="L191" s="160">
        <f t="shared" si="22"/>
        <v>180</v>
      </c>
      <c r="M191" s="160">
        <f t="shared" si="23"/>
        <v>37.523333333333333</v>
      </c>
      <c r="N191" s="161">
        <f t="shared" si="24"/>
        <v>6754.2</v>
      </c>
      <c r="O191" s="159">
        <f t="shared" si="25"/>
        <v>0</v>
      </c>
      <c r="P191" s="162">
        <f t="shared" si="26"/>
        <v>37.523333333333333</v>
      </c>
      <c r="Q191" s="162">
        <f t="shared" si="27"/>
        <v>0</v>
      </c>
      <c r="R191" s="160">
        <f>IFERROR(VLOOKUP(C191,'Monthly Op &amp; Clo Stock (invoic)'!A:C,3,0),0)</f>
        <v>180</v>
      </c>
      <c r="S191" s="163">
        <f t="shared" si="28"/>
        <v>37.523333333333333</v>
      </c>
      <c r="T191" s="162">
        <f t="shared" si="29"/>
        <v>6754.2</v>
      </c>
      <c r="U191" s="16"/>
      <c r="V191" s="71"/>
      <c r="W191" s="16"/>
    </row>
    <row r="192" spans="1:23">
      <c r="A192" s="35"/>
      <c r="B192" s="35" t="s">
        <v>183</v>
      </c>
      <c r="C192" s="157">
        <v>213103</v>
      </c>
      <c r="D192" s="157">
        <v>213103</v>
      </c>
      <c r="E192" s="36" t="s">
        <v>769</v>
      </c>
      <c r="F192" s="98">
        <v>1340</v>
      </c>
      <c r="G192" s="158">
        <v>14.75</v>
      </c>
      <c r="H192" s="115">
        <f t="shared" si="20"/>
        <v>19765</v>
      </c>
      <c r="I192" s="159">
        <f>SUMIFS(Arrival!M:M,Arrival!K:K,'Stock statement'!$C192)</f>
        <v>0</v>
      </c>
      <c r="J192" s="160">
        <f t="shared" si="21"/>
        <v>0</v>
      </c>
      <c r="K192" s="160">
        <f>SUMIFS(Arrival!R:R,Arrival!K:K,'Stock statement'!$C192)</f>
        <v>0</v>
      </c>
      <c r="L192" s="160">
        <f t="shared" si="22"/>
        <v>1340</v>
      </c>
      <c r="M192" s="160">
        <f t="shared" si="23"/>
        <v>14.75</v>
      </c>
      <c r="N192" s="161">
        <f t="shared" si="24"/>
        <v>19765</v>
      </c>
      <c r="O192" s="159">
        <f t="shared" si="25"/>
        <v>0</v>
      </c>
      <c r="P192" s="162">
        <f t="shared" si="26"/>
        <v>14.75</v>
      </c>
      <c r="Q192" s="162">
        <f t="shared" si="27"/>
        <v>0</v>
      </c>
      <c r="R192" s="160">
        <f>IFERROR(VLOOKUP(C192,'Monthly Op &amp; Clo Stock (invoic)'!A:C,3,0),0)</f>
        <v>1340</v>
      </c>
      <c r="S192" s="163">
        <f t="shared" si="28"/>
        <v>14.75</v>
      </c>
      <c r="T192" s="162">
        <f t="shared" si="29"/>
        <v>19765</v>
      </c>
      <c r="U192" s="16"/>
      <c r="V192" s="71"/>
      <c r="W192" s="16"/>
    </row>
    <row r="193" spans="1:23">
      <c r="A193" s="35"/>
      <c r="B193" s="35" t="s">
        <v>183</v>
      </c>
      <c r="C193" s="157">
        <v>213105</v>
      </c>
      <c r="D193" s="157">
        <v>213105</v>
      </c>
      <c r="E193" s="36" t="s">
        <v>770</v>
      </c>
      <c r="F193" s="98">
        <v>0</v>
      </c>
      <c r="G193" s="158">
        <v>0</v>
      </c>
      <c r="H193" s="115">
        <f t="shared" si="20"/>
        <v>0</v>
      </c>
      <c r="I193" s="159">
        <f>SUMIFS(Arrival!M:M,Arrival!K:K,'Stock statement'!$C193)</f>
        <v>0</v>
      </c>
      <c r="J193" s="160">
        <f t="shared" si="21"/>
        <v>0</v>
      </c>
      <c r="K193" s="160">
        <f>SUMIFS(Arrival!R:R,Arrival!K:K,'Stock statement'!$C193)</f>
        <v>0</v>
      </c>
      <c r="L193" s="160">
        <f t="shared" si="22"/>
        <v>0</v>
      </c>
      <c r="M193" s="160">
        <f t="shared" si="23"/>
        <v>0</v>
      </c>
      <c r="N193" s="161">
        <f t="shared" si="24"/>
        <v>0</v>
      </c>
      <c r="O193" s="159">
        <f t="shared" si="25"/>
        <v>0</v>
      </c>
      <c r="P193" s="162">
        <f t="shared" si="26"/>
        <v>0</v>
      </c>
      <c r="Q193" s="162">
        <f t="shared" si="27"/>
        <v>0</v>
      </c>
      <c r="R193" s="160">
        <f>IFERROR(VLOOKUP(C193,'Monthly Op &amp; Clo Stock (invoic)'!A:C,3,0),0)</f>
        <v>0</v>
      </c>
      <c r="S193" s="163">
        <f t="shared" si="28"/>
        <v>0</v>
      </c>
      <c r="T193" s="162">
        <f t="shared" si="29"/>
        <v>0</v>
      </c>
      <c r="U193" s="16"/>
      <c r="V193" s="71"/>
      <c r="W193" s="16"/>
    </row>
    <row r="194" spans="1:23">
      <c r="A194" s="35"/>
      <c r="B194" s="35" t="s">
        <v>183</v>
      </c>
      <c r="C194" s="157">
        <v>213104</v>
      </c>
      <c r="D194" s="157">
        <v>213104</v>
      </c>
      <c r="E194" s="36" t="s">
        <v>771</v>
      </c>
      <c r="F194" s="98">
        <v>0</v>
      </c>
      <c r="G194" s="158">
        <v>0</v>
      </c>
      <c r="H194" s="115">
        <f t="shared" si="20"/>
        <v>0</v>
      </c>
      <c r="I194" s="159">
        <f>SUMIFS(Arrival!M:M,Arrival!K:K,'Stock statement'!$C194)</f>
        <v>0</v>
      </c>
      <c r="J194" s="160">
        <f t="shared" si="21"/>
        <v>0</v>
      </c>
      <c r="K194" s="160">
        <f>SUMIFS(Arrival!R:R,Arrival!K:K,'Stock statement'!$C194)</f>
        <v>0</v>
      </c>
      <c r="L194" s="160">
        <f t="shared" si="22"/>
        <v>0</v>
      </c>
      <c r="M194" s="160">
        <f t="shared" si="23"/>
        <v>0</v>
      </c>
      <c r="N194" s="161">
        <f t="shared" si="24"/>
        <v>0</v>
      </c>
      <c r="O194" s="159">
        <f t="shared" si="25"/>
        <v>0</v>
      </c>
      <c r="P194" s="162">
        <f t="shared" si="26"/>
        <v>0</v>
      </c>
      <c r="Q194" s="162">
        <f t="shared" si="27"/>
        <v>0</v>
      </c>
      <c r="R194" s="160">
        <f>IFERROR(VLOOKUP(C194,'Monthly Op &amp; Clo Stock (invoic)'!A:C,3,0),0)</f>
        <v>0</v>
      </c>
      <c r="S194" s="163">
        <f t="shared" si="28"/>
        <v>0</v>
      </c>
      <c r="T194" s="162">
        <f t="shared" si="29"/>
        <v>0</v>
      </c>
      <c r="U194" s="16"/>
      <c r="V194" s="71"/>
      <c r="W194" s="16"/>
    </row>
    <row r="195" spans="1:23">
      <c r="A195" s="35"/>
      <c r="B195" s="35" t="s">
        <v>183</v>
      </c>
      <c r="C195" s="157">
        <v>213059</v>
      </c>
      <c r="D195" s="157">
        <v>213059</v>
      </c>
      <c r="E195" s="36" t="s">
        <v>772</v>
      </c>
      <c r="F195" s="98">
        <v>5250</v>
      </c>
      <c r="G195" s="158">
        <v>0</v>
      </c>
      <c r="H195" s="115">
        <f t="shared" ref="H195:H235" si="30">IFERROR(F195*G195,)</f>
        <v>0</v>
      </c>
      <c r="I195" s="159">
        <f>SUMIFS(Arrival!M:M,Arrival!K:K,'Stock statement'!$C195)</f>
        <v>0</v>
      </c>
      <c r="J195" s="160">
        <f t="shared" si="21"/>
        <v>0</v>
      </c>
      <c r="K195" s="160">
        <f>SUMIFS(Arrival!R:R,Arrival!K:K,'Stock statement'!$C195)</f>
        <v>0</v>
      </c>
      <c r="L195" s="160">
        <f t="shared" si="22"/>
        <v>5250</v>
      </c>
      <c r="M195" s="160">
        <f t="shared" si="23"/>
        <v>0</v>
      </c>
      <c r="N195" s="161">
        <f t="shared" si="24"/>
        <v>0</v>
      </c>
      <c r="O195" s="159">
        <f t="shared" si="25"/>
        <v>5250</v>
      </c>
      <c r="P195" s="162">
        <f t="shared" si="26"/>
        <v>0</v>
      </c>
      <c r="Q195" s="162">
        <f t="shared" si="27"/>
        <v>0</v>
      </c>
      <c r="R195" s="160">
        <f>IFERROR(VLOOKUP(C195,'Monthly Op &amp; Clo Stock (invoic)'!A:C,3,0),0)</f>
        <v>0</v>
      </c>
      <c r="S195" s="163">
        <f t="shared" si="28"/>
        <v>0</v>
      </c>
      <c r="T195" s="162">
        <f t="shared" si="29"/>
        <v>0</v>
      </c>
      <c r="U195" s="16"/>
      <c r="V195" s="71"/>
      <c r="W195" s="16"/>
    </row>
    <row r="196" spans="1:23">
      <c r="A196" s="35"/>
      <c r="B196" s="35" t="s">
        <v>183</v>
      </c>
      <c r="C196" s="157">
        <v>213075</v>
      </c>
      <c r="D196" s="157">
        <v>213075</v>
      </c>
      <c r="E196" s="36" t="s">
        <v>773</v>
      </c>
      <c r="F196" s="98">
        <v>10250</v>
      </c>
      <c r="G196" s="158">
        <v>0</v>
      </c>
      <c r="H196" s="115">
        <f t="shared" si="30"/>
        <v>0</v>
      </c>
      <c r="I196" s="159">
        <f>SUMIFS(Arrival!M:M,Arrival!K:K,'Stock statement'!$C196)</f>
        <v>0</v>
      </c>
      <c r="J196" s="160">
        <f t="shared" ref="J196:J259" si="31">IFERROR(K196/I196,0)</f>
        <v>0</v>
      </c>
      <c r="K196" s="160">
        <f>SUMIFS(Arrival!R:R,Arrival!K:K,'Stock statement'!$C196)</f>
        <v>0</v>
      </c>
      <c r="L196" s="160">
        <f t="shared" ref="L196:L259" si="32">F196+I196</f>
        <v>10250</v>
      </c>
      <c r="M196" s="160">
        <f t="shared" ref="M196:M259" si="33">IFERROR(N196/L196,0)</f>
        <v>0</v>
      </c>
      <c r="N196" s="161">
        <f t="shared" ref="N196:N259" si="34">H196+K196</f>
        <v>0</v>
      </c>
      <c r="O196" s="159">
        <f t="shared" ref="O196:O259" si="35">L196-R196</f>
        <v>10250</v>
      </c>
      <c r="P196" s="162">
        <f t="shared" ref="P196:P259" si="36">M196</f>
        <v>0</v>
      </c>
      <c r="Q196" s="162">
        <f t="shared" ref="Q196:Q259" si="37">IFERROR(O196*P196,0)</f>
        <v>0</v>
      </c>
      <c r="R196" s="160">
        <f>IFERROR(VLOOKUP(C196,'Monthly Op &amp; Clo Stock (invoic)'!A:C,3,0),0)</f>
        <v>0</v>
      </c>
      <c r="S196" s="163">
        <f t="shared" ref="S196:S259" si="38">P196</f>
        <v>0</v>
      </c>
      <c r="T196" s="162">
        <f t="shared" ref="T196:T259" si="39">IFERROR(R196*S196,0)</f>
        <v>0</v>
      </c>
      <c r="U196" s="16"/>
      <c r="V196" s="71"/>
      <c r="W196" s="16"/>
    </row>
    <row r="197" spans="1:23">
      <c r="A197" s="35"/>
      <c r="B197" s="35" t="s">
        <v>183</v>
      </c>
      <c r="C197" s="157">
        <v>212955</v>
      </c>
      <c r="D197" s="157">
        <v>212955</v>
      </c>
      <c r="E197" s="36" t="s">
        <v>774</v>
      </c>
      <c r="F197" s="98">
        <v>0</v>
      </c>
      <c r="G197" s="158">
        <v>0</v>
      </c>
      <c r="H197" s="115">
        <f t="shared" si="30"/>
        <v>0</v>
      </c>
      <c r="I197" s="159">
        <f>SUMIFS(Arrival!M:M,Arrival!K:K,'Stock statement'!$C197)</f>
        <v>0</v>
      </c>
      <c r="J197" s="160">
        <f t="shared" si="31"/>
        <v>0</v>
      </c>
      <c r="K197" s="160">
        <f>SUMIFS(Arrival!R:R,Arrival!K:K,'Stock statement'!$C197)</f>
        <v>0</v>
      </c>
      <c r="L197" s="160">
        <f t="shared" si="32"/>
        <v>0</v>
      </c>
      <c r="M197" s="160">
        <f t="shared" si="33"/>
        <v>0</v>
      </c>
      <c r="N197" s="161">
        <f t="shared" si="34"/>
        <v>0</v>
      </c>
      <c r="O197" s="159">
        <f t="shared" si="35"/>
        <v>0</v>
      </c>
      <c r="P197" s="162">
        <f t="shared" si="36"/>
        <v>0</v>
      </c>
      <c r="Q197" s="162">
        <f t="shared" si="37"/>
        <v>0</v>
      </c>
      <c r="R197" s="160">
        <f>IFERROR(VLOOKUP(C197,'Monthly Op &amp; Clo Stock (invoic)'!A:C,3,0),0)</f>
        <v>0</v>
      </c>
      <c r="S197" s="163">
        <f t="shared" si="38"/>
        <v>0</v>
      </c>
      <c r="T197" s="162">
        <f t="shared" si="39"/>
        <v>0</v>
      </c>
      <c r="U197" s="16"/>
      <c r="V197" s="71"/>
      <c r="W197" s="16"/>
    </row>
    <row r="198" spans="1:23">
      <c r="A198" s="35"/>
      <c r="B198" s="35" t="s">
        <v>183</v>
      </c>
      <c r="C198" s="157">
        <v>213052</v>
      </c>
      <c r="D198" s="157">
        <v>213052</v>
      </c>
      <c r="E198" s="36" t="s">
        <v>564</v>
      </c>
      <c r="F198" s="98">
        <v>5100</v>
      </c>
      <c r="G198" s="158">
        <v>47.714076450051003</v>
      </c>
      <c r="H198" s="115">
        <f t="shared" si="30"/>
        <v>243341.78989526012</v>
      </c>
      <c r="I198" s="159">
        <f>SUMIFS(Arrival!M:M,Arrival!K:K,'Stock statement'!$C198)</f>
        <v>1385</v>
      </c>
      <c r="J198" s="160">
        <f t="shared" si="31"/>
        <v>49.66</v>
      </c>
      <c r="K198" s="160">
        <f>SUMIFS(Arrival!R:R,Arrival!K:K,'Stock statement'!$C198)</f>
        <v>68779.099999999991</v>
      </c>
      <c r="L198" s="160">
        <f t="shared" si="32"/>
        <v>6485</v>
      </c>
      <c r="M198" s="160">
        <f t="shared" si="33"/>
        <v>48.129666907518903</v>
      </c>
      <c r="N198" s="161">
        <f t="shared" si="34"/>
        <v>312120.8898952601</v>
      </c>
      <c r="O198" s="159">
        <f t="shared" si="35"/>
        <v>5815</v>
      </c>
      <c r="P198" s="162">
        <f t="shared" si="36"/>
        <v>48.129666907518903</v>
      </c>
      <c r="Q198" s="162">
        <f t="shared" si="37"/>
        <v>279874.01306722243</v>
      </c>
      <c r="R198" s="160">
        <f>IFERROR(VLOOKUP(C198,'Monthly Op &amp; Clo Stock (invoic)'!A:C,3,0),0)</f>
        <v>670</v>
      </c>
      <c r="S198" s="163">
        <f t="shared" si="38"/>
        <v>48.129666907518903</v>
      </c>
      <c r="T198" s="162">
        <f t="shared" si="39"/>
        <v>32246.876828037664</v>
      </c>
      <c r="U198" s="16"/>
      <c r="V198" s="71"/>
      <c r="W198" s="16"/>
    </row>
    <row r="199" spans="1:23">
      <c r="A199" s="35" t="s">
        <v>138</v>
      </c>
      <c r="B199" s="35" t="s">
        <v>138</v>
      </c>
      <c r="C199" s="157">
        <v>114276</v>
      </c>
      <c r="D199" s="157">
        <v>114276</v>
      </c>
      <c r="E199" s="36" t="s">
        <v>775</v>
      </c>
      <c r="F199" s="98">
        <v>12.56</v>
      </c>
      <c r="G199" s="158">
        <v>299</v>
      </c>
      <c r="H199" s="115">
        <f t="shared" si="30"/>
        <v>3755.44</v>
      </c>
      <c r="I199" s="159">
        <f>SUMIFS(Arrival!M:M,Arrival!K:K,'Stock statement'!$C199)</f>
        <v>0</v>
      </c>
      <c r="J199" s="160">
        <f t="shared" si="31"/>
        <v>0</v>
      </c>
      <c r="K199" s="160">
        <f>SUMIFS(Arrival!R:R,Arrival!K:K,'Stock statement'!$C199)</f>
        <v>0</v>
      </c>
      <c r="L199" s="160">
        <f t="shared" si="32"/>
        <v>12.56</v>
      </c>
      <c r="M199" s="160">
        <f t="shared" si="33"/>
        <v>299</v>
      </c>
      <c r="N199" s="161">
        <f t="shared" si="34"/>
        <v>3755.44</v>
      </c>
      <c r="O199" s="159">
        <f t="shared" si="35"/>
        <v>0</v>
      </c>
      <c r="P199" s="162">
        <f t="shared" si="36"/>
        <v>299</v>
      </c>
      <c r="Q199" s="162">
        <f t="shared" si="37"/>
        <v>0</v>
      </c>
      <c r="R199" s="160">
        <f>IFERROR(VLOOKUP(C199,'Monthly Op &amp; Clo Stock (invoic)'!A:C,3,0),0)</f>
        <v>12.56</v>
      </c>
      <c r="S199" s="163">
        <f t="shared" si="38"/>
        <v>299</v>
      </c>
      <c r="T199" s="162">
        <f t="shared" si="39"/>
        <v>3755.44</v>
      </c>
      <c r="U199" s="16"/>
      <c r="V199" s="71"/>
      <c r="W199" s="16"/>
    </row>
    <row r="200" spans="1:23">
      <c r="A200" s="35"/>
      <c r="B200" s="35"/>
      <c r="C200" s="157">
        <v>211697</v>
      </c>
      <c r="D200" s="157">
        <v>211697</v>
      </c>
      <c r="E200" s="36" t="s">
        <v>776</v>
      </c>
      <c r="F200" s="98">
        <v>2697.75</v>
      </c>
      <c r="G200" s="158">
        <v>252.46017604226088</v>
      </c>
      <c r="H200" s="115">
        <f t="shared" si="30"/>
        <v>681074.43991800933</v>
      </c>
      <c r="I200" s="159">
        <f>SUMIFS(Arrival!M:M,Arrival!K:K,'Stock statement'!$C200)</f>
        <v>0</v>
      </c>
      <c r="J200" s="160">
        <f t="shared" si="31"/>
        <v>0</v>
      </c>
      <c r="K200" s="160">
        <f>SUMIFS(Arrival!R:R,Arrival!K:K,'Stock statement'!$C200)</f>
        <v>0</v>
      </c>
      <c r="L200" s="160">
        <f t="shared" si="32"/>
        <v>2697.75</v>
      </c>
      <c r="M200" s="160">
        <f t="shared" si="33"/>
        <v>252.46017604226088</v>
      </c>
      <c r="N200" s="161">
        <f t="shared" si="34"/>
        <v>681074.43991800933</v>
      </c>
      <c r="O200" s="159">
        <f t="shared" si="35"/>
        <v>1314.75</v>
      </c>
      <c r="P200" s="162">
        <f t="shared" si="36"/>
        <v>252.46017604226088</v>
      </c>
      <c r="Q200" s="162">
        <f t="shared" si="37"/>
        <v>331922.01645156252</v>
      </c>
      <c r="R200" s="160">
        <f>IFERROR(VLOOKUP(C200,'Monthly Op &amp; Clo Stock (invoic)'!A:C,3,0),0)</f>
        <v>1383</v>
      </c>
      <c r="S200" s="163">
        <f t="shared" si="38"/>
        <v>252.46017604226088</v>
      </c>
      <c r="T200" s="162">
        <f t="shared" si="39"/>
        <v>349152.42346644681</v>
      </c>
      <c r="U200" s="16"/>
      <c r="V200" s="71"/>
      <c r="W200" s="16"/>
    </row>
    <row r="201" spans="1:23">
      <c r="A201" s="35"/>
      <c r="B201" s="35"/>
      <c r="C201" s="157">
        <v>213238</v>
      </c>
      <c r="D201" s="157">
        <v>213238</v>
      </c>
      <c r="E201" s="36" t="s">
        <v>777</v>
      </c>
      <c r="F201" s="98">
        <v>0</v>
      </c>
      <c r="G201" s="158">
        <v>0</v>
      </c>
      <c r="H201" s="115">
        <f t="shared" si="30"/>
        <v>0</v>
      </c>
      <c r="I201" s="159">
        <f>SUMIFS(Arrival!M:M,Arrival!K:K,'Stock statement'!$C201)</f>
        <v>0</v>
      </c>
      <c r="J201" s="160">
        <f t="shared" si="31"/>
        <v>0</v>
      </c>
      <c r="K201" s="160">
        <f>SUMIFS(Arrival!R:R,Arrival!K:K,'Stock statement'!$C201)</f>
        <v>0</v>
      </c>
      <c r="L201" s="160">
        <f t="shared" si="32"/>
        <v>0</v>
      </c>
      <c r="M201" s="160">
        <f t="shared" si="33"/>
        <v>0</v>
      </c>
      <c r="N201" s="161">
        <f t="shared" si="34"/>
        <v>0</v>
      </c>
      <c r="O201" s="159">
        <f t="shared" si="35"/>
        <v>0</v>
      </c>
      <c r="P201" s="162">
        <f t="shared" si="36"/>
        <v>0</v>
      </c>
      <c r="Q201" s="162">
        <f t="shared" si="37"/>
        <v>0</v>
      </c>
      <c r="R201" s="160">
        <f>IFERROR(VLOOKUP(C201,'Monthly Op &amp; Clo Stock (invoic)'!A:C,3,0),0)</f>
        <v>0</v>
      </c>
      <c r="S201" s="163">
        <f t="shared" si="38"/>
        <v>0</v>
      </c>
      <c r="T201" s="162">
        <f t="shared" si="39"/>
        <v>0</v>
      </c>
      <c r="U201" s="16"/>
      <c r="V201" s="71"/>
      <c r="W201" s="16"/>
    </row>
    <row r="202" spans="1:23">
      <c r="A202" s="35"/>
      <c r="B202" s="35"/>
      <c r="C202" s="157">
        <v>211696</v>
      </c>
      <c r="D202" s="157">
        <v>211696</v>
      </c>
      <c r="E202" s="36" t="s">
        <v>778</v>
      </c>
      <c r="F202" s="98">
        <v>2422</v>
      </c>
      <c r="G202" s="158">
        <v>235.98475848496369</v>
      </c>
      <c r="H202" s="115">
        <f t="shared" si="30"/>
        <v>571555.08505058207</v>
      </c>
      <c r="I202" s="159">
        <f>SUMIFS(Arrival!M:M,Arrival!K:K,'Stock statement'!$C202)</f>
        <v>246.75</v>
      </c>
      <c r="J202" s="160">
        <f t="shared" si="31"/>
        <v>234</v>
      </c>
      <c r="K202" s="160">
        <f>SUMIFS(Arrival!R:R,Arrival!K:K,'Stock statement'!$C202)</f>
        <v>57739.5</v>
      </c>
      <c r="L202" s="160">
        <f t="shared" si="32"/>
        <v>2668.75</v>
      </c>
      <c r="M202" s="160">
        <f t="shared" si="33"/>
        <v>235.80124966766542</v>
      </c>
      <c r="N202" s="161">
        <f t="shared" si="34"/>
        <v>629294.58505058207</v>
      </c>
      <c r="O202" s="159">
        <f t="shared" si="35"/>
        <v>2668.75</v>
      </c>
      <c r="P202" s="162">
        <f t="shared" si="36"/>
        <v>235.80124966766542</v>
      </c>
      <c r="Q202" s="162">
        <f t="shared" si="37"/>
        <v>629294.58505058207</v>
      </c>
      <c r="R202" s="160">
        <f>IFERROR(VLOOKUP(C202,'Monthly Op &amp; Clo Stock (invoic)'!A:C,3,0),0)</f>
        <v>0</v>
      </c>
      <c r="S202" s="163">
        <f t="shared" si="38"/>
        <v>235.80124966766542</v>
      </c>
      <c r="T202" s="162">
        <f t="shared" si="39"/>
        <v>0</v>
      </c>
      <c r="U202" s="16"/>
      <c r="V202" s="71"/>
      <c r="W202" s="16"/>
    </row>
    <row r="203" spans="1:23">
      <c r="A203" s="35"/>
      <c r="B203" s="35"/>
      <c r="C203" s="157">
        <v>211698</v>
      </c>
      <c r="D203" s="157">
        <v>211698</v>
      </c>
      <c r="E203" s="36" t="s">
        <v>779</v>
      </c>
      <c r="F203" s="98">
        <v>2043.8749999999998</v>
      </c>
      <c r="G203" s="158">
        <v>234.83326350391158</v>
      </c>
      <c r="H203" s="115">
        <f t="shared" si="30"/>
        <v>479969.83644405723</v>
      </c>
      <c r="I203" s="159">
        <f>SUMIFS(Arrival!M:M,Arrival!K:K,'Stock statement'!$C203)</f>
        <v>0</v>
      </c>
      <c r="J203" s="160">
        <f t="shared" si="31"/>
        <v>0</v>
      </c>
      <c r="K203" s="160">
        <f>SUMIFS(Arrival!R:R,Arrival!K:K,'Stock statement'!$C203)</f>
        <v>0</v>
      </c>
      <c r="L203" s="160">
        <f t="shared" si="32"/>
        <v>2043.8749999999998</v>
      </c>
      <c r="M203" s="160">
        <f t="shared" si="33"/>
        <v>234.83326350391158</v>
      </c>
      <c r="N203" s="161">
        <f t="shared" si="34"/>
        <v>479969.83644405723</v>
      </c>
      <c r="O203" s="159">
        <f t="shared" si="35"/>
        <v>2043.8749999999998</v>
      </c>
      <c r="P203" s="162">
        <f t="shared" si="36"/>
        <v>234.83326350391158</v>
      </c>
      <c r="Q203" s="162">
        <f t="shared" si="37"/>
        <v>479969.83644405723</v>
      </c>
      <c r="R203" s="160">
        <f>IFERROR(VLOOKUP(C203,'Monthly Op &amp; Clo Stock (invoic)'!A:C,3,0),0)</f>
        <v>0</v>
      </c>
      <c r="S203" s="163">
        <f t="shared" si="38"/>
        <v>234.83326350391158</v>
      </c>
      <c r="T203" s="162">
        <f t="shared" si="39"/>
        <v>0</v>
      </c>
      <c r="U203" s="16"/>
      <c r="V203" s="71"/>
      <c r="W203" s="16"/>
    </row>
    <row r="204" spans="1:23">
      <c r="A204" s="35"/>
      <c r="B204" s="35" t="s">
        <v>183</v>
      </c>
      <c r="C204" s="157">
        <v>212580</v>
      </c>
      <c r="D204" s="157">
        <v>212580</v>
      </c>
      <c r="E204" s="36" t="s">
        <v>780</v>
      </c>
      <c r="F204" s="98">
        <v>0</v>
      </c>
      <c r="G204" s="158">
        <v>0</v>
      </c>
      <c r="H204" s="115">
        <f t="shared" si="30"/>
        <v>0</v>
      </c>
      <c r="I204" s="159">
        <f>SUMIFS(Arrival!M:M,Arrival!K:K,'Stock statement'!$C204)</f>
        <v>0</v>
      </c>
      <c r="J204" s="160">
        <f t="shared" si="31"/>
        <v>0</v>
      </c>
      <c r="K204" s="160">
        <f>SUMIFS(Arrival!R:R,Arrival!K:K,'Stock statement'!$C204)</f>
        <v>0</v>
      </c>
      <c r="L204" s="160">
        <f t="shared" si="32"/>
        <v>0</v>
      </c>
      <c r="M204" s="160">
        <f t="shared" si="33"/>
        <v>0</v>
      </c>
      <c r="N204" s="161">
        <f t="shared" si="34"/>
        <v>0</v>
      </c>
      <c r="O204" s="159">
        <f t="shared" si="35"/>
        <v>0</v>
      </c>
      <c r="P204" s="162">
        <f t="shared" si="36"/>
        <v>0</v>
      </c>
      <c r="Q204" s="162">
        <f t="shared" si="37"/>
        <v>0</v>
      </c>
      <c r="R204" s="160">
        <f>IFERROR(VLOOKUP(C204,'Monthly Op &amp; Clo Stock (invoic)'!A:C,3,0),0)</f>
        <v>0</v>
      </c>
      <c r="S204" s="163">
        <f t="shared" si="38"/>
        <v>0</v>
      </c>
      <c r="T204" s="162">
        <f t="shared" si="39"/>
        <v>0</v>
      </c>
      <c r="U204" s="16"/>
      <c r="V204" s="71"/>
      <c r="W204" s="16"/>
    </row>
    <row r="205" spans="1:23">
      <c r="A205" s="35"/>
      <c r="B205" s="35" t="s">
        <v>183</v>
      </c>
      <c r="C205" s="157">
        <v>212581</v>
      </c>
      <c r="D205" s="157">
        <v>212581</v>
      </c>
      <c r="E205" s="36" t="s">
        <v>781</v>
      </c>
      <c r="F205" s="98">
        <v>0</v>
      </c>
      <c r="G205" s="158">
        <v>0</v>
      </c>
      <c r="H205" s="115">
        <f t="shared" si="30"/>
        <v>0</v>
      </c>
      <c r="I205" s="159">
        <f>SUMIFS(Arrival!M:M,Arrival!K:K,'Stock statement'!$C205)</f>
        <v>0</v>
      </c>
      <c r="J205" s="160">
        <f t="shared" si="31"/>
        <v>0</v>
      </c>
      <c r="K205" s="160">
        <f>SUMIFS(Arrival!R:R,Arrival!K:K,'Stock statement'!$C205)</f>
        <v>0</v>
      </c>
      <c r="L205" s="160">
        <f t="shared" si="32"/>
        <v>0</v>
      </c>
      <c r="M205" s="160">
        <f t="shared" si="33"/>
        <v>0</v>
      </c>
      <c r="N205" s="161">
        <f t="shared" si="34"/>
        <v>0</v>
      </c>
      <c r="O205" s="159">
        <f t="shared" si="35"/>
        <v>0</v>
      </c>
      <c r="P205" s="162">
        <f t="shared" si="36"/>
        <v>0</v>
      </c>
      <c r="Q205" s="162">
        <f t="shared" si="37"/>
        <v>0</v>
      </c>
      <c r="R205" s="160">
        <f>IFERROR(VLOOKUP(C205,'Monthly Op &amp; Clo Stock (invoic)'!A:C,3,0),0)</f>
        <v>0</v>
      </c>
      <c r="S205" s="163">
        <f t="shared" si="38"/>
        <v>0</v>
      </c>
      <c r="T205" s="162">
        <f t="shared" si="39"/>
        <v>0</v>
      </c>
      <c r="U205" s="16"/>
      <c r="V205" s="71"/>
      <c r="W205" s="16"/>
    </row>
    <row r="206" spans="1:23">
      <c r="A206" s="35"/>
      <c r="B206" s="35" t="s">
        <v>183</v>
      </c>
      <c r="C206" s="157">
        <v>212583</v>
      </c>
      <c r="D206" s="157">
        <v>212583</v>
      </c>
      <c r="E206" s="36" t="s">
        <v>782</v>
      </c>
      <c r="F206" s="98">
        <v>0</v>
      </c>
      <c r="G206" s="158">
        <v>0</v>
      </c>
      <c r="H206" s="115">
        <f t="shared" si="30"/>
        <v>0</v>
      </c>
      <c r="I206" s="159">
        <f>SUMIFS(Arrival!M:M,Arrival!K:K,'Stock statement'!$C206)</f>
        <v>0</v>
      </c>
      <c r="J206" s="160">
        <f t="shared" si="31"/>
        <v>0</v>
      </c>
      <c r="K206" s="160">
        <f>SUMIFS(Arrival!R:R,Arrival!K:K,'Stock statement'!$C206)</f>
        <v>0</v>
      </c>
      <c r="L206" s="160">
        <f t="shared" si="32"/>
        <v>0</v>
      </c>
      <c r="M206" s="160">
        <f t="shared" si="33"/>
        <v>0</v>
      </c>
      <c r="N206" s="161">
        <f t="shared" si="34"/>
        <v>0</v>
      </c>
      <c r="O206" s="159">
        <f t="shared" si="35"/>
        <v>0</v>
      </c>
      <c r="P206" s="162">
        <f t="shared" si="36"/>
        <v>0</v>
      </c>
      <c r="Q206" s="162">
        <f t="shared" si="37"/>
        <v>0</v>
      </c>
      <c r="R206" s="160">
        <f>IFERROR(VLOOKUP(C206,'Monthly Op &amp; Clo Stock (invoic)'!A:C,3,0),0)</f>
        <v>0</v>
      </c>
      <c r="S206" s="163">
        <f t="shared" si="38"/>
        <v>0</v>
      </c>
      <c r="T206" s="162">
        <f t="shared" si="39"/>
        <v>0</v>
      </c>
      <c r="U206" s="16"/>
      <c r="V206" s="71"/>
      <c r="W206" s="16"/>
    </row>
    <row r="207" spans="1:23">
      <c r="A207" s="35"/>
      <c r="B207" s="35" t="s">
        <v>183</v>
      </c>
      <c r="C207" s="157">
        <v>212582</v>
      </c>
      <c r="D207" s="157">
        <v>212582</v>
      </c>
      <c r="E207" s="36" t="s">
        <v>783</v>
      </c>
      <c r="F207" s="98">
        <v>0</v>
      </c>
      <c r="G207" s="158">
        <v>0</v>
      </c>
      <c r="H207" s="115">
        <f t="shared" si="30"/>
        <v>0</v>
      </c>
      <c r="I207" s="159">
        <f>SUMIFS(Arrival!M:M,Arrival!K:K,'Stock statement'!$C207)</f>
        <v>0</v>
      </c>
      <c r="J207" s="160">
        <f t="shared" si="31"/>
        <v>0</v>
      </c>
      <c r="K207" s="160">
        <f>SUMIFS(Arrival!R:R,Arrival!K:K,'Stock statement'!$C207)</f>
        <v>0</v>
      </c>
      <c r="L207" s="160">
        <f t="shared" si="32"/>
        <v>0</v>
      </c>
      <c r="M207" s="160">
        <f t="shared" si="33"/>
        <v>0</v>
      </c>
      <c r="N207" s="161">
        <f t="shared" si="34"/>
        <v>0</v>
      </c>
      <c r="O207" s="159">
        <f t="shared" si="35"/>
        <v>0</v>
      </c>
      <c r="P207" s="162">
        <f t="shared" si="36"/>
        <v>0</v>
      </c>
      <c r="Q207" s="162">
        <f t="shared" si="37"/>
        <v>0</v>
      </c>
      <c r="R207" s="160">
        <f>IFERROR(VLOOKUP(C207,'Monthly Op &amp; Clo Stock (invoic)'!A:C,3,0),0)</f>
        <v>0</v>
      </c>
      <c r="S207" s="163">
        <f t="shared" si="38"/>
        <v>0</v>
      </c>
      <c r="T207" s="162">
        <f t="shared" si="39"/>
        <v>0</v>
      </c>
      <c r="U207" s="16"/>
      <c r="V207" s="71"/>
      <c r="W207" s="16"/>
    </row>
    <row r="208" spans="1:23">
      <c r="A208" s="35"/>
      <c r="B208" s="35"/>
      <c r="C208" s="157" t="s">
        <v>784</v>
      </c>
      <c r="D208" s="157" t="s">
        <v>784</v>
      </c>
      <c r="E208" s="36" t="s">
        <v>785</v>
      </c>
      <c r="F208" s="98">
        <v>0</v>
      </c>
      <c r="G208" s="158">
        <v>0</v>
      </c>
      <c r="H208" s="115">
        <f t="shared" si="30"/>
        <v>0</v>
      </c>
      <c r="I208" s="159">
        <f>SUMIFS(Arrival!M:M,Arrival!K:K,'Stock statement'!$C208)</f>
        <v>0</v>
      </c>
      <c r="J208" s="160">
        <f t="shared" si="31"/>
        <v>0</v>
      </c>
      <c r="K208" s="160">
        <f>SUMIFS(Arrival!R:R,Arrival!K:K,'Stock statement'!$C208)</f>
        <v>0</v>
      </c>
      <c r="L208" s="160">
        <f t="shared" si="32"/>
        <v>0</v>
      </c>
      <c r="M208" s="160">
        <f t="shared" si="33"/>
        <v>0</v>
      </c>
      <c r="N208" s="161">
        <f t="shared" si="34"/>
        <v>0</v>
      </c>
      <c r="O208" s="159">
        <f t="shared" si="35"/>
        <v>0</v>
      </c>
      <c r="P208" s="162">
        <f t="shared" si="36"/>
        <v>0</v>
      </c>
      <c r="Q208" s="162">
        <f t="shared" si="37"/>
        <v>0</v>
      </c>
      <c r="R208" s="160">
        <f>IFERROR(VLOOKUP(C208,'Monthly Op &amp; Clo Stock (invoic)'!A:C,3,0),0)</f>
        <v>0</v>
      </c>
      <c r="S208" s="163">
        <f t="shared" si="38"/>
        <v>0</v>
      </c>
      <c r="T208" s="162">
        <f t="shared" si="39"/>
        <v>0</v>
      </c>
      <c r="U208" s="16"/>
      <c r="V208" s="71"/>
      <c r="W208" s="16"/>
    </row>
    <row r="209" spans="1:23">
      <c r="A209" s="35"/>
      <c r="B209" s="35"/>
      <c r="C209" s="157" t="s">
        <v>786</v>
      </c>
      <c r="D209" s="157" t="s">
        <v>786</v>
      </c>
      <c r="E209" s="36" t="s">
        <v>338</v>
      </c>
      <c r="F209" s="98">
        <v>0</v>
      </c>
      <c r="G209" s="158">
        <v>0</v>
      </c>
      <c r="H209" s="115">
        <f t="shared" si="30"/>
        <v>0</v>
      </c>
      <c r="I209" s="159">
        <f>SUMIFS(Arrival!M:M,Arrival!K:K,'Stock statement'!$C209)</f>
        <v>0</v>
      </c>
      <c r="J209" s="160">
        <f t="shared" si="31"/>
        <v>0</v>
      </c>
      <c r="K209" s="160">
        <f>SUMIFS(Arrival!R:R,Arrival!K:K,'Stock statement'!$C209)</f>
        <v>0</v>
      </c>
      <c r="L209" s="160">
        <f t="shared" si="32"/>
        <v>0</v>
      </c>
      <c r="M209" s="160">
        <f t="shared" si="33"/>
        <v>0</v>
      </c>
      <c r="N209" s="161">
        <f t="shared" si="34"/>
        <v>0</v>
      </c>
      <c r="O209" s="159">
        <f t="shared" si="35"/>
        <v>0</v>
      </c>
      <c r="P209" s="162">
        <f t="shared" si="36"/>
        <v>0</v>
      </c>
      <c r="Q209" s="162">
        <f t="shared" si="37"/>
        <v>0</v>
      </c>
      <c r="R209" s="160">
        <f>IFERROR(VLOOKUP(C209,'Monthly Op &amp; Clo Stock (invoic)'!A:C,3,0),0)</f>
        <v>0</v>
      </c>
      <c r="S209" s="163">
        <f t="shared" si="38"/>
        <v>0</v>
      </c>
      <c r="T209" s="162">
        <f t="shared" si="39"/>
        <v>0</v>
      </c>
      <c r="U209" s="16"/>
      <c r="V209" s="71"/>
      <c r="W209" s="16"/>
    </row>
    <row r="210" spans="1:23">
      <c r="A210" s="35"/>
      <c r="B210" s="35"/>
      <c r="C210" s="157" t="s">
        <v>787</v>
      </c>
      <c r="D210" s="157" t="s">
        <v>787</v>
      </c>
      <c r="E210" s="36" t="s">
        <v>359</v>
      </c>
      <c r="F210" s="98">
        <v>0</v>
      </c>
      <c r="G210" s="158">
        <v>0</v>
      </c>
      <c r="H210" s="115">
        <f t="shared" si="30"/>
        <v>0</v>
      </c>
      <c r="I210" s="159">
        <f>SUMIFS(Arrival!M:M,Arrival!K:K,'Stock statement'!$C210)</f>
        <v>0</v>
      </c>
      <c r="J210" s="160">
        <f t="shared" si="31"/>
        <v>0</v>
      </c>
      <c r="K210" s="160">
        <f>SUMIFS(Arrival!R:R,Arrival!K:K,'Stock statement'!$C210)</f>
        <v>0</v>
      </c>
      <c r="L210" s="160">
        <f t="shared" si="32"/>
        <v>0</v>
      </c>
      <c r="M210" s="160">
        <f t="shared" si="33"/>
        <v>0</v>
      </c>
      <c r="N210" s="161">
        <f t="shared" si="34"/>
        <v>0</v>
      </c>
      <c r="O210" s="159">
        <f t="shared" si="35"/>
        <v>0</v>
      </c>
      <c r="P210" s="162">
        <f t="shared" si="36"/>
        <v>0</v>
      </c>
      <c r="Q210" s="162">
        <f t="shared" si="37"/>
        <v>0</v>
      </c>
      <c r="R210" s="160">
        <f>IFERROR(VLOOKUP(C210,'Monthly Op &amp; Clo Stock (invoic)'!A:C,3,0),0)</f>
        <v>0</v>
      </c>
      <c r="S210" s="163">
        <f t="shared" si="38"/>
        <v>0</v>
      </c>
      <c r="T210" s="162">
        <f t="shared" si="39"/>
        <v>0</v>
      </c>
      <c r="U210" s="16"/>
      <c r="V210" s="71"/>
      <c r="W210" s="16"/>
    </row>
    <row r="211" spans="1:23">
      <c r="A211" s="35"/>
      <c r="B211" s="35"/>
      <c r="C211" s="157" t="s">
        <v>788</v>
      </c>
      <c r="D211" s="157" t="s">
        <v>788</v>
      </c>
      <c r="E211" s="36" t="s">
        <v>789</v>
      </c>
      <c r="F211" s="98">
        <v>0</v>
      </c>
      <c r="G211" s="158">
        <v>0</v>
      </c>
      <c r="H211" s="115">
        <f t="shared" si="30"/>
        <v>0</v>
      </c>
      <c r="I211" s="159">
        <f>SUMIFS(Arrival!M:M,Arrival!K:K,'Stock statement'!$C211)</f>
        <v>0</v>
      </c>
      <c r="J211" s="160">
        <f t="shared" si="31"/>
        <v>0</v>
      </c>
      <c r="K211" s="160">
        <f>SUMIFS(Arrival!R:R,Arrival!K:K,'Stock statement'!$C211)</f>
        <v>0</v>
      </c>
      <c r="L211" s="160">
        <f t="shared" si="32"/>
        <v>0</v>
      </c>
      <c r="M211" s="160">
        <f t="shared" si="33"/>
        <v>0</v>
      </c>
      <c r="N211" s="161">
        <f t="shared" si="34"/>
        <v>0</v>
      </c>
      <c r="O211" s="159">
        <f t="shared" si="35"/>
        <v>0</v>
      </c>
      <c r="P211" s="162">
        <f t="shared" si="36"/>
        <v>0</v>
      </c>
      <c r="Q211" s="162">
        <f t="shared" si="37"/>
        <v>0</v>
      </c>
      <c r="R211" s="160">
        <f>IFERROR(VLOOKUP(C211,'Monthly Op &amp; Clo Stock (invoic)'!A:C,3,0),0)</f>
        <v>0</v>
      </c>
      <c r="S211" s="163">
        <f t="shared" si="38"/>
        <v>0</v>
      </c>
      <c r="T211" s="162">
        <f t="shared" si="39"/>
        <v>0</v>
      </c>
      <c r="U211" s="16"/>
      <c r="V211" s="71"/>
      <c r="W211" s="16"/>
    </row>
    <row r="212" spans="1:23">
      <c r="A212" s="35"/>
      <c r="B212" s="35"/>
      <c r="C212" s="157" t="s">
        <v>790</v>
      </c>
      <c r="D212" s="157" t="s">
        <v>790</v>
      </c>
      <c r="E212" s="36" t="s">
        <v>789</v>
      </c>
      <c r="F212" s="98">
        <v>0</v>
      </c>
      <c r="G212" s="158">
        <v>0</v>
      </c>
      <c r="H212" s="115">
        <f t="shared" si="30"/>
        <v>0</v>
      </c>
      <c r="I212" s="159">
        <f>SUMIFS(Arrival!M:M,Arrival!K:K,'Stock statement'!$C212)</f>
        <v>0</v>
      </c>
      <c r="J212" s="160">
        <f t="shared" si="31"/>
        <v>0</v>
      </c>
      <c r="K212" s="160">
        <f>SUMIFS(Arrival!R:R,Arrival!K:K,'Stock statement'!$C212)</f>
        <v>0</v>
      </c>
      <c r="L212" s="160">
        <f t="shared" si="32"/>
        <v>0</v>
      </c>
      <c r="M212" s="160">
        <f t="shared" si="33"/>
        <v>0</v>
      </c>
      <c r="N212" s="161">
        <f t="shared" si="34"/>
        <v>0</v>
      </c>
      <c r="O212" s="159">
        <f t="shared" si="35"/>
        <v>0</v>
      </c>
      <c r="P212" s="162">
        <f t="shared" si="36"/>
        <v>0</v>
      </c>
      <c r="Q212" s="162">
        <f t="shared" si="37"/>
        <v>0</v>
      </c>
      <c r="R212" s="160">
        <f>IFERROR(VLOOKUP(C212,'Monthly Op &amp; Clo Stock (invoic)'!A:C,3,0),0)</f>
        <v>0</v>
      </c>
      <c r="S212" s="163">
        <f t="shared" si="38"/>
        <v>0</v>
      </c>
      <c r="T212" s="162">
        <f t="shared" si="39"/>
        <v>0</v>
      </c>
      <c r="U212" s="16"/>
      <c r="V212" s="71"/>
      <c r="W212" s="16"/>
    </row>
    <row r="213" spans="1:23">
      <c r="A213" s="35"/>
      <c r="B213" s="35"/>
      <c r="C213" s="157" t="s">
        <v>791</v>
      </c>
      <c r="D213" s="157" t="s">
        <v>791</v>
      </c>
      <c r="E213" s="36" t="s">
        <v>789</v>
      </c>
      <c r="F213" s="98">
        <v>0</v>
      </c>
      <c r="G213" s="158">
        <v>0</v>
      </c>
      <c r="H213" s="115">
        <f t="shared" si="30"/>
        <v>0</v>
      </c>
      <c r="I213" s="159">
        <f>SUMIFS(Arrival!M:M,Arrival!K:K,'Stock statement'!$C213)</f>
        <v>0</v>
      </c>
      <c r="J213" s="160">
        <f t="shared" si="31"/>
        <v>0</v>
      </c>
      <c r="K213" s="160">
        <f>SUMIFS(Arrival!R:R,Arrival!K:K,'Stock statement'!$C213)</f>
        <v>0</v>
      </c>
      <c r="L213" s="160">
        <f t="shared" si="32"/>
        <v>0</v>
      </c>
      <c r="M213" s="160">
        <f t="shared" si="33"/>
        <v>0</v>
      </c>
      <c r="N213" s="161">
        <f t="shared" si="34"/>
        <v>0</v>
      </c>
      <c r="O213" s="159">
        <f t="shared" si="35"/>
        <v>0</v>
      </c>
      <c r="P213" s="162">
        <f t="shared" si="36"/>
        <v>0</v>
      </c>
      <c r="Q213" s="162">
        <f t="shared" si="37"/>
        <v>0</v>
      </c>
      <c r="R213" s="160">
        <f>IFERROR(VLOOKUP(C213,'Monthly Op &amp; Clo Stock (invoic)'!A:C,3,0),0)</f>
        <v>0</v>
      </c>
      <c r="S213" s="163">
        <f t="shared" si="38"/>
        <v>0</v>
      </c>
      <c r="T213" s="162">
        <f t="shared" si="39"/>
        <v>0</v>
      </c>
      <c r="U213" s="16"/>
      <c r="V213" s="71"/>
      <c r="W213" s="16"/>
    </row>
    <row r="214" spans="1:23">
      <c r="A214" s="35"/>
      <c r="B214" s="35"/>
      <c r="C214" s="157" t="s">
        <v>792</v>
      </c>
      <c r="D214" s="157" t="s">
        <v>792</v>
      </c>
      <c r="E214" s="36" t="s">
        <v>336</v>
      </c>
      <c r="F214" s="98">
        <v>0</v>
      </c>
      <c r="G214" s="158">
        <v>0</v>
      </c>
      <c r="H214" s="115">
        <f t="shared" si="30"/>
        <v>0</v>
      </c>
      <c r="I214" s="159">
        <f>SUMIFS(Arrival!M:M,Arrival!K:K,'Stock statement'!$C214)</f>
        <v>0</v>
      </c>
      <c r="J214" s="160">
        <f t="shared" si="31"/>
        <v>0</v>
      </c>
      <c r="K214" s="160">
        <f>SUMIFS(Arrival!R:R,Arrival!K:K,'Stock statement'!$C214)</f>
        <v>0</v>
      </c>
      <c r="L214" s="160">
        <f t="shared" si="32"/>
        <v>0</v>
      </c>
      <c r="M214" s="160">
        <f t="shared" si="33"/>
        <v>0</v>
      </c>
      <c r="N214" s="161">
        <f t="shared" si="34"/>
        <v>0</v>
      </c>
      <c r="O214" s="159">
        <f t="shared" si="35"/>
        <v>0</v>
      </c>
      <c r="P214" s="162">
        <f t="shared" si="36"/>
        <v>0</v>
      </c>
      <c r="Q214" s="162">
        <f t="shared" si="37"/>
        <v>0</v>
      </c>
      <c r="R214" s="160">
        <f>IFERROR(VLOOKUP(C214,'Monthly Op &amp; Clo Stock (invoic)'!A:C,3,0),0)</f>
        <v>0</v>
      </c>
      <c r="S214" s="163">
        <f t="shared" si="38"/>
        <v>0</v>
      </c>
      <c r="T214" s="162">
        <f t="shared" si="39"/>
        <v>0</v>
      </c>
      <c r="U214" s="16"/>
      <c r="V214" s="71"/>
      <c r="W214" s="16"/>
    </row>
    <row r="215" spans="1:23">
      <c r="A215" s="35"/>
      <c r="B215" s="35"/>
      <c r="C215" s="157">
        <v>211165</v>
      </c>
      <c r="D215" s="157">
        <v>211165</v>
      </c>
      <c r="E215" s="36" t="s">
        <v>431</v>
      </c>
      <c r="F215" s="98">
        <v>0</v>
      </c>
      <c r="G215" s="158">
        <v>0</v>
      </c>
      <c r="H215" s="115">
        <f t="shared" si="30"/>
        <v>0</v>
      </c>
      <c r="I215" s="159">
        <f>SUMIFS(Arrival!M:M,Arrival!K:K,'Stock statement'!$C215)</f>
        <v>0</v>
      </c>
      <c r="J215" s="160">
        <f t="shared" si="31"/>
        <v>0</v>
      </c>
      <c r="K215" s="160">
        <f>SUMIFS(Arrival!R:R,Arrival!K:K,'Stock statement'!$C215)</f>
        <v>0</v>
      </c>
      <c r="L215" s="160">
        <f t="shared" si="32"/>
        <v>0</v>
      </c>
      <c r="M215" s="160">
        <f t="shared" si="33"/>
        <v>0</v>
      </c>
      <c r="N215" s="161">
        <f t="shared" si="34"/>
        <v>0</v>
      </c>
      <c r="O215" s="159">
        <f t="shared" si="35"/>
        <v>0</v>
      </c>
      <c r="P215" s="162">
        <f t="shared" si="36"/>
        <v>0</v>
      </c>
      <c r="Q215" s="162">
        <f t="shared" si="37"/>
        <v>0</v>
      </c>
      <c r="R215" s="160">
        <f>IFERROR(VLOOKUP(C215,'Monthly Op &amp; Clo Stock (invoic)'!A:C,3,0),0)</f>
        <v>0</v>
      </c>
      <c r="S215" s="163">
        <f t="shared" si="38"/>
        <v>0</v>
      </c>
      <c r="T215" s="162">
        <f t="shared" si="39"/>
        <v>0</v>
      </c>
      <c r="U215" s="16"/>
      <c r="V215" s="71"/>
      <c r="W215" s="16"/>
    </row>
    <row r="216" spans="1:23">
      <c r="A216" s="35"/>
      <c r="B216" s="35"/>
      <c r="C216" s="157">
        <v>211166</v>
      </c>
      <c r="D216" s="157">
        <v>211166</v>
      </c>
      <c r="E216" s="36" t="s">
        <v>438</v>
      </c>
      <c r="F216" s="98">
        <v>0</v>
      </c>
      <c r="G216" s="158">
        <v>0</v>
      </c>
      <c r="H216" s="115">
        <f t="shared" si="30"/>
        <v>0</v>
      </c>
      <c r="I216" s="159">
        <f>SUMIFS(Arrival!M:M,Arrival!K:K,'Stock statement'!$C216)</f>
        <v>0</v>
      </c>
      <c r="J216" s="160">
        <f t="shared" si="31"/>
        <v>0</v>
      </c>
      <c r="K216" s="160">
        <f>SUMIFS(Arrival!R:R,Arrival!K:K,'Stock statement'!$C216)</f>
        <v>0</v>
      </c>
      <c r="L216" s="160">
        <f t="shared" si="32"/>
        <v>0</v>
      </c>
      <c r="M216" s="160">
        <f t="shared" si="33"/>
        <v>0</v>
      </c>
      <c r="N216" s="161">
        <f t="shared" si="34"/>
        <v>0</v>
      </c>
      <c r="O216" s="159">
        <f t="shared" si="35"/>
        <v>0</v>
      </c>
      <c r="P216" s="162">
        <f t="shared" si="36"/>
        <v>0</v>
      </c>
      <c r="Q216" s="162">
        <f t="shared" si="37"/>
        <v>0</v>
      </c>
      <c r="R216" s="160">
        <f>IFERROR(VLOOKUP(C216,'Monthly Op &amp; Clo Stock (invoic)'!A:C,3,0),0)</f>
        <v>0</v>
      </c>
      <c r="S216" s="163">
        <f t="shared" si="38"/>
        <v>0</v>
      </c>
      <c r="T216" s="162">
        <f t="shared" si="39"/>
        <v>0</v>
      </c>
      <c r="U216" s="16"/>
      <c r="V216" s="71"/>
      <c r="W216" s="16"/>
    </row>
    <row r="217" spans="1:23">
      <c r="A217" s="35"/>
      <c r="B217" s="35"/>
      <c r="C217" s="157">
        <v>211167</v>
      </c>
      <c r="D217" s="157">
        <v>211167</v>
      </c>
      <c r="E217" s="36" t="s">
        <v>435</v>
      </c>
      <c r="F217" s="98">
        <v>0</v>
      </c>
      <c r="G217" s="158">
        <v>0</v>
      </c>
      <c r="H217" s="115">
        <f t="shared" si="30"/>
        <v>0</v>
      </c>
      <c r="I217" s="159">
        <f>SUMIFS(Arrival!M:M,Arrival!K:K,'Stock statement'!$C217)</f>
        <v>0</v>
      </c>
      <c r="J217" s="160">
        <f t="shared" si="31"/>
        <v>0</v>
      </c>
      <c r="K217" s="160">
        <f>SUMIFS(Arrival!R:R,Arrival!K:K,'Stock statement'!$C217)</f>
        <v>0</v>
      </c>
      <c r="L217" s="160">
        <f t="shared" si="32"/>
        <v>0</v>
      </c>
      <c r="M217" s="160">
        <f t="shared" si="33"/>
        <v>0</v>
      </c>
      <c r="N217" s="161">
        <f t="shared" si="34"/>
        <v>0</v>
      </c>
      <c r="O217" s="159">
        <f t="shared" si="35"/>
        <v>0</v>
      </c>
      <c r="P217" s="162">
        <f t="shared" si="36"/>
        <v>0</v>
      </c>
      <c r="Q217" s="162">
        <f t="shared" si="37"/>
        <v>0</v>
      </c>
      <c r="R217" s="160">
        <f>IFERROR(VLOOKUP(C217,'Monthly Op &amp; Clo Stock (invoic)'!A:C,3,0),0)</f>
        <v>0</v>
      </c>
      <c r="S217" s="163">
        <f t="shared" si="38"/>
        <v>0</v>
      </c>
      <c r="T217" s="162">
        <f t="shared" si="39"/>
        <v>0</v>
      </c>
      <c r="U217" s="16"/>
      <c r="V217" s="71"/>
      <c r="W217" s="16"/>
    </row>
    <row r="218" spans="1:23">
      <c r="A218" s="35"/>
      <c r="B218" s="35"/>
      <c r="C218" s="157">
        <v>213507</v>
      </c>
      <c r="D218" s="157">
        <v>213507</v>
      </c>
      <c r="E218" s="36" t="s">
        <v>793</v>
      </c>
      <c r="F218" s="98">
        <v>1160</v>
      </c>
      <c r="G218" s="158">
        <v>238.84000000000003</v>
      </c>
      <c r="H218" s="115">
        <f t="shared" si="30"/>
        <v>277054.40000000002</v>
      </c>
      <c r="I218" s="159">
        <f>SUMIFS(Arrival!M:M,Arrival!K:K,'Stock statement'!$C218)</f>
        <v>0</v>
      </c>
      <c r="J218" s="160">
        <f t="shared" si="31"/>
        <v>0</v>
      </c>
      <c r="K218" s="160">
        <f>SUMIFS(Arrival!R:R,Arrival!K:K,'Stock statement'!$C218)</f>
        <v>0</v>
      </c>
      <c r="L218" s="160">
        <f t="shared" si="32"/>
        <v>1160</v>
      </c>
      <c r="M218" s="160">
        <f t="shared" si="33"/>
        <v>238.84000000000003</v>
      </c>
      <c r="N218" s="161">
        <f t="shared" si="34"/>
        <v>277054.40000000002</v>
      </c>
      <c r="O218" s="159">
        <f t="shared" si="35"/>
        <v>0</v>
      </c>
      <c r="P218" s="162">
        <f t="shared" si="36"/>
        <v>238.84000000000003</v>
      </c>
      <c r="Q218" s="162">
        <f t="shared" si="37"/>
        <v>0</v>
      </c>
      <c r="R218" s="160">
        <f>IFERROR(VLOOKUP(C218,'Monthly Op &amp; Clo Stock (invoic)'!A:C,3,0),0)</f>
        <v>1160</v>
      </c>
      <c r="S218" s="163">
        <f t="shared" si="38"/>
        <v>238.84000000000003</v>
      </c>
      <c r="T218" s="162">
        <f t="shared" si="39"/>
        <v>277054.40000000002</v>
      </c>
      <c r="U218" s="16"/>
      <c r="V218" s="71"/>
      <c r="W218" s="16"/>
    </row>
    <row r="219" spans="1:23">
      <c r="A219" s="35"/>
      <c r="B219" s="35"/>
      <c r="C219" s="157">
        <v>213504</v>
      </c>
      <c r="D219" s="157">
        <v>213504</v>
      </c>
      <c r="E219" s="36" t="s">
        <v>431</v>
      </c>
      <c r="F219" s="98">
        <v>772</v>
      </c>
      <c r="G219" s="158">
        <v>244</v>
      </c>
      <c r="H219" s="115">
        <f t="shared" ref="H219" si="40">IFERROR(F219*G219,)</f>
        <v>188368</v>
      </c>
      <c r="I219" s="159">
        <f>SUMIFS(Arrival!M:M,Arrival!K:K,'Stock statement'!$C219)</f>
        <v>0</v>
      </c>
      <c r="J219" s="160">
        <f t="shared" si="31"/>
        <v>0</v>
      </c>
      <c r="K219" s="160">
        <f>SUMIFS(Arrival!R:R,Arrival!K:K,'Stock statement'!$C219)</f>
        <v>0</v>
      </c>
      <c r="L219" s="160">
        <f t="shared" si="32"/>
        <v>772</v>
      </c>
      <c r="M219" s="160">
        <f t="shared" si="33"/>
        <v>244</v>
      </c>
      <c r="N219" s="161">
        <f t="shared" si="34"/>
        <v>188368</v>
      </c>
      <c r="O219" s="159">
        <f t="shared" si="35"/>
        <v>0</v>
      </c>
      <c r="P219" s="162">
        <f t="shared" si="36"/>
        <v>244</v>
      </c>
      <c r="Q219" s="162">
        <f t="shared" si="37"/>
        <v>0</v>
      </c>
      <c r="R219" s="160">
        <f>IFERROR(VLOOKUP(C219,'Monthly Op &amp; Clo Stock (invoic)'!A:C,3,0),0)</f>
        <v>772</v>
      </c>
      <c r="S219" s="163">
        <f t="shared" si="38"/>
        <v>244</v>
      </c>
      <c r="T219" s="162">
        <f t="shared" si="39"/>
        <v>188368</v>
      </c>
      <c r="U219" s="16"/>
      <c r="V219" s="71"/>
      <c r="W219" s="16"/>
    </row>
    <row r="220" spans="1:23">
      <c r="A220" s="35"/>
      <c r="B220" s="35"/>
      <c r="C220" s="157">
        <v>213505</v>
      </c>
      <c r="D220" s="157">
        <v>213505</v>
      </c>
      <c r="E220" s="36" t="s">
        <v>438</v>
      </c>
      <c r="F220" s="98">
        <v>989</v>
      </c>
      <c r="G220" s="158">
        <v>244</v>
      </c>
      <c r="H220" s="115">
        <f t="shared" ref="H220" si="41">IFERROR(F220*G220,)</f>
        <v>241316</v>
      </c>
      <c r="I220" s="159">
        <f>SUMIFS(Arrival!M:M,Arrival!K:K,'Stock statement'!$C220)</f>
        <v>0</v>
      </c>
      <c r="J220" s="160">
        <f t="shared" si="31"/>
        <v>0</v>
      </c>
      <c r="K220" s="160">
        <f>SUMIFS(Arrival!R:R,Arrival!K:K,'Stock statement'!$C220)</f>
        <v>0</v>
      </c>
      <c r="L220" s="160">
        <f t="shared" si="32"/>
        <v>989</v>
      </c>
      <c r="M220" s="160">
        <f t="shared" si="33"/>
        <v>244</v>
      </c>
      <c r="N220" s="161">
        <f t="shared" si="34"/>
        <v>241316</v>
      </c>
      <c r="O220" s="159">
        <f t="shared" si="35"/>
        <v>0</v>
      </c>
      <c r="P220" s="162">
        <f t="shared" si="36"/>
        <v>244</v>
      </c>
      <c r="Q220" s="162">
        <f t="shared" si="37"/>
        <v>0</v>
      </c>
      <c r="R220" s="160">
        <f>IFERROR(VLOOKUP(C220,'Monthly Op &amp; Clo Stock (invoic)'!A:C,3,0),0)</f>
        <v>989</v>
      </c>
      <c r="S220" s="163">
        <f t="shared" si="38"/>
        <v>244</v>
      </c>
      <c r="T220" s="162">
        <f t="shared" si="39"/>
        <v>241316</v>
      </c>
      <c r="U220" s="16"/>
      <c r="V220" s="71"/>
      <c r="W220" s="16"/>
    </row>
    <row r="221" spans="1:23">
      <c r="A221" s="35"/>
      <c r="B221" s="35"/>
      <c r="C221" s="157">
        <v>213506</v>
      </c>
      <c r="D221" s="157">
        <v>213506</v>
      </c>
      <c r="E221" s="36" t="s">
        <v>435</v>
      </c>
      <c r="F221" s="98">
        <v>347</v>
      </c>
      <c r="G221" s="158">
        <v>244</v>
      </c>
      <c r="H221" s="115">
        <f t="shared" ref="H221" si="42">IFERROR(F221*G221,)</f>
        <v>84668</v>
      </c>
      <c r="I221" s="159">
        <f>SUMIFS(Arrival!M:M,Arrival!K:K,'Stock statement'!$C221)</f>
        <v>0</v>
      </c>
      <c r="J221" s="160">
        <f t="shared" si="31"/>
        <v>0</v>
      </c>
      <c r="K221" s="160">
        <f>SUMIFS(Arrival!R:R,Arrival!K:K,'Stock statement'!$C221)</f>
        <v>0</v>
      </c>
      <c r="L221" s="160">
        <f t="shared" si="32"/>
        <v>347</v>
      </c>
      <c r="M221" s="160">
        <f t="shared" si="33"/>
        <v>244</v>
      </c>
      <c r="N221" s="161">
        <f t="shared" si="34"/>
        <v>84668</v>
      </c>
      <c r="O221" s="159">
        <f t="shared" si="35"/>
        <v>0</v>
      </c>
      <c r="P221" s="162">
        <f t="shared" si="36"/>
        <v>244</v>
      </c>
      <c r="Q221" s="162">
        <f t="shared" si="37"/>
        <v>0</v>
      </c>
      <c r="R221" s="160">
        <f>IFERROR(VLOOKUP(C221,'Monthly Op &amp; Clo Stock (invoic)'!A:C,3,0),0)</f>
        <v>347</v>
      </c>
      <c r="S221" s="163">
        <f t="shared" si="38"/>
        <v>244</v>
      </c>
      <c r="T221" s="162">
        <f t="shared" si="39"/>
        <v>84668</v>
      </c>
      <c r="U221" s="16"/>
      <c r="V221" s="71"/>
      <c r="W221" s="16"/>
    </row>
    <row r="222" spans="1:23">
      <c r="A222" s="35"/>
      <c r="B222" s="35"/>
      <c r="C222" s="157">
        <v>212473</v>
      </c>
      <c r="D222" s="157">
        <v>212473</v>
      </c>
      <c r="E222" s="36" t="s">
        <v>794</v>
      </c>
      <c r="F222" s="98">
        <v>1010</v>
      </c>
      <c r="G222" s="158">
        <v>61.269734373953241</v>
      </c>
      <c r="H222" s="115">
        <f t="shared" si="30"/>
        <v>61882.431717692773</v>
      </c>
      <c r="I222" s="159">
        <f>SUMIFS(Arrival!M:M,Arrival!K:K,'Stock statement'!$C222)</f>
        <v>0</v>
      </c>
      <c r="J222" s="160">
        <f t="shared" si="31"/>
        <v>0</v>
      </c>
      <c r="K222" s="160">
        <f>SUMIFS(Arrival!R:R,Arrival!K:K,'Stock statement'!$C222)</f>
        <v>0</v>
      </c>
      <c r="L222" s="160">
        <f t="shared" si="32"/>
        <v>1010</v>
      </c>
      <c r="M222" s="160">
        <f t="shared" si="33"/>
        <v>61.269734373953241</v>
      </c>
      <c r="N222" s="161">
        <f t="shared" si="34"/>
        <v>61882.431717692773</v>
      </c>
      <c r="O222" s="159">
        <f t="shared" si="35"/>
        <v>0</v>
      </c>
      <c r="P222" s="162">
        <f t="shared" si="36"/>
        <v>61.269734373953241</v>
      </c>
      <c r="Q222" s="162">
        <f t="shared" si="37"/>
        <v>0</v>
      </c>
      <c r="R222" s="160">
        <f>IFERROR(VLOOKUP(C222,'Monthly Op &amp; Clo Stock (invoic)'!A:C,3,0),0)</f>
        <v>1010</v>
      </c>
      <c r="S222" s="163">
        <f t="shared" si="38"/>
        <v>61.269734373953241</v>
      </c>
      <c r="T222" s="162">
        <f t="shared" si="39"/>
        <v>61882.431717692773</v>
      </c>
      <c r="U222" s="16"/>
      <c r="V222" s="71"/>
      <c r="W222" s="16"/>
    </row>
    <row r="223" spans="1:23">
      <c r="A223" s="35"/>
      <c r="B223" s="35"/>
      <c r="C223" s="157">
        <v>212477</v>
      </c>
      <c r="D223" s="157">
        <v>212477</v>
      </c>
      <c r="E223" s="36" t="s">
        <v>795</v>
      </c>
      <c r="F223" s="98">
        <v>388</v>
      </c>
      <c r="G223" s="158">
        <v>61.52</v>
      </c>
      <c r="H223" s="115">
        <f t="shared" si="30"/>
        <v>23869.760000000002</v>
      </c>
      <c r="I223" s="159">
        <f>SUMIFS(Arrival!M:M,Arrival!K:K,'Stock statement'!$C223)</f>
        <v>0</v>
      </c>
      <c r="J223" s="160">
        <f t="shared" si="31"/>
        <v>0</v>
      </c>
      <c r="K223" s="160">
        <f>SUMIFS(Arrival!R:R,Arrival!K:K,'Stock statement'!$C223)</f>
        <v>0</v>
      </c>
      <c r="L223" s="160">
        <f t="shared" si="32"/>
        <v>388</v>
      </c>
      <c r="M223" s="160">
        <f t="shared" si="33"/>
        <v>61.52</v>
      </c>
      <c r="N223" s="161">
        <f t="shared" si="34"/>
        <v>23869.760000000002</v>
      </c>
      <c r="O223" s="159">
        <f t="shared" si="35"/>
        <v>0</v>
      </c>
      <c r="P223" s="162">
        <f t="shared" si="36"/>
        <v>61.52</v>
      </c>
      <c r="Q223" s="162">
        <f t="shared" si="37"/>
        <v>0</v>
      </c>
      <c r="R223" s="160">
        <f>IFERROR(VLOOKUP(C223,'Monthly Op &amp; Clo Stock (invoic)'!A:C,3,0),0)</f>
        <v>388</v>
      </c>
      <c r="S223" s="163">
        <f t="shared" si="38"/>
        <v>61.52</v>
      </c>
      <c r="T223" s="162">
        <f t="shared" si="39"/>
        <v>23869.760000000002</v>
      </c>
      <c r="U223" s="16"/>
      <c r="V223" s="71"/>
      <c r="W223" s="16"/>
    </row>
    <row r="224" spans="1:23">
      <c r="A224" s="35"/>
      <c r="B224" s="35"/>
      <c r="C224" s="157">
        <v>212475</v>
      </c>
      <c r="D224" s="157">
        <v>212475</v>
      </c>
      <c r="E224" s="36" t="s">
        <v>796</v>
      </c>
      <c r="F224" s="98">
        <v>850</v>
      </c>
      <c r="G224" s="158">
        <v>61.52</v>
      </c>
      <c r="H224" s="115">
        <f t="shared" si="30"/>
        <v>52292</v>
      </c>
      <c r="I224" s="159">
        <f>SUMIFS(Arrival!M:M,Arrival!K:K,'Stock statement'!$C224)</f>
        <v>0</v>
      </c>
      <c r="J224" s="160">
        <f t="shared" si="31"/>
        <v>0</v>
      </c>
      <c r="K224" s="160">
        <f>SUMIFS(Arrival!R:R,Arrival!K:K,'Stock statement'!$C224)</f>
        <v>0</v>
      </c>
      <c r="L224" s="160">
        <f t="shared" si="32"/>
        <v>850</v>
      </c>
      <c r="M224" s="160">
        <f t="shared" si="33"/>
        <v>61.52</v>
      </c>
      <c r="N224" s="161">
        <f t="shared" si="34"/>
        <v>52292</v>
      </c>
      <c r="O224" s="159">
        <f t="shared" si="35"/>
        <v>0</v>
      </c>
      <c r="P224" s="162">
        <f t="shared" si="36"/>
        <v>61.52</v>
      </c>
      <c r="Q224" s="162">
        <f t="shared" si="37"/>
        <v>0</v>
      </c>
      <c r="R224" s="160">
        <f>IFERROR(VLOOKUP(C224,'Monthly Op &amp; Clo Stock (invoic)'!A:C,3,0),0)</f>
        <v>850</v>
      </c>
      <c r="S224" s="163">
        <f t="shared" si="38"/>
        <v>61.52</v>
      </c>
      <c r="T224" s="162">
        <f t="shared" si="39"/>
        <v>52292</v>
      </c>
      <c r="U224" s="16"/>
      <c r="V224" s="71"/>
      <c r="W224" s="16"/>
    </row>
    <row r="225" spans="1:23">
      <c r="A225" s="35"/>
      <c r="B225" s="35"/>
      <c r="C225" s="157">
        <v>211712</v>
      </c>
      <c r="D225" s="157">
        <v>211712</v>
      </c>
      <c r="E225" s="36" t="s">
        <v>797</v>
      </c>
      <c r="F225" s="98">
        <v>640</v>
      </c>
      <c r="G225" s="158">
        <v>49.957533039647572</v>
      </c>
      <c r="H225" s="115">
        <f t="shared" si="30"/>
        <v>31972.821145374444</v>
      </c>
      <c r="I225" s="159">
        <f>SUMIFS(Arrival!M:M,Arrival!K:K,'Stock statement'!$C225)</f>
        <v>0</v>
      </c>
      <c r="J225" s="160">
        <f t="shared" si="31"/>
        <v>0</v>
      </c>
      <c r="K225" s="160">
        <f>SUMIFS(Arrival!R:R,Arrival!K:K,'Stock statement'!$C225)</f>
        <v>0</v>
      </c>
      <c r="L225" s="160">
        <f t="shared" si="32"/>
        <v>640</v>
      </c>
      <c r="M225" s="160">
        <f t="shared" si="33"/>
        <v>49.957533039647572</v>
      </c>
      <c r="N225" s="161">
        <f t="shared" si="34"/>
        <v>31972.821145374444</v>
      </c>
      <c r="O225" s="159">
        <f t="shared" si="35"/>
        <v>0</v>
      </c>
      <c r="P225" s="162">
        <f t="shared" si="36"/>
        <v>49.957533039647572</v>
      </c>
      <c r="Q225" s="162">
        <f t="shared" si="37"/>
        <v>0</v>
      </c>
      <c r="R225" s="160">
        <f>IFERROR(VLOOKUP(C225,'Monthly Op &amp; Clo Stock (invoic)'!A:C,3,0),0)</f>
        <v>640</v>
      </c>
      <c r="S225" s="163">
        <f t="shared" si="38"/>
        <v>49.957533039647572</v>
      </c>
      <c r="T225" s="162">
        <f t="shared" si="39"/>
        <v>31972.821145374444</v>
      </c>
      <c r="U225" s="16"/>
      <c r="V225" s="71"/>
      <c r="W225" s="16"/>
    </row>
    <row r="226" spans="1:23">
      <c r="A226" s="35"/>
      <c r="B226" s="35"/>
      <c r="C226" s="157">
        <v>213441</v>
      </c>
      <c r="D226" s="157">
        <v>213441</v>
      </c>
      <c r="E226" s="36" t="s">
        <v>375</v>
      </c>
      <c r="F226" s="98">
        <v>0</v>
      </c>
      <c r="G226" s="158">
        <v>0</v>
      </c>
      <c r="H226" s="115">
        <f t="shared" si="30"/>
        <v>0</v>
      </c>
      <c r="I226" s="159">
        <f>SUMIFS(Arrival!M:M,Arrival!K:K,'Stock statement'!$C226)</f>
        <v>0</v>
      </c>
      <c r="J226" s="160">
        <f t="shared" si="31"/>
        <v>0</v>
      </c>
      <c r="K226" s="160">
        <f>SUMIFS(Arrival!R:R,Arrival!K:K,'Stock statement'!$C226)</f>
        <v>0</v>
      </c>
      <c r="L226" s="160">
        <f t="shared" si="32"/>
        <v>0</v>
      </c>
      <c r="M226" s="160">
        <f t="shared" si="33"/>
        <v>0</v>
      </c>
      <c r="N226" s="161">
        <f t="shared" si="34"/>
        <v>0</v>
      </c>
      <c r="O226" s="159">
        <f t="shared" si="35"/>
        <v>0</v>
      </c>
      <c r="P226" s="162">
        <f t="shared" si="36"/>
        <v>0</v>
      </c>
      <c r="Q226" s="162">
        <f t="shared" si="37"/>
        <v>0</v>
      </c>
      <c r="R226" s="160">
        <f>IFERROR(VLOOKUP(C226,'Monthly Op &amp; Clo Stock (invoic)'!A:C,3,0),0)</f>
        <v>0</v>
      </c>
      <c r="S226" s="163">
        <f t="shared" si="38"/>
        <v>0</v>
      </c>
      <c r="T226" s="162">
        <f t="shared" si="39"/>
        <v>0</v>
      </c>
      <c r="U226" s="16"/>
      <c r="V226" s="71"/>
      <c r="W226" s="16"/>
    </row>
    <row r="227" spans="1:23">
      <c r="A227" s="35"/>
      <c r="B227" s="35"/>
      <c r="C227" s="157">
        <v>213435</v>
      </c>
      <c r="D227" s="157">
        <v>213435</v>
      </c>
      <c r="E227" s="36" t="s">
        <v>798</v>
      </c>
      <c r="F227" s="98">
        <v>0</v>
      </c>
      <c r="G227" s="158">
        <v>0</v>
      </c>
      <c r="H227" s="115">
        <f t="shared" si="30"/>
        <v>0</v>
      </c>
      <c r="I227" s="159">
        <f>SUMIFS(Arrival!M:M,Arrival!K:K,'Stock statement'!$C227)</f>
        <v>0</v>
      </c>
      <c r="J227" s="160">
        <f t="shared" si="31"/>
        <v>0</v>
      </c>
      <c r="K227" s="160">
        <f>SUMIFS(Arrival!R:R,Arrival!K:K,'Stock statement'!$C227)</f>
        <v>0</v>
      </c>
      <c r="L227" s="160">
        <f t="shared" si="32"/>
        <v>0</v>
      </c>
      <c r="M227" s="160">
        <f t="shared" si="33"/>
        <v>0</v>
      </c>
      <c r="N227" s="161">
        <f t="shared" si="34"/>
        <v>0</v>
      </c>
      <c r="O227" s="159">
        <f t="shared" si="35"/>
        <v>0</v>
      </c>
      <c r="P227" s="162">
        <f t="shared" si="36"/>
        <v>0</v>
      </c>
      <c r="Q227" s="162">
        <f t="shared" si="37"/>
        <v>0</v>
      </c>
      <c r="R227" s="160">
        <f>IFERROR(VLOOKUP(C227,'Monthly Op &amp; Clo Stock (invoic)'!A:C,3,0),0)</f>
        <v>0</v>
      </c>
      <c r="S227" s="163">
        <f t="shared" si="38"/>
        <v>0</v>
      </c>
      <c r="T227" s="162">
        <f t="shared" si="39"/>
        <v>0</v>
      </c>
      <c r="U227" s="16"/>
      <c r="V227" s="71"/>
      <c r="W227" s="16"/>
    </row>
    <row r="228" spans="1:23">
      <c r="A228" s="35"/>
      <c r="B228" s="35"/>
      <c r="C228" s="157">
        <v>213437</v>
      </c>
      <c r="D228" s="157">
        <v>213437</v>
      </c>
      <c r="E228" s="36" t="s">
        <v>799</v>
      </c>
      <c r="F228" s="98">
        <v>0</v>
      </c>
      <c r="G228" s="158">
        <v>0</v>
      </c>
      <c r="H228" s="115">
        <f t="shared" si="30"/>
        <v>0</v>
      </c>
      <c r="I228" s="159">
        <f>SUMIFS(Arrival!M:M,Arrival!K:K,'Stock statement'!$C228)</f>
        <v>0</v>
      </c>
      <c r="J228" s="160">
        <f t="shared" si="31"/>
        <v>0</v>
      </c>
      <c r="K228" s="160">
        <f>SUMIFS(Arrival!R:R,Arrival!K:K,'Stock statement'!$C228)</f>
        <v>0</v>
      </c>
      <c r="L228" s="160">
        <f t="shared" si="32"/>
        <v>0</v>
      </c>
      <c r="M228" s="160">
        <f t="shared" si="33"/>
        <v>0</v>
      </c>
      <c r="N228" s="161">
        <f t="shared" si="34"/>
        <v>0</v>
      </c>
      <c r="O228" s="159">
        <f t="shared" si="35"/>
        <v>0</v>
      </c>
      <c r="P228" s="162">
        <f t="shared" si="36"/>
        <v>0</v>
      </c>
      <c r="Q228" s="162">
        <f t="shared" si="37"/>
        <v>0</v>
      </c>
      <c r="R228" s="160">
        <f>IFERROR(VLOOKUP(C228,'Monthly Op &amp; Clo Stock (invoic)'!A:C,3,0),0)</f>
        <v>0</v>
      </c>
      <c r="S228" s="163">
        <f t="shared" si="38"/>
        <v>0</v>
      </c>
      <c r="T228" s="162">
        <f t="shared" si="39"/>
        <v>0</v>
      </c>
      <c r="U228" s="16"/>
      <c r="V228" s="71"/>
      <c r="W228" s="16"/>
    </row>
    <row r="229" spans="1:23">
      <c r="A229" s="35"/>
      <c r="B229" s="35"/>
      <c r="C229" s="157">
        <v>213475</v>
      </c>
      <c r="D229" s="157">
        <v>213475</v>
      </c>
      <c r="E229" s="36" t="s">
        <v>800</v>
      </c>
      <c r="F229" s="98">
        <v>0</v>
      </c>
      <c r="G229" s="158">
        <v>0</v>
      </c>
      <c r="H229" s="115">
        <f t="shared" si="30"/>
        <v>0</v>
      </c>
      <c r="I229" s="159">
        <f>SUMIFS(Arrival!M:M,Arrival!K:K,'Stock statement'!$C229)</f>
        <v>0</v>
      </c>
      <c r="J229" s="160">
        <f t="shared" si="31"/>
        <v>0</v>
      </c>
      <c r="K229" s="160">
        <f>SUMIFS(Arrival!R:R,Arrival!K:K,'Stock statement'!$C229)</f>
        <v>0</v>
      </c>
      <c r="L229" s="160">
        <f t="shared" si="32"/>
        <v>0</v>
      </c>
      <c r="M229" s="160">
        <f t="shared" si="33"/>
        <v>0</v>
      </c>
      <c r="N229" s="161">
        <f t="shared" si="34"/>
        <v>0</v>
      </c>
      <c r="O229" s="159">
        <f t="shared" si="35"/>
        <v>0</v>
      </c>
      <c r="P229" s="162">
        <f t="shared" si="36"/>
        <v>0</v>
      </c>
      <c r="Q229" s="162">
        <f t="shared" si="37"/>
        <v>0</v>
      </c>
      <c r="R229" s="160">
        <f>IFERROR(VLOOKUP(C229,'Monthly Op &amp; Clo Stock (invoic)'!A:C,3,0),0)</f>
        <v>0</v>
      </c>
      <c r="S229" s="163">
        <f t="shared" si="38"/>
        <v>0</v>
      </c>
      <c r="T229" s="162">
        <f t="shared" si="39"/>
        <v>0</v>
      </c>
      <c r="U229" s="16"/>
      <c r="V229" s="71"/>
      <c r="W229" s="16"/>
    </row>
    <row r="230" spans="1:23">
      <c r="A230" s="35"/>
      <c r="B230" s="35"/>
      <c r="C230" s="157">
        <v>213476</v>
      </c>
      <c r="D230" s="157">
        <v>213476</v>
      </c>
      <c r="E230" s="36" t="s">
        <v>801</v>
      </c>
      <c r="F230" s="98">
        <v>0</v>
      </c>
      <c r="G230" s="158">
        <v>0</v>
      </c>
      <c r="H230" s="115">
        <f t="shared" si="30"/>
        <v>0</v>
      </c>
      <c r="I230" s="159">
        <f>SUMIFS(Arrival!M:M,Arrival!K:K,'Stock statement'!$C230)</f>
        <v>0</v>
      </c>
      <c r="J230" s="160">
        <f t="shared" si="31"/>
        <v>0</v>
      </c>
      <c r="K230" s="160">
        <f>SUMIFS(Arrival!R:R,Arrival!K:K,'Stock statement'!$C230)</f>
        <v>0</v>
      </c>
      <c r="L230" s="160">
        <f t="shared" si="32"/>
        <v>0</v>
      </c>
      <c r="M230" s="160">
        <f t="shared" si="33"/>
        <v>0</v>
      </c>
      <c r="N230" s="161">
        <f t="shared" si="34"/>
        <v>0</v>
      </c>
      <c r="O230" s="159">
        <f t="shared" si="35"/>
        <v>0</v>
      </c>
      <c r="P230" s="162">
        <f t="shared" si="36"/>
        <v>0</v>
      </c>
      <c r="Q230" s="162">
        <f t="shared" si="37"/>
        <v>0</v>
      </c>
      <c r="R230" s="160">
        <f>IFERROR(VLOOKUP(C230,'Monthly Op &amp; Clo Stock (invoic)'!A:C,3,0),0)</f>
        <v>0</v>
      </c>
      <c r="S230" s="163">
        <f t="shared" si="38"/>
        <v>0</v>
      </c>
      <c r="T230" s="162">
        <f t="shared" si="39"/>
        <v>0</v>
      </c>
      <c r="U230" s="16"/>
      <c r="V230" s="71"/>
      <c r="W230" s="16"/>
    </row>
    <row r="231" spans="1:23">
      <c r="A231" s="35"/>
      <c r="B231" s="35"/>
      <c r="C231" s="157">
        <v>213465</v>
      </c>
      <c r="D231" s="157">
        <v>213465</v>
      </c>
      <c r="E231" s="36" t="s">
        <v>802</v>
      </c>
      <c r="F231" s="98">
        <v>0</v>
      </c>
      <c r="G231" s="158">
        <v>0</v>
      </c>
      <c r="H231" s="115">
        <f t="shared" si="30"/>
        <v>0</v>
      </c>
      <c r="I231" s="159">
        <f>SUMIFS(Arrival!M:M,Arrival!K:K,'Stock statement'!$C231)</f>
        <v>0</v>
      </c>
      <c r="J231" s="160">
        <f t="shared" si="31"/>
        <v>0</v>
      </c>
      <c r="K231" s="160">
        <f>SUMIFS(Arrival!R:R,Arrival!K:K,'Stock statement'!$C231)</f>
        <v>0</v>
      </c>
      <c r="L231" s="160">
        <f t="shared" si="32"/>
        <v>0</v>
      </c>
      <c r="M231" s="160">
        <f t="shared" si="33"/>
        <v>0</v>
      </c>
      <c r="N231" s="161">
        <f t="shared" si="34"/>
        <v>0</v>
      </c>
      <c r="O231" s="159">
        <f t="shared" si="35"/>
        <v>0</v>
      </c>
      <c r="P231" s="162">
        <f t="shared" si="36"/>
        <v>0</v>
      </c>
      <c r="Q231" s="162">
        <f t="shared" si="37"/>
        <v>0</v>
      </c>
      <c r="R231" s="160">
        <f>IFERROR(VLOOKUP(C231,'Monthly Op &amp; Clo Stock (invoic)'!A:C,3,0),0)</f>
        <v>0</v>
      </c>
      <c r="S231" s="163">
        <f t="shared" si="38"/>
        <v>0</v>
      </c>
      <c r="T231" s="162">
        <f t="shared" si="39"/>
        <v>0</v>
      </c>
      <c r="U231" s="16"/>
      <c r="V231" s="71"/>
      <c r="W231" s="16"/>
    </row>
    <row r="232" spans="1:23">
      <c r="A232" s="35"/>
      <c r="B232" s="35"/>
      <c r="C232" s="157">
        <v>213466</v>
      </c>
      <c r="D232" s="157">
        <v>213466</v>
      </c>
      <c r="E232" s="36" t="s">
        <v>467</v>
      </c>
      <c r="F232" s="98">
        <v>0</v>
      </c>
      <c r="G232" s="158">
        <v>0</v>
      </c>
      <c r="H232" s="115">
        <f t="shared" si="30"/>
        <v>0</v>
      </c>
      <c r="I232" s="159">
        <f>SUMIFS(Arrival!M:M,Arrival!K:K,'Stock statement'!$C232)</f>
        <v>0</v>
      </c>
      <c r="J232" s="160">
        <f t="shared" si="31"/>
        <v>0</v>
      </c>
      <c r="K232" s="160">
        <f>SUMIFS(Arrival!R:R,Arrival!K:K,'Stock statement'!$C232)</f>
        <v>0</v>
      </c>
      <c r="L232" s="160">
        <f t="shared" si="32"/>
        <v>0</v>
      </c>
      <c r="M232" s="160">
        <f t="shared" si="33"/>
        <v>0</v>
      </c>
      <c r="N232" s="161">
        <f t="shared" si="34"/>
        <v>0</v>
      </c>
      <c r="O232" s="159">
        <f t="shared" si="35"/>
        <v>0</v>
      </c>
      <c r="P232" s="162">
        <f t="shared" si="36"/>
        <v>0</v>
      </c>
      <c r="Q232" s="162">
        <f t="shared" si="37"/>
        <v>0</v>
      </c>
      <c r="R232" s="160">
        <f>IFERROR(VLOOKUP(C232,'Monthly Op &amp; Clo Stock (invoic)'!A:C,3,0),0)</f>
        <v>0</v>
      </c>
      <c r="S232" s="163">
        <f t="shared" si="38"/>
        <v>0</v>
      </c>
      <c r="T232" s="162">
        <f t="shared" si="39"/>
        <v>0</v>
      </c>
      <c r="U232" s="16"/>
      <c r="V232" s="71"/>
      <c r="W232" s="16"/>
    </row>
    <row r="233" spans="1:23">
      <c r="A233" s="35"/>
      <c r="B233" s="35"/>
      <c r="C233" s="157">
        <v>213491</v>
      </c>
      <c r="D233" s="157">
        <v>213491</v>
      </c>
      <c r="E233" s="36" t="s">
        <v>803</v>
      </c>
      <c r="F233" s="98">
        <v>0</v>
      </c>
      <c r="G233" s="158">
        <v>0</v>
      </c>
      <c r="H233" s="115">
        <f t="shared" si="30"/>
        <v>0</v>
      </c>
      <c r="I233" s="159">
        <f>SUMIFS(Arrival!M:M,Arrival!K:K,'Stock statement'!$C233)</f>
        <v>0</v>
      </c>
      <c r="J233" s="160">
        <f t="shared" si="31"/>
        <v>0</v>
      </c>
      <c r="K233" s="160">
        <f>SUMIFS(Arrival!R:R,Arrival!K:K,'Stock statement'!$C233)</f>
        <v>0</v>
      </c>
      <c r="L233" s="160">
        <f t="shared" si="32"/>
        <v>0</v>
      </c>
      <c r="M233" s="160">
        <f t="shared" si="33"/>
        <v>0</v>
      </c>
      <c r="N233" s="161">
        <f t="shared" si="34"/>
        <v>0</v>
      </c>
      <c r="O233" s="159">
        <f t="shared" si="35"/>
        <v>0</v>
      </c>
      <c r="P233" s="162">
        <f t="shared" si="36"/>
        <v>0</v>
      </c>
      <c r="Q233" s="162">
        <f t="shared" si="37"/>
        <v>0</v>
      </c>
      <c r="R233" s="160">
        <f>IFERROR(VLOOKUP(C233,'Monthly Op &amp; Clo Stock (invoic)'!A:C,3,0),0)</f>
        <v>0</v>
      </c>
      <c r="S233" s="163">
        <f t="shared" si="38"/>
        <v>0</v>
      </c>
      <c r="T233" s="162">
        <f t="shared" si="39"/>
        <v>0</v>
      </c>
      <c r="U233" s="16"/>
      <c r="V233" s="71"/>
      <c r="W233" s="16"/>
    </row>
    <row r="234" spans="1:23">
      <c r="A234" s="35"/>
      <c r="B234" s="35"/>
      <c r="C234" s="157">
        <v>213740</v>
      </c>
      <c r="D234" s="157">
        <v>213740</v>
      </c>
      <c r="E234" s="36" t="s">
        <v>804</v>
      </c>
      <c r="F234" s="98">
        <v>0</v>
      </c>
      <c r="G234" s="158">
        <v>0</v>
      </c>
      <c r="H234" s="115">
        <f t="shared" si="30"/>
        <v>0</v>
      </c>
      <c r="I234" s="159">
        <f>SUMIFS(Arrival!M:M,Arrival!K:K,'Stock statement'!$C234)</f>
        <v>0</v>
      </c>
      <c r="J234" s="160">
        <f t="shared" si="31"/>
        <v>0</v>
      </c>
      <c r="K234" s="160">
        <f>SUMIFS(Arrival!R:R,Arrival!K:K,'Stock statement'!$C234)</f>
        <v>0</v>
      </c>
      <c r="L234" s="160">
        <f t="shared" si="32"/>
        <v>0</v>
      </c>
      <c r="M234" s="160">
        <f t="shared" si="33"/>
        <v>0</v>
      </c>
      <c r="N234" s="161">
        <f t="shared" si="34"/>
        <v>0</v>
      </c>
      <c r="O234" s="159">
        <f t="shared" si="35"/>
        <v>0</v>
      </c>
      <c r="P234" s="162">
        <f t="shared" si="36"/>
        <v>0</v>
      </c>
      <c r="Q234" s="162">
        <f t="shared" si="37"/>
        <v>0</v>
      </c>
      <c r="R234" s="160">
        <f>IFERROR(VLOOKUP(C234,'Monthly Op &amp; Clo Stock (invoic)'!A:C,3,0),0)</f>
        <v>0</v>
      </c>
      <c r="S234" s="163">
        <f t="shared" si="38"/>
        <v>0</v>
      </c>
      <c r="T234" s="162">
        <f t="shared" si="39"/>
        <v>0</v>
      </c>
      <c r="U234" s="16"/>
      <c r="V234" s="71"/>
      <c r="W234" s="16"/>
    </row>
    <row r="235" spans="1:23">
      <c r="A235" s="35"/>
      <c r="B235" s="35"/>
      <c r="C235" s="157">
        <v>213667</v>
      </c>
      <c r="D235" s="157">
        <v>213667</v>
      </c>
      <c r="E235" s="36" t="s">
        <v>805</v>
      </c>
      <c r="F235" s="98">
        <v>0</v>
      </c>
      <c r="G235" s="158">
        <v>0</v>
      </c>
      <c r="H235" s="115">
        <f t="shared" si="30"/>
        <v>0</v>
      </c>
      <c r="I235" s="159">
        <f>SUMIFS(Arrival!M:M,Arrival!K:K,'Stock statement'!$C235)</f>
        <v>0</v>
      </c>
      <c r="J235" s="160">
        <f t="shared" si="31"/>
        <v>0</v>
      </c>
      <c r="K235" s="160">
        <f>SUMIFS(Arrival!R:R,Arrival!K:K,'Stock statement'!$C235)</f>
        <v>0</v>
      </c>
      <c r="L235" s="160">
        <f t="shared" si="32"/>
        <v>0</v>
      </c>
      <c r="M235" s="160">
        <f t="shared" si="33"/>
        <v>0</v>
      </c>
      <c r="N235" s="161">
        <f t="shared" si="34"/>
        <v>0</v>
      </c>
      <c r="O235" s="159">
        <f t="shared" si="35"/>
        <v>0</v>
      </c>
      <c r="P235" s="162">
        <f t="shared" si="36"/>
        <v>0</v>
      </c>
      <c r="Q235" s="162">
        <f t="shared" si="37"/>
        <v>0</v>
      </c>
      <c r="R235" s="160">
        <f>IFERROR(VLOOKUP(C235,'Monthly Op &amp; Clo Stock (invoic)'!A:C,3,0),0)</f>
        <v>0</v>
      </c>
      <c r="S235" s="163">
        <f t="shared" si="38"/>
        <v>0</v>
      </c>
      <c r="T235" s="162">
        <f t="shared" si="39"/>
        <v>0</v>
      </c>
      <c r="U235" s="16"/>
      <c r="V235" s="71"/>
      <c r="W235" s="16"/>
    </row>
    <row r="236" spans="1:23">
      <c r="A236" s="35"/>
      <c r="B236" s="35"/>
      <c r="C236" s="157">
        <v>110037</v>
      </c>
      <c r="D236" s="157">
        <v>110037</v>
      </c>
      <c r="E236" s="36" t="s">
        <v>316</v>
      </c>
      <c r="F236" s="98">
        <v>0</v>
      </c>
      <c r="G236" s="158">
        <v>207</v>
      </c>
      <c r="H236" s="115">
        <f t="shared" ref="H236" si="43">IFERROR(F236*G236,)</f>
        <v>0</v>
      </c>
      <c r="I236" s="159">
        <f>SUMIFS(Arrival!M:M,Arrival!K:K,'Stock statement'!$C236)</f>
        <v>50</v>
      </c>
      <c r="J236" s="160">
        <f t="shared" si="31"/>
        <v>204</v>
      </c>
      <c r="K236" s="160">
        <f>SUMIFS(Arrival!R:R,Arrival!K:K,'Stock statement'!$C236)</f>
        <v>10200</v>
      </c>
      <c r="L236" s="160">
        <f t="shared" si="32"/>
        <v>50</v>
      </c>
      <c r="M236" s="160">
        <f t="shared" si="33"/>
        <v>204</v>
      </c>
      <c r="N236" s="161">
        <f t="shared" si="34"/>
        <v>10200</v>
      </c>
      <c r="O236" s="159">
        <f t="shared" si="35"/>
        <v>50</v>
      </c>
      <c r="P236" s="162">
        <f t="shared" si="36"/>
        <v>204</v>
      </c>
      <c r="Q236" s="162">
        <f t="shared" si="37"/>
        <v>10200</v>
      </c>
      <c r="R236" s="160">
        <f>IFERROR(VLOOKUP(C236,'Monthly Op &amp; Clo Stock (invoic)'!A:C,3,0),0)</f>
        <v>0</v>
      </c>
      <c r="S236" s="163">
        <f t="shared" si="38"/>
        <v>204</v>
      </c>
      <c r="T236" s="162">
        <f t="shared" si="39"/>
        <v>0</v>
      </c>
      <c r="U236" s="16"/>
      <c r="V236" s="71"/>
      <c r="W236" s="16"/>
    </row>
    <row r="237" spans="1:23">
      <c r="A237" s="35"/>
      <c r="B237" s="35"/>
      <c r="C237" s="157">
        <v>115071</v>
      </c>
      <c r="D237" s="157">
        <v>115071</v>
      </c>
      <c r="E237" s="36" t="s">
        <v>311</v>
      </c>
      <c r="F237" s="98">
        <v>952.82</v>
      </c>
      <c r="G237" s="158">
        <v>195.05566620070786</v>
      </c>
      <c r="H237" s="115">
        <f t="shared" ref="H237:H256" si="44">IFERROR(F237*G237,)</f>
        <v>185852.93986935847</v>
      </c>
      <c r="I237" s="159">
        <f>SUMIFS(Arrival!M:M,Arrival!K:K,'Stock statement'!$C237)</f>
        <v>200</v>
      </c>
      <c r="J237" s="160">
        <f t="shared" si="31"/>
        <v>195</v>
      </c>
      <c r="K237" s="160">
        <f>SUMIFS(Arrival!R:R,Arrival!K:K,'Stock statement'!$C237)</f>
        <v>39000</v>
      </c>
      <c r="L237" s="160">
        <f t="shared" si="32"/>
        <v>1152.8200000000002</v>
      </c>
      <c r="M237" s="160">
        <f t="shared" si="33"/>
        <v>195.04600880394028</v>
      </c>
      <c r="N237" s="161">
        <f t="shared" si="34"/>
        <v>224852.93986935847</v>
      </c>
      <c r="O237" s="159">
        <f t="shared" si="35"/>
        <v>648.25000000000023</v>
      </c>
      <c r="P237" s="162">
        <f t="shared" si="36"/>
        <v>195.04600880394028</v>
      </c>
      <c r="Q237" s="162">
        <f t="shared" si="37"/>
        <v>126438.57520715434</v>
      </c>
      <c r="R237" s="160">
        <f>IFERROR(VLOOKUP(C237,'Monthly Op &amp; Clo Stock (invoic)'!A:C,3,0),0)</f>
        <v>504.57</v>
      </c>
      <c r="S237" s="163">
        <f t="shared" si="38"/>
        <v>195.04600880394028</v>
      </c>
      <c r="T237" s="162">
        <f t="shared" si="39"/>
        <v>98414.364662204141</v>
      </c>
      <c r="U237" s="16"/>
      <c r="V237" s="71"/>
      <c r="W237" s="16"/>
    </row>
    <row r="238" spans="1:23">
      <c r="A238" s="35"/>
      <c r="B238" s="35"/>
      <c r="C238" s="157">
        <v>213787</v>
      </c>
      <c r="D238" s="157">
        <v>213787</v>
      </c>
      <c r="E238" s="36" t="s">
        <v>806</v>
      </c>
      <c r="F238" s="98">
        <v>0</v>
      </c>
      <c r="G238" s="158">
        <v>0</v>
      </c>
      <c r="H238" s="115">
        <f t="shared" si="44"/>
        <v>0</v>
      </c>
      <c r="I238" s="159">
        <f>SUMIFS(Arrival!M:M,Arrival!K:K,'Stock statement'!$C238)</f>
        <v>0</v>
      </c>
      <c r="J238" s="160">
        <f t="shared" si="31"/>
        <v>0</v>
      </c>
      <c r="K238" s="160">
        <f>SUMIFS(Arrival!R:R,Arrival!K:K,'Stock statement'!$C238)</f>
        <v>0</v>
      </c>
      <c r="L238" s="160">
        <f t="shared" si="32"/>
        <v>0</v>
      </c>
      <c r="M238" s="160">
        <f t="shared" si="33"/>
        <v>0</v>
      </c>
      <c r="N238" s="161">
        <f t="shared" si="34"/>
        <v>0</v>
      </c>
      <c r="O238" s="159">
        <f t="shared" si="35"/>
        <v>0</v>
      </c>
      <c r="P238" s="162">
        <f t="shared" si="36"/>
        <v>0</v>
      </c>
      <c r="Q238" s="162">
        <f t="shared" si="37"/>
        <v>0</v>
      </c>
      <c r="R238" s="160">
        <f>IFERROR(VLOOKUP(C238,'Monthly Op &amp; Clo Stock (invoic)'!A:C,3,0),0)</f>
        <v>0</v>
      </c>
      <c r="S238" s="163">
        <f t="shared" si="38"/>
        <v>0</v>
      </c>
      <c r="T238" s="162">
        <f t="shared" si="39"/>
        <v>0</v>
      </c>
      <c r="U238" s="16"/>
      <c r="V238" s="71"/>
      <c r="W238" s="16"/>
    </row>
    <row r="239" spans="1:23">
      <c r="A239" s="35"/>
      <c r="B239" s="35"/>
      <c r="C239" s="157">
        <v>213789</v>
      </c>
      <c r="D239" s="157">
        <v>213789</v>
      </c>
      <c r="E239" s="36" t="s">
        <v>807</v>
      </c>
      <c r="F239" s="98">
        <v>0</v>
      </c>
      <c r="G239" s="158">
        <v>0</v>
      </c>
      <c r="H239" s="115">
        <f t="shared" si="44"/>
        <v>0</v>
      </c>
      <c r="I239" s="159">
        <f>SUMIFS(Arrival!M:M,Arrival!K:K,'Stock statement'!$C239)</f>
        <v>0</v>
      </c>
      <c r="J239" s="160">
        <f t="shared" si="31"/>
        <v>0</v>
      </c>
      <c r="K239" s="160">
        <f>SUMIFS(Arrival!R:R,Arrival!K:K,'Stock statement'!$C239)</f>
        <v>0</v>
      </c>
      <c r="L239" s="160">
        <f t="shared" si="32"/>
        <v>0</v>
      </c>
      <c r="M239" s="160">
        <f t="shared" si="33"/>
        <v>0</v>
      </c>
      <c r="N239" s="161">
        <f t="shared" si="34"/>
        <v>0</v>
      </c>
      <c r="O239" s="159">
        <f t="shared" si="35"/>
        <v>0</v>
      </c>
      <c r="P239" s="162">
        <f t="shared" si="36"/>
        <v>0</v>
      </c>
      <c r="Q239" s="162">
        <f t="shared" si="37"/>
        <v>0</v>
      </c>
      <c r="R239" s="160">
        <f>IFERROR(VLOOKUP(C239,'Monthly Op &amp; Clo Stock (invoic)'!A:C,3,0),0)</f>
        <v>0</v>
      </c>
      <c r="S239" s="163">
        <f t="shared" si="38"/>
        <v>0</v>
      </c>
      <c r="T239" s="162">
        <f t="shared" si="39"/>
        <v>0</v>
      </c>
      <c r="U239" s="16"/>
      <c r="V239" s="71"/>
      <c r="W239" s="16"/>
    </row>
    <row r="240" spans="1:23">
      <c r="A240" s="35"/>
      <c r="B240" s="35"/>
      <c r="C240" s="157">
        <v>213788</v>
      </c>
      <c r="D240" s="157">
        <v>213788</v>
      </c>
      <c r="E240" s="36" t="s">
        <v>808</v>
      </c>
      <c r="F240" s="98">
        <v>0</v>
      </c>
      <c r="G240" s="158">
        <v>0</v>
      </c>
      <c r="H240" s="115">
        <f t="shared" si="44"/>
        <v>0</v>
      </c>
      <c r="I240" s="159">
        <f>SUMIFS(Arrival!M:M,Arrival!K:K,'Stock statement'!$C240)</f>
        <v>0</v>
      </c>
      <c r="J240" s="160">
        <f t="shared" si="31"/>
        <v>0</v>
      </c>
      <c r="K240" s="160">
        <f>SUMIFS(Arrival!R:R,Arrival!K:K,'Stock statement'!$C240)</f>
        <v>0</v>
      </c>
      <c r="L240" s="160">
        <f t="shared" si="32"/>
        <v>0</v>
      </c>
      <c r="M240" s="160">
        <f t="shared" si="33"/>
        <v>0</v>
      </c>
      <c r="N240" s="161">
        <f t="shared" si="34"/>
        <v>0</v>
      </c>
      <c r="O240" s="159">
        <f t="shared" si="35"/>
        <v>0</v>
      </c>
      <c r="P240" s="162">
        <f t="shared" si="36"/>
        <v>0</v>
      </c>
      <c r="Q240" s="162">
        <f t="shared" si="37"/>
        <v>0</v>
      </c>
      <c r="R240" s="160">
        <f>IFERROR(VLOOKUP(C240,'Monthly Op &amp; Clo Stock (invoic)'!A:C,3,0),0)</f>
        <v>0</v>
      </c>
      <c r="S240" s="163">
        <f t="shared" si="38"/>
        <v>0</v>
      </c>
      <c r="T240" s="162">
        <f t="shared" si="39"/>
        <v>0</v>
      </c>
      <c r="U240" s="16"/>
      <c r="V240" s="71"/>
      <c r="W240" s="16"/>
    </row>
    <row r="241" spans="1:23">
      <c r="A241" s="35"/>
      <c r="B241" s="35"/>
      <c r="C241" s="157">
        <v>213795</v>
      </c>
      <c r="D241" s="157">
        <v>213795</v>
      </c>
      <c r="E241" s="36" t="s">
        <v>809</v>
      </c>
      <c r="F241" s="98">
        <v>0</v>
      </c>
      <c r="G241" s="158">
        <v>0</v>
      </c>
      <c r="H241" s="115">
        <f t="shared" si="44"/>
        <v>0</v>
      </c>
      <c r="I241" s="159">
        <f>SUMIFS(Arrival!M:M,Arrival!K:K,'Stock statement'!$C241)</f>
        <v>0</v>
      </c>
      <c r="J241" s="160">
        <f t="shared" si="31"/>
        <v>0</v>
      </c>
      <c r="K241" s="160">
        <f>SUMIFS(Arrival!R:R,Arrival!K:K,'Stock statement'!$C241)</f>
        <v>0</v>
      </c>
      <c r="L241" s="160">
        <f t="shared" si="32"/>
        <v>0</v>
      </c>
      <c r="M241" s="160">
        <f t="shared" si="33"/>
        <v>0</v>
      </c>
      <c r="N241" s="161">
        <f t="shared" si="34"/>
        <v>0</v>
      </c>
      <c r="O241" s="159">
        <f t="shared" si="35"/>
        <v>0</v>
      </c>
      <c r="P241" s="162">
        <f t="shared" si="36"/>
        <v>0</v>
      </c>
      <c r="Q241" s="162">
        <f t="shared" si="37"/>
        <v>0</v>
      </c>
      <c r="R241" s="160">
        <f>IFERROR(VLOOKUP(C241,'Monthly Op &amp; Clo Stock (invoic)'!A:C,3,0),0)</f>
        <v>0</v>
      </c>
      <c r="S241" s="163">
        <f t="shared" si="38"/>
        <v>0</v>
      </c>
      <c r="T241" s="162">
        <f t="shared" si="39"/>
        <v>0</v>
      </c>
      <c r="U241" s="16"/>
      <c r="V241" s="71"/>
      <c r="W241" s="16"/>
    </row>
    <row r="242" spans="1:23">
      <c r="A242" s="35"/>
      <c r="B242" s="35"/>
      <c r="C242" s="157">
        <v>214043</v>
      </c>
      <c r="D242" s="157">
        <v>214043</v>
      </c>
      <c r="E242" s="36" t="s">
        <v>810</v>
      </c>
      <c r="F242" s="98">
        <v>0</v>
      </c>
      <c r="G242" s="158">
        <v>0</v>
      </c>
      <c r="H242" s="115">
        <f t="shared" si="44"/>
        <v>0</v>
      </c>
      <c r="I242" s="159">
        <f>SUMIFS(Arrival!M:M,Arrival!K:K,'Stock statement'!$C242)</f>
        <v>0</v>
      </c>
      <c r="J242" s="160">
        <f t="shared" si="31"/>
        <v>0</v>
      </c>
      <c r="K242" s="160">
        <f>SUMIFS(Arrival!R:R,Arrival!K:K,'Stock statement'!$C242)</f>
        <v>0</v>
      </c>
      <c r="L242" s="160">
        <f t="shared" si="32"/>
        <v>0</v>
      </c>
      <c r="M242" s="160">
        <f t="shared" si="33"/>
        <v>0</v>
      </c>
      <c r="N242" s="161">
        <f t="shared" si="34"/>
        <v>0</v>
      </c>
      <c r="O242" s="159">
        <f t="shared" si="35"/>
        <v>0</v>
      </c>
      <c r="P242" s="162">
        <f t="shared" si="36"/>
        <v>0</v>
      </c>
      <c r="Q242" s="162">
        <f t="shared" si="37"/>
        <v>0</v>
      </c>
      <c r="R242" s="160">
        <f>IFERROR(VLOOKUP(C242,'Monthly Op &amp; Clo Stock (invoic)'!A:C,3,0),0)</f>
        <v>0</v>
      </c>
      <c r="S242" s="163">
        <f t="shared" si="38"/>
        <v>0</v>
      </c>
      <c r="T242" s="162">
        <f t="shared" si="39"/>
        <v>0</v>
      </c>
      <c r="U242" s="16"/>
      <c r="V242" s="71"/>
      <c r="W242" s="16"/>
    </row>
    <row r="243" spans="1:23">
      <c r="A243" s="35"/>
      <c r="B243" s="35"/>
      <c r="C243" s="157">
        <v>213863</v>
      </c>
      <c r="D243" s="157">
        <v>213863</v>
      </c>
      <c r="E243" s="36" t="s">
        <v>399</v>
      </c>
      <c r="F243" s="98">
        <v>880</v>
      </c>
      <c r="G243" s="158">
        <v>43.279506290912984</v>
      </c>
      <c r="H243" s="115">
        <f t="shared" si="44"/>
        <v>38085.965536003423</v>
      </c>
      <c r="I243" s="159">
        <f>SUMIFS(Arrival!M:M,Arrival!K:K,'Stock statement'!$C243)</f>
        <v>0</v>
      </c>
      <c r="J243" s="160">
        <f t="shared" si="31"/>
        <v>0</v>
      </c>
      <c r="K243" s="160">
        <f>SUMIFS(Arrival!R:R,Arrival!K:K,'Stock statement'!$C243)</f>
        <v>0</v>
      </c>
      <c r="L243" s="160">
        <f t="shared" si="32"/>
        <v>880</v>
      </c>
      <c r="M243" s="160">
        <f t="shared" si="33"/>
        <v>43.279506290912984</v>
      </c>
      <c r="N243" s="161">
        <f t="shared" si="34"/>
        <v>38085.965536003423</v>
      </c>
      <c r="O243" s="159">
        <f t="shared" si="35"/>
        <v>0</v>
      </c>
      <c r="P243" s="162">
        <f t="shared" si="36"/>
        <v>43.279506290912984</v>
      </c>
      <c r="Q243" s="162">
        <f t="shared" si="37"/>
        <v>0</v>
      </c>
      <c r="R243" s="160">
        <f>IFERROR(VLOOKUP(C243,'Monthly Op &amp; Clo Stock (invoic)'!A:C,3,0),0)</f>
        <v>880</v>
      </c>
      <c r="S243" s="163">
        <f t="shared" si="38"/>
        <v>43.279506290912984</v>
      </c>
      <c r="T243" s="162">
        <f t="shared" si="39"/>
        <v>38085.965536003423</v>
      </c>
      <c r="U243" s="16"/>
      <c r="V243" s="71"/>
      <c r="W243" s="16"/>
    </row>
    <row r="244" spans="1:23">
      <c r="A244" s="35"/>
      <c r="B244" s="35"/>
      <c r="C244" s="157">
        <v>213864</v>
      </c>
      <c r="D244" s="157">
        <v>213864</v>
      </c>
      <c r="E244" s="36" t="s">
        <v>400</v>
      </c>
      <c r="F244" s="98">
        <v>780</v>
      </c>
      <c r="G244" s="158">
        <v>12.233942272695826</v>
      </c>
      <c r="H244" s="115">
        <f t="shared" si="44"/>
        <v>9542.4749727027447</v>
      </c>
      <c r="I244" s="159">
        <f>SUMIFS(Arrival!M:M,Arrival!K:K,'Stock statement'!$C244)</f>
        <v>0</v>
      </c>
      <c r="J244" s="160">
        <f t="shared" si="31"/>
        <v>0</v>
      </c>
      <c r="K244" s="160">
        <f>SUMIFS(Arrival!R:R,Arrival!K:K,'Stock statement'!$C244)</f>
        <v>0</v>
      </c>
      <c r="L244" s="160">
        <f t="shared" si="32"/>
        <v>780</v>
      </c>
      <c r="M244" s="160">
        <f t="shared" si="33"/>
        <v>12.233942272695826</v>
      </c>
      <c r="N244" s="161">
        <f t="shared" si="34"/>
        <v>9542.4749727027447</v>
      </c>
      <c r="O244" s="159">
        <f t="shared" si="35"/>
        <v>0</v>
      </c>
      <c r="P244" s="162">
        <f t="shared" si="36"/>
        <v>12.233942272695826</v>
      </c>
      <c r="Q244" s="162">
        <f t="shared" si="37"/>
        <v>0</v>
      </c>
      <c r="R244" s="160">
        <f>IFERROR(VLOOKUP(C244,'Monthly Op &amp; Clo Stock (invoic)'!A:C,3,0),0)</f>
        <v>780</v>
      </c>
      <c r="S244" s="163">
        <f t="shared" si="38"/>
        <v>12.233942272695826</v>
      </c>
      <c r="T244" s="162">
        <f t="shared" si="39"/>
        <v>9542.4749727027447</v>
      </c>
      <c r="U244" s="16"/>
      <c r="V244" s="71"/>
      <c r="W244" s="16"/>
    </row>
    <row r="245" spans="1:23">
      <c r="A245" s="35"/>
      <c r="B245" s="35"/>
      <c r="C245" s="157">
        <v>213808</v>
      </c>
      <c r="D245" s="157">
        <v>213808</v>
      </c>
      <c r="E245" s="36" t="s">
        <v>811</v>
      </c>
      <c r="F245" s="98">
        <v>0</v>
      </c>
      <c r="G245" s="158">
        <v>0</v>
      </c>
      <c r="H245" s="115">
        <f t="shared" si="44"/>
        <v>0</v>
      </c>
      <c r="I245" s="159">
        <f>SUMIFS(Arrival!M:M,Arrival!K:K,'Stock statement'!$C245)</f>
        <v>0</v>
      </c>
      <c r="J245" s="160">
        <f t="shared" si="31"/>
        <v>0</v>
      </c>
      <c r="K245" s="160">
        <f>SUMIFS(Arrival!R:R,Arrival!K:K,'Stock statement'!$C245)</f>
        <v>0</v>
      </c>
      <c r="L245" s="160">
        <f t="shared" si="32"/>
        <v>0</v>
      </c>
      <c r="M245" s="160">
        <f t="shared" si="33"/>
        <v>0</v>
      </c>
      <c r="N245" s="161">
        <f t="shared" si="34"/>
        <v>0</v>
      </c>
      <c r="O245" s="159">
        <f t="shared" si="35"/>
        <v>0</v>
      </c>
      <c r="P245" s="162">
        <f t="shared" si="36"/>
        <v>0</v>
      </c>
      <c r="Q245" s="162">
        <f t="shared" si="37"/>
        <v>0</v>
      </c>
      <c r="R245" s="160">
        <f>IFERROR(VLOOKUP(C245,'Monthly Op &amp; Clo Stock (invoic)'!A:C,3,0),0)</f>
        <v>0</v>
      </c>
      <c r="S245" s="163">
        <f t="shared" si="38"/>
        <v>0</v>
      </c>
      <c r="T245" s="162">
        <f t="shared" si="39"/>
        <v>0</v>
      </c>
      <c r="U245" s="16"/>
      <c r="V245" s="71"/>
      <c r="W245" s="16"/>
    </row>
    <row r="246" spans="1:23">
      <c r="A246" s="35"/>
      <c r="B246" s="35"/>
      <c r="C246" s="157">
        <v>213809</v>
      </c>
      <c r="D246" s="157">
        <v>213809</v>
      </c>
      <c r="E246" s="36" t="s">
        <v>812</v>
      </c>
      <c r="F246" s="98">
        <v>0</v>
      </c>
      <c r="G246" s="158">
        <v>0</v>
      </c>
      <c r="H246" s="115">
        <f t="shared" si="44"/>
        <v>0</v>
      </c>
      <c r="I246" s="159">
        <f>SUMIFS(Arrival!M:M,Arrival!K:K,'Stock statement'!$C246)</f>
        <v>0</v>
      </c>
      <c r="J246" s="160">
        <f t="shared" si="31"/>
        <v>0</v>
      </c>
      <c r="K246" s="160">
        <f>SUMIFS(Arrival!R:R,Arrival!K:K,'Stock statement'!$C246)</f>
        <v>0</v>
      </c>
      <c r="L246" s="160">
        <f t="shared" si="32"/>
        <v>0</v>
      </c>
      <c r="M246" s="160">
        <f t="shared" si="33"/>
        <v>0</v>
      </c>
      <c r="N246" s="161">
        <f t="shared" si="34"/>
        <v>0</v>
      </c>
      <c r="O246" s="159">
        <f t="shared" si="35"/>
        <v>0</v>
      </c>
      <c r="P246" s="162">
        <f t="shared" si="36"/>
        <v>0</v>
      </c>
      <c r="Q246" s="162">
        <f t="shared" si="37"/>
        <v>0</v>
      </c>
      <c r="R246" s="160">
        <f>IFERROR(VLOOKUP(C246,'Monthly Op &amp; Clo Stock (invoic)'!A:C,3,0),0)</f>
        <v>0</v>
      </c>
      <c r="S246" s="163">
        <f t="shared" si="38"/>
        <v>0</v>
      </c>
      <c r="T246" s="162">
        <f t="shared" si="39"/>
        <v>0</v>
      </c>
      <c r="U246" s="16"/>
      <c r="V246" s="71"/>
      <c r="W246" s="16"/>
    </row>
    <row r="247" spans="1:23">
      <c r="A247" s="35"/>
      <c r="B247" s="35"/>
      <c r="C247" s="157">
        <v>213810</v>
      </c>
      <c r="D247" s="157">
        <v>213810</v>
      </c>
      <c r="E247" s="36" t="s">
        <v>813</v>
      </c>
      <c r="F247" s="98">
        <v>0</v>
      </c>
      <c r="G247" s="158">
        <v>0</v>
      </c>
      <c r="H247" s="115">
        <f t="shared" si="44"/>
        <v>0</v>
      </c>
      <c r="I247" s="159">
        <f>SUMIFS(Arrival!M:M,Arrival!K:K,'Stock statement'!$C247)</f>
        <v>0</v>
      </c>
      <c r="J247" s="160">
        <f t="shared" si="31"/>
        <v>0</v>
      </c>
      <c r="K247" s="160">
        <f>SUMIFS(Arrival!R:R,Arrival!K:K,'Stock statement'!$C247)</f>
        <v>0</v>
      </c>
      <c r="L247" s="160">
        <f t="shared" si="32"/>
        <v>0</v>
      </c>
      <c r="M247" s="160">
        <f t="shared" si="33"/>
        <v>0</v>
      </c>
      <c r="N247" s="161">
        <f t="shared" si="34"/>
        <v>0</v>
      </c>
      <c r="O247" s="159">
        <f t="shared" si="35"/>
        <v>0</v>
      </c>
      <c r="P247" s="162">
        <f t="shared" si="36"/>
        <v>0</v>
      </c>
      <c r="Q247" s="162">
        <f t="shared" si="37"/>
        <v>0</v>
      </c>
      <c r="R247" s="160">
        <f>IFERROR(VLOOKUP(C247,'Monthly Op &amp; Clo Stock (invoic)'!A:C,3,0),0)</f>
        <v>0</v>
      </c>
      <c r="S247" s="163">
        <f t="shared" si="38"/>
        <v>0</v>
      </c>
      <c r="T247" s="162">
        <f t="shared" si="39"/>
        <v>0</v>
      </c>
      <c r="U247" s="16"/>
      <c r="V247" s="71"/>
      <c r="W247" s="16"/>
    </row>
    <row r="248" spans="1:23">
      <c r="A248" s="35"/>
      <c r="B248" s="35"/>
      <c r="C248" s="157">
        <v>213811</v>
      </c>
      <c r="D248" s="157">
        <v>213811</v>
      </c>
      <c r="E248" s="36" t="s">
        <v>814</v>
      </c>
      <c r="F248" s="98">
        <v>0</v>
      </c>
      <c r="G248" s="158">
        <v>0</v>
      </c>
      <c r="H248" s="115">
        <f t="shared" si="44"/>
        <v>0</v>
      </c>
      <c r="I248" s="159">
        <f>SUMIFS(Arrival!M:M,Arrival!K:K,'Stock statement'!$C248)</f>
        <v>0</v>
      </c>
      <c r="J248" s="160">
        <f t="shared" si="31"/>
        <v>0</v>
      </c>
      <c r="K248" s="160">
        <f>SUMIFS(Arrival!R:R,Arrival!K:K,'Stock statement'!$C248)</f>
        <v>0</v>
      </c>
      <c r="L248" s="160">
        <f t="shared" si="32"/>
        <v>0</v>
      </c>
      <c r="M248" s="160">
        <f t="shared" si="33"/>
        <v>0</v>
      </c>
      <c r="N248" s="161">
        <f t="shared" si="34"/>
        <v>0</v>
      </c>
      <c r="O248" s="159">
        <f t="shared" si="35"/>
        <v>0</v>
      </c>
      <c r="P248" s="162">
        <f t="shared" si="36"/>
        <v>0</v>
      </c>
      <c r="Q248" s="162">
        <f t="shared" si="37"/>
        <v>0</v>
      </c>
      <c r="R248" s="160">
        <f>IFERROR(VLOOKUP(C248,'Monthly Op &amp; Clo Stock (invoic)'!A:C,3,0),0)</f>
        <v>0</v>
      </c>
      <c r="S248" s="163">
        <f t="shared" si="38"/>
        <v>0</v>
      </c>
      <c r="T248" s="162">
        <f t="shared" si="39"/>
        <v>0</v>
      </c>
      <c r="U248" s="16"/>
      <c r="V248" s="71"/>
      <c r="W248" s="16"/>
    </row>
    <row r="249" spans="1:23">
      <c r="A249" s="35"/>
      <c r="B249" s="35"/>
      <c r="C249" s="157">
        <v>213806</v>
      </c>
      <c r="D249" s="157">
        <v>213806</v>
      </c>
      <c r="E249" s="36" t="s">
        <v>815</v>
      </c>
      <c r="F249" s="98">
        <v>0</v>
      </c>
      <c r="G249" s="158">
        <v>0</v>
      </c>
      <c r="H249" s="115">
        <f t="shared" si="44"/>
        <v>0</v>
      </c>
      <c r="I249" s="159">
        <f>SUMIFS(Arrival!M:M,Arrival!K:K,'Stock statement'!$C249)</f>
        <v>0</v>
      </c>
      <c r="J249" s="160">
        <f t="shared" si="31"/>
        <v>0</v>
      </c>
      <c r="K249" s="160">
        <f>SUMIFS(Arrival!R:R,Arrival!K:K,'Stock statement'!$C249)</f>
        <v>0</v>
      </c>
      <c r="L249" s="160">
        <f t="shared" si="32"/>
        <v>0</v>
      </c>
      <c r="M249" s="160">
        <f t="shared" si="33"/>
        <v>0</v>
      </c>
      <c r="N249" s="161">
        <f t="shared" si="34"/>
        <v>0</v>
      </c>
      <c r="O249" s="159">
        <f t="shared" si="35"/>
        <v>0</v>
      </c>
      <c r="P249" s="162">
        <f t="shared" si="36"/>
        <v>0</v>
      </c>
      <c r="Q249" s="162">
        <f t="shared" si="37"/>
        <v>0</v>
      </c>
      <c r="R249" s="160">
        <f>IFERROR(VLOOKUP(C249,'Monthly Op &amp; Clo Stock (invoic)'!A:C,3,0),0)</f>
        <v>0</v>
      </c>
      <c r="S249" s="163">
        <f t="shared" si="38"/>
        <v>0</v>
      </c>
      <c r="T249" s="162">
        <f t="shared" si="39"/>
        <v>0</v>
      </c>
      <c r="U249" s="16"/>
      <c r="V249" s="71"/>
      <c r="W249" s="16"/>
    </row>
    <row r="250" spans="1:23">
      <c r="A250" s="35"/>
      <c r="B250" s="35"/>
      <c r="C250" s="157">
        <v>213807</v>
      </c>
      <c r="D250" s="157">
        <v>213807</v>
      </c>
      <c r="E250" s="36" t="s">
        <v>816</v>
      </c>
      <c r="F250" s="98">
        <v>0</v>
      </c>
      <c r="G250" s="158">
        <v>0</v>
      </c>
      <c r="H250" s="115">
        <f t="shared" si="44"/>
        <v>0</v>
      </c>
      <c r="I250" s="159">
        <f>SUMIFS(Arrival!M:M,Arrival!K:K,'Stock statement'!$C250)</f>
        <v>0</v>
      </c>
      <c r="J250" s="160">
        <f t="shared" si="31"/>
        <v>0</v>
      </c>
      <c r="K250" s="160">
        <f>SUMIFS(Arrival!R:R,Arrival!K:K,'Stock statement'!$C250)</f>
        <v>0</v>
      </c>
      <c r="L250" s="160">
        <f t="shared" si="32"/>
        <v>0</v>
      </c>
      <c r="M250" s="160">
        <f t="shared" si="33"/>
        <v>0</v>
      </c>
      <c r="N250" s="161">
        <f t="shared" si="34"/>
        <v>0</v>
      </c>
      <c r="O250" s="159">
        <f t="shared" si="35"/>
        <v>0</v>
      </c>
      <c r="P250" s="162">
        <f t="shared" si="36"/>
        <v>0</v>
      </c>
      <c r="Q250" s="162">
        <f t="shared" si="37"/>
        <v>0</v>
      </c>
      <c r="R250" s="160">
        <f>IFERROR(VLOOKUP(C250,'Monthly Op &amp; Clo Stock (invoic)'!A:C,3,0),0)</f>
        <v>0</v>
      </c>
      <c r="S250" s="163">
        <f t="shared" si="38"/>
        <v>0</v>
      </c>
      <c r="T250" s="162">
        <f t="shared" si="39"/>
        <v>0</v>
      </c>
      <c r="U250" s="16"/>
      <c r="V250" s="71"/>
      <c r="W250" s="16"/>
    </row>
    <row r="251" spans="1:23">
      <c r="A251" s="35"/>
      <c r="B251" s="35"/>
      <c r="C251" s="157">
        <v>213873</v>
      </c>
      <c r="D251" s="157">
        <v>213873</v>
      </c>
      <c r="E251" s="36" t="s">
        <v>395</v>
      </c>
      <c r="F251" s="98">
        <v>1168</v>
      </c>
      <c r="G251" s="158">
        <v>10.653997879872099</v>
      </c>
      <c r="H251" s="115">
        <f t="shared" si="44"/>
        <v>12443.869523690611</v>
      </c>
      <c r="I251" s="159">
        <f>SUMIFS(Arrival!M:M,Arrival!K:K,'Stock statement'!$C251)</f>
        <v>0</v>
      </c>
      <c r="J251" s="160">
        <f t="shared" si="31"/>
        <v>0</v>
      </c>
      <c r="K251" s="160">
        <f>SUMIFS(Arrival!R:R,Arrival!K:K,'Stock statement'!$C251)</f>
        <v>0</v>
      </c>
      <c r="L251" s="160">
        <f t="shared" si="32"/>
        <v>1168</v>
      </c>
      <c r="M251" s="160">
        <f t="shared" si="33"/>
        <v>10.653997879872099</v>
      </c>
      <c r="N251" s="161">
        <f t="shared" si="34"/>
        <v>12443.869523690611</v>
      </c>
      <c r="O251" s="159">
        <f t="shared" si="35"/>
        <v>0</v>
      </c>
      <c r="P251" s="162">
        <f t="shared" si="36"/>
        <v>10.653997879872099</v>
      </c>
      <c r="Q251" s="162">
        <f t="shared" si="37"/>
        <v>0</v>
      </c>
      <c r="R251" s="160">
        <f>IFERROR(VLOOKUP(C251,'Monthly Op &amp; Clo Stock (invoic)'!A:C,3,0),0)</f>
        <v>1168</v>
      </c>
      <c r="S251" s="163">
        <f t="shared" si="38"/>
        <v>10.653997879872099</v>
      </c>
      <c r="T251" s="162">
        <f t="shared" si="39"/>
        <v>12443.869523690611</v>
      </c>
      <c r="U251" s="16"/>
      <c r="V251" s="71"/>
      <c r="W251" s="16"/>
    </row>
    <row r="252" spans="1:23">
      <c r="A252" s="35"/>
      <c r="B252" s="35"/>
      <c r="C252" s="157">
        <v>213874</v>
      </c>
      <c r="D252" s="157">
        <v>213874</v>
      </c>
      <c r="E252" s="36" t="s">
        <v>396</v>
      </c>
      <c r="F252" s="98">
        <v>187</v>
      </c>
      <c r="G252" s="158">
        <v>37.307564192415263</v>
      </c>
      <c r="H252" s="115">
        <f t="shared" si="44"/>
        <v>6976.5145039816543</v>
      </c>
      <c r="I252" s="159">
        <f>SUMIFS(Arrival!M:M,Arrival!K:K,'Stock statement'!$C252)</f>
        <v>0</v>
      </c>
      <c r="J252" s="160">
        <f t="shared" si="31"/>
        <v>0</v>
      </c>
      <c r="K252" s="160">
        <f>SUMIFS(Arrival!R:R,Arrival!K:K,'Stock statement'!$C252)</f>
        <v>0</v>
      </c>
      <c r="L252" s="160">
        <f t="shared" si="32"/>
        <v>187</v>
      </c>
      <c r="M252" s="160">
        <f t="shared" si="33"/>
        <v>37.307564192415263</v>
      </c>
      <c r="N252" s="161">
        <f t="shared" si="34"/>
        <v>6976.5145039816543</v>
      </c>
      <c r="O252" s="159">
        <f t="shared" si="35"/>
        <v>0</v>
      </c>
      <c r="P252" s="162">
        <f t="shared" si="36"/>
        <v>37.307564192415263</v>
      </c>
      <c r="Q252" s="162">
        <f t="shared" si="37"/>
        <v>0</v>
      </c>
      <c r="R252" s="160">
        <f>IFERROR(VLOOKUP(C252,'Monthly Op &amp; Clo Stock (invoic)'!A:C,3,0),0)</f>
        <v>187</v>
      </c>
      <c r="S252" s="163">
        <f t="shared" si="38"/>
        <v>37.307564192415263</v>
      </c>
      <c r="T252" s="162">
        <f t="shared" si="39"/>
        <v>6976.5145039816543</v>
      </c>
      <c r="U252" s="16"/>
      <c r="V252" s="71"/>
      <c r="W252" s="16"/>
    </row>
    <row r="253" spans="1:23">
      <c r="A253" s="35"/>
      <c r="B253" s="35"/>
      <c r="C253" s="157">
        <v>114030</v>
      </c>
      <c r="D253" s="157">
        <v>114030</v>
      </c>
      <c r="E253" s="36" t="s">
        <v>817</v>
      </c>
      <c r="F253" s="184">
        <v>0.8</v>
      </c>
      <c r="G253" s="158">
        <v>3740</v>
      </c>
      <c r="H253" s="115">
        <f t="shared" si="44"/>
        <v>2992</v>
      </c>
      <c r="I253" s="159">
        <f>SUMIFS(Arrival!M:M,Arrival!K:K,'Stock statement'!$C253)</f>
        <v>0</v>
      </c>
      <c r="J253" s="160">
        <f t="shared" si="31"/>
        <v>0</v>
      </c>
      <c r="K253" s="160">
        <f>SUMIFS(Arrival!R:R,Arrival!K:K,'Stock statement'!$C253)</f>
        <v>0</v>
      </c>
      <c r="L253" s="160">
        <f t="shared" si="32"/>
        <v>0.8</v>
      </c>
      <c r="M253" s="160">
        <f t="shared" si="33"/>
        <v>3740</v>
      </c>
      <c r="N253" s="161">
        <f t="shared" si="34"/>
        <v>2992</v>
      </c>
      <c r="O253" s="159">
        <f t="shared" si="35"/>
        <v>-1.9999999999999907E-2</v>
      </c>
      <c r="P253" s="162">
        <f t="shared" si="36"/>
        <v>3740</v>
      </c>
      <c r="Q253" s="162">
        <f t="shared" si="37"/>
        <v>-74.799999999999656</v>
      </c>
      <c r="R253" s="160">
        <f>IFERROR(VLOOKUP(C253,'Monthly Op &amp; Clo Stock (invoic)'!A:C,3,0),0)</f>
        <v>0.82</v>
      </c>
      <c r="S253" s="163">
        <f t="shared" si="38"/>
        <v>3740</v>
      </c>
      <c r="T253" s="162">
        <f t="shared" si="39"/>
        <v>3066.7999999999997</v>
      </c>
      <c r="U253" s="16"/>
      <c r="V253" s="71"/>
      <c r="W253" s="16"/>
    </row>
    <row r="254" spans="1:23">
      <c r="A254" s="35"/>
      <c r="B254" s="35"/>
      <c r="C254" s="157">
        <v>213865</v>
      </c>
      <c r="D254" s="157">
        <v>213865</v>
      </c>
      <c r="E254" s="36" t="s">
        <v>818</v>
      </c>
      <c r="F254" s="98">
        <v>0</v>
      </c>
      <c r="G254" s="158">
        <v>0</v>
      </c>
      <c r="H254" s="115">
        <f t="shared" si="44"/>
        <v>0</v>
      </c>
      <c r="I254" s="159">
        <f>SUMIFS(Arrival!M:M,Arrival!K:K,'Stock statement'!$C254)</f>
        <v>0</v>
      </c>
      <c r="J254" s="160">
        <f t="shared" si="31"/>
        <v>0</v>
      </c>
      <c r="K254" s="160">
        <f>SUMIFS(Arrival!R:R,Arrival!K:K,'Stock statement'!$C254)</f>
        <v>0</v>
      </c>
      <c r="L254" s="160">
        <f t="shared" si="32"/>
        <v>0</v>
      </c>
      <c r="M254" s="160">
        <f t="shared" si="33"/>
        <v>0</v>
      </c>
      <c r="N254" s="161">
        <f t="shared" si="34"/>
        <v>0</v>
      </c>
      <c r="O254" s="159">
        <f t="shared" si="35"/>
        <v>0</v>
      </c>
      <c r="P254" s="162">
        <f t="shared" si="36"/>
        <v>0</v>
      </c>
      <c r="Q254" s="162">
        <f t="shared" si="37"/>
        <v>0</v>
      </c>
      <c r="R254" s="160">
        <f>IFERROR(VLOOKUP(C254,'Monthly Op &amp; Clo Stock (invoic)'!A:C,3,0),0)</f>
        <v>0</v>
      </c>
      <c r="S254" s="163">
        <f t="shared" si="38"/>
        <v>0</v>
      </c>
      <c r="T254" s="162">
        <f t="shared" si="39"/>
        <v>0</v>
      </c>
      <c r="U254" s="16"/>
      <c r="V254" s="71"/>
      <c r="W254" s="16"/>
    </row>
    <row r="255" spans="1:23">
      <c r="A255" s="35"/>
      <c r="B255" s="35"/>
      <c r="C255" s="157">
        <v>213867</v>
      </c>
      <c r="D255" s="157">
        <v>213867</v>
      </c>
      <c r="E255" s="36" t="s">
        <v>819</v>
      </c>
      <c r="F255" s="98">
        <v>3810</v>
      </c>
      <c r="G255" s="158">
        <v>312.29160651547767</v>
      </c>
      <c r="H255" s="115">
        <f t="shared" si="44"/>
        <v>1189831.02082397</v>
      </c>
      <c r="I255" s="159">
        <f>SUMIFS(Arrival!M:M,Arrival!K:K,'Stock statement'!$C255)</f>
        <v>0</v>
      </c>
      <c r="J255" s="160">
        <f t="shared" si="31"/>
        <v>0</v>
      </c>
      <c r="K255" s="160">
        <f>SUMIFS(Arrival!R:R,Arrival!K:K,'Stock statement'!$C255)</f>
        <v>0</v>
      </c>
      <c r="L255" s="160">
        <f t="shared" si="32"/>
        <v>3810</v>
      </c>
      <c r="M255" s="160">
        <f t="shared" si="33"/>
        <v>312.29160651547767</v>
      </c>
      <c r="N255" s="161">
        <f t="shared" si="34"/>
        <v>1189831.02082397</v>
      </c>
      <c r="O255" s="159">
        <f t="shared" si="35"/>
        <v>3677.7979999999993</v>
      </c>
      <c r="P255" s="162">
        <f t="shared" si="36"/>
        <v>312.29160651547767</v>
      </c>
      <c r="Q255" s="162">
        <f t="shared" si="37"/>
        <v>1148545.4458594106</v>
      </c>
      <c r="R255" s="160">
        <f>IFERROR(VLOOKUP(C255,'Monthly Op &amp; Clo Stock (invoic)'!A:C,3,0),0)</f>
        <v>132.20200000000048</v>
      </c>
      <c r="S255" s="163">
        <f t="shared" si="38"/>
        <v>312.29160651547767</v>
      </c>
      <c r="T255" s="162">
        <f t="shared" si="39"/>
        <v>41285.574964559331</v>
      </c>
      <c r="U255" s="16"/>
      <c r="V255" s="71"/>
      <c r="W255" s="16"/>
    </row>
    <row r="256" spans="1:23">
      <c r="A256" s="35"/>
      <c r="B256" s="35"/>
      <c r="C256" s="157">
        <v>213989</v>
      </c>
      <c r="D256" s="157">
        <v>213989</v>
      </c>
      <c r="E256" s="36" t="s">
        <v>820</v>
      </c>
      <c r="F256" s="98">
        <v>0</v>
      </c>
      <c r="G256" s="158">
        <v>0</v>
      </c>
      <c r="H256" s="115">
        <f t="shared" si="44"/>
        <v>0</v>
      </c>
      <c r="I256" s="159">
        <f>SUMIFS(Arrival!M:M,Arrival!K:K,'Stock statement'!$C256)</f>
        <v>0</v>
      </c>
      <c r="J256" s="160">
        <f t="shared" si="31"/>
        <v>0</v>
      </c>
      <c r="K256" s="160">
        <f>SUMIFS(Arrival!R:R,Arrival!K:K,'Stock statement'!$C256)</f>
        <v>0</v>
      </c>
      <c r="L256" s="160">
        <f t="shared" si="32"/>
        <v>0</v>
      </c>
      <c r="M256" s="160">
        <f t="shared" si="33"/>
        <v>0</v>
      </c>
      <c r="N256" s="161">
        <f t="shared" si="34"/>
        <v>0</v>
      </c>
      <c r="O256" s="159">
        <f t="shared" si="35"/>
        <v>0</v>
      </c>
      <c r="P256" s="162">
        <f t="shared" si="36"/>
        <v>0</v>
      </c>
      <c r="Q256" s="162">
        <f t="shared" si="37"/>
        <v>0</v>
      </c>
      <c r="R256" s="160">
        <f>IFERROR(VLOOKUP(C256,'Monthly Op &amp; Clo Stock (invoic)'!A:C,3,0),0)</f>
        <v>0</v>
      </c>
      <c r="S256" s="163">
        <f t="shared" si="38"/>
        <v>0</v>
      </c>
      <c r="T256" s="162">
        <f t="shared" si="39"/>
        <v>0</v>
      </c>
      <c r="U256" s="16"/>
      <c r="V256" s="71"/>
      <c r="W256" s="16"/>
    </row>
    <row r="257" spans="1:24">
      <c r="A257" s="35"/>
      <c r="B257" s="35"/>
      <c r="C257" s="157">
        <v>213990</v>
      </c>
      <c r="D257" s="157">
        <v>213990</v>
      </c>
      <c r="E257" s="36" t="s">
        <v>821</v>
      </c>
      <c r="F257" s="98">
        <v>0</v>
      </c>
      <c r="G257" s="158">
        <v>0</v>
      </c>
      <c r="H257" s="115">
        <f t="shared" ref="H257:H271" si="45">IFERROR(F257*G257,)</f>
        <v>0</v>
      </c>
      <c r="I257" s="159">
        <f>SUMIFS(Arrival!M:M,Arrival!K:K,'Stock statement'!$C257)</f>
        <v>0</v>
      </c>
      <c r="J257" s="160">
        <f t="shared" si="31"/>
        <v>0</v>
      </c>
      <c r="K257" s="160">
        <f>SUMIFS(Arrival!R:R,Arrival!K:K,'Stock statement'!$C257)</f>
        <v>0</v>
      </c>
      <c r="L257" s="160">
        <f t="shared" si="32"/>
        <v>0</v>
      </c>
      <c r="M257" s="160">
        <f t="shared" si="33"/>
        <v>0</v>
      </c>
      <c r="N257" s="161">
        <f t="shared" si="34"/>
        <v>0</v>
      </c>
      <c r="O257" s="159">
        <f t="shared" si="35"/>
        <v>0</v>
      </c>
      <c r="P257" s="162">
        <f t="shared" si="36"/>
        <v>0</v>
      </c>
      <c r="Q257" s="162">
        <f t="shared" si="37"/>
        <v>0</v>
      </c>
      <c r="R257" s="160">
        <f>IFERROR(VLOOKUP(C257,'Monthly Op &amp; Clo Stock (invoic)'!A:C,3,0),0)</f>
        <v>0</v>
      </c>
      <c r="S257" s="163">
        <f t="shared" si="38"/>
        <v>0</v>
      </c>
      <c r="T257" s="162">
        <f t="shared" si="39"/>
        <v>0</v>
      </c>
      <c r="U257" s="16"/>
      <c r="V257" s="71"/>
      <c r="W257" s="16"/>
    </row>
    <row r="258" spans="1:24">
      <c r="A258" s="35"/>
      <c r="B258" s="35"/>
      <c r="C258" s="157">
        <v>110451</v>
      </c>
      <c r="D258" s="157">
        <v>110451</v>
      </c>
      <c r="E258" s="36" t="s">
        <v>822</v>
      </c>
      <c r="F258" s="98">
        <v>0</v>
      </c>
      <c r="G258" s="158">
        <v>0</v>
      </c>
      <c r="H258" s="115">
        <f t="shared" si="45"/>
        <v>0</v>
      </c>
      <c r="I258" s="159">
        <f>SUMIFS(Arrival!M:M,Arrival!K:K,'Stock statement'!$C258)</f>
        <v>0</v>
      </c>
      <c r="J258" s="160">
        <f t="shared" si="31"/>
        <v>0</v>
      </c>
      <c r="K258" s="160">
        <f>SUMIFS(Arrival!R:R,Arrival!K:K,'Stock statement'!$C258)</f>
        <v>0</v>
      </c>
      <c r="L258" s="160">
        <f t="shared" si="32"/>
        <v>0</v>
      </c>
      <c r="M258" s="160">
        <f t="shared" si="33"/>
        <v>0</v>
      </c>
      <c r="N258" s="161">
        <f t="shared" si="34"/>
        <v>0</v>
      </c>
      <c r="O258" s="159">
        <f t="shared" si="35"/>
        <v>0</v>
      </c>
      <c r="P258" s="162">
        <f t="shared" si="36"/>
        <v>0</v>
      </c>
      <c r="Q258" s="162">
        <f t="shared" si="37"/>
        <v>0</v>
      </c>
      <c r="R258" s="160">
        <f>IFERROR(VLOOKUP(C258,'Monthly Op &amp; Clo Stock (invoic)'!A:C,3,0),0)</f>
        <v>0</v>
      </c>
      <c r="S258" s="163">
        <f t="shared" si="38"/>
        <v>0</v>
      </c>
      <c r="T258" s="162">
        <f t="shared" si="39"/>
        <v>0</v>
      </c>
      <c r="U258" s="16"/>
      <c r="V258" s="71"/>
      <c r="W258" s="16"/>
    </row>
    <row r="259" spans="1:24">
      <c r="A259" s="35"/>
      <c r="B259" s="35"/>
      <c r="C259" s="157">
        <v>115133</v>
      </c>
      <c r="D259" s="157">
        <v>115133</v>
      </c>
      <c r="E259" s="36" t="s">
        <v>823</v>
      </c>
      <c r="F259" s="98">
        <v>0</v>
      </c>
      <c r="G259" s="158">
        <v>0</v>
      </c>
      <c r="H259" s="115">
        <f t="shared" si="45"/>
        <v>0</v>
      </c>
      <c r="I259" s="159">
        <f>SUMIFS(Arrival!M:M,Arrival!K:K,'Stock statement'!$C259)</f>
        <v>0</v>
      </c>
      <c r="J259" s="160">
        <f t="shared" si="31"/>
        <v>0</v>
      </c>
      <c r="K259" s="160">
        <f>SUMIFS(Arrival!R:R,Arrival!K:K,'Stock statement'!$C259)</f>
        <v>0</v>
      </c>
      <c r="L259" s="160">
        <f t="shared" si="32"/>
        <v>0</v>
      </c>
      <c r="M259" s="160">
        <f t="shared" si="33"/>
        <v>0</v>
      </c>
      <c r="N259" s="161">
        <f t="shared" si="34"/>
        <v>0</v>
      </c>
      <c r="O259" s="159">
        <f t="shared" si="35"/>
        <v>0</v>
      </c>
      <c r="P259" s="162">
        <f t="shared" si="36"/>
        <v>0</v>
      </c>
      <c r="Q259" s="162">
        <f t="shared" si="37"/>
        <v>0</v>
      </c>
      <c r="R259" s="160">
        <f>IFERROR(VLOOKUP(C259,'Monthly Op &amp; Clo Stock (invoic)'!A:C,3,0),0)</f>
        <v>0</v>
      </c>
      <c r="S259" s="163">
        <f t="shared" si="38"/>
        <v>0</v>
      </c>
      <c r="T259" s="162">
        <f t="shared" si="39"/>
        <v>0</v>
      </c>
      <c r="U259" s="16"/>
      <c r="V259" s="71"/>
      <c r="W259" s="16"/>
    </row>
    <row r="260" spans="1:24">
      <c r="A260" s="35"/>
      <c r="B260" s="35"/>
      <c r="C260" s="157">
        <v>214021</v>
      </c>
      <c r="D260" s="157">
        <v>214021</v>
      </c>
      <c r="E260" s="36" t="s">
        <v>824</v>
      </c>
      <c r="F260" s="98">
        <v>1640</v>
      </c>
      <c r="G260" s="158">
        <v>12.806787187506121</v>
      </c>
      <c r="H260" s="115">
        <f t="shared" si="45"/>
        <v>21003.130987510038</v>
      </c>
      <c r="I260" s="159">
        <f>SUMIFS(Arrival!M:M,Arrival!K:K,'Stock statement'!$C260)</f>
        <v>0</v>
      </c>
      <c r="J260" s="160">
        <f t="shared" ref="J260:J323" si="46">IFERROR(K260/I260,0)</f>
        <v>0</v>
      </c>
      <c r="K260" s="160">
        <f>SUMIFS(Arrival!R:R,Arrival!K:K,'Stock statement'!$C260)</f>
        <v>0</v>
      </c>
      <c r="L260" s="160">
        <f t="shared" ref="L260:L323" si="47">F260+I260</f>
        <v>1640</v>
      </c>
      <c r="M260" s="160">
        <f t="shared" ref="M260:M323" si="48">IFERROR(N260/L260,0)</f>
        <v>12.806787187506121</v>
      </c>
      <c r="N260" s="161">
        <f t="shared" ref="N260:N323" si="49">H260+K260</f>
        <v>21003.130987510038</v>
      </c>
      <c r="O260" s="159">
        <f t="shared" ref="O260:O323" si="50">L260-R260</f>
        <v>0</v>
      </c>
      <c r="P260" s="162">
        <f t="shared" ref="P260:P323" si="51">M260</f>
        <v>12.806787187506121</v>
      </c>
      <c r="Q260" s="162">
        <f t="shared" ref="Q260:Q323" si="52">IFERROR(O260*P260,0)</f>
        <v>0</v>
      </c>
      <c r="R260" s="160">
        <f>IFERROR(VLOOKUP(C260,'Monthly Op &amp; Clo Stock (invoic)'!A:C,3,0),0)</f>
        <v>1640</v>
      </c>
      <c r="S260" s="163">
        <f t="shared" ref="S260:S323" si="53">P260</f>
        <v>12.806787187506121</v>
      </c>
      <c r="T260" s="162">
        <f t="shared" ref="T260:T323" si="54">IFERROR(R260*S260,0)</f>
        <v>21003.130987510038</v>
      </c>
      <c r="U260" s="16"/>
      <c r="V260" s="71"/>
      <c r="W260" s="16"/>
      <c r="X260">
        <v>22.75</v>
      </c>
    </row>
    <row r="261" spans="1:24">
      <c r="A261" s="35"/>
      <c r="B261" s="35"/>
      <c r="C261" s="157">
        <v>214022</v>
      </c>
      <c r="D261" s="157">
        <v>214022</v>
      </c>
      <c r="E261" s="36" t="s">
        <v>825</v>
      </c>
      <c r="F261" s="98">
        <v>480</v>
      </c>
      <c r="G261" s="158">
        <v>45.180954429098684</v>
      </c>
      <c r="H261" s="115">
        <f t="shared" si="45"/>
        <v>21686.858125967367</v>
      </c>
      <c r="I261" s="159">
        <f>SUMIFS(Arrival!M:M,Arrival!K:K,'Stock statement'!$C261)</f>
        <v>0</v>
      </c>
      <c r="J261" s="160">
        <f t="shared" si="46"/>
        <v>0</v>
      </c>
      <c r="K261" s="160">
        <f>SUMIFS(Arrival!R:R,Arrival!K:K,'Stock statement'!$C261)</f>
        <v>0</v>
      </c>
      <c r="L261" s="160">
        <f t="shared" si="47"/>
        <v>480</v>
      </c>
      <c r="M261" s="160">
        <f t="shared" si="48"/>
        <v>45.180954429098684</v>
      </c>
      <c r="N261" s="161">
        <f t="shared" si="49"/>
        <v>21686.858125967367</v>
      </c>
      <c r="O261" s="159">
        <f t="shared" si="50"/>
        <v>0</v>
      </c>
      <c r="P261" s="162">
        <f t="shared" si="51"/>
        <v>45.180954429098684</v>
      </c>
      <c r="Q261" s="162">
        <f t="shared" si="52"/>
        <v>0</v>
      </c>
      <c r="R261" s="160">
        <f>IFERROR(VLOOKUP(C261,'Monthly Op &amp; Clo Stock (invoic)'!A:C,3,0),0)</f>
        <v>480</v>
      </c>
      <c r="S261" s="163">
        <f t="shared" si="53"/>
        <v>45.180954429098684</v>
      </c>
      <c r="T261" s="162">
        <f t="shared" si="54"/>
        <v>21686.858125967367</v>
      </c>
      <c r="U261" s="16"/>
      <c r="V261" s="71"/>
      <c r="W261" s="16"/>
    </row>
    <row r="262" spans="1:24">
      <c r="A262" s="35"/>
      <c r="B262" s="35"/>
      <c r="C262" s="157">
        <v>214010</v>
      </c>
      <c r="D262" s="157">
        <v>214010</v>
      </c>
      <c r="E262" s="36" t="s">
        <v>826</v>
      </c>
      <c r="F262" s="98">
        <v>0</v>
      </c>
      <c r="G262" s="158">
        <v>0</v>
      </c>
      <c r="H262" s="115">
        <f t="shared" si="45"/>
        <v>0</v>
      </c>
      <c r="I262" s="159">
        <f>SUMIFS(Arrival!M:M,Arrival!K:K,'Stock statement'!$C262)</f>
        <v>0</v>
      </c>
      <c r="J262" s="160">
        <f t="shared" si="46"/>
        <v>0</v>
      </c>
      <c r="K262" s="160">
        <f>SUMIFS(Arrival!R:R,Arrival!K:K,'Stock statement'!$C262)</f>
        <v>0</v>
      </c>
      <c r="L262" s="160">
        <f t="shared" si="47"/>
        <v>0</v>
      </c>
      <c r="M262" s="160">
        <f t="shared" si="48"/>
        <v>0</v>
      </c>
      <c r="N262" s="161">
        <f t="shared" si="49"/>
        <v>0</v>
      </c>
      <c r="O262" s="159">
        <f t="shared" si="50"/>
        <v>0</v>
      </c>
      <c r="P262" s="162">
        <f t="shared" si="51"/>
        <v>0</v>
      </c>
      <c r="Q262" s="162">
        <f t="shared" si="52"/>
        <v>0</v>
      </c>
      <c r="R262" s="160">
        <f>IFERROR(VLOOKUP(C262,'Monthly Op &amp; Clo Stock (invoic)'!A:C,3,0),0)</f>
        <v>0</v>
      </c>
      <c r="S262" s="163">
        <f t="shared" si="53"/>
        <v>0</v>
      </c>
      <c r="T262" s="162">
        <f t="shared" si="54"/>
        <v>0</v>
      </c>
      <c r="U262" s="16"/>
      <c r="V262" s="71"/>
      <c r="W262" s="16"/>
    </row>
    <row r="263" spans="1:24">
      <c r="A263" s="35"/>
      <c r="B263" s="35"/>
      <c r="C263" s="157">
        <v>214009</v>
      </c>
      <c r="D263" s="157">
        <v>214009</v>
      </c>
      <c r="E263" s="36" t="s">
        <v>827</v>
      </c>
      <c r="F263" s="98">
        <v>0</v>
      </c>
      <c r="G263" s="158">
        <v>0</v>
      </c>
      <c r="H263" s="115">
        <f t="shared" si="45"/>
        <v>0</v>
      </c>
      <c r="I263" s="159">
        <f>SUMIFS(Arrival!M:M,Arrival!K:K,'Stock statement'!$C263)</f>
        <v>0</v>
      </c>
      <c r="J263" s="160">
        <f t="shared" si="46"/>
        <v>0</v>
      </c>
      <c r="K263" s="160">
        <f>SUMIFS(Arrival!R:R,Arrival!K:K,'Stock statement'!$C263)</f>
        <v>0</v>
      </c>
      <c r="L263" s="160">
        <f t="shared" si="47"/>
        <v>0</v>
      </c>
      <c r="M263" s="160">
        <f t="shared" si="48"/>
        <v>0</v>
      </c>
      <c r="N263" s="161">
        <f t="shared" si="49"/>
        <v>0</v>
      </c>
      <c r="O263" s="159">
        <f t="shared" si="50"/>
        <v>0</v>
      </c>
      <c r="P263" s="162">
        <f t="shared" si="51"/>
        <v>0</v>
      </c>
      <c r="Q263" s="162">
        <f t="shared" si="52"/>
        <v>0</v>
      </c>
      <c r="R263" s="160">
        <f>IFERROR(VLOOKUP(C263,'Monthly Op &amp; Clo Stock (invoic)'!A:C,3,0),0)</f>
        <v>0</v>
      </c>
      <c r="S263" s="163">
        <f t="shared" si="53"/>
        <v>0</v>
      </c>
      <c r="T263" s="162">
        <f t="shared" si="54"/>
        <v>0</v>
      </c>
      <c r="U263" s="16"/>
      <c r="V263" s="71"/>
      <c r="W263" s="16"/>
    </row>
    <row r="264" spans="1:24">
      <c r="A264" s="35"/>
      <c r="B264" s="35"/>
      <c r="C264" s="157">
        <v>214007</v>
      </c>
      <c r="D264" s="157">
        <v>214007</v>
      </c>
      <c r="E264" s="36" t="s">
        <v>828</v>
      </c>
      <c r="F264" s="98">
        <v>0</v>
      </c>
      <c r="G264" s="158">
        <v>0</v>
      </c>
      <c r="H264" s="115">
        <f t="shared" si="45"/>
        <v>0</v>
      </c>
      <c r="I264" s="159">
        <f>SUMIFS(Arrival!M:M,Arrival!K:K,'Stock statement'!$C264)</f>
        <v>0</v>
      </c>
      <c r="J264" s="160">
        <f t="shared" si="46"/>
        <v>0</v>
      </c>
      <c r="K264" s="160">
        <f>SUMIFS(Arrival!R:R,Arrival!K:K,'Stock statement'!$C264)</f>
        <v>0</v>
      </c>
      <c r="L264" s="160">
        <f t="shared" si="47"/>
        <v>0</v>
      </c>
      <c r="M264" s="160">
        <f t="shared" si="48"/>
        <v>0</v>
      </c>
      <c r="N264" s="161">
        <f t="shared" si="49"/>
        <v>0</v>
      </c>
      <c r="O264" s="159">
        <f t="shared" si="50"/>
        <v>0</v>
      </c>
      <c r="P264" s="162">
        <f t="shared" si="51"/>
        <v>0</v>
      </c>
      <c r="Q264" s="162">
        <f t="shared" si="52"/>
        <v>0</v>
      </c>
      <c r="R264" s="160">
        <f>IFERROR(VLOOKUP(C264,'Monthly Op &amp; Clo Stock (invoic)'!A:C,3,0),0)</f>
        <v>0</v>
      </c>
      <c r="S264" s="163">
        <f t="shared" si="53"/>
        <v>0</v>
      </c>
      <c r="T264" s="162">
        <f t="shared" si="54"/>
        <v>0</v>
      </c>
      <c r="U264" s="16"/>
      <c r="V264" s="71"/>
      <c r="W264" s="16"/>
    </row>
    <row r="265" spans="1:24">
      <c r="A265" s="35"/>
      <c r="B265" s="35"/>
      <c r="C265" s="157">
        <v>213981</v>
      </c>
      <c r="D265" s="157">
        <v>213981</v>
      </c>
      <c r="E265" s="36" t="s">
        <v>829</v>
      </c>
      <c r="F265" s="98">
        <v>0</v>
      </c>
      <c r="G265" s="158">
        <v>0</v>
      </c>
      <c r="H265" s="115">
        <f t="shared" si="45"/>
        <v>0</v>
      </c>
      <c r="I265" s="159">
        <f>SUMIFS(Arrival!M:M,Arrival!K:K,'Stock statement'!$C265)</f>
        <v>0</v>
      </c>
      <c r="J265" s="160">
        <f t="shared" si="46"/>
        <v>0</v>
      </c>
      <c r="K265" s="160">
        <f>SUMIFS(Arrival!R:R,Arrival!K:K,'Stock statement'!$C265)</f>
        <v>0</v>
      </c>
      <c r="L265" s="160">
        <f t="shared" si="47"/>
        <v>0</v>
      </c>
      <c r="M265" s="160">
        <f t="shared" si="48"/>
        <v>0</v>
      </c>
      <c r="N265" s="161">
        <f t="shared" si="49"/>
        <v>0</v>
      </c>
      <c r="O265" s="159">
        <f t="shared" si="50"/>
        <v>0</v>
      </c>
      <c r="P265" s="162">
        <f t="shared" si="51"/>
        <v>0</v>
      </c>
      <c r="Q265" s="162">
        <f t="shared" si="52"/>
        <v>0</v>
      </c>
      <c r="R265" s="160">
        <f>IFERROR(VLOOKUP(C265,'Monthly Op &amp; Clo Stock (invoic)'!A:C,3,0),0)</f>
        <v>0</v>
      </c>
      <c r="S265" s="163">
        <f t="shared" si="53"/>
        <v>0</v>
      </c>
      <c r="T265" s="162">
        <f t="shared" si="54"/>
        <v>0</v>
      </c>
      <c r="U265" s="16"/>
      <c r="V265" s="71"/>
      <c r="W265" s="16"/>
    </row>
    <row r="266" spans="1:24">
      <c r="A266" s="35"/>
      <c r="B266" s="35"/>
      <c r="C266" s="157">
        <v>214082</v>
      </c>
      <c r="D266" s="157">
        <v>214082</v>
      </c>
      <c r="E266" s="36" t="s">
        <v>830</v>
      </c>
      <c r="F266" s="98">
        <v>0</v>
      </c>
      <c r="G266" s="158">
        <v>0</v>
      </c>
      <c r="H266" s="115">
        <f t="shared" si="45"/>
        <v>0</v>
      </c>
      <c r="I266" s="159">
        <f>SUMIFS(Arrival!M:M,Arrival!K:K,'Stock statement'!$C266)</f>
        <v>8000</v>
      </c>
      <c r="J266" s="160">
        <f t="shared" si="46"/>
        <v>10.53</v>
      </c>
      <c r="K266" s="160">
        <f>SUMIFS(Arrival!R:R,Arrival!K:K,'Stock statement'!$C266)</f>
        <v>84240</v>
      </c>
      <c r="L266" s="160">
        <f t="shared" si="47"/>
        <v>8000</v>
      </c>
      <c r="M266" s="160">
        <f t="shared" si="48"/>
        <v>10.53</v>
      </c>
      <c r="N266" s="161">
        <f t="shared" si="49"/>
        <v>84240</v>
      </c>
      <c r="O266" s="159">
        <f t="shared" si="50"/>
        <v>8000</v>
      </c>
      <c r="P266" s="162">
        <f t="shared" si="51"/>
        <v>10.53</v>
      </c>
      <c r="Q266" s="162">
        <f t="shared" si="52"/>
        <v>84240</v>
      </c>
      <c r="R266" s="160">
        <f>IFERROR(VLOOKUP(C266,'Monthly Op &amp; Clo Stock (invoic)'!A:C,3,0),0)</f>
        <v>0</v>
      </c>
      <c r="S266" s="163">
        <f t="shared" si="53"/>
        <v>10.53</v>
      </c>
      <c r="T266" s="162">
        <f t="shared" si="54"/>
        <v>0</v>
      </c>
      <c r="U266" s="16"/>
      <c r="V266" s="71"/>
      <c r="W266" s="16"/>
    </row>
    <row r="267" spans="1:24">
      <c r="A267" s="35"/>
      <c r="B267" s="35"/>
      <c r="C267" s="157">
        <v>214083</v>
      </c>
      <c r="D267" s="157">
        <v>214083</v>
      </c>
      <c r="E267" s="36" t="s">
        <v>831</v>
      </c>
      <c r="F267" s="98">
        <v>0</v>
      </c>
      <c r="G267" s="158">
        <v>0</v>
      </c>
      <c r="H267" s="115">
        <f t="shared" si="45"/>
        <v>0</v>
      </c>
      <c r="I267" s="159">
        <f>SUMIFS(Arrival!M:M,Arrival!K:K,'Stock statement'!$C267)</f>
        <v>2000</v>
      </c>
      <c r="J267" s="160">
        <f t="shared" si="46"/>
        <v>36.700000000000003</v>
      </c>
      <c r="K267" s="160">
        <f>SUMIFS(Arrival!R:R,Arrival!K:K,'Stock statement'!$C267)</f>
        <v>73400</v>
      </c>
      <c r="L267" s="160">
        <f t="shared" si="47"/>
        <v>2000</v>
      </c>
      <c r="M267" s="160">
        <f t="shared" si="48"/>
        <v>36.700000000000003</v>
      </c>
      <c r="N267" s="161">
        <f t="shared" si="49"/>
        <v>73400</v>
      </c>
      <c r="O267" s="159">
        <f t="shared" si="50"/>
        <v>2000</v>
      </c>
      <c r="P267" s="162">
        <f t="shared" si="51"/>
        <v>36.700000000000003</v>
      </c>
      <c r="Q267" s="162">
        <f t="shared" si="52"/>
        <v>73400</v>
      </c>
      <c r="R267" s="160">
        <f>IFERROR(VLOOKUP(C267,'Monthly Op &amp; Clo Stock (invoic)'!A:C,3,0),0)</f>
        <v>0</v>
      </c>
      <c r="S267" s="163">
        <f t="shared" si="53"/>
        <v>36.700000000000003</v>
      </c>
      <c r="T267" s="162">
        <f t="shared" si="54"/>
        <v>0</v>
      </c>
      <c r="U267" s="16"/>
      <c r="V267" s="71"/>
      <c r="W267" s="16"/>
    </row>
    <row r="268" spans="1:24">
      <c r="A268" s="35"/>
      <c r="B268" s="35"/>
      <c r="C268" s="157">
        <v>115150</v>
      </c>
      <c r="D268" s="157">
        <v>115150</v>
      </c>
      <c r="E268" s="36" t="s">
        <v>159</v>
      </c>
      <c r="F268" s="98">
        <v>2595.27</v>
      </c>
      <c r="G268" s="158">
        <v>457.58123354653765</v>
      </c>
      <c r="H268" s="115">
        <f t="shared" si="45"/>
        <v>1187546.8479863228</v>
      </c>
      <c r="I268" s="159">
        <f>SUMIFS(Arrival!M:M,Arrival!K:K,'Stock statement'!$C268)</f>
        <v>1000</v>
      </c>
      <c r="J268" s="160">
        <f t="shared" si="46"/>
        <v>453</v>
      </c>
      <c r="K268" s="160">
        <f>SUMIFS(Arrival!R:R,Arrival!K:K,'Stock statement'!$C268)</f>
        <v>453000</v>
      </c>
      <c r="L268" s="160">
        <f t="shared" si="47"/>
        <v>3595.27</v>
      </c>
      <c r="M268" s="160">
        <f t="shared" si="48"/>
        <v>456.30699446392703</v>
      </c>
      <c r="N268" s="161">
        <f t="shared" si="49"/>
        <v>1640546.8479863228</v>
      </c>
      <c r="O268" s="159">
        <f t="shared" si="50"/>
        <v>1012.5300000000002</v>
      </c>
      <c r="P268" s="162">
        <f t="shared" si="51"/>
        <v>456.30699446392703</v>
      </c>
      <c r="Q268" s="162">
        <f t="shared" si="52"/>
        <v>462024.52110456012</v>
      </c>
      <c r="R268" s="160">
        <f>IFERROR(VLOOKUP(C268,'Monthly Op &amp; Clo Stock (invoic)'!A:C,3,0),0)</f>
        <v>2582.7399999999998</v>
      </c>
      <c r="S268" s="163">
        <f t="shared" si="53"/>
        <v>456.30699446392703</v>
      </c>
      <c r="T268" s="162">
        <f t="shared" si="54"/>
        <v>1178522.3268817628</v>
      </c>
      <c r="U268" s="16"/>
      <c r="V268" s="71"/>
      <c r="W268" s="16"/>
    </row>
    <row r="269" spans="1:24">
      <c r="A269" s="35"/>
      <c r="B269" s="35"/>
      <c r="C269" s="157">
        <v>214044</v>
      </c>
      <c r="D269" s="157">
        <v>214044</v>
      </c>
      <c r="E269" s="36" t="s">
        <v>832</v>
      </c>
      <c r="F269" s="98">
        <v>131</v>
      </c>
      <c r="G269" s="158">
        <v>189.53948832035593</v>
      </c>
      <c r="H269" s="115">
        <f t="shared" si="45"/>
        <v>24829.672969966628</v>
      </c>
      <c r="I269" s="159">
        <f>SUMIFS(Arrival!M:M,Arrival!K:K,'Stock statement'!$C269)</f>
        <v>1941.2</v>
      </c>
      <c r="J269" s="160">
        <f t="shared" si="46"/>
        <v>204</v>
      </c>
      <c r="K269" s="160">
        <f>SUMIFS(Arrival!R:R,Arrival!K:K,'Stock statement'!$C269)</f>
        <v>396004.8</v>
      </c>
      <c r="L269" s="160">
        <f t="shared" si="47"/>
        <v>2072.1999999999998</v>
      </c>
      <c r="M269" s="160">
        <f t="shared" si="48"/>
        <v>203.08583774247978</v>
      </c>
      <c r="N269" s="161">
        <f t="shared" si="49"/>
        <v>420834.47296996659</v>
      </c>
      <c r="O269" s="159">
        <f t="shared" si="50"/>
        <v>131.19999999999982</v>
      </c>
      <c r="P269" s="162">
        <f t="shared" si="51"/>
        <v>203.08583774247978</v>
      </c>
      <c r="Q269" s="162">
        <f t="shared" si="52"/>
        <v>26644.86191181331</v>
      </c>
      <c r="R269" s="160">
        <f>IFERROR(VLOOKUP(C269,'Monthly Op &amp; Clo Stock (invoic)'!A:C,3,0),0)</f>
        <v>1941</v>
      </c>
      <c r="S269" s="163">
        <f t="shared" si="53"/>
        <v>203.08583774247978</v>
      </c>
      <c r="T269" s="162">
        <f t="shared" si="54"/>
        <v>394189.61105815327</v>
      </c>
      <c r="U269" s="16"/>
      <c r="V269" s="71"/>
      <c r="W269" s="16"/>
    </row>
    <row r="270" spans="1:24">
      <c r="A270" s="35"/>
      <c r="B270" s="35"/>
      <c r="C270" s="157">
        <v>115152</v>
      </c>
      <c r="D270" s="157">
        <v>115152</v>
      </c>
      <c r="E270" s="36" t="s">
        <v>833</v>
      </c>
      <c r="F270" s="98">
        <v>3680</v>
      </c>
      <c r="G270" s="158">
        <v>341.17565217391302</v>
      </c>
      <c r="H270" s="115">
        <f t="shared" si="45"/>
        <v>1255526.3999999999</v>
      </c>
      <c r="I270" s="159">
        <f>SUMIFS(Arrival!M:M,Arrival!K:K,'Stock statement'!$C270)</f>
        <v>0</v>
      </c>
      <c r="J270" s="160">
        <f t="shared" si="46"/>
        <v>0</v>
      </c>
      <c r="K270" s="160">
        <f>SUMIFS(Arrival!R:R,Arrival!K:K,'Stock statement'!$C270)</f>
        <v>0</v>
      </c>
      <c r="L270" s="160">
        <f t="shared" si="47"/>
        <v>3680</v>
      </c>
      <c r="M270" s="160">
        <f t="shared" si="48"/>
        <v>341.17565217391302</v>
      </c>
      <c r="N270" s="161">
        <f t="shared" si="49"/>
        <v>1255526.3999999999</v>
      </c>
      <c r="O270" s="159">
        <f t="shared" si="50"/>
        <v>3322.3</v>
      </c>
      <c r="P270" s="162">
        <f t="shared" si="51"/>
        <v>341.17565217391302</v>
      </c>
      <c r="Q270" s="162">
        <f t="shared" si="52"/>
        <v>1133487.8692173914</v>
      </c>
      <c r="R270" s="160">
        <f>IFERROR(VLOOKUP(C270,'Monthly Op &amp; Clo Stock (invoic)'!A:C,3,0),0)</f>
        <v>357.7</v>
      </c>
      <c r="S270" s="163">
        <f t="shared" si="53"/>
        <v>341.17565217391302</v>
      </c>
      <c r="T270" s="162">
        <f t="shared" si="54"/>
        <v>122038.53078260868</v>
      </c>
      <c r="U270" s="16"/>
      <c r="V270" s="71"/>
      <c r="W270" s="16"/>
    </row>
    <row r="271" spans="1:24">
      <c r="A271" s="35"/>
      <c r="B271" s="35"/>
      <c r="C271" s="157">
        <v>214351</v>
      </c>
      <c r="D271" s="157">
        <v>214351</v>
      </c>
      <c r="E271" s="36" t="s">
        <v>834</v>
      </c>
      <c r="F271" s="98">
        <v>0</v>
      </c>
      <c r="G271" s="158">
        <v>0</v>
      </c>
      <c r="H271" s="115">
        <f t="shared" si="45"/>
        <v>0</v>
      </c>
      <c r="I271" s="159">
        <f>SUMIFS(Arrival!M:M,Arrival!K:K,'Stock statement'!$C271)</f>
        <v>0</v>
      </c>
      <c r="J271" s="160">
        <f t="shared" si="46"/>
        <v>0</v>
      </c>
      <c r="K271" s="160">
        <f>SUMIFS(Arrival!R:R,Arrival!K:K,'Stock statement'!$C271)</f>
        <v>0</v>
      </c>
      <c r="L271" s="160">
        <f t="shared" si="47"/>
        <v>0</v>
      </c>
      <c r="M271" s="160">
        <f t="shared" si="48"/>
        <v>0</v>
      </c>
      <c r="N271" s="161">
        <f t="shared" si="49"/>
        <v>0</v>
      </c>
      <c r="O271" s="159">
        <f t="shared" si="50"/>
        <v>0</v>
      </c>
      <c r="P271" s="162">
        <f t="shared" si="51"/>
        <v>0</v>
      </c>
      <c r="Q271" s="162">
        <f t="shared" si="52"/>
        <v>0</v>
      </c>
      <c r="R271" s="160">
        <f>IFERROR(VLOOKUP(C271,'Monthly Op &amp; Clo Stock (invoic)'!A:C,3,0),0)</f>
        <v>0</v>
      </c>
      <c r="S271" s="163">
        <f t="shared" si="53"/>
        <v>0</v>
      </c>
      <c r="T271" s="162">
        <f t="shared" si="54"/>
        <v>0</v>
      </c>
      <c r="U271" s="16"/>
      <c r="V271" s="71"/>
      <c r="W271" s="16"/>
    </row>
    <row r="272" spans="1:24">
      <c r="A272" s="35"/>
      <c r="B272" s="35"/>
      <c r="C272" s="157">
        <v>214350</v>
      </c>
      <c r="D272" s="157">
        <v>214350</v>
      </c>
      <c r="E272" s="36" t="s">
        <v>835</v>
      </c>
      <c r="F272" s="98">
        <v>0</v>
      </c>
      <c r="G272" s="158">
        <v>0</v>
      </c>
      <c r="H272" s="115">
        <f t="shared" ref="H272:H278" si="55">IFERROR(F272*G272,)</f>
        <v>0</v>
      </c>
      <c r="I272" s="159">
        <f>SUMIFS(Arrival!M:M,Arrival!K:K,'Stock statement'!$C272)</f>
        <v>0</v>
      </c>
      <c r="J272" s="160">
        <f t="shared" si="46"/>
        <v>0</v>
      </c>
      <c r="K272" s="160">
        <f>SUMIFS(Arrival!R:R,Arrival!K:K,'Stock statement'!$C272)</f>
        <v>0</v>
      </c>
      <c r="L272" s="160">
        <f t="shared" si="47"/>
        <v>0</v>
      </c>
      <c r="M272" s="160">
        <f t="shared" si="48"/>
        <v>0</v>
      </c>
      <c r="N272" s="161">
        <f t="shared" si="49"/>
        <v>0</v>
      </c>
      <c r="O272" s="159">
        <f t="shared" si="50"/>
        <v>0</v>
      </c>
      <c r="P272" s="162">
        <f t="shared" si="51"/>
        <v>0</v>
      </c>
      <c r="Q272" s="162">
        <f t="shared" si="52"/>
        <v>0</v>
      </c>
      <c r="R272" s="160">
        <f>IFERROR(VLOOKUP(C272,'Monthly Op &amp; Clo Stock (invoic)'!A:C,3,0),0)</f>
        <v>0</v>
      </c>
      <c r="S272" s="163">
        <f t="shared" si="53"/>
        <v>0</v>
      </c>
      <c r="T272" s="162">
        <f t="shared" si="54"/>
        <v>0</v>
      </c>
      <c r="U272" s="16"/>
      <c r="V272" s="71"/>
      <c r="W272" s="16"/>
    </row>
    <row r="273" spans="1:23">
      <c r="A273" s="35"/>
      <c r="B273" s="35"/>
      <c r="C273" s="157">
        <v>214349</v>
      </c>
      <c r="D273" s="157">
        <v>214349</v>
      </c>
      <c r="E273" s="36" t="s">
        <v>836</v>
      </c>
      <c r="F273" s="98">
        <v>0</v>
      </c>
      <c r="G273" s="158">
        <v>0</v>
      </c>
      <c r="H273" s="115">
        <f t="shared" si="55"/>
        <v>0</v>
      </c>
      <c r="I273" s="159">
        <f>SUMIFS(Arrival!M:M,Arrival!K:K,'Stock statement'!$C273)</f>
        <v>0</v>
      </c>
      <c r="J273" s="160">
        <f t="shared" si="46"/>
        <v>0</v>
      </c>
      <c r="K273" s="160">
        <f>SUMIFS(Arrival!R:R,Arrival!K:K,'Stock statement'!$C273)</f>
        <v>0</v>
      </c>
      <c r="L273" s="160">
        <f t="shared" si="47"/>
        <v>0</v>
      </c>
      <c r="M273" s="160">
        <f t="shared" si="48"/>
        <v>0</v>
      </c>
      <c r="N273" s="161">
        <f t="shared" si="49"/>
        <v>0</v>
      </c>
      <c r="O273" s="159">
        <f t="shared" si="50"/>
        <v>0</v>
      </c>
      <c r="P273" s="162">
        <f t="shared" si="51"/>
        <v>0</v>
      </c>
      <c r="Q273" s="162">
        <f t="shared" si="52"/>
        <v>0</v>
      </c>
      <c r="R273" s="160">
        <f>IFERROR(VLOOKUP(C273,'Monthly Op &amp; Clo Stock (invoic)'!A:C,3,0),0)</f>
        <v>0</v>
      </c>
      <c r="S273" s="163">
        <f t="shared" si="53"/>
        <v>0</v>
      </c>
      <c r="T273" s="162">
        <f t="shared" si="54"/>
        <v>0</v>
      </c>
      <c r="U273" s="16"/>
      <c r="V273" s="71"/>
      <c r="W273" s="16"/>
    </row>
    <row r="274" spans="1:23">
      <c r="A274" s="35"/>
      <c r="B274" s="35"/>
      <c r="C274" s="157">
        <v>214348</v>
      </c>
      <c r="D274" s="157">
        <v>214348</v>
      </c>
      <c r="E274" s="36" t="s">
        <v>837</v>
      </c>
      <c r="F274" s="98">
        <v>0</v>
      </c>
      <c r="G274" s="158">
        <v>0</v>
      </c>
      <c r="H274" s="115">
        <f t="shared" si="55"/>
        <v>0</v>
      </c>
      <c r="I274" s="159">
        <f>SUMIFS(Arrival!M:M,Arrival!K:K,'Stock statement'!$C274)</f>
        <v>0</v>
      </c>
      <c r="J274" s="160">
        <f t="shared" si="46"/>
        <v>0</v>
      </c>
      <c r="K274" s="160">
        <f>SUMIFS(Arrival!R:R,Arrival!K:K,'Stock statement'!$C274)</f>
        <v>0</v>
      </c>
      <c r="L274" s="160">
        <f t="shared" si="47"/>
        <v>0</v>
      </c>
      <c r="M274" s="160">
        <f t="shared" si="48"/>
        <v>0</v>
      </c>
      <c r="N274" s="161">
        <f t="shared" si="49"/>
        <v>0</v>
      </c>
      <c r="O274" s="159">
        <f t="shared" si="50"/>
        <v>0</v>
      </c>
      <c r="P274" s="162">
        <f t="shared" si="51"/>
        <v>0</v>
      </c>
      <c r="Q274" s="162">
        <f t="shared" si="52"/>
        <v>0</v>
      </c>
      <c r="R274" s="160">
        <f>IFERROR(VLOOKUP(C274,'Monthly Op &amp; Clo Stock (invoic)'!A:C,3,0),0)</f>
        <v>0</v>
      </c>
      <c r="S274" s="163">
        <f t="shared" si="53"/>
        <v>0</v>
      </c>
      <c r="T274" s="162">
        <f t="shared" si="54"/>
        <v>0</v>
      </c>
      <c r="U274" s="16"/>
      <c r="V274" s="71"/>
      <c r="W274" s="16"/>
    </row>
    <row r="275" spans="1:23">
      <c r="A275" s="35"/>
      <c r="B275" s="35"/>
      <c r="C275" s="157">
        <v>214257</v>
      </c>
      <c r="D275" s="157">
        <v>214257</v>
      </c>
      <c r="E275" s="36" t="s">
        <v>838</v>
      </c>
      <c r="F275" s="98">
        <v>0</v>
      </c>
      <c r="G275" s="158">
        <v>0</v>
      </c>
      <c r="H275" s="115">
        <f t="shared" si="55"/>
        <v>0</v>
      </c>
      <c r="I275" s="159">
        <f>SUMIFS(Arrival!M:M,Arrival!K:K,'Stock statement'!$C275)</f>
        <v>0</v>
      </c>
      <c r="J275" s="160">
        <f t="shared" si="46"/>
        <v>0</v>
      </c>
      <c r="K275" s="160">
        <f>SUMIFS(Arrival!R:R,Arrival!K:K,'Stock statement'!$C275)</f>
        <v>0</v>
      </c>
      <c r="L275" s="160">
        <f t="shared" si="47"/>
        <v>0</v>
      </c>
      <c r="M275" s="160">
        <f t="shared" si="48"/>
        <v>0</v>
      </c>
      <c r="N275" s="161">
        <f t="shared" si="49"/>
        <v>0</v>
      </c>
      <c r="O275" s="159">
        <f t="shared" si="50"/>
        <v>0</v>
      </c>
      <c r="P275" s="162">
        <f t="shared" si="51"/>
        <v>0</v>
      </c>
      <c r="Q275" s="162">
        <f t="shared" si="52"/>
        <v>0</v>
      </c>
      <c r="R275" s="160">
        <f>IFERROR(VLOOKUP(C275,'Monthly Op &amp; Clo Stock (invoic)'!A:C,3,0),0)</f>
        <v>0</v>
      </c>
      <c r="S275" s="163">
        <f t="shared" si="53"/>
        <v>0</v>
      </c>
      <c r="T275" s="162">
        <f t="shared" si="54"/>
        <v>0</v>
      </c>
      <c r="U275" s="16"/>
      <c r="V275" s="71"/>
      <c r="W275" s="16"/>
    </row>
    <row r="276" spans="1:23">
      <c r="A276" s="35"/>
      <c r="B276" s="35"/>
      <c r="C276" s="157">
        <v>214254</v>
      </c>
      <c r="D276" s="157">
        <v>214254</v>
      </c>
      <c r="E276" s="36" t="s">
        <v>839</v>
      </c>
      <c r="F276" s="98">
        <v>0</v>
      </c>
      <c r="G276" s="158">
        <v>0</v>
      </c>
      <c r="H276" s="115">
        <f t="shared" si="55"/>
        <v>0</v>
      </c>
      <c r="I276" s="159">
        <f>SUMIFS(Arrival!M:M,Arrival!K:K,'Stock statement'!$C276)</f>
        <v>0</v>
      </c>
      <c r="J276" s="160">
        <f t="shared" si="46"/>
        <v>0</v>
      </c>
      <c r="K276" s="160">
        <f>SUMIFS(Arrival!R:R,Arrival!K:K,'Stock statement'!$C276)</f>
        <v>0</v>
      </c>
      <c r="L276" s="160">
        <f t="shared" si="47"/>
        <v>0</v>
      </c>
      <c r="M276" s="160">
        <f t="shared" si="48"/>
        <v>0</v>
      </c>
      <c r="N276" s="161">
        <f t="shared" si="49"/>
        <v>0</v>
      </c>
      <c r="O276" s="159">
        <f t="shared" si="50"/>
        <v>0</v>
      </c>
      <c r="P276" s="162">
        <f t="shared" si="51"/>
        <v>0</v>
      </c>
      <c r="Q276" s="162">
        <f t="shared" si="52"/>
        <v>0</v>
      </c>
      <c r="R276" s="160">
        <f>IFERROR(VLOOKUP(C276,'Monthly Op &amp; Clo Stock (invoic)'!A:C,3,0),0)</f>
        <v>0</v>
      </c>
      <c r="S276" s="163">
        <f t="shared" si="53"/>
        <v>0</v>
      </c>
      <c r="T276" s="162">
        <f t="shared" si="54"/>
        <v>0</v>
      </c>
      <c r="U276" s="16"/>
      <c r="V276" s="71"/>
      <c r="W276" s="16"/>
    </row>
    <row r="277" spans="1:23">
      <c r="A277" s="35"/>
      <c r="B277" s="35"/>
      <c r="C277" s="157">
        <v>214255</v>
      </c>
      <c r="D277" s="157">
        <v>214255</v>
      </c>
      <c r="E277" s="36" t="s">
        <v>381</v>
      </c>
      <c r="F277" s="98">
        <v>9328</v>
      </c>
      <c r="G277" s="158">
        <v>244.44491940890222</v>
      </c>
      <c r="H277" s="115">
        <f t="shared" si="55"/>
        <v>2280182.2082462399</v>
      </c>
      <c r="I277" s="159">
        <f>SUMIFS(Arrival!M:M,Arrival!K:K,'Stock statement'!$C277)</f>
        <v>48761.18</v>
      </c>
      <c r="J277" s="160">
        <f t="shared" si="46"/>
        <v>241.17292690619874</v>
      </c>
      <c r="K277" s="160">
        <f>SUMIFS(Arrival!R:R,Arrival!K:K,'Stock statement'!$C277)</f>
        <v>11759876.5</v>
      </c>
      <c r="L277" s="160">
        <f t="shared" si="47"/>
        <v>58089.18</v>
      </c>
      <c r="M277" s="160">
        <f t="shared" si="48"/>
        <v>241.69834568582721</v>
      </c>
      <c r="N277" s="161">
        <f t="shared" si="49"/>
        <v>14040058.70824624</v>
      </c>
      <c r="O277" s="159">
        <f t="shared" si="50"/>
        <v>32833.360000000001</v>
      </c>
      <c r="P277" s="162">
        <f t="shared" si="51"/>
        <v>241.69834568582721</v>
      </c>
      <c r="Q277" s="162">
        <f t="shared" si="52"/>
        <v>7935768.7953072116</v>
      </c>
      <c r="R277" s="160">
        <f>IFERROR(VLOOKUP(C277,'Monthly Op &amp; Clo Stock (invoic)'!A:C,3,0),0)</f>
        <v>25255.82</v>
      </c>
      <c r="S277" s="163">
        <f t="shared" si="53"/>
        <v>241.69834568582721</v>
      </c>
      <c r="T277" s="162">
        <f t="shared" si="54"/>
        <v>6104289.9129390288</v>
      </c>
      <c r="U277" s="16"/>
      <c r="V277" s="71"/>
      <c r="W277" s="16"/>
    </row>
    <row r="278" spans="1:23">
      <c r="A278" s="35"/>
      <c r="B278" s="35"/>
      <c r="C278" s="157">
        <v>214252</v>
      </c>
      <c r="D278" s="157">
        <v>214252</v>
      </c>
      <c r="E278" s="36" t="s">
        <v>401</v>
      </c>
      <c r="F278" s="98">
        <v>0</v>
      </c>
      <c r="G278" s="158">
        <v>0</v>
      </c>
      <c r="H278" s="115">
        <f t="shared" si="55"/>
        <v>0</v>
      </c>
      <c r="I278" s="159">
        <f>SUMIFS(Arrival!M:M,Arrival!K:K,'Stock statement'!$C278)</f>
        <v>0</v>
      </c>
      <c r="J278" s="160">
        <f t="shared" si="46"/>
        <v>0</v>
      </c>
      <c r="K278" s="160">
        <f>SUMIFS(Arrival!R:R,Arrival!K:K,'Stock statement'!$C278)</f>
        <v>0</v>
      </c>
      <c r="L278" s="160">
        <f t="shared" si="47"/>
        <v>0</v>
      </c>
      <c r="M278" s="160">
        <f t="shared" si="48"/>
        <v>0</v>
      </c>
      <c r="N278" s="161">
        <f t="shared" si="49"/>
        <v>0</v>
      </c>
      <c r="O278" s="159">
        <f t="shared" si="50"/>
        <v>0</v>
      </c>
      <c r="P278" s="162">
        <f t="shared" si="51"/>
        <v>0</v>
      </c>
      <c r="Q278" s="162">
        <f t="shared" si="52"/>
        <v>0</v>
      </c>
      <c r="R278" s="160">
        <f>IFERROR(VLOOKUP(C278,'Monthly Op &amp; Clo Stock (invoic)'!A:C,3,0),0)</f>
        <v>0</v>
      </c>
      <c r="S278" s="163">
        <f t="shared" si="53"/>
        <v>0</v>
      </c>
      <c r="T278" s="162">
        <f t="shared" si="54"/>
        <v>0</v>
      </c>
      <c r="U278" s="16"/>
      <c r="V278" s="71"/>
      <c r="W278" s="16"/>
    </row>
    <row r="279" spans="1:23">
      <c r="A279" s="35"/>
      <c r="B279" s="35"/>
      <c r="C279" s="157">
        <v>214258</v>
      </c>
      <c r="D279" s="157">
        <v>214258</v>
      </c>
      <c r="E279" s="36" t="s">
        <v>402</v>
      </c>
      <c r="F279" s="98">
        <v>5471</v>
      </c>
      <c r="G279" s="158">
        <v>240.06615970104369</v>
      </c>
      <c r="H279" s="115">
        <f t="shared" ref="H279:H299" si="56">IFERROR(F279*G279,)</f>
        <v>1313401.95972441</v>
      </c>
      <c r="I279" s="159">
        <f>SUMIFS(Arrival!M:M,Arrival!K:K,'Stock statement'!$C279)</f>
        <v>5112.75</v>
      </c>
      <c r="J279" s="160">
        <f t="shared" si="46"/>
        <v>241.86505109774583</v>
      </c>
      <c r="K279" s="160">
        <f>SUMIFS(Arrival!R:R,Arrival!K:K,'Stock statement'!$C279)</f>
        <v>1236595.54</v>
      </c>
      <c r="L279" s="160">
        <f t="shared" si="47"/>
        <v>10583.75</v>
      </c>
      <c r="M279" s="160">
        <f t="shared" si="48"/>
        <v>240.93516000703059</v>
      </c>
      <c r="N279" s="161">
        <f t="shared" si="49"/>
        <v>2549997.49972441</v>
      </c>
      <c r="O279" s="159">
        <f t="shared" si="50"/>
        <v>5614.41</v>
      </c>
      <c r="P279" s="162">
        <f t="shared" si="51"/>
        <v>240.93516000703059</v>
      </c>
      <c r="Q279" s="162">
        <f t="shared" si="52"/>
        <v>1352708.7716950725</v>
      </c>
      <c r="R279" s="160">
        <f>IFERROR(VLOOKUP(C279,'Monthly Op &amp; Clo Stock (invoic)'!A:C,3,0),0)</f>
        <v>4969.34</v>
      </c>
      <c r="S279" s="163">
        <f t="shared" si="53"/>
        <v>240.93516000703059</v>
      </c>
      <c r="T279" s="162">
        <f t="shared" si="54"/>
        <v>1197288.7280293375</v>
      </c>
      <c r="U279" s="16"/>
      <c r="V279" s="71"/>
      <c r="W279" s="16"/>
    </row>
    <row r="280" spans="1:23">
      <c r="A280" s="35"/>
      <c r="B280" s="35"/>
      <c r="C280" s="157">
        <v>214256</v>
      </c>
      <c r="D280" s="157">
        <v>214256</v>
      </c>
      <c r="E280" s="36" t="s">
        <v>405</v>
      </c>
      <c r="F280" s="98">
        <v>5649</v>
      </c>
      <c r="G280" s="158">
        <v>237.88471984929899</v>
      </c>
      <c r="H280" s="115">
        <f t="shared" si="56"/>
        <v>1343810.78242869</v>
      </c>
      <c r="I280" s="159">
        <f>SUMIFS(Arrival!M:M,Arrival!K:K,'Stock statement'!$C280)</f>
        <v>3285</v>
      </c>
      <c r="J280" s="160">
        <f t="shared" si="46"/>
        <v>234</v>
      </c>
      <c r="K280" s="160">
        <f>SUMIFS(Arrival!R:R,Arrival!K:K,'Stock statement'!$C280)</f>
        <v>768690</v>
      </c>
      <c r="L280" s="160">
        <f t="shared" si="47"/>
        <v>8934</v>
      </c>
      <c r="M280" s="160">
        <f t="shared" si="48"/>
        <v>236.45632218812293</v>
      </c>
      <c r="N280" s="161">
        <f t="shared" si="49"/>
        <v>2112500.7824286902</v>
      </c>
      <c r="O280" s="159">
        <f t="shared" si="50"/>
        <v>5411.25</v>
      </c>
      <c r="P280" s="162">
        <f t="shared" si="51"/>
        <v>236.45632218812293</v>
      </c>
      <c r="Q280" s="162">
        <f t="shared" si="52"/>
        <v>1279524.2734404802</v>
      </c>
      <c r="R280" s="160">
        <f>IFERROR(VLOOKUP(C280,'Monthly Op &amp; Clo Stock (invoic)'!A:C,3,0),0)</f>
        <v>3522.75</v>
      </c>
      <c r="S280" s="163">
        <f t="shared" si="53"/>
        <v>236.45632218812293</v>
      </c>
      <c r="T280" s="162">
        <f t="shared" si="54"/>
        <v>832976.50898821</v>
      </c>
      <c r="U280" s="16"/>
      <c r="V280" s="71"/>
      <c r="W280" s="16"/>
    </row>
    <row r="281" spans="1:23">
      <c r="A281" s="35"/>
      <c r="B281" s="35"/>
      <c r="C281" s="157">
        <v>214378</v>
      </c>
      <c r="D281" s="157">
        <v>214378</v>
      </c>
      <c r="E281" s="36" t="s">
        <v>406</v>
      </c>
      <c r="F281" s="98">
        <v>6650</v>
      </c>
      <c r="G281" s="158">
        <v>41.089677069932002</v>
      </c>
      <c r="H281" s="115">
        <f t="shared" si="56"/>
        <v>273246.35251504782</v>
      </c>
      <c r="I281" s="159">
        <f>SUMIFS(Arrival!M:M,Arrival!K:K,'Stock statement'!$C281)</f>
        <v>6095</v>
      </c>
      <c r="J281" s="160">
        <f t="shared" si="46"/>
        <v>40.80025430680886</v>
      </c>
      <c r="K281" s="160">
        <f>SUMIFS(Arrival!R:R,Arrival!K:K,'Stock statement'!$C281)</f>
        <v>248677.55</v>
      </c>
      <c r="L281" s="160">
        <f t="shared" si="47"/>
        <v>12745</v>
      </c>
      <c r="M281" s="160">
        <f t="shared" si="48"/>
        <v>40.951267360929606</v>
      </c>
      <c r="N281" s="161">
        <f t="shared" si="49"/>
        <v>521923.90251504781</v>
      </c>
      <c r="O281" s="159">
        <f t="shared" si="50"/>
        <v>8725</v>
      </c>
      <c r="P281" s="162">
        <f t="shared" si="51"/>
        <v>40.951267360929606</v>
      </c>
      <c r="Q281" s="162">
        <f t="shared" si="52"/>
        <v>357299.80772411078</v>
      </c>
      <c r="R281" s="160">
        <f>IFERROR(VLOOKUP(C281,'Monthly Op &amp; Clo Stock (invoic)'!A:C,3,0),0)</f>
        <v>4020</v>
      </c>
      <c r="S281" s="163">
        <f t="shared" si="53"/>
        <v>40.951267360929606</v>
      </c>
      <c r="T281" s="162">
        <f t="shared" si="54"/>
        <v>164624.09479093703</v>
      </c>
      <c r="U281" s="16"/>
      <c r="V281" s="71"/>
      <c r="W281" s="16"/>
    </row>
    <row r="282" spans="1:23">
      <c r="A282" s="35"/>
      <c r="B282" s="35"/>
      <c r="C282" s="157">
        <v>214379</v>
      </c>
      <c r="D282" s="157">
        <v>214379</v>
      </c>
      <c r="E282" s="36" t="s">
        <v>403</v>
      </c>
      <c r="F282" s="98">
        <v>3410</v>
      </c>
      <c r="G282" s="158">
        <v>41.01</v>
      </c>
      <c r="H282" s="115">
        <f t="shared" si="56"/>
        <v>139844.1</v>
      </c>
      <c r="I282" s="159">
        <f>SUMIFS(Arrival!M:M,Arrival!K:K,'Stock statement'!$C282)</f>
        <v>5822</v>
      </c>
      <c r="J282" s="160">
        <f t="shared" si="46"/>
        <v>40.802456200618344</v>
      </c>
      <c r="K282" s="160">
        <f>SUMIFS(Arrival!R:R,Arrival!K:K,'Stock statement'!$C282)</f>
        <v>237551.9</v>
      </c>
      <c r="L282" s="160">
        <f t="shared" si="47"/>
        <v>9232</v>
      </c>
      <c r="M282" s="160">
        <f t="shared" si="48"/>
        <v>40.879116117850955</v>
      </c>
      <c r="N282" s="161">
        <f t="shared" si="49"/>
        <v>377396</v>
      </c>
      <c r="O282" s="159">
        <f t="shared" si="50"/>
        <v>5232</v>
      </c>
      <c r="P282" s="162">
        <f t="shared" si="51"/>
        <v>40.879116117850955</v>
      </c>
      <c r="Q282" s="162">
        <f t="shared" si="52"/>
        <v>213879.5355285962</v>
      </c>
      <c r="R282" s="160">
        <f>IFERROR(VLOOKUP(C282,'Monthly Op &amp; Clo Stock (invoic)'!A:C,3,0),0)</f>
        <v>4000</v>
      </c>
      <c r="S282" s="163">
        <f t="shared" si="53"/>
        <v>40.879116117850955</v>
      </c>
      <c r="T282" s="162">
        <f t="shared" si="54"/>
        <v>163516.46447140383</v>
      </c>
      <c r="U282" s="16"/>
      <c r="V282" s="71"/>
      <c r="W282" s="16"/>
    </row>
    <row r="283" spans="1:23">
      <c r="A283" s="35"/>
      <c r="B283" s="35"/>
      <c r="C283" s="157">
        <v>214376</v>
      </c>
      <c r="D283" s="157">
        <v>214376</v>
      </c>
      <c r="E283" s="36" t="s">
        <v>840</v>
      </c>
      <c r="F283" s="98">
        <v>9120</v>
      </c>
      <c r="G283" s="158">
        <v>28.395697897181194</v>
      </c>
      <c r="H283" s="115">
        <f t="shared" si="56"/>
        <v>258968.76482229249</v>
      </c>
      <c r="I283" s="159">
        <f>SUMIFS(Arrival!M:M,Arrival!K:K,'Stock statement'!$C283)</f>
        <v>25013</v>
      </c>
      <c r="J283" s="160">
        <f t="shared" si="46"/>
        <v>29.102029744532842</v>
      </c>
      <c r="K283" s="160">
        <f>SUMIFS(Arrival!R:R,Arrival!K:K,'Stock statement'!$C283)</f>
        <v>727929.07</v>
      </c>
      <c r="L283" s="160">
        <f t="shared" si="47"/>
        <v>34133</v>
      </c>
      <c r="M283" s="160">
        <f t="shared" si="48"/>
        <v>28.913304861052133</v>
      </c>
      <c r="N283" s="161">
        <f t="shared" si="49"/>
        <v>986897.83482229244</v>
      </c>
      <c r="O283" s="159">
        <f t="shared" si="50"/>
        <v>24313</v>
      </c>
      <c r="P283" s="162">
        <f t="shared" si="51"/>
        <v>28.913304861052133</v>
      </c>
      <c r="Q283" s="162">
        <f t="shared" si="52"/>
        <v>702969.18108676048</v>
      </c>
      <c r="R283" s="160">
        <f>IFERROR(VLOOKUP(C283,'Monthly Op &amp; Clo Stock (invoic)'!A:C,3,0),0)</f>
        <v>9820</v>
      </c>
      <c r="S283" s="163">
        <f t="shared" si="53"/>
        <v>28.913304861052133</v>
      </c>
      <c r="T283" s="162">
        <f t="shared" si="54"/>
        <v>283928.65373553196</v>
      </c>
      <c r="U283" s="16"/>
      <c r="V283" s="71"/>
      <c r="W283" s="16"/>
    </row>
    <row r="284" spans="1:23">
      <c r="A284" s="35"/>
      <c r="B284" s="35"/>
      <c r="C284" s="157">
        <v>214377</v>
      </c>
      <c r="D284" s="157">
        <v>214377</v>
      </c>
      <c r="E284" s="36" t="s">
        <v>841</v>
      </c>
      <c r="F284" s="98">
        <v>12380</v>
      </c>
      <c r="G284" s="158">
        <v>13.32107926172479</v>
      </c>
      <c r="H284" s="115">
        <f t="shared" si="56"/>
        <v>164914.96126015289</v>
      </c>
      <c r="I284" s="159">
        <f>SUMIFS(Arrival!M:M,Arrival!K:K,'Stock statement'!$C284)</f>
        <v>49710</v>
      </c>
      <c r="J284" s="160">
        <f t="shared" si="46"/>
        <v>13.895399316032993</v>
      </c>
      <c r="K284" s="160">
        <f>SUMIFS(Arrival!R:R,Arrival!K:K,'Stock statement'!$C284)</f>
        <v>690740.3</v>
      </c>
      <c r="L284" s="160">
        <f t="shared" si="47"/>
        <v>62090</v>
      </c>
      <c r="M284" s="160">
        <f t="shared" si="48"/>
        <v>13.780886797554404</v>
      </c>
      <c r="N284" s="161">
        <f t="shared" si="49"/>
        <v>855655.26126015291</v>
      </c>
      <c r="O284" s="159">
        <f t="shared" si="50"/>
        <v>49270</v>
      </c>
      <c r="P284" s="162">
        <f t="shared" si="51"/>
        <v>13.780886797554404</v>
      </c>
      <c r="Q284" s="162">
        <f t="shared" si="52"/>
        <v>678984.29251550545</v>
      </c>
      <c r="R284" s="160">
        <f>IFERROR(VLOOKUP(C284,'Monthly Op &amp; Clo Stock (invoic)'!A:C,3,0),0)</f>
        <v>12820</v>
      </c>
      <c r="S284" s="163">
        <f t="shared" si="53"/>
        <v>13.780886797554404</v>
      </c>
      <c r="T284" s="162">
        <f t="shared" si="54"/>
        <v>176670.96874464746</v>
      </c>
      <c r="U284" s="16"/>
      <c r="V284" s="71"/>
      <c r="W284" s="16"/>
    </row>
    <row r="285" spans="1:23">
      <c r="A285" s="35"/>
      <c r="B285" s="35"/>
      <c r="C285" s="157">
        <v>214301</v>
      </c>
      <c r="D285" s="157">
        <v>214301</v>
      </c>
      <c r="E285" s="36" t="s">
        <v>842</v>
      </c>
      <c r="F285" s="98">
        <v>0</v>
      </c>
      <c r="G285" s="158">
        <v>0</v>
      </c>
      <c r="H285" s="115">
        <f t="shared" si="56"/>
        <v>0</v>
      </c>
      <c r="I285" s="159">
        <f>SUMIFS(Arrival!M:M,Arrival!K:K,'Stock statement'!$C285)</f>
        <v>0</v>
      </c>
      <c r="J285" s="160">
        <f t="shared" si="46"/>
        <v>0</v>
      </c>
      <c r="K285" s="160">
        <f>SUMIFS(Arrival!R:R,Arrival!K:K,'Stock statement'!$C285)</f>
        <v>0</v>
      </c>
      <c r="L285" s="160">
        <f t="shared" si="47"/>
        <v>0</v>
      </c>
      <c r="M285" s="160">
        <f t="shared" si="48"/>
        <v>0</v>
      </c>
      <c r="N285" s="161">
        <f t="shared" si="49"/>
        <v>0</v>
      </c>
      <c r="O285" s="159">
        <f t="shared" si="50"/>
        <v>0</v>
      </c>
      <c r="P285" s="162">
        <f t="shared" si="51"/>
        <v>0</v>
      </c>
      <c r="Q285" s="162">
        <f t="shared" si="52"/>
        <v>0</v>
      </c>
      <c r="R285" s="160">
        <f>IFERROR(VLOOKUP(C285,'Monthly Op &amp; Clo Stock (invoic)'!A:C,3,0),0)</f>
        <v>0</v>
      </c>
      <c r="S285" s="163">
        <f t="shared" si="53"/>
        <v>0</v>
      </c>
      <c r="T285" s="162">
        <f t="shared" si="54"/>
        <v>0</v>
      </c>
      <c r="U285" s="16"/>
      <c r="V285" s="71"/>
      <c r="W285" s="16"/>
    </row>
    <row r="286" spans="1:23">
      <c r="A286" s="35"/>
      <c r="B286" s="35"/>
      <c r="C286" s="157">
        <v>214391</v>
      </c>
      <c r="D286" s="157">
        <v>214391</v>
      </c>
      <c r="E286" s="36" t="s">
        <v>843</v>
      </c>
      <c r="F286" s="98">
        <v>0</v>
      </c>
      <c r="G286" s="158">
        <v>0</v>
      </c>
      <c r="H286" s="115">
        <f t="shared" si="56"/>
        <v>0</v>
      </c>
      <c r="I286" s="159">
        <f>SUMIFS(Arrival!M:M,Arrival!K:K,'Stock statement'!$C286)</f>
        <v>0</v>
      </c>
      <c r="J286" s="160">
        <f t="shared" si="46"/>
        <v>0</v>
      </c>
      <c r="K286" s="160">
        <f>SUMIFS(Arrival!R:R,Arrival!K:K,'Stock statement'!$C286)</f>
        <v>0</v>
      </c>
      <c r="L286" s="160">
        <f t="shared" si="47"/>
        <v>0</v>
      </c>
      <c r="M286" s="160">
        <f t="shared" si="48"/>
        <v>0</v>
      </c>
      <c r="N286" s="161">
        <f t="shared" si="49"/>
        <v>0</v>
      </c>
      <c r="O286" s="159">
        <f t="shared" si="50"/>
        <v>0</v>
      </c>
      <c r="P286" s="162">
        <f t="shared" si="51"/>
        <v>0</v>
      </c>
      <c r="Q286" s="162">
        <f t="shared" si="52"/>
        <v>0</v>
      </c>
      <c r="R286" s="160">
        <f>IFERROR(VLOOKUP(C286,'Monthly Op &amp; Clo Stock (invoic)'!A:C,3,0),0)</f>
        <v>0</v>
      </c>
      <c r="S286" s="163">
        <f t="shared" si="53"/>
        <v>0</v>
      </c>
      <c r="T286" s="162">
        <f t="shared" si="54"/>
        <v>0</v>
      </c>
      <c r="U286" s="16"/>
      <c r="V286" s="71"/>
      <c r="W286" s="16"/>
    </row>
    <row r="287" spans="1:23">
      <c r="A287" s="35"/>
      <c r="B287" s="35"/>
      <c r="C287" s="157">
        <v>214382</v>
      </c>
      <c r="D287" s="157">
        <v>214382</v>
      </c>
      <c r="E287" s="36" t="s">
        <v>844</v>
      </c>
      <c r="F287" s="98">
        <v>0</v>
      </c>
      <c r="G287" s="158">
        <v>0</v>
      </c>
      <c r="H287" s="115">
        <f t="shared" si="56"/>
        <v>0</v>
      </c>
      <c r="I287" s="159">
        <f>SUMIFS(Arrival!M:M,Arrival!K:K,'Stock statement'!$C287)</f>
        <v>0</v>
      </c>
      <c r="J287" s="160">
        <f t="shared" si="46"/>
        <v>0</v>
      </c>
      <c r="K287" s="160">
        <f>SUMIFS(Arrival!R:R,Arrival!K:K,'Stock statement'!$C287)</f>
        <v>0</v>
      </c>
      <c r="L287" s="160">
        <f t="shared" si="47"/>
        <v>0</v>
      </c>
      <c r="M287" s="160">
        <f t="shared" si="48"/>
        <v>0</v>
      </c>
      <c r="N287" s="161">
        <f t="shared" si="49"/>
        <v>0</v>
      </c>
      <c r="O287" s="159">
        <f t="shared" si="50"/>
        <v>0</v>
      </c>
      <c r="P287" s="162">
        <f t="shared" si="51"/>
        <v>0</v>
      </c>
      <c r="Q287" s="162">
        <f t="shared" si="52"/>
        <v>0</v>
      </c>
      <c r="R287" s="160">
        <f>IFERROR(VLOOKUP(C287,'Monthly Op &amp; Clo Stock (invoic)'!A:C,3,0),0)</f>
        <v>0</v>
      </c>
      <c r="S287" s="163">
        <f t="shared" si="53"/>
        <v>0</v>
      </c>
      <c r="T287" s="162">
        <f t="shared" si="54"/>
        <v>0</v>
      </c>
      <c r="U287" s="16"/>
      <c r="V287" s="71"/>
      <c r="W287" s="16"/>
    </row>
    <row r="288" spans="1:23">
      <c r="A288" s="35"/>
      <c r="B288" s="35"/>
      <c r="C288" s="157">
        <v>214387</v>
      </c>
      <c r="D288" s="157">
        <v>214387</v>
      </c>
      <c r="E288" s="36" t="s">
        <v>845</v>
      </c>
      <c r="F288" s="98">
        <v>0</v>
      </c>
      <c r="G288" s="158">
        <v>0</v>
      </c>
      <c r="H288" s="115">
        <f t="shared" si="56"/>
        <v>0</v>
      </c>
      <c r="I288" s="159">
        <f>SUMIFS(Arrival!M:M,Arrival!K:K,'Stock statement'!$C288)</f>
        <v>0</v>
      </c>
      <c r="J288" s="160">
        <f t="shared" si="46"/>
        <v>0</v>
      </c>
      <c r="K288" s="160">
        <f>SUMIFS(Arrival!R:R,Arrival!K:K,'Stock statement'!$C288)</f>
        <v>0</v>
      </c>
      <c r="L288" s="160">
        <f t="shared" si="47"/>
        <v>0</v>
      </c>
      <c r="M288" s="160">
        <f t="shared" si="48"/>
        <v>0</v>
      </c>
      <c r="N288" s="161">
        <f t="shared" si="49"/>
        <v>0</v>
      </c>
      <c r="O288" s="159">
        <f t="shared" si="50"/>
        <v>0</v>
      </c>
      <c r="P288" s="162">
        <f t="shared" si="51"/>
        <v>0</v>
      </c>
      <c r="Q288" s="162">
        <f t="shared" si="52"/>
        <v>0</v>
      </c>
      <c r="R288" s="160">
        <f>IFERROR(VLOOKUP(C288,'Monthly Op &amp; Clo Stock (invoic)'!A:C,3,0),0)</f>
        <v>0</v>
      </c>
      <c r="S288" s="163">
        <f t="shared" si="53"/>
        <v>0</v>
      </c>
      <c r="T288" s="162">
        <f t="shared" si="54"/>
        <v>0</v>
      </c>
      <c r="U288" s="16"/>
      <c r="V288" s="71"/>
      <c r="W288" s="16"/>
    </row>
    <row r="289" spans="1:23">
      <c r="A289" s="35"/>
      <c r="B289" s="35"/>
      <c r="C289" s="157">
        <v>214380</v>
      </c>
      <c r="D289" s="157">
        <v>214380</v>
      </c>
      <c r="E289" s="36" t="s">
        <v>846</v>
      </c>
      <c r="F289" s="98">
        <v>0</v>
      </c>
      <c r="G289" s="158">
        <v>0</v>
      </c>
      <c r="H289" s="115">
        <f t="shared" si="56"/>
        <v>0</v>
      </c>
      <c r="I289" s="159">
        <f>SUMIFS(Arrival!M:M,Arrival!K:K,'Stock statement'!$C289)</f>
        <v>0</v>
      </c>
      <c r="J289" s="160">
        <f t="shared" si="46"/>
        <v>0</v>
      </c>
      <c r="K289" s="160">
        <f>SUMIFS(Arrival!R:R,Arrival!K:K,'Stock statement'!$C289)</f>
        <v>0</v>
      </c>
      <c r="L289" s="160">
        <f t="shared" si="47"/>
        <v>0</v>
      </c>
      <c r="M289" s="160">
        <f t="shared" si="48"/>
        <v>0</v>
      </c>
      <c r="N289" s="161">
        <f t="shared" si="49"/>
        <v>0</v>
      </c>
      <c r="O289" s="159">
        <f t="shared" si="50"/>
        <v>0</v>
      </c>
      <c r="P289" s="162">
        <f t="shared" si="51"/>
        <v>0</v>
      </c>
      <c r="Q289" s="162">
        <f t="shared" si="52"/>
        <v>0</v>
      </c>
      <c r="R289" s="160">
        <f>IFERROR(VLOOKUP(C289,'Monthly Op &amp; Clo Stock (invoic)'!A:C,3,0),0)</f>
        <v>0</v>
      </c>
      <c r="S289" s="163">
        <f t="shared" si="53"/>
        <v>0</v>
      </c>
      <c r="T289" s="162">
        <f t="shared" si="54"/>
        <v>0</v>
      </c>
      <c r="U289" s="16"/>
      <c r="V289" s="71"/>
      <c r="W289" s="16"/>
    </row>
    <row r="290" spans="1:23">
      <c r="A290" s="35"/>
      <c r="B290" s="35"/>
      <c r="C290" s="157">
        <v>214304</v>
      </c>
      <c r="D290" s="157">
        <v>214304</v>
      </c>
      <c r="E290" s="36" t="s">
        <v>847</v>
      </c>
      <c r="F290" s="98">
        <v>13500</v>
      </c>
      <c r="G290" s="158">
        <v>1.1299999999999997</v>
      </c>
      <c r="H290" s="115">
        <f t="shared" si="56"/>
        <v>15254.999999999996</v>
      </c>
      <c r="I290" s="159">
        <f>SUMIFS(Arrival!M:M,Arrival!K:K,'Stock statement'!$C290)</f>
        <v>0</v>
      </c>
      <c r="J290" s="160">
        <f t="shared" si="46"/>
        <v>0</v>
      </c>
      <c r="K290" s="160">
        <f>SUMIFS(Arrival!R:R,Arrival!K:K,'Stock statement'!$C290)</f>
        <v>0</v>
      </c>
      <c r="L290" s="160">
        <f t="shared" si="47"/>
        <v>13500</v>
      </c>
      <c r="M290" s="160">
        <f t="shared" si="48"/>
        <v>1.1299999999999997</v>
      </c>
      <c r="N290" s="161">
        <f t="shared" si="49"/>
        <v>15254.999999999996</v>
      </c>
      <c r="O290" s="159">
        <f t="shared" si="50"/>
        <v>10500</v>
      </c>
      <c r="P290" s="162">
        <f t="shared" si="51"/>
        <v>1.1299999999999997</v>
      </c>
      <c r="Q290" s="162">
        <f t="shared" si="52"/>
        <v>11864.999999999996</v>
      </c>
      <c r="R290" s="160">
        <f>IFERROR(VLOOKUP(C290,'Monthly Op &amp; Clo Stock (invoic)'!A:C,3,0),0)</f>
        <v>3000</v>
      </c>
      <c r="S290" s="163">
        <f t="shared" si="53"/>
        <v>1.1299999999999997</v>
      </c>
      <c r="T290" s="162">
        <f t="shared" si="54"/>
        <v>3389.9999999999991</v>
      </c>
      <c r="U290" s="16"/>
      <c r="V290" s="71"/>
      <c r="W290" s="16"/>
    </row>
    <row r="291" spans="1:23">
      <c r="A291" s="35"/>
      <c r="B291" s="35"/>
      <c r="C291" s="157">
        <v>214306</v>
      </c>
      <c r="D291" s="157">
        <v>214306</v>
      </c>
      <c r="E291" s="36" t="s">
        <v>848</v>
      </c>
      <c r="F291" s="98">
        <v>13500</v>
      </c>
      <c r="G291" s="158">
        <v>0.51</v>
      </c>
      <c r="H291" s="115">
        <f t="shared" si="56"/>
        <v>6885</v>
      </c>
      <c r="I291" s="159">
        <f>SUMIFS(Arrival!M:M,Arrival!K:K,'Stock statement'!$C291)</f>
        <v>0</v>
      </c>
      <c r="J291" s="160">
        <f t="shared" si="46"/>
        <v>0</v>
      </c>
      <c r="K291" s="160">
        <f>SUMIFS(Arrival!R:R,Arrival!K:K,'Stock statement'!$C291)</f>
        <v>0</v>
      </c>
      <c r="L291" s="160">
        <f t="shared" si="47"/>
        <v>13500</v>
      </c>
      <c r="M291" s="160">
        <f t="shared" si="48"/>
        <v>0.51</v>
      </c>
      <c r="N291" s="161">
        <f t="shared" si="49"/>
        <v>6885</v>
      </c>
      <c r="O291" s="159">
        <f t="shared" si="50"/>
        <v>11500</v>
      </c>
      <c r="P291" s="162">
        <f t="shared" si="51"/>
        <v>0.51</v>
      </c>
      <c r="Q291" s="162">
        <f t="shared" si="52"/>
        <v>5865</v>
      </c>
      <c r="R291" s="160">
        <f>IFERROR(VLOOKUP(C291,'Monthly Op &amp; Clo Stock (invoic)'!A:C,3,0),0)</f>
        <v>2000</v>
      </c>
      <c r="S291" s="163">
        <f t="shared" si="53"/>
        <v>0.51</v>
      </c>
      <c r="T291" s="162">
        <f t="shared" si="54"/>
        <v>1020</v>
      </c>
      <c r="U291" s="16"/>
      <c r="V291" s="71"/>
      <c r="W291" s="16"/>
    </row>
    <row r="292" spans="1:23">
      <c r="A292" s="35"/>
      <c r="B292" s="35"/>
      <c r="C292" s="157">
        <v>214253</v>
      </c>
      <c r="D292" s="157">
        <v>214253</v>
      </c>
      <c r="E292" s="36" t="s">
        <v>849</v>
      </c>
      <c r="F292" s="98">
        <v>0</v>
      </c>
      <c r="G292" s="158">
        <v>0</v>
      </c>
      <c r="H292" s="115">
        <f t="shared" si="56"/>
        <v>0</v>
      </c>
      <c r="I292" s="159">
        <f>SUMIFS(Arrival!M:M,Arrival!K:K,'Stock statement'!$C292)</f>
        <v>0</v>
      </c>
      <c r="J292" s="160">
        <f t="shared" si="46"/>
        <v>0</v>
      </c>
      <c r="K292" s="160">
        <f>SUMIFS(Arrival!R:R,Arrival!K:K,'Stock statement'!$C292)</f>
        <v>0</v>
      </c>
      <c r="L292" s="160">
        <f t="shared" si="47"/>
        <v>0</v>
      </c>
      <c r="M292" s="160">
        <f t="shared" si="48"/>
        <v>0</v>
      </c>
      <c r="N292" s="161">
        <f t="shared" si="49"/>
        <v>0</v>
      </c>
      <c r="O292" s="159">
        <f t="shared" si="50"/>
        <v>0</v>
      </c>
      <c r="P292" s="162">
        <f t="shared" si="51"/>
        <v>0</v>
      </c>
      <c r="Q292" s="162">
        <f t="shared" si="52"/>
        <v>0</v>
      </c>
      <c r="R292" s="160">
        <f>IFERROR(VLOOKUP(C292,'Monthly Op &amp; Clo Stock (invoic)'!A:C,3,0),0)</f>
        <v>0</v>
      </c>
      <c r="S292" s="163">
        <f t="shared" si="53"/>
        <v>0</v>
      </c>
      <c r="T292" s="162">
        <f t="shared" si="54"/>
        <v>0</v>
      </c>
      <c r="U292" s="16"/>
      <c r="V292" s="71"/>
      <c r="W292" s="16"/>
    </row>
    <row r="293" spans="1:23">
      <c r="A293" s="35"/>
      <c r="B293" s="35"/>
      <c r="C293" s="157">
        <v>214305</v>
      </c>
      <c r="D293" s="157">
        <v>214305</v>
      </c>
      <c r="E293" s="36" t="s">
        <v>416</v>
      </c>
      <c r="F293" s="98">
        <v>0</v>
      </c>
      <c r="G293" s="158">
        <v>0.86229220126269268</v>
      </c>
      <c r="H293" s="115">
        <f t="shared" si="56"/>
        <v>0</v>
      </c>
      <c r="I293" s="159">
        <f>SUMIFS(Arrival!M:M,Arrival!K:K,'Stock statement'!$C293)</f>
        <v>115200</v>
      </c>
      <c r="J293" s="160">
        <f t="shared" si="46"/>
        <v>0.5</v>
      </c>
      <c r="K293" s="160">
        <f>SUMIFS(Arrival!R:R,Arrival!K:K,'Stock statement'!$C293)</f>
        <v>57600</v>
      </c>
      <c r="L293" s="160">
        <f t="shared" si="47"/>
        <v>115200</v>
      </c>
      <c r="M293" s="160">
        <f t="shared" si="48"/>
        <v>0.5</v>
      </c>
      <c r="N293" s="161">
        <f t="shared" si="49"/>
        <v>57600</v>
      </c>
      <c r="O293" s="159">
        <f t="shared" si="50"/>
        <v>0</v>
      </c>
      <c r="P293" s="162">
        <f t="shared" si="51"/>
        <v>0.5</v>
      </c>
      <c r="Q293" s="162">
        <f t="shared" si="52"/>
        <v>0</v>
      </c>
      <c r="R293" s="160">
        <f>IFERROR(VLOOKUP(C293,'Monthly Op &amp; Clo Stock (invoic)'!A:C,3,0),0)</f>
        <v>115200</v>
      </c>
      <c r="S293" s="163">
        <f t="shared" si="53"/>
        <v>0.5</v>
      </c>
      <c r="T293" s="162">
        <f t="shared" si="54"/>
        <v>57600</v>
      </c>
      <c r="U293" s="16"/>
      <c r="V293" s="71"/>
      <c r="W293" s="16"/>
    </row>
    <row r="294" spans="1:23">
      <c r="A294" s="35"/>
      <c r="B294" s="35"/>
      <c r="C294" s="157">
        <v>214392</v>
      </c>
      <c r="D294" s="157">
        <v>214392</v>
      </c>
      <c r="E294" s="36" t="s">
        <v>426</v>
      </c>
      <c r="F294" s="98">
        <v>12330</v>
      </c>
      <c r="G294" s="158">
        <v>3.0275369458128067</v>
      </c>
      <c r="H294" s="115">
        <f t="shared" si="56"/>
        <v>37329.530541871907</v>
      </c>
      <c r="I294" s="159">
        <f>SUMIFS(Arrival!M:M,Arrival!K:K,'Stock statement'!$C294)</f>
        <v>0</v>
      </c>
      <c r="J294" s="160">
        <f t="shared" si="46"/>
        <v>0</v>
      </c>
      <c r="K294" s="160">
        <f>SUMIFS(Arrival!R:R,Arrival!K:K,'Stock statement'!$C294)</f>
        <v>0</v>
      </c>
      <c r="L294" s="160">
        <f t="shared" si="47"/>
        <v>12330</v>
      </c>
      <c r="M294" s="160">
        <f t="shared" si="48"/>
        <v>3.0275369458128067</v>
      </c>
      <c r="N294" s="161">
        <f t="shared" si="49"/>
        <v>37329.530541871907</v>
      </c>
      <c r="O294" s="159">
        <f t="shared" si="50"/>
        <v>0</v>
      </c>
      <c r="P294" s="162">
        <f t="shared" si="51"/>
        <v>3.0275369458128067</v>
      </c>
      <c r="Q294" s="162">
        <f t="shared" si="52"/>
        <v>0</v>
      </c>
      <c r="R294" s="160">
        <f>IFERROR(VLOOKUP(C294,'Monthly Op &amp; Clo Stock (invoic)'!A:C,3,0),0)</f>
        <v>12330</v>
      </c>
      <c r="S294" s="163">
        <f t="shared" si="53"/>
        <v>3.0275369458128067</v>
      </c>
      <c r="T294" s="162">
        <f t="shared" si="54"/>
        <v>37329.530541871907</v>
      </c>
      <c r="U294" s="16"/>
      <c r="V294" s="71"/>
      <c r="W294" s="16"/>
    </row>
    <row r="295" spans="1:23">
      <c r="A295" s="35"/>
      <c r="B295" s="35"/>
      <c r="C295" s="157">
        <v>214322</v>
      </c>
      <c r="D295" s="157">
        <v>214322</v>
      </c>
      <c r="E295" s="36" t="s">
        <v>850</v>
      </c>
      <c r="F295" s="98">
        <v>0</v>
      </c>
      <c r="G295" s="158">
        <v>0</v>
      </c>
      <c r="H295" s="115">
        <f t="shared" si="56"/>
        <v>0</v>
      </c>
      <c r="I295" s="159">
        <f>SUMIFS(Arrival!M:M,Arrival!K:K,'Stock statement'!$C295)</f>
        <v>0</v>
      </c>
      <c r="J295" s="160">
        <f t="shared" si="46"/>
        <v>0</v>
      </c>
      <c r="K295" s="160">
        <f>SUMIFS(Arrival!R:R,Arrival!K:K,'Stock statement'!$C295)</f>
        <v>0</v>
      </c>
      <c r="L295" s="160">
        <f t="shared" si="47"/>
        <v>0</v>
      </c>
      <c r="M295" s="160">
        <f t="shared" si="48"/>
        <v>0</v>
      </c>
      <c r="N295" s="161">
        <f t="shared" si="49"/>
        <v>0</v>
      </c>
      <c r="O295" s="159">
        <f t="shared" si="50"/>
        <v>0</v>
      </c>
      <c r="P295" s="162">
        <f t="shared" si="51"/>
        <v>0</v>
      </c>
      <c r="Q295" s="162">
        <f t="shared" si="52"/>
        <v>0</v>
      </c>
      <c r="R295" s="160">
        <f>IFERROR(VLOOKUP(C295,'Monthly Op &amp; Clo Stock (invoic)'!A:C,3,0),0)</f>
        <v>0</v>
      </c>
      <c r="S295" s="163">
        <f t="shared" si="53"/>
        <v>0</v>
      </c>
      <c r="T295" s="162">
        <f t="shared" si="54"/>
        <v>0</v>
      </c>
      <c r="U295" s="16"/>
      <c r="V295" s="71"/>
      <c r="W295" s="16"/>
    </row>
    <row r="296" spans="1:23">
      <c r="A296" s="35"/>
      <c r="B296" s="35"/>
      <c r="C296" s="157">
        <v>214323</v>
      </c>
      <c r="D296" s="157">
        <v>214323</v>
      </c>
      <c r="E296" s="36" t="s">
        <v>851</v>
      </c>
      <c r="F296" s="98">
        <v>0</v>
      </c>
      <c r="G296" s="158">
        <v>0</v>
      </c>
      <c r="H296" s="115">
        <f t="shared" si="56"/>
        <v>0</v>
      </c>
      <c r="I296" s="159">
        <f>SUMIFS(Arrival!M:M,Arrival!K:K,'Stock statement'!$C296)</f>
        <v>0</v>
      </c>
      <c r="J296" s="160">
        <f t="shared" si="46"/>
        <v>0</v>
      </c>
      <c r="K296" s="160">
        <f>SUMIFS(Arrival!R:R,Arrival!K:K,'Stock statement'!$C296)</f>
        <v>0</v>
      </c>
      <c r="L296" s="160">
        <f t="shared" si="47"/>
        <v>0</v>
      </c>
      <c r="M296" s="160">
        <f t="shared" si="48"/>
        <v>0</v>
      </c>
      <c r="N296" s="161">
        <f t="shared" si="49"/>
        <v>0</v>
      </c>
      <c r="O296" s="159">
        <f t="shared" si="50"/>
        <v>0</v>
      </c>
      <c r="P296" s="162">
        <f t="shared" si="51"/>
        <v>0</v>
      </c>
      <c r="Q296" s="162">
        <f t="shared" si="52"/>
        <v>0</v>
      </c>
      <c r="R296" s="160">
        <f>IFERROR(VLOOKUP(C296,'Monthly Op &amp; Clo Stock (invoic)'!A:C,3,0),0)</f>
        <v>0</v>
      </c>
      <c r="S296" s="163">
        <f t="shared" si="53"/>
        <v>0</v>
      </c>
      <c r="T296" s="162">
        <f t="shared" si="54"/>
        <v>0</v>
      </c>
      <c r="U296" s="16"/>
      <c r="V296" s="71"/>
      <c r="W296" s="16"/>
    </row>
    <row r="297" spans="1:23">
      <c r="A297" s="35"/>
      <c r="B297" s="35"/>
      <c r="C297" s="157">
        <v>214325</v>
      </c>
      <c r="D297" s="157">
        <v>214325</v>
      </c>
      <c r="E297" s="36" t="s">
        <v>852</v>
      </c>
      <c r="F297" s="98">
        <v>0</v>
      </c>
      <c r="G297" s="158">
        <v>0</v>
      </c>
      <c r="H297" s="115">
        <f t="shared" si="56"/>
        <v>0</v>
      </c>
      <c r="I297" s="159">
        <f>SUMIFS(Arrival!M:M,Arrival!K:K,'Stock statement'!$C297)</f>
        <v>0</v>
      </c>
      <c r="J297" s="160">
        <f t="shared" si="46"/>
        <v>0</v>
      </c>
      <c r="K297" s="160">
        <f>SUMIFS(Arrival!R:R,Arrival!K:K,'Stock statement'!$C297)</f>
        <v>0</v>
      </c>
      <c r="L297" s="160">
        <f t="shared" si="47"/>
        <v>0</v>
      </c>
      <c r="M297" s="160">
        <f t="shared" si="48"/>
        <v>0</v>
      </c>
      <c r="N297" s="161">
        <f t="shared" si="49"/>
        <v>0</v>
      </c>
      <c r="O297" s="159">
        <f t="shared" si="50"/>
        <v>0</v>
      </c>
      <c r="P297" s="162">
        <f t="shared" si="51"/>
        <v>0</v>
      </c>
      <c r="Q297" s="162">
        <f t="shared" si="52"/>
        <v>0</v>
      </c>
      <c r="R297" s="160">
        <f>IFERROR(VLOOKUP(C297,'Monthly Op &amp; Clo Stock (invoic)'!A:C,3,0),0)</f>
        <v>0</v>
      </c>
      <c r="S297" s="163">
        <f t="shared" si="53"/>
        <v>0</v>
      </c>
      <c r="T297" s="162">
        <f t="shared" si="54"/>
        <v>0</v>
      </c>
      <c r="U297" s="16"/>
      <c r="V297" s="71"/>
      <c r="W297" s="16"/>
    </row>
    <row r="298" spans="1:23">
      <c r="A298" s="35"/>
      <c r="B298" s="35"/>
      <c r="C298" s="157">
        <v>214324</v>
      </c>
      <c r="D298" s="157">
        <v>214324</v>
      </c>
      <c r="E298" s="36" t="s">
        <v>853</v>
      </c>
      <c r="F298" s="98">
        <v>0</v>
      </c>
      <c r="G298" s="158">
        <v>0</v>
      </c>
      <c r="H298" s="115">
        <f t="shared" si="56"/>
        <v>0</v>
      </c>
      <c r="I298" s="159">
        <f>SUMIFS(Arrival!M:M,Arrival!K:K,'Stock statement'!$C298)</f>
        <v>0</v>
      </c>
      <c r="J298" s="160">
        <f t="shared" si="46"/>
        <v>0</v>
      </c>
      <c r="K298" s="160">
        <f>SUMIFS(Arrival!R:R,Arrival!K:K,'Stock statement'!$C298)</f>
        <v>0</v>
      </c>
      <c r="L298" s="160">
        <f t="shared" si="47"/>
        <v>0</v>
      </c>
      <c r="M298" s="160">
        <f t="shared" si="48"/>
        <v>0</v>
      </c>
      <c r="N298" s="161">
        <f t="shared" si="49"/>
        <v>0</v>
      </c>
      <c r="O298" s="159">
        <f t="shared" si="50"/>
        <v>0</v>
      </c>
      <c r="P298" s="162">
        <f t="shared" si="51"/>
        <v>0</v>
      </c>
      <c r="Q298" s="162">
        <f t="shared" si="52"/>
        <v>0</v>
      </c>
      <c r="R298" s="160">
        <f>IFERROR(VLOOKUP(C298,'Monthly Op &amp; Clo Stock (invoic)'!A:C,3,0),0)</f>
        <v>0</v>
      </c>
      <c r="S298" s="163">
        <f t="shared" si="53"/>
        <v>0</v>
      </c>
      <c r="T298" s="162">
        <f t="shared" si="54"/>
        <v>0</v>
      </c>
      <c r="U298" s="16"/>
      <c r="V298" s="71"/>
      <c r="W298" s="16"/>
    </row>
    <row r="299" spans="1:23">
      <c r="A299" s="35"/>
      <c r="B299" s="35"/>
      <c r="C299" s="157">
        <v>115322</v>
      </c>
      <c r="D299" s="157">
        <v>115322</v>
      </c>
      <c r="E299" s="36" t="s">
        <v>423</v>
      </c>
      <c r="F299" s="98">
        <v>1</v>
      </c>
      <c r="G299" s="158">
        <v>713.57285714285717</v>
      </c>
      <c r="H299" s="115">
        <f t="shared" si="56"/>
        <v>713.57285714285717</v>
      </c>
      <c r="I299" s="159">
        <f>SUMIFS(Arrival!M:M,Arrival!K:K,'Stock statement'!$C299)</f>
        <v>0</v>
      </c>
      <c r="J299" s="160">
        <f t="shared" si="46"/>
        <v>0</v>
      </c>
      <c r="K299" s="160">
        <f>SUMIFS(Arrival!R:R,Arrival!K:K,'Stock statement'!$C299)</f>
        <v>0</v>
      </c>
      <c r="L299" s="160">
        <f t="shared" si="47"/>
        <v>1</v>
      </c>
      <c r="M299" s="160">
        <f t="shared" si="48"/>
        <v>713.57285714285717</v>
      </c>
      <c r="N299" s="161">
        <f t="shared" si="49"/>
        <v>713.57285714285717</v>
      </c>
      <c r="O299" s="159">
        <f t="shared" si="50"/>
        <v>1</v>
      </c>
      <c r="P299" s="162">
        <f t="shared" si="51"/>
        <v>713.57285714285717</v>
      </c>
      <c r="Q299" s="162">
        <f t="shared" si="52"/>
        <v>713.57285714285717</v>
      </c>
      <c r="R299" s="160">
        <f>IFERROR(VLOOKUP(C299,'Monthly Op &amp; Clo Stock (invoic)'!A:C,3,0),0)</f>
        <v>0</v>
      </c>
      <c r="S299" s="163">
        <f t="shared" si="53"/>
        <v>713.57285714285717</v>
      </c>
      <c r="T299" s="162">
        <f t="shared" si="54"/>
        <v>0</v>
      </c>
      <c r="U299" s="16"/>
      <c r="V299" s="71"/>
      <c r="W299" s="16"/>
    </row>
    <row r="300" spans="1:23">
      <c r="A300" s="35"/>
      <c r="B300" s="35"/>
      <c r="C300" s="157">
        <v>115323</v>
      </c>
      <c r="D300" s="157">
        <v>115323</v>
      </c>
      <c r="E300" s="36" t="s">
        <v>424</v>
      </c>
      <c r="F300" s="98">
        <v>1.3</v>
      </c>
      <c r="G300" s="158">
        <v>2171.0526315789475</v>
      </c>
      <c r="H300" s="115">
        <f t="shared" ref="H300:H324" si="57">IFERROR(F300*G300,)</f>
        <v>2822.3684210526317</v>
      </c>
      <c r="I300" s="159">
        <f>SUMIFS(Arrival!M:M,Arrival!K:K,'Stock statement'!$C300)</f>
        <v>0</v>
      </c>
      <c r="J300" s="160">
        <f t="shared" si="46"/>
        <v>0</v>
      </c>
      <c r="K300" s="160">
        <f>SUMIFS(Arrival!R:R,Arrival!K:K,'Stock statement'!$C300)</f>
        <v>0</v>
      </c>
      <c r="L300" s="160">
        <f t="shared" si="47"/>
        <v>1.3</v>
      </c>
      <c r="M300" s="160">
        <f t="shared" si="48"/>
        <v>2171.0526315789475</v>
      </c>
      <c r="N300" s="161">
        <f t="shared" si="49"/>
        <v>2822.3684210526317</v>
      </c>
      <c r="O300" s="159">
        <f t="shared" si="50"/>
        <v>0</v>
      </c>
      <c r="P300" s="162">
        <f t="shared" si="51"/>
        <v>2171.0526315789475</v>
      </c>
      <c r="Q300" s="162">
        <f t="shared" si="52"/>
        <v>0</v>
      </c>
      <c r="R300" s="160">
        <f>IFERROR(VLOOKUP(C300,'Monthly Op &amp; Clo Stock (invoic)'!A:C,3,0),0)</f>
        <v>1.3</v>
      </c>
      <c r="S300" s="163">
        <f t="shared" si="53"/>
        <v>2171.0526315789475</v>
      </c>
      <c r="T300" s="162">
        <f t="shared" si="54"/>
        <v>2822.3684210526317</v>
      </c>
      <c r="U300" s="16"/>
      <c r="V300" s="71"/>
      <c r="W300" s="16"/>
    </row>
    <row r="301" spans="1:23">
      <c r="A301" s="35"/>
      <c r="B301" s="35"/>
      <c r="C301" s="157">
        <v>214397</v>
      </c>
      <c r="D301" s="157">
        <v>214397</v>
      </c>
      <c r="E301" s="36" t="s">
        <v>449</v>
      </c>
      <c r="F301" s="98">
        <v>0</v>
      </c>
      <c r="G301" s="158">
        <v>0</v>
      </c>
      <c r="H301" s="115">
        <f t="shared" si="57"/>
        <v>0</v>
      </c>
      <c r="I301" s="159">
        <f>SUMIFS(Arrival!M:M,Arrival!K:K,'Stock statement'!$C301)</f>
        <v>0</v>
      </c>
      <c r="J301" s="160">
        <f t="shared" si="46"/>
        <v>0</v>
      </c>
      <c r="K301" s="160">
        <f>SUMIFS(Arrival!R:R,Arrival!K:K,'Stock statement'!$C301)</f>
        <v>0</v>
      </c>
      <c r="L301" s="160">
        <f t="shared" si="47"/>
        <v>0</v>
      </c>
      <c r="M301" s="160">
        <f t="shared" si="48"/>
        <v>0</v>
      </c>
      <c r="N301" s="161">
        <f t="shared" si="49"/>
        <v>0</v>
      </c>
      <c r="O301" s="159">
        <f t="shared" si="50"/>
        <v>0</v>
      </c>
      <c r="P301" s="162">
        <f t="shared" si="51"/>
        <v>0</v>
      </c>
      <c r="Q301" s="162">
        <f t="shared" si="52"/>
        <v>0</v>
      </c>
      <c r="R301" s="160">
        <f>IFERROR(VLOOKUP(C301,'Monthly Op &amp; Clo Stock (invoic)'!A:C,3,0),0)</f>
        <v>0</v>
      </c>
      <c r="S301" s="163">
        <f t="shared" si="53"/>
        <v>0</v>
      </c>
      <c r="T301" s="162">
        <f t="shared" si="54"/>
        <v>0</v>
      </c>
      <c r="U301" s="16"/>
      <c r="V301" s="71"/>
      <c r="W301" s="16"/>
    </row>
    <row r="302" spans="1:23">
      <c r="A302" s="35"/>
      <c r="B302" s="35"/>
      <c r="C302" s="157">
        <v>214401</v>
      </c>
      <c r="D302" s="157">
        <v>214401</v>
      </c>
      <c r="E302" s="36" t="s">
        <v>854</v>
      </c>
      <c r="F302" s="98">
        <v>0</v>
      </c>
      <c r="G302" s="158">
        <v>0</v>
      </c>
      <c r="H302" s="115">
        <f t="shared" si="57"/>
        <v>0</v>
      </c>
      <c r="I302" s="159">
        <f>SUMIFS(Arrival!M:M,Arrival!K:K,'Stock statement'!$C302)</f>
        <v>0</v>
      </c>
      <c r="J302" s="160">
        <f t="shared" si="46"/>
        <v>0</v>
      </c>
      <c r="K302" s="160">
        <f>SUMIFS(Arrival!R:R,Arrival!K:K,'Stock statement'!$C302)</f>
        <v>0</v>
      </c>
      <c r="L302" s="160">
        <f t="shared" si="47"/>
        <v>0</v>
      </c>
      <c r="M302" s="160">
        <f t="shared" si="48"/>
        <v>0</v>
      </c>
      <c r="N302" s="161">
        <f t="shared" si="49"/>
        <v>0</v>
      </c>
      <c r="O302" s="159">
        <f t="shared" si="50"/>
        <v>0</v>
      </c>
      <c r="P302" s="162">
        <f t="shared" si="51"/>
        <v>0</v>
      </c>
      <c r="Q302" s="162">
        <f t="shared" si="52"/>
        <v>0</v>
      </c>
      <c r="R302" s="160">
        <f>IFERROR(VLOOKUP(C302,'Monthly Op &amp; Clo Stock (invoic)'!A:C,3,0),0)</f>
        <v>0</v>
      </c>
      <c r="S302" s="163">
        <f t="shared" si="53"/>
        <v>0</v>
      </c>
      <c r="T302" s="162">
        <f t="shared" si="54"/>
        <v>0</v>
      </c>
      <c r="U302" s="16"/>
      <c r="V302" s="71"/>
      <c r="W302" s="16"/>
    </row>
    <row r="303" spans="1:23">
      <c r="A303" s="35"/>
      <c r="B303" s="35"/>
      <c r="C303" s="157">
        <v>214430</v>
      </c>
      <c r="D303" s="157">
        <v>214430</v>
      </c>
      <c r="E303" s="36" t="s">
        <v>855</v>
      </c>
      <c r="F303" s="98">
        <v>0</v>
      </c>
      <c r="G303" s="158">
        <v>0</v>
      </c>
      <c r="H303" s="115">
        <f t="shared" si="57"/>
        <v>0</v>
      </c>
      <c r="I303" s="159">
        <f>SUMIFS(Arrival!M:M,Arrival!K:K,'Stock statement'!$C303)</f>
        <v>0</v>
      </c>
      <c r="J303" s="160">
        <f t="shared" si="46"/>
        <v>0</v>
      </c>
      <c r="K303" s="160">
        <f>SUMIFS(Arrival!R:R,Arrival!K:K,'Stock statement'!$C303)</f>
        <v>0</v>
      </c>
      <c r="L303" s="160">
        <f t="shared" si="47"/>
        <v>0</v>
      </c>
      <c r="M303" s="160">
        <f t="shared" si="48"/>
        <v>0</v>
      </c>
      <c r="N303" s="161">
        <f t="shared" si="49"/>
        <v>0</v>
      </c>
      <c r="O303" s="159">
        <f t="shared" si="50"/>
        <v>-1205</v>
      </c>
      <c r="P303" s="162">
        <f t="shared" si="51"/>
        <v>0</v>
      </c>
      <c r="Q303" s="162">
        <f t="shared" si="52"/>
        <v>0</v>
      </c>
      <c r="R303" s="210">
        <f>IFERROR(VLOOKUP(C303,'Monthly Op &amp; Clo Stock (invoic)'!A:C,3,0),0)</f>
        <v>1205</v>
      </c>
      <c r="S303" s="163">
        <f t="shared" si="53"/>
        <v>0</v>
      </c>
      <c r="T303" s="162">
        <f t="shared" si="54"/>
        <v>0</v>
      </c>
      <c r="U303" s="16"/>
      <c r="V303" s="71"/>
      <c r="W303" s="16"/>
    </row>
    <row r="304" spans="1:23">
      <c r="A304" s="35"/>
      <c r="B304" s="35"/>
      <c r="C304" s="157">
        <v>214442</v>
      </c>
      <c r="D304" s="157">
        <v>214442</v>
      </c>
      <c r="E304" s="36" t="s">
        <v>448</v>
      </c>
      <c r="F304" s="98">
        <v>2235</v>
      </c>
      <c r="G304" s="158">
        <v>19.8</v>
      </c>
      <c r="H304" s="115">
        <f t="shared" si="57"/>
        <v>44253</v>
      </c>
      <c r="I304" s="159">
        <f>SUMIFS(Arrival!M:M,Arrival!K:K,'Stock statement'!$C304)</f>
        <v>0</v>
      </c>
      <c r="J304" s="160">
        <f t="shared" si="46"/>
        <v>0</v>
      </c>
      <c r="K304" s="160">
        <f>SUMIFS(Arrival!R:R,Arrival!K:K,'Stock statement'!$C304)</f>
        <v>0</v>
      </c>
      <c r="L304" s="160">
        <f t="shared" si="47"/>
        <v>2235</v>
      </c>
      <c r="M304" s="160">
        <f t="shared" si="48"/>
        <v>19.8</v>
      </c>
      <c r="N304" s="161">
        <f t="shared" si="49"/>
        <v>44253</v>
      </c>
      <c r="O304" s="159">
        <f t="shared" si="50"/>
        <v>0</v>
      </c>
      <c r="P304" s="162">
        <f t="shared" si="51"/>
        <v>19.8</v>
      </c>
      <c r="Q304" s="162">
        <f t="shared" si="52"/>
        <v>0</v>
      </c>
      <c r="R304" s="160">
        <f>IFERROR(VLOOKUP(C304,'Monthly Op &amp; Clo Stock (invoic)'!A:C,3,0),0)</f>
        <v>2235</v>
      </c>
      <c r="S304" s="163">
        <f t="shared" si="53"/>
        <v>19.8</v>
      </c>
      <c r="T304" s="162">
        <f t="shared" si="54"/>
        <v>44253</v>
      </c>
      <c r="U304" s="16"/>
      <c r="V304" s="71"/>
      <c r="W304" s="16"/>
    </row>
    <row r="305" spans="1:23">
      <c r="A305" s="35"/>
      <c r="B305" s="35"/>
      <c r="C305" s="157">
        <v>214331</v>
      </c>
      <c r="D305" s="157">
        <v>214331</v>
      </c>
      <c r="E305" s="36" t="s">
        <v>856</v>
      </c>
      <c r="F305" s="98">
        <v>10850</v>
      </c>
      <c r="G305" s="158">
        <v>8.5993343999078107</v>
      </c>
      <c r="H305" s="115">
        <f t="shared" si="57"/>
        <v>93302.778238999745</v>
      </c>
      <c r="I305" s="159">
        <f>SUMIFS(Arrival!M:M,Arrival!K:K,'Stock statement'!$C305)</f>
        <v>0</v>
      </c>
      <c r="J305" s="160">
        <f t="shared" si="46"/>
        <v>0</v>
      </c>
      <c r="K305" s="160">
        <f>SUMIFS(Arrival!R:R,Arrival!K:K,'Stock statement'!$C305)</f>
        <v>0</v>
      </c>
      <c r="L305" s="160">
        <f t="shared" si="47"/>
        <v>10850</v>
      </c>
      <c r="M305" s="160">
        <f t="shared" si="48"/>
        <v>8.5993343999078107</v>
      </c>
      <c r="N305" s="161">
        <f t="shared" si="49"/>
        <v>93302.778238999745</v>
      </c>
      <c r="O305" s="159">
        <f t="shared" si="50"/>
        <v>3850</v>
      </c>
      <c r="P305" s="162">
        <f t="shared" si="51"/>
        <v>8.5993343999078107</v>
      </c>
      <c r="Q305" s="162">
        <f t="shared" si="52"/>
        <v>33107.437439645073</v>
      </c>
      <c r="R305" s="160">
        <f>IFERROR(VLOOKUP(C305,'Monthly Op &amp; Clo Stock (invoic)'!A:C,3,0),0)</f>
        <v>7000</v>
      </c>
      <c r="S305" s="163">
        <f t="shared" si="53"/>
        <v>8.5993343999078107</v>
      </c>
      <c r="T305" s="162">
        <f t="shared" si="54"/>
        <v>60195.340799354672</v>
      </c>
      <c r="U305" s="16"/>
      <c r="V305" s="71"/>
      <c r="W305" s="16"/>
    </row>
    <row r="306" spans="1:23">
      <c r="A306" s="35"/>
      <c r="B306" s="35"/>
      <c r="C306" s="157">
        <v>214302</v>
      </c>
      <c r="D306" s="157">
        <v>214302</v>
      </c>
      <c r="E306" s="36" t="s">
        <v>857</v>
      </c>
      <c r="F306" s="98">
        <v>12000</v>
      </c>
      <c r="G306" s="158">
        <v>0.53</v>
      </c>
      <c r="H306" s="115">
        <f t="shared" si="57"/>
        <v>6360</v>
      </c>
      <c r="I306" s="159">
        <f>SUMIFS(Arrival!M:M,Arrival!K:K,'Stock statement'!$C306)</f>
        <v>0</v>
      </c>
      <c r="J306" s="160">
        <f t="shared" si="46"/>
        <v>0</v>
      </c>
      <c r="K306" s="160">
        <f>SUMIFS(Arrival!R:R,Arrival!K:K,'Stock statement'!$C306)</f>
        <v>0</v>
      </c>
      <c r="L306" s="160">
        <f t="shared" si="47"/>
        <v>12000</v>
      </c>
      <c r="M306" s="160">
        <f t="shared" si="48"/>
        <v>0.53</v>
      </c>
      <c r="N306" s="161">
        <f t="shared" si="49"/>
        <v>6360</v>
      </c>
      <c r="O306" s="159">
        <f t="shared" si="50"/>
        <v>10500</v>
      </c>
      <c r="P306" s="162">
        <f t="shared" si="51"/>
        <v>0.53</v>
      </c>
      <c r="Q306" s="162">
        <f t="shared" si="52"/>
        <v>5565</v>
      </c>
      <c r="R306" s="160">
        <f>IFERROR(VLOOKUP(C306,'Monthly Op &amp; Clo Stock (invoic)'!A:C,3,0),0)</f>
        <v>1500</v>
      </c>
      <c r="S306" s="163">
        <f t="shared" si="53"/>
        <v>0.53</v>
      </c>
      <c r="T306" s="162">
        <f t="shared" si="54"/>
        <v>795</v>
      </c>
      <c r="U306" s="16"/>
      <c r="V306" s="71"/>
      <c r="W306" s="16"/>
    </row>
    <row r="307" spans="1:23">
      <c r="A307" s="35"/>
      <c r="B307" s="35"/>
      <c r="C307" s="157">
        <v>214303</v>
      </c>
      <c r="D307" s="157">
        <v>214303</v>
      </c>
      <c r="E307" s="36" t="s">
        <v>858</v>
      </c>
      <c r="F307" s="98">
        <v>16000</v>
      </c>
      <c r="G307" s="158">
        <v>0.3</v>
      </c>
      <c r="H307" s="115">
        <f t="shared" si="57"/>
        <v>4800</v>
      </c>
      <c r="I307" s="159">
        <f>SUMIFS(Arrival!M:M,Arrival!K:K,'Stock statement'!$C307)</f>
        <v>0</v>
      </c>
      <c r="J307" s="160">
        <f t="shared" si="46"/>
        <v>0</v>
      </c>
      <c r="K307" s="160">
        <f>SUMIFS(Arrival!R:R,Arrival!K:K,'Stock statement'!$C307)</f>
        <v>0</v>
      </c>
      <c r="L307" s="160">
        <f t="shared" si="47"/>
        <v>16000</v>
      </c>
      <c r="M307" s="160">
        <f t="shared" si="48"/>
        <v>0.3</v>
      </c>
      <c r="N307" s="161">
        <f t="shared" si="49"/>
        <v>4800</v>
      </c>
      <c r="O307" s="159">
        <f t="shared" si="50"/>
        <v>10800</v>
      </c>
      <c r="P307" s="162">
        <f t="shared" si="51"/>
        <v>0.3</v>
      </c>
      <c r="Q307" s="162">
        <f t="shared" si="52"/>
        <v>3240</v>
      </c>
      <c r="R307" s="160">
        <f>IFERROR(VLOOKUP(C307,'Monthly Op &amp; Clo Stock (invoic)'!A:C,3,0),0)</f>
        <v>5200</v>
      </c>
      <c r="S307" s="163">
        <f t="shared" si="53"/>
        <v>0.3</v>
      </c>
      <c r="T307" s="162">
        <f t="shared" si="54"/>
        <v>1560</v>
      </c>
      <c r="U307" s="16"/>
      <c r="V307" s="71"/>
      <c r="W307" s="16"/>
    </row>
    <row r="308" spans="1:23">
      <c r="A308" s="35"/>
      <c r="B308" s="35"/>
      <c r="C308" s="157">
        <v>211679</v>
      </c>
      <c r="D308" s="157">
        <v>211679</v>
      </c>
      <c r="E308" s="36" t="s">
        <v>698</v>
      </c>
      <c r="F308" s="98">
        <v>40000</v>
      </c>
      <c r="G308" s="158">
        <v>3.0514953713819963</v>
      </c>
      <c r="H308" s="115">
        <f t="shared" si="57"/>
        <v>122059.81485527985</v>
      </c>
      <c r="I308" s="159">
        <f>SUMIFS(Arrival!M:M,Arrival!K:K,'Stock statement'!$C308)</f>
        <v>0</v>
      </c>
      <c r="J308" s="160">
        <f t="shared" si="46"/>
        <v>0</v>
      </c>
      <c r="K308" s="160">
        <f>SUMIFS(Arrival!R:R,Arrival!K:K,'Stock statement'!$C308)</f>
        <v>0</v>
      </c>
      <c r="L308" s="160">
        <f t="shared" si="47"/>
        <v>40000</v>
      </c>
      <c r="M308" s="160">
        <f t="shared" si="48"/>
        <v>3.0514953713819963</v>
      </c>
      <c r="N308" s="161">
        <f t="shared" si="49"/>
        <v>122059.81485527985</v>
      </c>
      <c r="O308" s="159">
        <f t="shared" si="50"/>
        <v>36500</v>
      </c>
      <c r="P308" s="162">
        <f t="shared" si="51"/>
        <v>3.0514953713819963</v>
      </c>
      <c r="Q308" s="162">
        <f t="shared" si="52"/>
        <v>111379.58105544286</v>
      </c>
      <c r="R308" s="160">
        <f>IFERROR(VLOOKUP(C308,'Monthly Op &amp; Clo Stock (invoic)'!A:C,3,0),0)</f>
        <v>3500</v>
      </c>
      <c r="S308" s="163">
        <f t="shared" si="53"/>
        <v>3.0514953713819963</v>
      </c>
      <c r="T308" s="162">
        <f t="shared" si="54"/>
        <v>10680.233799836988</v>
      </c>
      <c r="U308" s="16"/>
      <c r="V308" s="71"/>
      <c r="W308" s="16"/>
    </row>
    <row r="309" spans="1:23">
      <c r="A309" s="35"/>
      <c r="B309" s="35"/>
      <c r="C309" s="157">
        <v>214393</v>
      </c>
      <c r="D309" s="157">
        <v>214393</v>
      </c>
      <c r="E309" s="36" t="s">
        <v>859</v>
      </c>
      <c r="F309" s="98">
        <v>2500</v>
      </c>
      <c r="G309" s="158">
        <v>3.8099993625023902</v>
      </c>
      <c r="H309" s="115">
        <f t="shared" si="57"/>
        <v>9524.9984062559761</v>
      </c>
      <c r="I309" s="159">
        <f>SUMIFS(Arrival!M:M,Arrival!K:K,'Stock statement'!$C309)</f>
        <v>0</v>
      </c>
      <c r="J309" s="160">
        <f t="shared" si="46"/>
        <v>0</v>
      </c>
      <c r="K309" s="160">
        <f>SUMIFS(Arrival!R:R,Arrival!K:K,'Stock statement'!$C309)</f>
        <v>0</v>
      </c>
      <c r="L309" s="160">
        <f t="shared" si="47"/>
        <v>2500</v>
      </c>
      <c r="M309" s="160">
        <f t="shared" si="48"/>
        <v>3.8099993625023902</v>
      </c>
      <c r="N309" s="161">
        <f t="shared" si="49"/>
        <v>9524.9984062559761</v>
      </c>
      <c r="O309" s="159">
        <f t="shared" si="50"/>
        <v>0</v>
      </c>
      <c r="P309" s="162">
        <f t="shared" si="51"/>
        <v>3.8099993625023902</v>
      </c>
      <c r="Q309" s="162">
        <f t="shared" si="52"/>
        <v>0</v>
      </c>
      <c r="R309" s="160">
        <f>IFERROR(VLOOKUP(C309,'Monthly Op &amp; Clo Stock (invoic)'!A:C,3,0),0)</f>
        <v>2500</v>
      </c>
      <c r="S309" s="163">
        <f t="shared" si="53"/>
        <v>3.8099993625023902</v>
      </c>
      <c r="T309" s="162">
        <f t="shared" si="54"/>
        <v>9524.9984062559761</v>
      </c>
      <c r="U309" s="16"/>
      <c r="V309" s="71"/>
      <c r="W309" s="16"/>
    </row>
    <row r="310" spans="1:23">
      <c r="A310" s="35"/>
      <c r="B310" s="35"/>
      <c r="C310" s="157">
        <v>214408</v>
      </c>
      <c r="D310" s="157">
        <v>214408</v>
      </c>
      <c r="E310" s="36" t="s">
        <v>425</v>
      </c>
      <c r="F310" s="98">
        <v>80</v>
      </c>
      <c r="G310" s="158">
        <v>81.03</v>
      </c>
      <c r="H310" s="115">
        <f t="shared" si="57"/>
        <v>6482.4</v>
      </c>
      <c r="I310" s="159">
        <f>SUMIFS(Arrival!M:M,Arrival!K:K,'Stock statement'!$C310)</f>
        <v>0</v>
      </c>
      <c r="J310" s="160">
        <f t="shared" si="46"/>
        <v>0</v>
      </c>
      <c r="K310" s="160">
        <f>SUMIFS(Arrival!R:R,Arrival!K:K,'Stock statement'!$C310)</f>
        <v>0</v>
      </c>
      <c r="L310" s="160">
        <f t="shared" si="47"/>
        <v>80</v>
      </c>
      <c r="M310" s="160">
        <f t="shared" si="48"/>
        <v>81.03</v>
      </c>
      <c r="N310" s="161">
        <f t="shared" si="49"/>
        <v>6482.4</v>
      </c>
      <c r="O310" s="159">
        <f t="shared" si="50"/>
        <v>0</v>
      </c>
      <c r="P310" s="162">
        <f t="shared" si="51"/>
        <v>81.03</v>
      </c>
      <c r="Q310" s="162">
        <f t="shared" si="52"/>
        <v>0</v>
      </c>
      <c r="R310" s="160">
        <f>IFERROR(VLOOKUP(C310,'Monthly Op &amp; Clo Stock (invoic)'!A:C,3,0),0)</f>
        <v>80</v>
      </c>
      <c r="S310" s="163">
        <f t="shared" si="53"/>
        <v>81.03</v>
      </c>
      <c r="T310" s="162">
        <f t="shared" si="54"/>
        <v>6482.4</v>
      </c>
      <c r="U310" s="16"/>
      <c r="V310" s="71"/>
      <c r="W310" s="16"/>
    </row>
    <row r="311" spans="1:23">
      <c r="A311" s="35"/>
      <c r="B311" s="35"/>
      <c r="C311" s="157">
        <v>214409</v>
      </c>
      <c r="D311" s="157">
        <v>214409</v>
      </c>
      <c r="E311" s="36" t="s">
        <v>860</v>
      </c>
      <c r="F311" s="98">
        <v>230</v>
      </c>
      <c r="G311" s="158">
        <v>103.62</v>
      </c>
      <c r="H311" s="115">
        <f t="shared" si="57"/>
        <v>23832.600000000002</v>
      </c>
      <c r="I311" s="159">
        <f>SUMIFS(Arrival!M:M,Arrival!K:K,'Stock statement'!$C311)</f>
        <v>0</v>
      </c>
      <c r="J311" s="160">
        <f t="shared" si="46"/>
        <v>0</v>
      </c>
      <c r="K311" s="160">
        <f>SUMIFS(Arrival!R:R,Arrival!K:K,'Stock statement'!$C311)</f>
        <v>0</v>
      </c>
      <c r="L311" s="160">
        <f t="shared" si="47"/>
        <v>230</v>
      </c>
      <c r="M311" s="160">
        <f t="shared" si="48"/>
        <v>103.62</v>
      </c>
      <c r="N311" s="161">
        <f t="shared" si="49"/>
        <v>23832.600000000002</v>
      </c>
      <c r="O311" s="159">
        <f t="shared" si="50"/>
        <v>0</v>
      </c>
      <c r="P311" s="162">
        <f t="shared" si="51"/>
        <v>103.62</v>
      </c>
      <c r="Q311" s="162">
        <f t="shared" si="52"/>
        <v>0</v>
      </c>
      <c r="R311" s="160">
        <f>IFERROR(VLOOKUP(C311,'Monthly Op &amp; Clo Stock (invoic)'!A:C,3,0),0)</f>
        <v>230</v>
      </c>
      <c r="S311" s="163">
        <f t="shared" si="53"/>
        <v>103.62</v>
      </c>
      <c r="T311" s="162">
        <f t="shared" si="54"/>
        <v>23832.600000000002</v>
      </c>
      <c r="U311" s="16"/>
      <c r="V311" s="71"/>
      <c r="W311" s="16"/>
    </row>
    <row r="312" spans="1:23">
      <c r="A312" s="35"/>
      <c r="B312" s="35"/>
      <c r="C312" s="157">
        <v>214326</v>
      </c>
      <c r="D312" s="157">
        <v>214326</v>
      </c>
      <c r="E312" s="36" t="s">
        <v>861</v>
      </c>
      <c r="F312" s="98">
        <v>0</v>
      </c>
      <c r="G312" s="158">
        <v>0</v>
      </c>
      <c r="H312" s="115">
        <f t="shared" ref="H312" si="58">IFERROR(F312*G312,)</f>
        <v>0</v>
      </c>
      <c r="I312" s="159">
        <f>SUMIFS(Arrival!M:M,Arrival!K:K,'Stock statement'!$C312)</f>
        <v>0</v>
      </c>
      <c r="J312" s="160">
        <f t="shared" si="46"/>
        <v>0</v>
      </c>
      <c r="K312" s="160">
        <f>SUMIFS(Arrival!R:R,Arrival!K:K,'Stock statement'!$C312)</f>
        <v>0</v>
      </c>
      <c r="L312" s="160">
        <f t="shared" si="47"/>
        <v>0</v>
      </c>
      <c r="M312" s="160">
        <f t="shared" si="48"/>
        <v>0</v>
      </c>
      <c r="N312" s="161">
        <f t="shared" si="49"/>
        <v>0</v>
      </c>
      <c r="O312" s="159">
        <f t="shared" si="50"/>
        <v>0</v>
      </c>
      <c r="P312" s="162">
        <f t="shared" si="51"/>
        <v>0</v>
      </c>
      <c r="Q312" s="162">
        <f t="shared" si="52"/>
        <v>0</v>
      </c>
      <c r="R312" s="160">
        <f>IFERROR(VLOOKUP(C312,'Monthly Op &amp; Clo Stock (invoic)'!A:C,3,0),0)</f>
        <v>0</v>
      </c>
      <c r="S312" s="163">
        <f t="shared" si="53"/>
        <v>0</v>
      </c>
      <c r="T312" s="162">
        <f t="shared" si="54"/>
        <v>0</v>
      </c>
      <c r="U312" s="16"/>
      <c r="V312" s="71"/>
      <c r="W312" s="16"/>
    </row>
    <row r="313" spans="1:23">
      <c r="A313" s="35"/>
      <c r="B313" s="35"/>
      <c r="C313" s="157">
        <v>214327</v>
      </c>
      <c r="D313" s="157">
        <v>214327</v>
      </c>
      <c r="E313" s="36" t="s">
        <v>862</v>
      </c>
      <c r="F313" s="98">
        <v>0</v>
      </c>
      <c r="G313" s="158">
        <v>0</v>
      </c>
      <c r="H313" s="115">
        <f t="shared" ref="H313" si="59">IFERROR(F313*G313,)</f>
        <v>0</v>
      </c>
      <c r="I313" s="159">
        <f>SUMIFS(Arrival!M:M,Arrival!K:K,'Stock statement'!$C313)</f>
        <v>0</v>
      </c>
      <c r="J313" s="160">
        <f t="shared" si="46"/>
        <v>0</v>
      </c>
      <c r="K313" s="160">
        <f>SUMIFS(Arrival!R:R,Arrival!K:K,'Stock statement'!$C313)</f>
        <v>0</v>
      </c>
      <c r="L313" s="160">
        <f t="shared" si="47"/>
        <v>0</v>
      </c>
      <c r="M313" s="160">
        <f t="shared" si="48"/>
        <v>0</v>
      </c>
      <c r="N313" s="161">
        <f t="shared" si="49"/>
        <v>0</v>
      </c>
      <c r="O313" s="159">
        <f t="shared" si="50"/>
        <v>0</v>
      </c>
      <c r="P313" s="162">
        <f t="shared" si="51"/>
        <v>0</v>
      </c>
      <c r="Q313" s="162">
        <f t="shared" si="52"/>
        <v>0</v>
      </c>
      <c r="R313" s="160">
        <f>IFERROR(VLOOKUP(C313,'Monthly Op &amp; Clo Stock (invoic)'!A:C,3,0),0)</f>
        <v>0</v>
      </c>
      <c r="S313" s="163">
        <f t="shared" si="53"/>
        <v>0</v>
      </c>
      <c r="T313" s="162">
        <f t="shared" si="54"/>
        <v>0</v>
      </c>
      <c r="U313" s="16"/>
      <c r="V313" s="71"/>
      <c r="W313" s="16"/>
    </row>
    <row r="314" spans="1:23">
      <c r="A314" s="35"/>
      <c r="B314" s="35"/>
      <c r="C314" s="157">
        <v>214405</v>
      </c>
      <c r="D314" s="157">
        <v>214405</v>
      </c>
      <c r="E314" s="36" t="s">
        <v>863</v>
      </c>
      <c r="F314" s="98">
        <v>11000</v>
      </c>
      <c r="G314" s="158">
        <v>1.8495454545454546</v>
      </c>
      <c r="H314" s="115">
        <f t="shared" ref="H314" si="60">IFERROR(F314*G314,)</f>
        <v>20345</v>
      </c>
      <c r="I314" s="159">
        <f>SUMIFS(Arrival!M:M,Arrival!K:K,'Stock statement'!$C314)</f>
        <v>0</v>
      </c>
      <c r="J314" s="160">
        <f t="shared" si="46"/>
        <v>0</v>
      </c>
      <c r="K314" s="160">
        <f>SUMIFS(Arrival!R:R,Arrival!K:K,'Stock statement'!$C314)</f>
        <v>0</v>
      </c>
      <c r="L314" s="160">
        <f t="shared" si="47"/>
        <v>11000</v>
      </c>
      <c r="M314" s="160">
        <f t="shared" si="48"/>
        <v>1.8495454545454546</v>
      </c>
      <c r="N314" s="161">
        <f t="shared" si="49"/>
        <v>20345</v>
      </c>
      <c r="O314" s="159">
        <f t="shared" si="50"/>
        <v>0</v>
      </c>
      <c r="P314" s="162">
        <f t="shared" si="51"/>
        <v>1.8495454545454546</v>
      </c>
      <c r="Q314" s="162">
        <f t="shared" si="52"/>
        <v>0</v>
      </c>
      <c r="R314" s="160">
        <f>IFERROR(VLOOKUP(C314,'Monthly Op &amp; Clo Stock (invoic)'!A:C,3,0),0)</f>
        <v>11000</v>
      </c>
      <c r="S314" s="163">
        <f t="shared" si="53"/>
        <v>1.8495454545454546</v>
      </c>
      <c r="T314" s="162">
        <f t="shared" si="54"/>
        <v>20345</v>
      </c>
      <c r="U314" s="16"/>
      <c r="V314" s="71"/>
      <c r="W314" s="16"/>
    </row>
    <row r="315" spans="1:23">
      <c r="A315" s="35"/>
      <c r="B315" s="35"/>
      <c r="C315" s="157">
        <v>214406</v>
      </c>
      <c r="D315" s="157">
        <v>214406</v>
      </c>
      <c r="E315" s="36" t="s">
        <v>864</v>
      </c>
      <c r="F315" s="98">
        <v>11000</v>
      </c>
      <c r="G315" s="158">
        <v>1.3995454545454546</v>
      </c>
      <c r="H315" s="115">
        <f t="shared" ref="H315" si="61">IFERROR(F315*G315,)</f>
        <v>15395.000000000002</v>
      </c>
      <c r="I315" s="159">
        <f>SUMIFS(Arrival!M:M,Arrival!K:K,'Stock statement'!$C315)</f>
        <v>0</v>
      </c>
      <c r="J315" s="160">
        <f t="shared" si="46"/>
        <v>0</v>
      </c>
      <c r="K315" s="160">
        <f>SUMIFS(Arrival!R:R,Arrival!K:K,'Stock statement'!$C315)</f>
        <v>0</v>
      </c>
      <c r="L315" s="160">
        <f t="shared" si="47"/>
        <v>11000</v>
      </c>
      <c r="M315" s="160">
        <f t="shared" si="48"/>
        <v>1.3995454545454546</v>
      </c>
      <c r="N315" s="161">
        <f t="shared" si="49"/>
        <v>15395.000000000002</v>
      </c>
      <c r="O315" s="159">
        <f t="shared" si="50"/>
        <v>0</v>
      </c>
      <c r="P315" s="162">
        <f t="shared" si="51"/>
        <v>1.3995454545454546</v>
      </c>
      <c r="Q315" s="162">
        <f t="shared" si="52"/>
        <v>0</v>
      </c>
      <c r="R315" s="160">
        <f>IFERROR(VLOOKUP(C315,'Monthly Op &amp; Clo Stock (invoic)'!A:C,3,0),0)</f>
        <v>11000</v>
      </c>
      <c r="S315" s="163">
        <f t="shared" si="53"/>
        <v>1.3995454545454546</v>
      </c>
      <c r="T315" s="162">
        <f t="shared" si="54"/>
        <v>15395.000000000002</v>
      </c>
      <c r="U315" s="16"/>
      <c r="V315" s="71"/>
      <c r="W315" s="16"/>
    </row>
    <row r="316" spans="1:23">
      <c r="A316" s="35"/>
      <c r="B316" s="35"/>
      <c r="C316" s="157">
        <v>214403</v>
      </c>
      <c r="D316" s="157">
        <v>214403</v>
      </c>
      <c r="E316" s="36" t="s">
        <v>428</v>
      </c>
      <c r="F316" s="98">
        <v>11000</v>
      </c>
      <c r="G316" s="158">
        <v>1.2004884453781515</v>
      </c>
      <c r="H316" s="115">
        <f t="shared" ref="H316:H317" si="62">IFERROR(F316*G316,)</f>
        <v>13205.372899159665</v>
      </c>
      <c r="I316" s="159">
        <f>SUMIFS(Arrival!M:M,Arrival!K:K,'Stock statement'!$C316)</f>
        <v>0</v>
      </c>
      <c r="J316" s="160">
        <f t="shared" si="46"/>
        <v>0</v>
      </c>
      <c r="K316" s="160">
        <f>SUMIFS(Arrival!R:R,Arrival!K:K,'Stock statement'!$C316)</f>
        <v>0</v>
      </c>
      <c r="L316" s="160">
        <f t="shared" si="47"/>
        <v>11000</v>
      </c>
      <c r="M316" s="160">
        <f t="shared" si="48"/>
        <v>1.2004884453781515</v>
      </c>
      <c r="N316" s="161">
        <f t="shared" si="49"/>
        <v>13205.372899159665</v>
      </c>
      <c r="O316" s="159">
        <f t="shared" si="50"/>
        <v>0</v>
      </c>
      <c r="P316" s="162">
        <f t="shared" si="51"/>
        <v>1.2004884453781515</v>
      </c>
      <c r="Q316" s="162">
        <f t="shared" si="52"/>
        <v>0</v>
      </c>
      <c r="R316" s="160">
        <f>IFERROR(VLOOKUP(C316,'Monthly Op &amp; Clo Stock (invoic)'!A:C,3,0),0)</f>
        <v>11000</v>
      </c>
      <c r="S316" s="163">
        <f t="shared" si="53"/>
        <v>1.2004884453781515</v>
      </c>
      <c r="T316" s="162">
        <f t="shared" si="54"/>
        <v>13205.372899159665</v>
      </c>
      <c r="U316" s="16"/>
      <c r="V316" s="71"/>
      <c r="W316" s="16"/>
    </row>
    <row r="317" spans="1:23">
      <c r="A317" s="35"/>
      <c r="B317" s="35"/>
      <c r="C317" s="157">
        <v>214404</v>
      </c>
      <c r="D317" s="157">
        <v>214404</v>
      </c>
      <c r="E317" s="36" t="s">
        <v>429</v>
      </c>
      <c r="F317" s="98">
        <v>11000</v>
      </c>
      <c r="G317" s="158">
        <v>0.91048844537815121</v>
      </c>
      <c r="H317" s="115">
        <f t="shared" si="62"/>
        <v>10015.372899159664</v>
      </c>
      <c r="I317" s="159">
        <f>SUMIFS(Arrival!M:M,Arrival!K:K,'Stock statement'!$C317)</f>
        <v>0</v>
      </c>
      <c r="J317" s="160">
        <f t="shared" si="46"/>
        <v>0</v>
      </c>
      <c r="K317" s="160">
        <f>SUMIFS(Arrival!R:R,Arrival!K:K,'Stock statement'!$C317)</f>
        <v>0</v>
      </c>
      <c r="L317" s="160">
        <f t="shared" si="47"/>
        <v>11000</v>
      </c>
      <c r="M317" s="160">
        <f t="shared" si="48"/>
        <v>0.91048844537815121</v>
      </c>
      <c r="N317" s="161">
        <f t="shared" si="49"/>
        <v>10015.372899159664</v>
      </c>
      <c r="O317" s="159">
        <f t="shared" si="50"/>
        <v>0</v>
      </c>
      <c r="P317" s="162">
        <f t="shared" si="51"/>
        <v>0.91048844537815121</v>
      </c>
      <c r="Q317" s="162">
        <f t="shared" si="52"/>
        <v>0</v>
      </c>
      <c r="R317" s="160">
        <f>IFERROR(VLOOKUP(C317,'Monthly Op &amp; Clo Stock (invoic)'!A:C,3,0),0)</f>
        <v>11000</v>
      </c>
      <c r="S317" s="163">
        <f t="shared" si="53"/>
        <v>0.91048844537815121</v>
      </c>
      <c r="T317" s="162">
        <f t="shared" si="54"/>
        <v>10015.372899159664</v>
      </c>
      <c r="U317" s="16"/>
      <c r="V317" s="71"/>
      <c r="W317" s="16"/>
    </row>
    <row r="318" spans="1:23">
      <c r="A318" s="35"/>
      <c r="B318" s="35"/>
      <c r="C318" s="157">
        <v>214394</v>
      </c>
      <c r="D318" s="157">
        <v>214394</v>
      </c>
      <c r="E318" s="36" t="s">
        <v>427</v>
      </c>
      <c r="F318" s="98">
        <v>20000</v>
      </c>
      <c r="G318" s="158">
        <v>3.88</v>
      </c>
      <c r="H318" s="115">
        <f t="shared" si="57"/>
        <v>77600</v>
      </c>
      <c r="I318" s="159">
        <f>SUMIFS(Arrival!M:M,Arrival!K:K,'Stock statement'!$C318)</f>
        <v>0</v>
      </c>
      <c r="J318" s="160">
        <f t="shared" si="46"/>
        <v>0</v>
      </c>
      <c r="K318" s="160">
        <f>SUMIFS(Arrival!R:R,Arrival!K:K,'Stock statement'!$C318)</f>
        <v>0</v>
      </c>
      <c r="L318" s="160">
        <f t="shared" si="47"/>
        <v>20000</v>
      </c>
      <c r="M318" s="160">
        <f t="shared" si="48"/>
        <v>3.88</v>
      </c>
      <c r="N318" s="161">
        <f t="shared" si="49"/>
        <v>77600</v>
      </c>
      <c r="O318" s="159">
        <f t="shared" si="50"/>
        <v>0</v>
      </c>
      <c r="P318" s="162">
        <f t="shared" si="51"/>
        <v>3.88</v>
      </c>
      <c r="Q318" s="162">
        <f t="shared" si="52"/>
        <v>0</v>
      </c>
      <c r="R318" s="160">
        <f>IFERROR(VLOOKUP(C318,'Monthly Op &amp; Clo Stock (invoic)'!A:C,3,0),0)</f>
        <v>20000</v>
      </c>
      <c r="S318" s="163">
        <f t="shared" si="53"/>
        <v>3.88</v>
      </c>
      <c r="T318" s="162">
        <f t="shared" si="54"/>
        <v>77600</v>
      </c>
      <c r="U318" s="16"/>
      <c r="V318" s="71"/>
      <c r="W318" s="16"/>
    </row>
    <row r="319" spans="1:23">
      <c r="A319" s="35" t="s">
        <v>138</v>
      </c>
      <c r="B319" s="35" t="s">
        <v>138</v>
      </c>
      <c r="C319" s="157">
        <v>115379</v>
      </c>
      <c r="D319" s="157">
        <v>115379</v>
      </c>
      <c r="E319" s="36" t="s">
        <v>865</v>
      </c>
      <c r="F319" s="98">
        <v>300</v>
      </c>
      <c r="G319" s="158">
        <v>298</v>
      </c>
      <c r="H319" s="115">
        <f t="shared" si="57"/>
        <v>89400</v>
      </c>
      <c r="I319" s="159">
        <f>SUMIFS(Arrival!M:M,Arrival!K:K,'Stock statement'!$C319)</f>
        <v>0</v>
      </c>
      <c r="J319" s="160">
        <f t="shared" si="46"/>
        <v>0</v>
      </c>
      <c r="K319" s="160">
        <f>SUMIFS(Arrival!R:R,Arrival!K:K,'Stock statement'!$C319)</f>
        <v>0</v>
      </c>
      <c r="L319" s="160">
        <f t="shared" si="47"/>
        <v>300</v>
      </c>
      <c r="M319" s="160">
        <f t="shared" si="48"/>
        <v>298</v>
      </c>
      <c r="N319" s="161">
        <f t="shared" si="49"/>
        <v>89400</v>
      </c>
      <c r="O319" s="159">
        <f t="shared" si="50"/>
        <v>0</v>
      </c>
      <c r="P319" s="162">
        <f t="shared" si="51"/>
        <v>298</v>
      </c>
      <c r="Q319" s="162">
        <f t="shared" si="52"/>
        <v>0</v>
      </c>
      <c r="R319" s="160">
        <f>IFERROR(VLOOKUP(C319,'Monthly Op &amp; Clo Stock (invoic)'!A:C,3,0),0)</f>
        <v>300</v>
      </c>
      <c r="S319" s="163">
        <f t="shared" si="53"/>
        <v>298</v>
      </c>
      <c r="T319" s="162">
        <f t="shared" si="54"/>
        <v>89400</v>
      </c>
      <c r="U319" s="16"/>
      <c r="V319" s="71"/>
      <c r="W319" s="16"/>
    </row>
    <row r="320" spans="1:23">
      <c r="A320" s="35" t="s">
        <v>138</v>
      </c>
      <c r="B320" s="35" t="s">
        <v>138</v>
      </c>
      <c r="C320" s="157">
        <v>115321</v>
      </c>
      <c r="D320" s="157">
        <v>115321</v>
      </c>
      <c r="E320" s="36" t="s">
        <v>421</v>
      </c>
      <c r="F320" s="98">
        <v>76.039999999999992</v>
      </c>
      <c r="G320" s="158">
        <v>983.99999999999977</v>
      </c>
      <c r="H320" s="115">
        <f t="shared" si="57"/>
        <v>74823.359999999971</v>
      </c>
      <c r="I320" s="159">
        <f>SUMIFS(Arrival!M:M,Arrival!K:K,'Stock statement'!$C320)</f>
        <v>0</v>
      </c>
      <c r="J320" s="160">
        <f t="shared" si="46"/>
        <v>0</v>
      </c>
      <c r="K320" s="160">
        <f>SUMIFS(Arrival!R:R,Arrival!K:K,'Stock statement'!$C320)</f>
        <v>0</v>
      </c>
      <c r="L320" s="160">
        <f t="shared" si="47"/>
        <v>76.039999999999992</v>
      </c>
      <c r="M320" s="160">
        <f t="shared" si="48"/>
        <v>983.99999999999977</v>
      </c>
      <c r="N320" s="161">
        <f t="shared" si="49"/>
        <v>74823.359999999971</v>
      </c>
      <c r="O320" s="159">
        <f t="shared" si="50"/>
        <v>-0.46000000000000796</v>
      </c>
      <c r="P320" s="162">
        <f t="shared" si="51"/>
        <v>983.99999999999977</v>
      </c>
      <c r="Q320" s="162">
        <f t="shared" si="52"/>
        <v>-452.64000000000772</v>
      </c>
      <c r="R320" s="160">
        <f>IFERROR(VLOOKUP(C320,'Monthly Op &amp; Clo Stock (invoic)'!A:C,3,0),0)</f>
        <v>76.5</v>
      </c>
      <c r="S320" s="163">
        <f t="shared" si="53"/>
        <v>983.99999999999977</v>
      </c>
      <c r="T320" s="162">
        <f t="shared" si="54"/>
        <v>75275.999999999985</v>
      </c>
      <c r="U320" s="16"/>
      <c r="V320" s="71"/>
      <c r="W320" s="16"/>
    </row>
    <row r="321" spans="1:23">
      <c r="A321" s="35" t="s">
        <v>183</v>
      </c>
      <c r="B321" s="35" t="s">
        <v>183</v>
      </c>
      <c r="C321" s="157">
        <v>214767</v>
      </c>
      <c r="D321" s="157">
        <v>214767</v>
      </c>
      <c r="E321" s="36" t="s">
        <v>458</v>
      </c>
      <c r="F321" s="98">
        <v>5140</v>
      </c>
      <c r="G321" s="158">
        <v>37.31736086049343</v>
      </c>
      <c r="H321" s="115">
        <f t="shared" si="57"/>
        <v>191811.23482293624</v>
      </c>
      <c r="I321" s="159">
        <f>SUMIFS(Arrival!M:M,Arrival!K:K,'Stock statement'!$C321)</f>
        <v>25298</v>
      </c>
      <c r="J321" s="160">
        <f t="shared" si="46"/>
        <v>37.299915013044512</v>
      </c>
      <c r="K321" s="160">
        <f>SUMIFS(Arrival!R:R,Arrival!K:K,'Stock statement'!$C321)</f>
        <v>943613.25</v>
      </c>
      <c r="L321" s="160">
        <f t="shared" si="47"/>
        <v>30438</v>
      </c>
      <c r="M321" s="160">
        <f t="shared" si="48"/>
        <v>37.302861056013413</v>
      </c>
      <c r="N321" s="161">
        <f t="shared" si="49"/>
        <v>1135424.4848229364</v>
      </c>
      <c r="O321" s="159">
        <f t="shared" si="50"/>
        <v>21918</v>
      </c>
      <c r="P321" s="162">
        <f t="shared" si="51"/>
        <v>37.302861056013413</v>
      </c>
      <c r="Q321" s="162">
        <f t="shared" si="52"/>
        <v>817604.10862570198</v>
      </c>
      <c r="R321" s="160">
        <f>IFERROR(VLOOKUP(C321,'Monthly Op &amp; Clo Stock (invoic)'!A:C,3,0),0)</f>
        <v>8520</v>
      </c>
      <c r="S321" s="163">
        <f t="shared" si="53"/>
        <v>37.302861056013413</v>
      </c>
      <c r="T321" s="162">
        <f t="shared" si="54"/>
        <v>317820.37619723426</v>
      </c>
      <c r="U321" s="16"/>
      <c r="V321" s="71"/>
      <c r="W321" s="16"/>
    </row>
    <row r="322" spans="1:23">
      <c r="A322" s="35" t="s">
        <v>183</v>
      </c>
      <c r="B322" s="35" t="s">
        <v>183</v>
      </c>
      <c r="C322" s="157">
        <v>214768</v>
      </c>
      <c r="D322" s="157">
        <v>214768</v>
      </c>
      <c r="E322" s="36" t="s">
        <v>459</v>
      </c>
      <c r="F322" s="98">
        <v>17020</v>
      </c>
      <c r="G322" s="158">
        <v>10.533041476443586</v>
      </c>
      <c r="H322" s="115">
        <f t="shared" si="57"/>
        <v>179272.36592906984</v>
      </c>
      <c r="I322" s="159">
        <f>SUMIFS(Arrival!M:M,Arrival!K:K,'Stock statement'!$C322)</f>
        <v>100798</v>
      </c>
      <c r="J322" s="160">
        <f t="shared" si="46"/>
        <v>10.71220798031707</v>
      </c>
      <c r="K322" s="160">
        <f>SUMIFS(Arrival!R:R,Arrival!K:K,'Stock statement'!$C322)</f>
        <v>1079769.1399999999</v>
      </c>
      <c r="L322" s="160">
        <f t="shared" si="47"/>
        <v>117818</v>
      </c>
      <c r="M322" s="160">
        <f t="shared" si="48"/>
        <v>10.686325569344836</v>
      </c>
      <c r="N322" s="161">
        <f t="shared" si="49"/>
        <v>1259041.5059290698</v>
      </c>
      <c r="O322" s="159">
        <f t="shared" si="50"/>
        <v>93467</v>
      </c>
      <c r="P322" s="162">
        <f t="shared" si="51"/>
        <v>10.686325569344836</v>
      </c>
      <c r="Q322" s="162">
        <f t="shared" si="52"/>
        <v>998818.79198995384</v>
      </c>
      <c r="R322" s="160">
        <f>IFERROR(VLOOKUP(C322,'Monthly Op &amp; Clo Stock (invoic)'!A:C,3,0),0)</f>
        <v>24351</v>
      </c>
      <c r="S322" s="163">
        <f t="shared" si="53"/>
        <v>10.686325569344836</v>
      </c>
      <c r="T322" s="162">
        <f t="shared" si="54"/>
        <v>260222.7139391161</v>
      </c>
      <c r="U322" s="16"/>
      <c r="V322" s="71"/>
      <c r="W322" s="16"/>
    </row>
    <row r="323" spans="1:23">
      <c r="A323" s="35" t="s">
        <v>183</v>
      </c>
      <c r="B323" s="35" t="s">
        <v>183</v>
      </c>
      <c r="C323" s="157">
        <v>214766</v>
      </c>
      <c r="D323" s="157">
        <v>214766</v>
      </c>
      <c r="E323" s="36" t="s">
        <v>462</v>
      </c>
      <c r="F323" s="98">
        <v>240</v>
      </c>
      <c r="G323" s="158">
        <v>37.887759164040467</v>
      </c>
      <c r="H323" s="115">
        <f t="shared" si="57"/>
        <v>9093.0621993697114</v>
      </c>
      <c r="I323" s="159">
        <f>SUMIFS(Arrival!M:M,Arrival!K:K,'Stock statement'!$C323)</f>
        <v>0</v>
      </c>
      <c r="J323" s="160">
        <f t="shared" si="46"/>
        <v>0</v>
      </c>
      <c r="K323" s="160">
        <f>SUMIFS(Arrival!R:R,Arrival!K:K,'Stock statement'!$C323)</f>
        <v>0</v>
      </c>
      <c r="L323" s="160">
        <f t="shared" si="47"/>
        <v>240</v>
      </c>
      <c r="M323" s="160">
        <f t="shared" si="48"/>
        <v>37.887759164040467</v>
      </c>
      <c r="N323" s="161">
        <f t="shared" si="49"/>
        <v>9093.0621993697114</v>
      </c>
      <c r="O323" s="159">
        <f t="shared" si="50"/>
        <v>0</v>
      </c>
      <c r="P323" s="162">
        <f t="shared" si="51"/>
        <v>37.887759164040467</v>
      </c>
      <c r="Q323" s="162">
        <f t="shared" si="52"/>
        <v>0</v>
      </c>
      <c r="R323" s="160">
        <f>IFERROR(VLOOKUP(C323,'Monthly Op &amp; Clo Stock (invoic)'!A:C,3,0),0)</f>
        <v>240</v>
      </c>
      <c r="S323" s="163">
        <f t="shared" si="53"/>
        <v>37.887759164040467</v>
      </c>
      <c r="T323" s="162">
        <f t="shared" si="54"/>
        <v>9093.0621993697114</v>
      </c>
      <c r="U323" s="16"/>
      <c r="V323" s="71"/>
      <c r="W323" s="16"/>
    </row>
    <row r="324" spans="1:23">
      <c r="A324" s="35" t="s">
        <v>183</v>
      </c>
      <c r="B324" s="35" t="s">
        <v>183</v>
      </c>
      <c r="C324" s="157">
        <v>214765</v>
      </c>
      <c r="D324" s="157">
        <v>214765</v>
      </c>
      <c r="E324" s="36" t="s">
        <v>463</v>
      </c>
      <c r="F324" s="98">
        <v>120</v>
      </c>
      <c r="G324" s="158">
        <v>11.215303514376995</v>
      </c>
      <c r="H324" s="115">
        <f t="shared" si="57"/>
        <v>1345.8364217252395</v>
      </c>
      <c r="I324" s="159">
        <f>SUMIFS(Arrival!M:M,Arrival!K:K,'Stock statement'!$C324)</f>
        <v>0</v>
      </c>
      <c r="J324" s="160">
        <f t="shared" ref="J324:J379" si="63">IFERROR(K324/I324,0)</f>
        <v>0</v>
      </c>
      <c r="K324" s="160">
        <f>SUMIFS(Arrival!R:R,Arrival!K:K,'Stock statement'!$C324)</f>
        <v>0</v>
      </c>
      <c r="L324" s="160">
        <f t="shared" ref="L324:L379" si="64">F324+I324</f>
        <v>120</v>
      </c>
      <c r="M324" s="160">
        <f t="shared" ref="M324:M379" si="65">IFERROR(N324/L324,0)</f>
        <v>11.215303514376995</v>
      </c>
      <c r="N324" s="161">
        <f t="shared" ref="N324:N379" si="66">H324+K324</f>
        <v>1345.8364217252395</v>
      </c>
      <c r="O324" s="159">
        <f t="shared" ref="O324:O379" si="67">L324-R324</f>
        <v>0</v>
      </c>
      <c r="P324" s="162">
        <f t="shared" ref="P324:P379" si="68">M324</f>
        <v>11.215303514376995</v>
      </c>
      <c r="Q324" s="162">
        <f t="shared" ref="Q324:Q379" si="69">IFERROR(O324*P324,0)</f>
        <v>0</v>
      </c>
      <c r="R324" s="160">
        <f>IFERROR(VLOOKUP(C324,'Monthly Op &amp; Clo Stock (invoic)'!A:C,3,0),0)</f>
        <v>120</v>
      </c>
      <c r="S324" s="163">
        <f t="shared" ref="S324:S379" si="70">P324</f>
        <v>11.215303514376995</v>
      </c>
      <c r="T324" s="162">
        <f t="shared" ref="T324:T379" si="71">IFERROR(R324*S324,0)</f>
        <v>1345.8364217252395</v>
      </c>
      <c r="U324" s="16"/>
      <c r="V324" s="71"/>
      <c r="W324" s="16"/>
    </row>
    <row r="325" spans="1:23">
      <c r="A325" s="35" t="s">
        <v>183</v>
      </c>
      <c r="B325" s="35" t="s">
        <v>183</v>
      </c>
      <c r="C325" s="157">
        <v>214687</v>
      </c>
      <c r="D325" s="157">
        <v>214687</v>
      </c>
      <c r="E325" s="36" t="s">
        <v>866</v>
      </c>
      <c r="F325" s="98">
        <v>4059</v>
      </c>
      <c r="G325" s="158">
        <v>204.01269374680615</v>
      </c>
      <c r="H325" s="115">
        <f t="shared" ref="H325:H329" si="72">IFERROR(F325*G325,)</f>
        <v>828087.5239182862</v>
      </c>
      <c r="I325" s="159">
        <f>SUMIFS(Arrival!M:M,Arrival!K:K,'Stock statement'!$C325)</f>
        <v>0</v>
      </c>
      <c r="J325" s="160">
        <f t="shared" si="63"/>
        <v>0</v>
      </c>
      <c r="K325" s="160">
        <f>SUMIFS(Arrival!R:R,Arrival!K:K,'Stock statement'!$C325)</f>
        <v>0</v>
      </c>
      <c r="L325" s="160">
        <f t="shared" si="64"/>
        <v>4059</v>
      </c>
      <c r="M325" s="160">
        <f t="shared" si="65"/>
        <v>204.01269374680615</v>
      </c>
      <c r="N325" s="161">
        <f t="shared" si="66"/>
        <v>828087.5239182862</v>
      </c>
      <c r="O325" s="159">
        <f t="shared" si="67"/>
        <v>2960</v>
      </c>
      <c r="P325" s="162">
        <f t="shared" si="68"/>
        <v>204.01269374680615</v>
      </c>
      <c r="Q325" s="162">
        <f t="shared" si="69"/>
        <v>603877.5734905462</v>
      </c>
      <c r="R325" s="160">
        <f>IFERROR(VLOOKUP(C325,'Monthly Op &amp; Clo Stock (invoic)'!A:C,3,0),0)</f>
        <v>1099</v>
      </c>
      <c r="S325" s="163">
        <f t="shared" si="70"/>
        <v>204.01269374680615</v>
      </c>
      <c r="T325" s="162">
        <f t="shared" si="71"/>
        <v>224209.95042773997</v>
      </c>
      <c r="U325" s="16"/>
      <c r="V325" s="71"/>
      <c r="W325" s="16"/>
    </row>
    <row r="326" spans="1:23">
      <c r="A326" s="35" t="s">
        <v>183</v>
      </c>
      <c r="B326" s="35" t="s">
        <v>183</v>
      </c>
      <c r="C326" s="157">
        <v>214727</v>
      </c>
      <c r="D326" s="157">
        <v>214727</v>
      </c>
      <c r="E326" s="36" t="s">
        <v>867</v>
      </c>
      <c r="F326" s="98">
        <v>0</v>
      </c>
      <c r="G326" s="158">
        <v>12.950033003300328</v>
      </c>
      <c r="H326" s="115">
        <f t="shared" si="72"/>
        <v>0</v>
      </c>
      <c r="I326" s="159">
        <f>SUMIFS(Arrival!M:M,Arrival!K:K,'Stock statement'!$C326)</f>
        <v>0</v>
      </c>
      <c r="J326" s="160">
        <f t="shared" si="63"/>
        <v>0</v>
      </c>
      <c r="K326" s="160">
        <f>SUMIFS(Arrival!R:R,Arrival!K:K,'Stock statement'!$C326)</f>
        <v>0</v>
      </c>
      <c r="L326" s="160">
        <f t="shared" si="64"/>
        <v>0</v>
      </c>
      <c r="M326" s="160">
        <f t="shared" si="65"/>
        <v>0</v>
      </c>
      <c r="N326" s="161">
        <f t="shared" si="66"/>
        <v>0</v>
      </c>
      <c r="O326" s="159">
        <f t="shared" si="67"/>
        <v>0</v>
      </c>
      <c r="P326" s="162">
        <f t="shared" si="68"/>
        <v>0</v>
      </c>
      <c r="Q326" s="162">
        <f t="shared" si="69"/>
        <v>0</v>
      </c>
      <c r="R326" s="160">
        <f>IFERROR(VLOOKUP(C326,'Monthly Op &amp; Clo Stock (invoic)'!A:C,3,0),0)</f>
        <v>0</v>
      </c>
      <c r="S326" s="163">
        <f t="shared" si="70"/>
        <v>0</v>
      </c>
      <c r="T326" s="162">
        <f t="shared" si="71"/>
        <v>0</v>
      </c>
      <c r="U326" s="16"/>
      <c r="V326" s="71"/>
      <c r="W326" s="16"/>
    </row>
    <row r="327" spans="1:23">
      <c r="A327" s="35" t="s">
        <v>183</v>
      </c>
      <c r="B327" s="35" t="s">
        <v>183</v>
      </c>
      <c r="C327" s="157">
        <v>214669</v>
      </c>
      <c r="D327" s="157">
        <v>214669</v>
      </c>
      <c r="E327" s="36" t="s">
        <v>868</v>
      </c>
      <c r="F327" s="98">
        <v>12500</v>
      </c>
      <c r="G327" s="158">
        <v>2.7186111111111111</v>
      </c>
      <c r="H327" s="115">
        <f t="shared" si="72"/>
        <v>33982.638888888891</v>
      </c>
      <c r="I327" s="159">
        <f>SUMIFS(Arrival!M:M,Arrival!K:K,'Stock statement'!$C327)</f>
        <v>0</v>
      </c>
      <c r="J327" s="160">
        <f t="shared" si="63"/>
        <v>0</v>
      </c>
      <c r="K327" s="160">
        <f>SUMIFS(Arrival!R:R,Arrival!K:K,'Stock statement'!$C327)</f>
        <v>0</v>
      </c>
      <c r="L327" s="160">
        <f t="shared" si="64"/>
        <v>12500</v>
      </c>
      <c r="M327" s="160">
        <f t="shared" si="65"/>
        <v>2.7186111111111111</v>
      </c>
      <c r="N327" s="161">
        <f t="shared" si="66"/>
        <v>33982.638888888891</v>
      </c>
      <c r="O327" s="159">
        <f t="shared" si="67"/>
        <v>0</v>
      </c>
      <c r="P327" s="162">
        <f t="shared" si="68"/>
        <v>2.7186111111111111</v>
      </c>
      <c r="Q327" s="162">
        <f t="shared" si="69"/>
        <v>0</v>
      </c>
      <c r="R327" s="160">
        <f>IFERROR(VLOOKUP(C327,'Monthly Op &amp; Clo Stock (invoic)'!A:C,3,0),0)</f>
        <v>12500</v>
      </c>
      <c r="S327" s="163">
        <f t="shared" si="70"/>
        <v>2.7186111111111111</v>
      </c>
      <c r="T327" s="162">
        <f t="shared" si="71"/>
        <v>33982.638888888891</v>
      </c>
      <c r="U327" s="16"/>
      <c r="V327" s="71"/>
      <c r="W327" s="16"/>
    </row>
    <row r="328" spans="1:23">
      <c r="A328" s="35" t="s">
        <v>183</v>
      </c>
      <c r="B328" s="35" t="s">
        <v>183</v>
      </c>
      <c r="C328" s="157">
        <v>214668</v>
      </c>
      <c r="D328" s="157">
        <v>214668</v>
      </c>
      <c r="E328" s="36" t="s">
        <v>869</v>
      </c>
      <c r="F328" s="98">
        <v>15000</v>
      </c>
      <c r="G328" s="158">
        <v>3.2835304054054051</v>
      </c>
      <c r="H328" s="115">
        <f t="shared" si="72"/>
        <v>49252.956081081073</v>
      </c>
      <c r="I328" s="159">
        <f>SUMIFS(Arrival!M:M,Arrival!K:K,'Stock statement'!$C328)</f>
        <v>0</v>
      </c>
      <c r="J328" s="160">
        <f t="shared" si="63"/>
        <v>0</v>
      </c>
      <c r="K328" s="160">
        <f>SUMIFS(Arrival!R:R,Arrival!K:K,'Stock statement'!$C328)</f>
        <v>0</v>
      </c>
      <c r="L328" s="160">
        <f t="shared" si="64"/>
        <v>15000</v>
      </c>
      <c r="M328" s="160">
        <f t="shared" si="65"/>
        <v>3.2835304054054046</v>
      </c>
      <c r="N328" s="161">
        <f t="shared" si="66"/>
        <v>49252.956081081073</v>
      </c>
      <c r="O328" s="159">
        <f t="shared" si="67"/>
        <v>0</v>
      </c>
      <c r="P328" s="162">
        <f t="shared" si="68"/>
        <v>3.2835304054054046</v>
      </c>
      <c r="Q328" s="162">
        <f t="shared" si="69"/>
        <v>0</v>
      </c>
      <c r="R328" s="160">
        <f>IFERROR(VLOOKUP(C328,'Monthly Op &amp; Clo Stock (invoic)'!A:C,3,0),0)</f>
        <v>15000</v>
      </c>
      <c r="S328" s="163">
        <f t="shared" si="70"/>
        <v>3.2835304054054046</v>
      </c>
      <c r="T328" s="162">
        <f t="shared" si="71"/>
        <v>49252.956081081073</v>
      </c>
      <c r="U328" s="16"/>
      <c r="V328" s="71"/>
      <c r="W328" s="16"/>
    </row>
    <row r="329" spans="1:23">
      <c r="A329" s="35" t="s">
        <v>183</v>
      </c>
      <c r="B329" s="35" t="s">
        <v>183</v>
      </c>
      <c r="C329" s="157">
        <v>214709</v>
      </c>
      <c r="D329" s="157">
        <v>214709</v>
      </c>
      <c r="E329" s="36" t="s">
        <v>870</v>
      </c>
      <c r="F329" s="98">
        <v>1920</v>
      </c>
      <c r="G329" s="158">
        <v>37.758622504640883</v>
      </c>
      <c r="H329" s="115">
        <f t="shared" si="72"/>
        <v>72496.555208910489</v>
      </c>
      <c r="I329" s="159">
        <f>SUMIFS(Arrival!M:M,Arrival!K:K,'Stock statement'!$C329)</f>
        <v>0</v>
      </c>
      <c r="J329" s="160">
        <f t="shared" si="63"/>
        <v>0</v>
      </c>
      <c r="K329" s="160">
        <f>SUMIFS(Arrival!R:R,Arrival!K:K,'Stock statement'!$C329)</f>
        <v>0</v>
      </c>
      <c r="L329" s="160">
        <f t="shared" si="64"/>
        <v>1920</v>
      </c>
      <c r="M329" s="160">
        <f t="shared" si="65"/>
        <v>37.758622504640883</v>
      </c>
      <c r="N329" s="161">
        <f t="shared" si="66"/>
        <v>72496.555208910489</v>
      </c>
      <c r="O329" s="159">
        <f t="shared" si="67"/>
        <v>1300</v>
      </c>
      <c r="P329" s="162">
        <f t="shared" si="68"/>
        <v>37.758622504640883</v>
      </c>
      <c r="Q329" s="162">
        <f t="shared" si="69"/>
        <v>49086.209256033151</v>
      </c>
      <c r="R329" s="160">
        <f>IFERROR(VLOOKUP(C329,'Monthly Op &amp; Clo Stock (invoic)'!A:C,3,0),0)</f>
        <v>620</v>
      </c>
      <c r="S329" s="163">
        <f t="shared" si="70"/>
        <v>37.758622504640883</v>
      </c>
      <c r="T329" s="162">
        <f t="shared" si="71"/>
        <v>23410.345952877346</v>
      </c>
      <c r="U329" s="16"/>
      <c r="V329" s="71"/>
      <c r="W329" s="16"/>
    </row>
    <row r="330" spans="1:23">
      <c r="A330" s="35" t="s">
        <v>183</v>
      </c>
      <c r="B330" s="35" t="s">
        <v>183</v>
      </c>
      <c r="C330" s="157">
        <v>214808</v>
      </c>
      <c r="D330" s="157">
        <v>214808</v>
      </c>
      <c r="E330" s="36" t="s">
        <v>453</v>
      </c>
      <c r="F330" s="98">
        <v>17028</v>
      </c>
      <c r="G330" s="158">
        <v>15.672680173741485</v>
      </c>
      <c r="H330" s="115">
        <f t="shared" ref="H330:H337" si="73">IFERROR(F330*G330,)</f>
        <v>266874.39799847</v>
      </c>
      <c r="I330" s="159">
        <f>SUMIFS(Arrival!M:M,Arrival!K:K,'Stock statement'!$C330)</f>
        <v>0</v>
      </c>
      <c r="J330" s="160">
        <f t="shared" si="63"/>
        <v>0</v>
      </c>
      <c r="K330" s="160">
        <f>SUMIFS(Arrival!R:R,Arrival!K:K,'Stock statement'!$C330)</f>
        <v>0</v>
      </c>
      <c r="L330" s="160">
        <f t="shared" si="64"/>
        <v>17028</v>
      </c>
      <c r="M330" s="160">
        <f t="shared" si="65"/>
        <v>15.672680173741485</v>
      </c>
      <c r="N330" s="161">
        <f t="shared" si="66"/>
        <v>266874.39799847</v>
      </c>
      <c r="O330" s="159">
        <f t="shared" si="67"/>
        <v>0</v>
      </c>
      <c r="P330" s="162">
        <f t="shared" si="68"/>
        <v>15.672680173741485</v>
      </c>
      <c r="Q330" s="162">
        <f t="shared" si="69"/>
        <v>0</v>
      </c>
      <c r="R330" s="160">
        <f>IFERROR(VLOOKUP(C330,'Monthly Op &amp; Clo Stock (invoic)'!A:C,3,0),0)</f>
        <v>17028</v>
      </c>
      <c r="S330" s="163">
        <f t="shared" si="70"/>
        <v>15.672680173741485</v>
      </c>
      <c r="T330" s="162">
        <f t="shared" si="71"/>
        <v>266874.39799847</v>
      </c>
      <c r="U330" s="16"/>
      <c r="V330" s="71"/>
      <c r="W330" s="16"/>
    </row>
    <row r="331" spans="1:23">
      <c r="A331" s="35" t="s">
        <v>183</v>
      </c>
      <c r="B331" s="35" t="s">
        <v>183</v>
      </c>
      <c r="C331" s="157">
        <v>214673</v>
      </c>
      <c r="D331" s="157">
        <v>214673</v>
      </c>
      <c r="E331" s="36" t="s">
        <v>504</v>
      </c>
      <c r="F331" s="98">
        <v>7000</v>
      </c>
      <c r="G331" s="158">
        <v>15.814752475247525</v>
      </c>
      <c r="H331" s="115">
        <f t="shared" si="73"/>
        <v>110703.26732673268</v>
      </c>
      <c r="I331" s="159">
        <f>SUMIFS(Arrival!M:M,Arrival!K:K,'Stock statement'!$C331)</f>
        <v>0</v>
      </c>
      <c r="J331" s="160">
        <f t="shared" si="63"/>
        <v>0</v>
      </c>
      <c r="K331" s="160">
        <f>SUMIFS(Arrival!R:R,Arrival!K:K,'Stock statement'!$C331)</f>
        <v>0</v>
      </c>
      <c r="L331" s="160">
        <f t="shared" si="64"/>
        <v>7000</v>
      </c>
      <c r="M331" s="160">
        <f t="shared" si="65"/>
        <v>15.814752475247525</v>
      </c>
      <c r="N331" s="161">
        <f t="shared" si="66"/>
        <v>110703.26732673268</v>
      </c>
      <c r="O331" s="159">
        <f t="shared" si="67"/>
        <v>0</v>
      </c>
      <c r="P331" s="162">
        <f t="shared" si="68"/>
        <v>15.814752475247525</v>
      </c>
      <c r="Q331" s="162">
        <f t="shared" si="69"/>
        <v>0</v>
      </c>
      <c r="R331" s="160">
        <f>IFERROR(VLOOKUP(C331,'Monthly Op &amp; Clo Stock (invoic)'!A:C,3,0),0)</f>
        <v>7000</v>
      </c>
      <c r="S331" s="163">
        <f t="shared" si="70"/>
        <v>15.814752475247525</v>
      </c>
      <c r="T331" s="162">
        <f t="shared" si="71"/>
        <v>110703.26732673268</v>
      </c>
      <c r="U331" s="16"/>
      <c r="V331" s="71"/>
      <c r="W331" s="16"/>
    </row>
    <row r="332" spans="1:23">
      <c r="A332" s="35" t="s">
        <v>183</v>
      </c>
      <c r="B332" s="35" t="s">
        <v>183</v>
      </c>
      <c r="C332" s="157">
        <v>214713</v>
      </c>
      <c r="D332" s="157">
        <v>214713</v>
      </c>
      <c r="E332" s="36" t="s">
        <v>871</v>
      </c>
      <c r="F332" s="98">
        <v>2625</v>
      </c>
      <c r="G332" s="158">
        <v>10.57</v>
      </c>
      <c r="H332" s="115">
        <f t="shared" si="73"/>
        <v>27746.25</v>
      </c>
      <c r="I332" s="159">
        <f>SUMIFS(Arrival!M:M,Arrival!K:K,'Stock statement'!$C332)</f>
        <v>0</v>
      </c>
      <c r="J332" s="160">
        <f t="shared" si="63"/>
        <v>0</v>
      </c>
      <c r="K332" s="160">
        <f>SUMIFS(Arrival!R:R,Arrival!K:K,'Stock statement'!$C332)</f>
        <v>0</v>
      </c>
      <c r="L332" s="160">
        <f t="shared" si="64"/>
        <v>2625</v>
      </c>
      <c r="M332" s="160">
        <f t="shared" si="65"/>
        <v>10.57</v>
      </c>
      <c r="N332" s="161">
        <f t="shared" si="66"/>
        <v>27746.25</v>
      </c>
      <c r="O332" s="159">
        <f t="shared" si="67"/>
        <v>0</v>
      </c>
      <c r="P332" s="162">
        <f t="shared" si="68"/>
        <v>10.57</v>
      </c>
      <c r="Q332" s="162">
        <f t="shared" si="69"/>
        <v>0</v>
      </c>
      <c r="R332" s="160">
        <f>IFERROR(VLOOKUP(C332,'Monthly Op &amp; Clo Stock (invoic)'!A:C,3,0),0)</f>
        <v>2625</v>
      </c>
      <c r="S332" s="163">
        <f t="shared" si="70"/>
        <v>10.57</v>
      </c>
      <c r="T332" s="162">
        <f t="shared" si="71"/>
        <v>27746.25</v>
      </c>
      <c r="U332" s="16"/>
      <c r="V332" s="71"/>
      <c r="W332" s="16"/>
    </row>
    <row r="333" spans="1:23">
      <c r="A333" s="35" t="s">
        <v>183</v>
      </c>
      <c r="B333" s="35" t="s">
        <v>183</v>
      </c>
      <c r="C333" s="157">
        <v>214686</v>
      </c>
      <c r="D333" s="157">
        <v>214686</v>
      </c>
      <c r="E333" s="36" t="s">
        <v>460</v>
      </c>
      <c r="F333" s="98">
        <v>15758</v>
      </c>
      <c r="G333" s="158">
        <v>209.10460648613659</v>
      </c>
      <c r="H333" s="115">
        <f t="shared" si="73"/>
        <v>3295070.3890085402</v>
      </c>
      <c r="I333" s="159">
        <f>SUMIFS(Arrival!M:M,Arrival!K:K,'Stock statement'!$C333)</f>
        <v>20936.365999999998</v>
      </c>
      <c r="J333" s="160">
        <f t="shared" si="63"/>
        <v>205.5739104866623</v>
      </c>
      <c r="K333" s="160">
        <f>SUMIFS(Arrival!R:R,Arrival!K:K,'Stock statement'!$C333)</f>
        <v>4303970.63</v>
      </c>
      <c r="L333" s="160">
        <f t="shared" si="64"/>
        <v>36694.365999999995</v>
      </c>
      <c r="M333" s="160">
        <f t="shared" si="65"/>
        <v>207.09012983106291</v>
      </c>
      <c r="N333" s="161">
        <f t="shared" si="66"/>
        <v>7599041.0190085396</v>
      </c>
      <c r="O333" s="159">
        <f t="shared" si="67"/>
        <v>26711.365999999995</v>
      </c>
      <c r="P333" s="162">
        <f t="shared" si="68"/>
        <v>207.09012983106291</v>
      </c>
      <c r="Q333" s="162">
        <f t="shared" si="69"/>
        <v>5531660.2529050382</v>
      </c>
      <c r="R333" s="160">
        <f>IFERROR(VLOOKUP(C333,'Monthly Op &amp; Clo Stock (invoic)'!A:C,3,0),0)</f>
        <v>9983</v>
      </c>
      <c r="S333" s="163">
        <f t="shared" si="70"/>
        <v>207.09012983106291</v>
      </c>
      <c r="T333" s="162">
        <f t="shared" si="71"/>
        <v>2067380.766103501</v>
      </c>
      <c r="U333" s="16"/>
      <c r="V333" s="71"/>
      <c r="W333" s="16"/>
    </row>
    <row r="334" spans="1:23">
      <c r="A334" s="35" t="s">
        <v>183</v>
      </c>
      <c r="B334" s="35" t="s">
        <v>183</v>
      </c>
      <c r="C334" s="157">
        <v>214702</v>
      </c>
      <c r="D334" s="157">
        <v>214702</v>
      </c>
      <c r="E334" s="36" t="s">
        <v>506</v>
      </c>
      <c r="F334" s="98">
        <v>9000</v>
      </c>
      <c r="G334" s="158">
        <v>2.12</v>
      </c>
      <c r="H334" s="115">
        <f t="shared" si="73"/>
        <v>19080</v>
      </c>
      <c r="I334" s="159">
        <f>SUMIFS(Arrival!M:M,Arrival!K:K,'Stock statement'!$C334)</f>
        <v>0</v>
      </c>
      <c r="J334" s="160">
        <f t="shared" si="63"/>
        <v>0</v>
      </c>
      <c r="K334" s="160">
        <f>SUMIFS(Arrival!R:R,Arrival!K:K,'Stock statement'!$C334)</f>
        <v>0</v>
      </c>
      <c r="L334" s="160">
        <f t="shared" si="64"/>
        <v>9000</v>
      </c>
      <c r="M334" s="160">
        <f t="shared" si="65"/>
        <v>2.12</v>
      </c>
      <c r="N334" s="161">
        <f t="shared" si="66"/>
        <v>19080</v>
      </c>
      <c r="O334" s="159">
        <f t="shared" si="67"/>
        <v>0</v>
      </c>
      <c r="P334" s="162">
        <f t="shared" si="68"/>
        <v>2.12</v>
      </c>
      <c r="Q334" s="162">
        <f t="shared" si="69"/>
        <v>0</v>
      </c>
      <c r="R334" s="160">
        <f>IFERROR(VLOOKUP(C334,'Monthly Op &amp; Clo Stock (invoic)'!A:C,3,0),0)</f>
        <v>9000</v>
      </c>
      <c r="S334" s="163">
        <f t="shared" si="70"/>
        <v>2.12</v>
      </c>
      <c r="T334" s="162">
        <f t="shared" si="71"/>
        <v>19080</v>
      </c>
      <c r="U334" s="16"/>
      <c r="V334" s="71"/>
      <c r="W334" s="16"/>
    </row>
    <row r="335" spans="1:23">
      <c r="A335" s="35" t="s">
        <v>183</v>
      </c>
      <c r="B335" s="35" t="s">
        <v>183</v>
      </c>
      <c r="C335" s="157">
        <v>214701</v>
      </c>
      <c r="D335" s="157">
        <v>214701</v>
      </c>
      <c r="E335" s="36" t="s">
        <v>507</v>
      </c>
      <c r="F335" s="98">
        <v>9000</v>
      </c>
      <c r="G335" s="158">
        <v>2.65</v>
      </c>
      <c r="H335" s="115">
        <f t="shared" si="73"/>
        <v>23850</v>
      </c>
      <c r="I335" s="159">
        <f>SUMIFS(Arrival!M:M,Arrival!K:K,'Stock statement'!$C335)</f>
        <v>0</v>
      </c>
      <c r="J335" s="160">
        <f t="shared" si="63"/>
        <v>0</v>
      </c>
      <c r="K335" s="160">
        <f>SUMIFS(Arrival!R:R,Arrival!K:K,'Stock statement'!$C335)</f>
        <v>0</v>
      </c>
      <c r="L335" s="160">
        <f t="shared" si="64"/>
        <v>9000</v>
      </c>
      <c r="M335" s="160">
        <f t="shared" si="65"/>
        <v>2.65</v>
      </c>
      <c r="N335" s="161">
        <f t="shared" si="66"/>
        <v>23850</v>
      </c>
      <c r="O335" s="159">
        <f t="shared" si="67"/>
        <v>0</v>
      </c>
      <c r="P335" s="162">
        <f t="shared" si="68"/>
        <v>2.65</v>
      </c>
      <c r="Q335" s="162">
        <f t="shared" si="69"/>
        <v>0</v>
      </c>
      <c r="R335" s="160">
        <f>IFERROR(VLOOKUP(C335,'Monthly Op &amp; Clo Stock (invoic)'!A:C,3,0),0)</f>
        <v>9000</v>
      </c>
      <c r="S335" s="163">
        <f t="shared" si="70"/>
        <v>2.65</v>
      </c>
      <c r="T335" s="162">
        <f t="shared" si="71"/>
        <v>23850</v>
      </c>
      <c r="U335" s="16"/>
      <c r="V335" s="71"/>
      <c r="W335" s="16"/>
    </row>
    <row r="336" spans="1:23">
      <c r="A336" s="35" t="s">
        <v>183</v>
      </c>
      <c r="B336" s="35" t="s">
        <v>183</v>
      </c>
      <c r="C336" s="157">
        <v>214703</v>
      </c>
      <c r="D336" s="157">
        <v>214703</v>
      </c>
      <c r="E336" s="36" t="s">
        <v>872</v>
      </c>
      <c r="F336" s="98">
        <v>2625</v>
      </c>
      <c r="G336" s="158">
        <v>1.94</v>
      </c>
      <c r="H336" s="115">
        <f t="shared" si="73"/>
        <v>5092.5</v>
      </c>
      <c r="I336" s="159">
        <f>SUMIFS(Arrival!M:M,Arrival!K:K,'Stock statement'!$C336)</f>
        <v>0</v>
      </c>
      <c r="J336" s="160">
        <f t="shared" si="63"/>
        <v>0</v>
      </c>
      <c r="K336" s="160">
        <f>SUMIFS(Arrival!R:R,Arrival!K:K,'Stock statement'!$C336)</f>
        <v>0</v>
      </c>
      <c r="L336" s="160">
        <f t="shared" si="64"/>
        <v>2625</v>
      </c>
      <c r="M336" s="160">
        <f t="shared" si="65"/>
        <v>1.94</v>
      </c>
      <c r="N336" s="161">
        <f t="shared" si="66"/>
        <v>5092.5</v>
      </c>
      <c r="O336" s="159">
        <f t="shared" si="67"/>
        <v>0</v>
      </c>
      <c r="P336" s="162">
        <f t="shared" si="68"/>
        <v>1.94</v>
      </c>
      <c r="Q336" s="162">
        <f t="shared" si="69"/>
        <v>0</v>
      </c>
      <c r="R336" s="160">
        <f>IFERROR(VLOOKUP(C336,'Monthly Op &amp; Clo Stock (invoic)'!A:C,3,0),0)</f>
        <v>2625</v>
      </c>
      <c r="S336" s="163">
        <f t="shared" si="70"/>
        <v>1.94</v>
      </c>
      <c r="T336" s="162">
        <f t="shared" si="71"/>
        <v>5092.5</v>
      </c>
      <c r="U336" s="16"/>
      <c r="V336" s="71"/>
      <c r="W336" s="16"/>
    </row>
    <row r="337" spans="1:23">
      <c r="A337" s="35" t="s">
        <v>183</v>
      </c>
      <c r="B337" s="35" t="s">
        <v>183</v>
      </c>
      <c r="C337" s="157">
        <v>214704</v>
      </c>
      <c r="D337" s="157">
        <v>214704</v>
      </c>
      <c r="E337" s="36" t="s">
        <v>873</v>
      </c>
      <c r="F337" s="98">
        <v>2625</v>
      </c>
      <c r="G337" s="158">
        <v>2.44</v>
      </c>
      <c r="H337" s="115">
        <f t="shared" si="73"/>
        <v>6405</v>
      </c>
      <c r="I337" s="159">
        <f>SUMIFS(Arrival!M:M,Arrival!K:K,'Stock statement'!$C337)</f>
        <v>0</v>
      </c>
      <c r="J337" s="160">
        <f t="shared" si="63"/>
        <v>0</v>
      </c>
      <c r="K337" s="160">
        <f>SUMIFS(Arrival!R:R,Arrival!K:K,'Stock statement'!$C337)</f>
        <v>0</v>
      </c>
      <c r="L337" s="160">
        <f t="shared" si="64"/>
        <v>2625</v>
      </c>
      <c r="M337" s="160">
        <f t="shared" si="65"/>
        <v>2.44</v>
      </c>
      <c r="N337" s="161">
        <f t="shared" si="66"/>
        <v>6405</v>
      </c>
      <c r="O337" s="159">
        <f t="shared" si="67"/>
        <v>0</v>
      </c>
      <c r="P337" s="162">
        <f t="shared" si="68"/>
        <v>2.44</v>
      </c>
      <c r="Q337" s="162">
        <f t="shared" si="69"/>
        <v>0</v>
      </c>
      <c r="R337" s="160">
        <f>IFERROR(VLOOKUP(C337,'Monthly Op &amp; Clo Stock (invoic)'!A:C,3,0),0)</f>
        <v>2625</v>
      </c>
      <c r="S337" s="163">
        <f t="shared" si="70"/>
        <v>2.44</v>
      </c>
      <c r="T337" s="162">
        <f t="shared" si="71"/>
        <v>6405</v>
      </c>
      <c r="U337" s="16"/>
      <c r="V337" s="71"/>
      <c r="W337" s="16"/>
    </row>
    <row r="338" spans="1:23">
      <c r="A338" s="35" t="s">
        <v>183</v>
      </c>
      <c r="B338" s="35" t="s">
        <v>183</v>
      </c>
      <c r="C338" s="157">
        <v>115448</v>
      </c>
      <c r="D338" s="157">
        <v>115448</v>
      </c>
      <c r="E338" s="36" t="s">
        <v>874</v>
      </c>
      <c r="F338" s="98">
        <v>0</v>
      </c>
      <c r="G338" s="158">
        <v>0</v>
      </c>
      <c r="H338" s="115">
        <f t="shared" ref="H338" si="74">IFERROR(F338*G338,)</f>
        <v>0</v>
      </c>
      <c r="I338" s="159">
        <f>SUMIFS(Arrival!M:M,Arrival!K:K,'Stock statement'!$C338)</f>
        <v>0</v>
      </c>
      <c r="J338" s="160">
        <f t="shared" si="63"/>
        <v>0</v>
      </c>
      <c r="K338" s="160">
        <f>SUMIFS(Arrival!R:R,Arrival!K:K,'Stock statement'!$C338)</f>
        <v>0</v>
      </c>
      <c r="L338" s="160">
        <f t="shared" si="64"/>
        <v>0</v>
      </c>
      <c r="M338" s="160">
        <f t="shared" si="65"/>
        <v>0</v>
      </c>
      <c r="N338" s="161">
        <f t="shared" si="66"/>
        <v>0</v>
      </c>
      <c r="O338" s="159">
        <f t="shared" si="67"/>
        <v>0</v>
      </c>
      <c r="P338" s="162">
        <f t="shared" si="68"/>
        <v>0</v>
      </c>
      <c r="Q338" s="162">
        <f t="shared" si="69"/>
        <v>0</v>
      </c>
      <c r="R338" s="160">
        <f>IFERROR(VLOOKUP(C338,'Monthly Op &amp; Clo Stock (invoic)'!A:C,3,0),0)</f>
        <v>0</v>
      </c>
      <c r="S338" s="163">
        <f t="shared" si="70"/>
        <v>0</v>
      </c>
      <c r="T338" s="162">
        <f t="shared" si="71"/>
        <v>0</v>
      </c>
      <c r="U338" s="16"/>
      <c r="V338" s="71"/>
      <c r="W338" s="16"/>
    </row>
    <row r="339" spans="1:23">
      <c r="A339" s="35" t="s">
        <v>183</v>
      </c>
      <c r="B339" s="35" t="s">
        <v>183</v>
      </c>
      <c r="C339" s="157">
        <v>214856</v>
      </c>
      <c r="D339" s="157">
        <v>214856</v>
      </c>
      <c r="E339" s="36" t="s">
        <v>875</v>
      </c>
      <c r="F339" s="98">
        <v>0</v>
      </c>
      <c r="G339" s="158">
        <v>0</v>
      </c>
      <c r="H339" s="115">
        <f t="shared" ref="H339" si="75">IFERROR(F339*G339,)</f>
        <v>0</v>
      </c>
      <c r="I339" s="159">
        <f>SUMIFS(Arrival!M:M,Arrival!K:K,'Stock statement'!$C339)</f>
        <v>0</v>
      </c>
      <c r="J339" s="160">
        <f t="shared" si="63"/>
        <v>0</v>
      </c>
      <c r="K339" s="160">
        <f>SUMIFS(Arrival!R:R,Arrival!K:K,'Stock statement'!$C339)</f>
        <v>0</v>
      </c>
      <c r="L339" s="160">
        <f t="shared" si="64"/>
        <v>0</v>
      </c>
      <c r="M339" s="160">
        <f t="shared" si="65"/>
        <v>0</v>
      </c>
      <c r="N339" s="161">
        <f t="shared" si="66"/>
        <v>0</v>
      </c>
      <c r="O339" s="159">
        <f t="shared" si="67"/>
        <v>0</v>
      </c>
      <c r="P339" s="162">
        <f t="shared" si="68"/>
        <v>0</v>
      </c>
      <c r="Q339" s="162">
        <f t="shared" si="69"/>
        <v>0</v>
      </c>
      <c r="R339" s="160">
        <f>IFERROR(VLOOKUP(C339,'Monthly Op &amp; Clo Stock (invoic)'!A:C,3,0),0)</f>
        <v>0</v>
      </c>
      <c r="S339" s="163">
        <f t="shared" si="70"/>
        <v>0</v>
      </c>
      <c r="T339" s="162">
        <f t="shared" si="71"/>
        <v>0</v>
      </c>
      <c r="U339" s="16"/>
      <c r="V339" s="71"/>
      <c r="W339" s="16"/>
    </row>
    <row r="340" spans="1:23">
      <c r="A340" s="35" t="s">
        <v>183</v>
      </c>
      <c r="B340" s="35" t="s">
        <v>183</v>
      </c>
      <c r="C340" s="157">
        <v>214851</v>
      </c>
      <c r="D340" s="157">
        <v>214851</v>
      </c>
      <c r="E340" s="36" t="s">
        <v>876</v>
      </c>
      <c r="F340" s="98">
        <v>0</v>
      </c>
      <c r="G340" s="158">
        <v>0</v>
      </c>
      <c r="H340" s="115">
        <f t="shared" ref="H340" si="76">IFERROR(F340*G340,)</f>
        <v>0</v>
      </c>
      <c r="I340" s="159">
        <f>SUMIFS(Arrival!M:M,Arrival!K:K,'Stock statement'!$C340)</f>
        <v>0</v>
      </c>
      <c r="J340" s="160">
        <f t="shared" si="63"/>
        <v>0</v>
      </c>
      <c r="K340" s="160">
        <f>SUMIFS(Arrival!R:R,Arrival!K:K,'Stock statement'!$C340)</f>
        <v>0</v>
      </c>
      <c r="L340" s="160">
        <f t="shared" si="64"/>
        <v>0</v>
      </c>
      <c r="M340" s="160">
        <f t="shared" si="65"/>
        <v>0</v>
      </c>
      <c r="N340" s="161">
        <f t="shared" si="66"/>
        <v>0</v>
      </c>
      <c r="O340" s="159">
        <f t="shared" si="67"/>
        <v>0</v>
      </c>
      <c r="P340" s="162">
        <f t="shared" si="68"/>
        <v>0</v>
      </c>
      <c r="Q340" s="162">
        <f t="shared" si="69"/>
        <v>0</v>
      </c>
      <c r="R340" s="160">
        <f>IFERROR(VLOOKUP(C340,'Monthly Op &amp; Clo Stock (invoic)'!A:C,3,0),0)</f>
        <v>0</v>
      </c>
      <c r="S340" s="163">
        <f t="shared" si="70"/>
        <v>0</v>
      </c>
      <c r="T340" s="162">
        <f t="shared" si="71"/>
        <v>0</v>
      </c>
      <c r="U340" s="16"/>
      <c r="V340" s="71"/>
      <c r="W340" s="16"/>
    </row>
    <row r="341" spans="1:23">
      <c r="A341" s="35" t="s">
        <v>183</v>
      </c>
      <c r="B341" s="35" t="s">
        <v>183</v>
      </c>
      <c r="C341" s="157">
        <v>214852</v>
      </c>
      <c r="D341" s="157">
        <v>214852</v>
      </c>
      <c r="E341" s="36" t="s">
        <v>877</v>
      </c>
      <c r="F341" s="98">
        <v>0</v>
      </c>
      <c r="G341" s="158">
        <v>0</v>
      </c>
      <c r="H341" s="115">
        <f t="shared" ref="H341:H343" si="77">IFERROR(F341*G341,)</f>
        <v>0</v>
      </c>
      <c r="I341" s="159">
        <f>SUMIFS(Arrival!M:M,Arrival!K:K,'Stock statement'!$C341)</f>
        <v>0</v>
      </c>
      <c r="J341" s="160">
        <f t="shared" si="63"/>
        <v>0</v>
      </c>
      <c r="K341" s="160">
        <f>SUMIFS(Arrival!R:R,Arrival!K:K,'Stock statement'!$C341)</f>
        <v>0</v>
      </c>
      <c r="L341" s="160">
        <f t="shared" si="64"/>
        <v>0</v>
      </c>
      <c r="M341" s="160">
        <f t="shared" si="65"/>
        <v>0</v>
      </c>
      <c r="N341" s="161">
        <f t="shared" si="66"/>
        <v>0</v>
      </c>
      <c r="O341" s="159">
        <f t="shared" si="67"/>
        <v>0</v>
      </c>
      <c r="P341" s="162">
        <f t="shared" si="68"/>
        <v>0</v>
      </c>
      <c r="Q341" s="162">
        <f t="shared" si="69"/>
        <v>0</v>
      </c>
      <c r="R341" s="160">
        <f>IFERROR(VLOOKUP(C341,'Monthly Op &amp; Clo Stock (invoic)'!A:C,3,0),0)</f>
        <v>0</v>
      </c>
      <c r="S341" s="163">
        <f t="shared" si="70"/>
        <v>0</v>
      </c>
      <c r="T341" s="162">
        <f t="shared" si="71"/>
        <v>0</v>
      </c>
      <c r="U341" s="16"/>
      <c r="V341" s="71"/>
      <c r="W341" s="16"/>
    </row>
    <row r="342" spans="1:23">
      <c r="A342" s="35" t="s">
        <v>183</v>
      </c>
      <c r="B342" s="35" t="s">
        <v>183</v>
      </c>
      <c r="C342" s="157">
        <v>214857</v>
      </c>
      <c r="D342" s="157">
        <v>214857</v>
      </c>
      <c r="E342" s="36" t="s">
        <v>878</v>
      </c>
      <c r="F342" s="98">
        <v>0</v>
      </c>
      <c r="G342" s="158">
        <v>0</v>
      </c>
      <c r="H342" s="115">
        <f t="shared" si="77"/>
        <v>0</v>
      </c>
      <c r="I342" s="159">
        <f>SUMIFS(Arrival!M:M,Arrival!K:K,'Stock statement'!$C342)</f>
        <v>0</v>
      </c>
      <c r="J342" s="160">
        <f t="shared" si="63"/>
        <v>0</v>
      </c>
      <c r="K342" s="160">
        <f>SUMIFS(Arrival!R:R,Arrival!K:K,'Stock statement'!$C342)</f>
        <v>0</v>
      </c>
      <c r="L342" s="160">
        <f t="shared" si="64"/>
        <v>0</v>
      </c>
      <c r="M342" s="160">
        <f t="shared" si="65"/>
        <v>0</v>
      </c>
      <c r="N342" s="161">
        <f t="shared" si="66"/>
        <v>0</v>
      </c>
      <c r="O342" s="159">
        <f t="shared" si="67"/>
        <v>0</v>
      </c>
      <c r="P342" s="162">
        <f t="shared" si="68"/>
        <v>0</v>
      </c>
      <c r="Q342" s="162">
        <f t="shared" si="69"/>
        <v>0</v>
      </c>
      <c r="R342" s="160">
        <f>IFERROR(VLOOKUP(C342,'Monthly Op &amp; Clo Stock (invoic)'!A:C,3,0),0)</f>
        <v>0</v>
      </c>
      <c r="S342" s="163">
        <f t="shared" si="70"/>
        <v>0</v>
      </c>
      <c r="T342" s="162">
        <f t="shared" si="71"/>
        <v>0</v>
      </c>
      <c r="U342" s="16"/>
      <c r="V342" s="71"/>
      <c r="W342" s="16"/>
    </row>
    <row r="343" spans="1:23">
      <c r="A343" s="35" t="s">
        <v>183</v>
      </c>
      <c r="B343" s="35" t="s">
        <v>183</v>
      </c>
      <c r="C343" s="170">
        <v>214893</v>
      </c>
      <c r="D343" s="170">
        <v>214893</v>
      </c>
      <c r="E343" s="22" t="s">
        <v>879</v>
      </c>
      <c r="F343" s="98">
        <v>0</v>
      </c>
      <c r="G343" s="158">
        <v>0</v>
      </c>
      <c r="H343" s="115">
        <f t="shared" si="77"/>
        <v>0</v>
      </c>
      <c r="I343" s="159">
        <f>SUMIFS(Arrival!M:M,Arrival!K:K,'Stock statement'!$C343)</f>
        <v>0</v>
      </c>
      <c r="J343" s="160">
        <f t="shared" si="63"/>
        <v>0</v>
      </c>
      <c r="K343" s="160">
        <f>SUMIFS(Arrival!R:R,Arrival!K:K,'Stock statement'!$C343)</f>
        <v>0</v>
      </c>
      <c r="L343" s="160">
        <f t="shared" si="64"/>
        <v>0</v>
      </c>
      <c r="M343" s="160">
        <f t="shared" si="65"/>
        <v>0</v>
      </c>
      <c r="N343" s="161">
        <f t="shared" si="66"/>
        <v>0</v>
      </c>
      <c r="O343" s="159">
        <f t="shared" si="67"/>
        <v>0</v>
      </c>
      <c r="P343" s="162">
        <f t="shared" si="68"/>
        <v>0</v>
      </c>
      <c r="Q343" s="162">
        <f t="shared" si="69"/>
        <v>0</v>
      </c>
      <c r="R343" s="160">
        <f>IFERROR(VLOOKUP(C343,'Monthly Op &amp; Clo Stock (invoic)'!A:C,3,0),0)</f>
        <v>0</v>
      </c>
      <c r="S343" s="163">
        <f t="shared" si="70"/>
        <v>0</v>
      </c>
      <c r="T343" s="162">
        <f t="shared" si="71"/>
        <v>0</v>
      </c>
      <c r="U343" s="16"/>
      <c r="V343" s="71"/>
      <c r="W343" s="16"/>
    </row>
    <row r="344" spans="1:23">
      <c r="A344" s="35" t="s">
        <v>183</v>
      </c>
      <c r="B344" s="35" t="s">
        <v>183</v>
      </c>
      <c r="C344" s="170">
        <v>214878</v>
      </c>
      <c r="D344" s="170">
        <v>214878</v>
      </c>
      <c r="E344" s="22" t="s">
        <v>880</v>
      </c>
      <c r="F344" s="98">
        <v>2600</v>
      </c>
      <c r="G344" s="158">
        <v>8.7512562814070343</v>
      </c>
      <c r="H344" s="115">
        <f t="shared" ref="H344:H347" si="78">IFERROR(F344*G344,)</f>
        <v>22753.266331658288</v>
      </c>
      <c r="I344" s="159">
        <f>SUMIFS(Arrival!M:M,Arrival!K:K,'Stock statement'!$C344)</f>
        <v>0</v>
      </c>
      <c r="J344" s="160">
        <f t="shared" si="63"/>
        <v>0</v>
      </c>
      <c r="K344" s="160">
        <f>SUMIFS(Arrival!R:R,Arrival!K:K,'Stock statement'!$C344)</f>
        <v>0</v>
      </c>
      <c r="L344" s="160">
        <f t="shared" si="64"/>
        <v>2600</v>
      </c>
      <c r="M344" s="160">
        <f t="shared" si="65"/>
        <v>8.7512562814070343</v>
      </c>
      <c r="N344" s="161">
        <f t="shared" si="66"/>
        <v>22753.266331658288</v>
      </c>
      <c r="O344" s="159">
        <f t="shared" si="67"/>
        <v>1280</v>
      </c>
      <c r="P344" s="162">
        <f t="shared" si="68"/>
        <v>8.7512562814070343</v>
      </c>
      <c r="Q344" s="162">
        <f t="shared" si="69"/>
        <v>11201.608040201005</v>
      </c>
      <c r="R344" s="160">
        <f>IFERROR(VLOOKUP(C344,'Monthly Op &amp; Clo Stock (invoic)'!A:C,3,0),0)</f>
        <v>1320</v>
      </c>
      <c r="S344" s="163">
        <f t="shared" si="70"/>
        <v>8.7512562814070343</v>
      </c>
      <c r="T344" s="162">
        <f t="shared" si="71"/>
        <v>11551.658291457285</v>
      </c>
      <c r="U344" s="16"/>
      <c r="V344" s="71"/>
      <c r="W344" s="16"/>
    </row>
    <row r="345" spans="1:23">
      <c r="A345" s="35" t="s">
        <v>183</v>
      </c>
      <c r="B345" s="35" t="s">
        <v>183</v>
      </c>
      <c r="C345" s="170">
        <v>214880</v>
      </c>
      <c r="D345" s="170">
        <v>214880</v>
      </c>
      <c r="E345" s="22" t="s">
        <v>541</v>
      </c>
      <c r="F345" s="98">
        <v>4620</v>
      </c>
      <c r="G345" s="158">
        <v>8.7512562814070343</v>
      </c>
      <c r="H345" s="115">
        <f t="shared" si="78"/>
        <v>40430.804020100499</v>
      </c>
      <c r="I345" s="159">
        <f>SUMIFS(Arrival!M:M,Arrival!K:K,'Stock statement'!$C345)</f>
        <v>0</v>
      </c>
      <c r="J345" s="160">
        <f t="shared" si="63"/>
        <v>0</v>
      </c>
      <c r="K345" s="160">
        <f>SUMIFS(Arrival!R:R,Arrival!K:K,'Stock statement'!$C345)</f>
        <v>0</v>
      </c>
      <c r="L345" s="160">
        <f t="shared" si="64"/>
        <v>4620</v>
      </c>
      <c r="M345" s="160">
        <f t="shared" si="65"/>
        <v>8.7512562814070343</v>
      </c>
      <c r="N345" s="161">
        <f t="shared" si="66"/>
        <v>40430.804020100499</v>
      </c>
      <c r="O345" s="159">
        <f t="shared" si="67"/>
        <v>2420</v>
      </c>
      <c r="P345" s="162">
        <f t="shared" si="68"/>
        <v>8.7512562814070343</v>
      </c>
      <c r="Q345" s="162">
        <f t="shared" si="69"/>
        <v>21178.040201005024</v>
      </c>
      <c r="R345" s="160">
        <f>IFERROR(VLOOKUP(C345,'Monthly Op &amp; Clo Stock (invoic)'!A:C,3,0),0)</f>
        <v>2200</v>
      </c>
      <c r="S345" s="163">
        <f t="shared" si="70"/>
        <v>8.7512562814070343</v>
      </c>
      <c r="T345" s="162">
        <f t="shared" si="71"/>
        <v>19252.763819095475</v>
      </c>
      <c r="U345" s="16"/>
      <c r="V345" s="71"/>
      <c r="W345" s="16"/>
    </row>
    <row r="346" spans="1:23">
      <c r="A346" s="35" t="s">
        <v>183</v>
      </c>
      <c r="B346" s="35" t="s">
        <v>183</v>
      </c>
      <c r="C346" s="170">
        <v>214881</v>
      </c>
      <c r="D346" s="170">
        <v>214881</v>
      </c>
      <c r="E346" s="22" t="s">
        <v>881</v>
      </c>
      <c r="F346" s="98">
        <v>760</v>
      </c>
      <c r="G346" s="158">
        <v>8.7512562814070343</v>
      </c>
      <c r="H346" s="115">
        <f t="shared" si="78"/>
        <v>6650.9547738693464</v>
      </c>
      <c r="I346" s="159">
        <f>SUMIFS(Arrival!M:M,Arrival!K:K,'Stock statement'!$C346)</f>
        <v>0</v>
      </c>
      <c r="J346" s="160">
        <f t="shared" si="63"/>
        <v>0</v>
      </c>
      <c r="K346" s="160">
        <f>SUMIFS(Arrival!R:R,Arrival!K:K,'Stock statement'!$C346)</f>
        <v>0</v>
      </c>
      <c r="L346" s="160">
        <f t="shared" si="64"/>
        <v>760</v>
      </c>
      <c r="M346" s="160">
        <f t="shared" si="65"/>
        <v>8.7512562814070343</v>
      </c>
      <c r="N346" s="161">
        <f t="shared" si="66"/>
        <v>6650.9547738693464</v>
      </c>
      <c r="O346" s="159">
        <f t="shared" si="67"/>
        <v>0</v>
      </c>
      <c r="P346" s="162">
        <f t="shared" si="68"/>
        <v>8.7512562814070343</v>
      </c>
      <c r="Q346" s="162">
        <f t="shared" si="69"/>
        <v>0</v>
      </c>
      <c r="R346" s="160">
        <f>IFERROR(VLOOKUP(C346,'Monthly Op &amp; Clo Stock (invoic)'!A:C,3,0),0)</f>
        <v>760</v>
      </c>
      <c r="S346" s="163">
        <f t="shared" si="70"/>
        <v>8.7512562814070343</v>
      </c>
      <c r="T346" s="162">
        <f t="shared" si="71"/>
        <v>6650.9547738693464</v>
      </c>
      <c r="U346" s="16"/>
      <c r="V346" s="71"/>
      <c r="W346" s="16"/>
    </row>
    <row r="347" spans="1:23">
      <c r="A347" s="35" t="s">
        <v>183</v>
      </c>
      <c r="B347" s="35" t="s">
        <v>183</v>
      </c>
      <c r="C347" s="170">
        <v>214685</v>
      </c>
      <c r="D347" s="170">
        <v>214685</v>
      </c>
      <c r="E347" s="176" t="s">
        <v>882</v>
      </c>
      <c r="F347" s="98">
        <v>0</v>
      </c>
      <c r="G347" s="158">
        <v>0</v>
      </c>
      <c r="H347" s="115">
        <f t="shared" si="78"/>
        <v>0</v>
      </c>
      <c r="I347" s="159">
        <f>SUMIFS(Arrival!M:M,Arrival!K:K,'Stock statement'!$C347)</f>
        <v>0</v>
      </c>
      <c r="J347" s="160">
        <f t="shared" si="63"/>
        <v>0</v>
      </c>
      <c r="K347" s="160">
        <f>SUMIFS(Arrival!R:R,Arrival!K:K,'Stock statement'!$C347)</f>
        <v>0</v>
      </c>
      <c r="L347" s="160">
        <f t="shared" si="64"/>
        <v>0</v>
      </c>
      <c r="M347" s="160">
        <f t="shared" si="65"/>
        <v>0</v>
      </c>
      <c r="N347" s="161">
        <f t="shared" si="66"/>
        <v>0</v>
      </c>
      <c r="O347" s="159">
        <f t="shared" si="67"/>
        <v>0</v>
      </c>
      <c r="P347" s="162">
        <f t="shared" si="68"/>
        <v>0</v>
      </c>
      <c r="Q347" s="162">
        <f t="shared" si="69"/>
        <v>0</v>
      </c>
      <c r="R347" s="210">
        <f>IFERROR(VLOOKUP(C347,'Monthly Op &amp; Clo Stock (invoic)'!A:C,3,0),0)</f>
        <v>0</v>
      </c>
      <c r="S347" s="163">
        <f t="shared" si="70"/>
        <v>0</v>
      </c>
      <c r="T347" s="162">
        <f t="shared" si="71"/>
        <v>0</v>
      </c>
      <c r="U347" s="16"/>
      <c r="V347" s="71"/>
      <c r="W347" s="16"/>
    </row>
    <row r="348" spans="1:23">
      <c r="A348" s="35" t="s">
        <v>183</v>
      </c>
      <c r="B348" s="35" t="s">
        <v>183</v>
      </c>
      <c r="C348" s="170">
        <v>214684</v>
      </c>
      <c r="D348" s="170">
        <v>214684</v>
      </c>
      <c r="E348" s="22" t="s">
        <v>883</v>
      </c>
      <c r="F348" s="98">
        <v>882</v>
      </c>
      <c r="G348" s="158">
        <v>286</v>
      </c>
      <c r="H348" s="115">
        <f t="shared" ref="H348" si="79">IFERROR(F348*G348,)</f>
        <v>252252</v>
      </c>
      <c r="I348" s="159">
        <f>SUMIFS(Arrival!M:M,Arrival!K:K,'Stock statement'!$C348)</f>
        <v>0</v>
      </c>
      <c r="J348" s="160">
        <f t="shared" si="63"/>
        <v>0</v>
      </c>
      <c r="K348" s="160">
        <f>SUMIFS(Arrival!R:R,Arrival!K:K,'Stock statement'!$C348)</f>
        <v>0</v>
      </c>
      <c r="L348" s="160">
        <f t="shared" si="64"/>
        <v>882</v>
      </c>
      <c r="M348" s="160">
        <f t="shared" si="65"/>
        <v>286</v>
      </c>
      <c r="N348" s="161">
        <f t="shared" si="66"/>
        <v>252252</v>
      </c>
      <c r="O348" s="159">
        <f t="shared" si="67"/>
        <v>0</v>
      </c>
      <c r="P348" s="162">
        <f t="shared" si="68"/>
        <v>286</v>
      </c>
      <c r="Q348" s="162">
        <f t="shared" si="69"/>
        <v>0</v>
      </c>
      <c r="R348" s="160">
        <f>IFERROR(VLOOKUP(C348,'Monthly Op &amp; Clo Stock (invoic)'!A:C,3,0),0)</f>
        <v>882</v>
      </c>
      <c r="S348" s="163">
        <f t="shared" si="70"/>
        <v>286</v>
      </c>
      <c r="T348" s="162">
        <f t="shared" si="71"/>
        <v>252252</v>
      </c>
      <c r="U348" s="16"/>
      <c r="V348" s="71"/>
      <c r="W348" s="16"/>
    </row>
    <row r="349" spans="1:23">
      <c r="A349" s="35" t="s">
        <v>183</v>
      </c>
      <c r="B349" s="35" t="s">
        <v>183</v>
      </c>
      <c r="C349" s="170">
        <v>214714</v>
      </c>
      <c r="D349" s="170">
        <v>214714</v>
      </c>
      <c r="E349" s="22" t="s">
        <v>884</v>
      </c>
      <c r="F349" s="98">
        <v>8125</v>
      </c>
      <c r="G349" s="158">
        <v>3.8119047619047612</v>
      </c>
      <c r="H349" s="115">
        <f t="shared" ref="H349" si="80">IFERROR(F349*G349,)</f>
        <v>30971.726190476184</v>
      </c>
      <c r="I349" s="159">
        <f>SUMIFS(Arrival!M:M,Arrival!K:K,'Stock statement'!$C349)</f>
        <v>0</v>
      </c>
      <c r="J349" s="160">
        <f t="shared" si="63"/>
        <v>0</v>
      </c>
      <c r="K349" s="160">
        <f>SUMIFS(Arrival!R:R,Arrival!K:K,'Stock statement'!$C349)</f>
        <v>0</v>
      </c>
      <c r="L349" s="160">
        <f t="shared" si="64"/>
        <v>8125</v>
      </c>
      <c r="M349" s="160">
        <f t="shared" si="65"/>
        <v>3.8119047619047612</v>
      </c>
      <c r="N349" s="161">
        <f t="shared" si="66"/>
        <v>30971.726190476184</v>
      </c>
      <c r="O349" s="159">
        <f t="shared" si="67"/>
        <v>0</v>
      </c>
      <c r="P349" s="162">
        <f t="shared" si="68"/>
        <v>3.8119047619047612</v>
      </c>
      <c r="Q349" s="162">
        <f t="shared" si="69"/>
        <v>0</v>
      </c>
      <c r="R349" s="160">
        <f>IFERROR(VLOOKUP(C349,'Monthly Op &amp; Clo Stock (invoic)'!A:C,3,0),0)</f>
        <v>8125</v>
      </c>
      <c r="S349" s="163">
        <f t="shared" si="70"/>
        <v>3.8119047619047612</v>
      </c>
      <c r="T349" s="162">
        <f t="shared" si="71"/>
        <v>30971.726190476184</v>
      </c>
      <c r="U349" s="16"/>
      <c r="V349" s="71"/>
      <c r="W349" s="16"/>
    </row>
    <row r="350" spans="1:23">
      <c r="A350" s="35" t="s">
        <v>183</v>
      </c>
      <c r="B350" s="35" t="s">
        <v>183</v>
      </c>
      <c r="C350" s="170">
        <v>214888</v>
      </c>
      <c r="D350" s="175">
        <v>214674</v>
      </c>
      <c r="E350" s="176" t="s">
        <v>885</v>
      </c>
      <c r="F350" s="98">
        <v>11375</v>
      </c>
      <c r="G350" s="158">
        <v>10.17</v>
      </c>
      <c r="H350" s="115">
        <f t="shared" ref="H350" si="81">IFERROR(F350*G350,)</f>
        <v>115683.75</v>
      </c>
      <c r="I350" s="159">
        <f>SUMIFS(Arrival!M:M,Arrival!K:K,'Stock statement'!$C350)</f>
        <v>0</v>
      </c>
      <c r="J350" s="160">
        <f t="shared" si="63"/>
        <v>0</v>
      </c>
      <c r="K350" s="160">
        <f>SUMIFS(Arrival!R:R,Arrival!K:K,'Stock statement'!$C350)</f>
        <v>0</v>
      </c>
      <c r="L350" s="160">
        <f t="shared" si="64"/>
        <v>11375</v>
      </c>
      <c r="M350" s="160">
        <f t="shared" si="65"/>
        <v>10.17</v>
      </c>
      <c r="N350" s="161">
        <f t="shared" si="66"/>
        <v>115683.75</v>
      </c>
      <c r="O350" s="159">
        <f t="shared" si="67"/>
        <v>0</v>
      </c>
      <c r="P350" s="162">
        <f t="shared" si="68"/>
        <v>10.17</v>
      </c>
      <c r="Q350" s="162">
        <f t="shared" si="69"/>
        <v>0</v>
      </c>
      <c r="R350" s="160">
        <f>IFERROR(VLOOKUP(C350,'Monthly Op &amp; Clo Stock (invoic)'!A:C,3,0),0)</f>
        <v>11375</v>
      </c>
      <c r="S350" s="163">
        <f t="shared" si="70"/>
        <v>10.17</v>
      </c>
      <c r="T350" s="162">
        <f t="shared" si="71"/>
        <v>115683.75</v>
      </c>
      <c r="U350" s="16"/>
      <c r="V350" s="71"/>
      <c r="W350" s="16"/>
    </row>
    <row r="351" spans="1:23">
      <c r="A351" s="35" t="s">
        <v>183</v>
      </c>
      <c r="B351" s="35" t="s">
        <v>183</v>
      </c>
      <c r="C351" s="170">
        <v>115468</v>
      </c>
      <c r="D351" s="170">
        <v>115468</v>
      </c>
      <c r="E351" s="22" t="s">
        <v>886</v>
      </c>
      <c r="F351" s="98">
        <v>0</v>
      </c>
      <c r="G351" s="158">
        <v>0</v>
      </c>
      <c r="H351" s="115">
        <f t="shared" ref="H351" si="82">IFERROR(F351*G351,)</f>
        <v>0</v>
      </c>
      <c r="I351" s="159">
        <f>SUMIFS(Arrival!M:M,Arrival!K:K,'Stock statement'!$C351)</f>
        <v>0</v>
      </c>
      <c r="J351" s="160">
        <f t="shared" si="63"/>
        <v>0</v>
      </c>
      <c r="K351" s="160">
        <f>SUMIFS(Arrival!R:R,Arrival!K:K,'Stock statement'!$C351)</f>
        <v>0</v>
      </c>
      <c r="L351" s="160">
        <f t="shared" si="64"/>
        <v>0</v>
      </c>
      <c r="M351" s="160">
        <f t="shared" si="65"/>
        <v>0</v>
      </c>
      <c r="N351" s="161">
        <f t="shared" si="66"/>
        <v>0</v>
      </c>
      <c r="O351" s="159">
        <f t="shared" si="67"/>
        <v>0</v>
      </c>
      <c r="P351" s="162">
        <f t="shared" si="68"/>
        <v>0</v>
      </c>
      <c r="Q351" s="162">
        <f t="shared" si="69"/>
        <v>0</v>
      </c>
      <c r="R351" s="160">
        <f>IFERROR(VLOOKUP(C351,'Monthly Op &amp; Clo Stock (invoic)'!A:C,3,0),0)</f>
        <v>0</v>
      </c>
      <c r="S351" s="163">
        <f t="shared" si="70"/>
        <v>0</v>
      </c>
      <c r="T351" s="162">
        <f t="shared" si="71"/>
        <v>0</v>
      </c>
      <c r="U351" s="16"/>
      <c r="V351" s="71"/>
      <c r="W351" s="16"/>
    </row>
    <row r="352" spans="1:23">
      <c r="A352" s="35" t="s">
        <v>183</v>
      </c>
      <c r="B352" s="35" t="s">
        <v>183</v>
      </c>
      <c r="C352" s="170">
        <v>214706</v>
      </c>
      <c r="D352" s="170">
        <v>214706</v>
      </c>
      <c r="E352" s="22" t="s">
        <v>887</v>
      </c>
      <c r="F352" s="98">
        <v>680</v>
      </c>
      <c r="G352" s="158">
        <v>37.72</v>
      </c>
      <c r="H352" s="115">
        <f t="shared" ref="H352:H374" si="83">IFERROR(F352*G352,)</f>
        <v>25649.599999999999</v>
      </c>
      <c r="I352" s="159">
        <f>SUMIFS(Arrival!M:M,Arrival!K:K,'Stock statement'!$C352)</f>
        <v>0</v>
      </c>
      <c r="J352" s="160">
        <f t="shared" si="63"/>
        <v>0</v>
      </c>
      <c r="K352" s="160">
        <f>SUMIFS(Arrival!R:R,Arrival!K:K,'Stock statement'!$C352)</f>
        <v>0</v>
      </c>
      <c r="L352" s="160">
        <f t="shared" si="64"/>
        <v>680</v>
      </c>
      <c r="M352" s="160">
        <f t="shared" si="65"/>
        <v>37.72</v>
      </c>
      <c r="N352" s="161">
        <f t="shared" si="66"/>
        <v>25649.599999999999</v>
      </c>
      <c r="O352" s="159">
        <f t="shared" si="67"/>
        <v>0</v>
      </c>
      <c r="P352" s="162">
        <f t="shared" si="68"/>
        <v>37.72</v>
      </c>
      <c r="Q352" s="162">
        <f t="shared" si="69"/>
        <v>0</v>
      </c>
      <c r="R352" s="160">
        <f>IFERROR(VLOOKUP(C352,'Monthly Op &amp; Clo Stock (invoic)'!A:C,3,0),0)</f>
        <v>680</v>
      </c>
      <c r="S352" s="163">
        <f t="shared" si="70"/>
        <v>37.72</v>
      </c>
      <c r="T352" s="162">
        <f t="shared" si="71"/>
        <v>25649.599999999999</v>
      </c>
      <c r="U352" s="16"/>
      <c r="V352" s="71"/>
      <c r="W352" s="16"/>
    </row>
    <row r="353" spans="1:23">
      <c r="A353" s="35" t="s">
        <v>183</v>
      </c>
      <c r="B353" s="35" t="s">
        <v>183</v>
      </c>
      <c r="C353" s="170">
        <v>214705</v>
      </c>
      <c r="D353" s="170">
        <v>214705</v>
      </c>
      <c r="E353" s="22" t="s">
        <v>888</v>
      </c>
      <c r="F353" s="98">
        <v>420</v>
      </c>
      <c r="G353" s="158">
        <v>27.07</v>
      </c>
      <c r="H353" s="115">
        <f t="shared" si="83"/>
        <v>11369.4</v>
      </c>
      <c r="I353" s="159">
        <f>SUMIFS(Arrival!M:M,Arrival!K:K,'Stock statement'!$C353)</f>
        <v>0</v>
      </c>
      <c r="J353" s="160">
        <f t="shared" si="63"/>
        <v>0</v>
      </c>
      <c r="K353" s="160">
        <f>SUMIFS(Arrival!R:R,Arrival!K:K,'Stock statement'!$C353)</f>
        <v>0</v>
      </c>
      <c r="L353" s="160">
        <f t="shared" si="64"/>
        <v>420</v>
      </c>
      <c r="M353" s="160">
        <f t="shared" si="65"/>
        <v>27.07</v>
      </c>
      <c r="N353" s="161">
        <f t="shared" si="66"/>
        <v>11369.4</v>
      </c>
      <c r="O353" s="159">
        <f t="shared" si="67"/>
        <v>0</v>
      </c>
      <c r="P353" s="162">
        <f t="shared" si="68"/>
        <v>27.07</v>
      </c>
      <c r="Q353" s="162">
        <f t="shared" si="69"/>
        <v>0</v>
      </c>
      <c r="R353" s="160">
        <f>IFERROR(VLOOKUP(C353,'Monthly Op &amp; Clo Stock (invoic)'!A:C,3,0),0)</f>
        <v>420</v>
      </c>
      <c r="S353" s="163">
        <f t="shared" si="70"/>
        <v>27.07</v>
      </c>
      <c r="T353" s="162">
        <f t="shared" si="71"/>
        <v>11369.4</v>
      </c>
      <c r="U353" s="16"/>
      <c r="V353" s="71"/>
      <c r="W353" s="16"/>
    </row>
    <row r="354" spans="1:23">
      <c r="A354" s="35" t="s">
        <v>183</v>
      </c>
      <c r="B354" s="35" t="s">
        <v>183</v>
      </c>
      <c r="C354" s="170">
        <v>214666</v>
      </c>
      <c r="D354" s="170">
        <v>214666</v>
      </c>
      <c r="E354" s="22" t="s">
        <v>889</v>
      </c>
      <c r="F354" s="98">
        <v>5000</v>
      </c>
      <c r="G354" s="158">
        <v>9.5</v>
      </c>
      <c r="H354" s="115">
        <f t="shared" si="83"/>
        <v>47500</v>
      </c>
      <c r="I354" s="159">
        <f>SUMIFS(Arrival!M:M,Arrival!K:K,'Stock statement'!$C354)</f>
        <v>0</v>
      </c>
      <c r="J354" s="160">
        <f t="shared" si="63"/>
        <v>0</v>
      </c>
      <c r="K354" s="160">
        <f>SUMIFS(Arrival!R:R,Arrival!K:K,'Stock statement'!$C354)</f>
        <v>0</v>
      </c>
      <c r="L354" s="160">
        <f t="shared" si="64"/>
        <v>5000</v>
      </c>
      <c r="M354" s="160">
        <f t="shared" si="65"/>
        <v>9.5</v>
      </c>
      <c r="N354" s="161">
        <f t="shared" si="66"/>
        <v>47500</v>
      </c>
      <c r="O354" s="159">
        <f t="shared" si="67"/>
        <v>0</v>
      </c>
      <c r="P354" s="162">
        <f t="shared" si="68"/>
        <v>9.5</v>
      </c>
      <c r="Q354" s="162">
        <f t="shared" si="69"/>
        <v>0</v>
      </c>
      <c r="R354" s="160">
        <f>IFERROR(VLOOKUP(C354,'Monthly Op &amp; Clo Stock (invoic)'!A:C,3,0),0)</f>
        <v>5000</v>
      </c>
      <c r="S354" s="163">
        <f t="shared" si="70"/>
        <v>9.5</v>
      </c>
      <c r="T354" s="162">
        <f t="shared" si="71"/>
        <v>47500</v>
      </c>
      <c r="U354" s="16"/>
      <c r="V354" s="71"/>
      <c r="W354" s="16"/>
    </row>
    <row r="355" spans="1:23">
      <c r="A355" s="35" t="s">
        <v>183</v>
      </c>
      <c r="B355" s="35" t="s">
        <v>183</v>
      </c>
      <c r="C355" s="170">
        <v>214667</v>
      </c>
      <c r="D355" s="170">
        <v>214667</v>
      </c>
      <c r="E355" s="22" t="s">
        <v>890</v>
      </c>
      <c r="F355" s="98">
        <v>5000</v>
      </c>
      <c r="G355" s="158">
        <v>9.5</v>
      </c>
      <c r="H355" s="115">
        <f t="shared" si="83"/>
        <v>47500</v>
      </c>
      <c r="I355" s="159">
        <f>SUMIFS(Arrival!M:M,Arrival!K:K,'Stock statement'!$C355)</f>
        <v>0</v>
      </c>
      <c r="J355" s="160">
        <f t="shared" si="63"/>
        <v>0</v>
      </c>
      <c r="K355" s="160">
        <f>SUMIFS(Arrival!R:R,Arrival!K:K,'Stock statement'!$C355)</f>
        <v>0</v>
      </c>
      <c r="L355" s="160">
        <f t="shared" si="64"/>
        <v>5000</v>
      </c>
      <c r="M355" s="160">
        <f t="shared" si="65"/>
        <v>9.5</v>
      </c>
      <c r="N355" s="161">
        <f t="shared" si="66"/>
        <v>47500</v>
      </c>
      <c r="O355" s="159">
        <f t="shared" si="67"/>
        <v>0</v>
      </c>
      <c r="P355" s="162">
        <f t="shared" si="68"/>
        <v>9.5</v>
      </c>
      <c r="Q355" s="162">
        <f t="shared" si="69"/>
        <v>0</v>
      </c>
      <c r="R355" s="160">
        <f>IFERROR(VLOOKUP(C355,'Monthly Op &amp; Clo Stock (invoic)'!A:C,3,0),0)</f>
        <v>5000</v>
      </c>
      <c r="S355" s="163">
        <f t="shared" si="70"/>
        <v>9.5</v>
      </c>
      <c r="T355" s="162">
        <f t="shared" si="71"/>
        <v>47500</v>
      </c>
      <c r="U355" s="16"/>
      <c r="V355" s="71"/>
      <c r="W355" s="16"/>
    </row>
    <row r="356" spans="1:23">
      <c r="A356" s="35" t="s">
        <v>183</v>
      </c>
      <c r="B356" s="35" t="s">
        <v>183</v>
      </c>
      <c r="C356" s="170">
        <v>214879</v>
      </c>
      <c r="D356" s="170">
        <v>214879</v>
      </c>
      <c r="E356" s="22" t="s">
        <v>538</v>
      </c>
      <c r="F356" s="98">
        <v>2200</v>
      </c>
      <c r="G356" s="158">
        <v>8.6712328767123292</v>
      </c>
      <c r="H356" s="115">
        <f t="shared" si="83"/>
        <v>19076.712328767124</v>
      </c>
      <c r="I356" s="159">
        <f>SUMIFS(Arrival!M:M,Arrival!K:K,'Stock statement'!$C356)</f>
        <v>0</v>
      </c>
      <c r="J356" s="160">
        <f t="shared" si="63"/>
        <v>0</v>
      </c>
      <c r="K356" s="160">
        <f>SUMIFS(Arrival!R:R,Arrival!K:K,'Stock statement'!$C356)</f>
        <v>0</v>
      </c>
      <c r="L356" s="160">
        <f t="shared" si="64"/>
        <v>2200</v>
      </c>
      <c r="M356" s="160">
        <f t="shared" si="65"/>
        <v>8.6712328767123292</v>
      </c>
      <c r="N356" s="161">
        <f t="shared" si="66"/>
        <v>19076.712328767124</v>
      </c>
      <c r="O356" s="159">
        <f t="shared" si="67"/>
        <v>0</v>
      </c>
      <c r="P356" s="162">
        <f t="shared" si="68"/>
        <v>8.6712328767123292</v>
      </c>
      <c r="Q356" s="162">
        <f t="shared" si="69"/>
        <v>0</v>
      </c>
      <c r="R356" s="160">
        <f>IFERROR(VLOOKUP(C356,'Monthly Op &amp; Clo Stock (invoic)'!A:C,3,0),0)</f>
        <v>2200</v>
      </c>
      <c r="S356" s="163">
        <f t="shared" si="70"/>
        <v>8.6712328767123292</v>
      </c>
      <c r="T356" s="162">
        <f t="shared" si="71"/>
        <v>19076.712328767124</v>
      </c>
      <c r="U356" s="16"/>
      <c r="V356" s="71"/>
      <c r="W356" s="16"/>
    </row>
    <row r="357" spans="1:23">
      <c r="A357" s="35" t="s">
        <v>183</v>
      </c>
      <c r="B357" s="35" t="s">
        <v>183</v>
      </c>
      <c r="C357" s="170">
        <v>214672</v>
      </c>
      <c r="D357" s="170">
        <v>214672</v>
      </c>
      <c r="E357" s="22" t="s">
        <v>891</v>
      </c>
      <c r="F357" s="98">
        <v>7360</v>
      </c>
      <c r="G357" s="158">
        <v>3.1899999999999995</v>
      </c>
      <c r="H357" s="115">
        <f t="shared" si="83"/>
        <v>23478.399999999998</v>
      </c>
      <c r="I357" s="159">
        <f>SUMIFS(Arrival!M:M,Arrival!K:K,'Stock statement'!$C357)</f>
        <v>0</v>
      </c>
      <c r="J357" s="160">
        <f t="shared" si="63"/>
        <v>0</v>
      </c>
      <c r="K357" s="160">
        <f>SUMIFS(Arrival!R:R,Arrival!K:K,'Stock statement'!$C357)</f>
        <v>0</v>
      </c>
      <c r="L357" s="160">
        <f t="shared" si="64"/>
        <v>7360</v>
      </c>
      <c r="M357" s="160">
        <f t="shared" si="65"/>
        <v>3.1899999999999995</v>
      </c>
      <c r="N357" s="161">
        <f t="shared" si="66"/>
        <v>23478.399999999998</v>
      </c>
      <c r="O357" s="159">
        <f t="shared" si="67"/>
        <v>0</v>
      </c>
      <c r="P357" s="162">
        <f t="shared" si="68"/>
        <v>3.1899999999999995</v>
      </c>
      <c r="Q357" s="162">
        <f t="shared" si="69"/>
        <v>0</v>
      </c>
      <c r="R357" s="160">
        <f>IFERROR(VLOOKUP(C357,'Monthly Op &amp; Clo Stock (invoic)'!A:C,3,0),0)</f>
        <v>7360</v>
      </c>
      <c r="S357" s="163">
        <f t="shared" si="70"/>
        <v>3.1899999999999995</v>
      </c>
      <c r="T357" s="162">
        <f t="shared" si="71"/>
        <v>23478.399999999998</v>
      </c>
      <c r="U357" s="16"/>
      <c r="V357" s="71"/>
      <c r="W357" s="16"/>
    </row>
    <row r="358" spans="1:23">
      <c r="A358" s="35" t="s">
        <v>183</v>
      </c>
      <c r="B358" s="35" t="s">
        <v>183</v>
      </c>
      <c r="C358" s="170">
        <v>213468</v>
      </c>
      <c r="D358" s="170">
        <v>213468</v>
      </c>
      <c r="E358" s="22" t="s">
        <v>892</v>
      </c>
      <c r="F358" s="98">
        <v>6550</v>
      </c>
      <c r="G358" s="158">
        <v>3</v>
      </c>
      <c r="H358" s="115">
        <f t="shared" si="83"/>
        <v>19650</v>
      </c>
      <c r="I358" s="159">
        <f>SUMIFS(Arrival!M:M,Arrival!K:K,'Stock statement'!$C358)</f>
        <v>0</v>
      </c>
      <c r="J358" s="160">
        <f t="shared" si="63"/>
        <v>0</v>
      </c>
      <c r="K358" s="160">
        <f>SUMIFS(Arrival!R:R,Arrival!K:K,'Stock statement'!$C358)</f>
        <v>0</v>
      </c>
      <c r="L358" s="160">
        <f t="shared" si="64"/>
        <v>6550</v>
      </c>
      <c r="M358" s="160">
        <f t="shared" si="65"/>
        <v>3</v>
      </c>
      <c r="N358" s="161">
        <f t="shared" si="66"/>
        <v>19650</v>
      </c>
      <c r="O358" s="159">
        <f t="shared" si="67"/>
        <v>0</v>
      </c>
      <c r="P358" s="162">
        <f t="shared" si="68"/>
        <v>3</v>
      </c>
      <c r="Q358" s="162">
        <f t="shared" si="69"/>
        <v>0</v>
      </c>
      <c r="R358" s="160">
        <f>IFERROR(VLOOKUP(C358,'Monthly Op &amp; Clo Stock (invoic)'!A:C,3,0),0)</f>
        <v>6550</v>
      </c>
      <c r="S358" s="163">
        <f t="shared" si="70"/>
        <v>3</v>
      </c>
      <c r="T358" s="162">
        <f t="shared" si="71"/>
        <v>19650</v>
      </c>
      <c r="U358" s="16"/>
      <c r="V358" s="71"/>
      <c r="W358" s="16"/>
    </row>
    <row r="359" spans="1:23">
      <c r="A359" s="35" t="s">
        <v>183</v>
      </c>
      <c r="B359" s="35" t="s">
        <v>183</v>
      </c>
      <c r="C359" s="170">
        <v>214951</v>
      </c>
      <c r="D359" s="170">
        <v>214951</v>
      </c>
      <c r="E359" s="22" t="s">
        <v>531</v>
      </c>
      <c r="F359" s="98">
        <v>0</v>
      </c>
      <c r="G359" s="158">
        <v>9.1999999999999993</v>
      </c>
      <c r="H359" s="115">
        <f t="shared" si="83"/>
        <v>0</v>
      </c>
      <c r="I359" s="159">
        <f>SUMIFS(Arrival!M:M,Arrival!K:K,'Stock statement'!$C359)</f>
        <v>0</v>
      </c>
      <c r="J359" s="160">
        <f t="shared" si="63"/>
        <v>0</v>
      </c>
      <c r="K359" s="160">
        <f>SUMIFS(Arrival!R:R,Arrival!K:K,'Stock statement'!$C359)</f>
        <v>0</v>
      </c>
      <c r="L359" s="160">
        <f t="shared" si="64"/>
        <v>0</v>
      </c>
      <c r="M359" s="160">
        <f t="shared" si="65"/>
        <v>0</v>
      </c>
      <c r="N359" s="161">
        <f t="shared" si="66"/>
        <v>0</v>
      </c>
      <c r="O359" s="159">
        <f t="shared" si="67"/>
        <v>0</v>
      </c>
      <c r="P359" s="162">
        <f t="shared" si="68"/>
        <v>0</v>
      </c>
      <c r="Q359" s="162">
        <f t="shared" si="69"/>
        <v>0</v>
      </c>
      <c r="R359" s="160">
        <f>IFERROR(VLOOKUP(C359,'Monthly Op &amp; Clo Stock (invoic)'!A:C,3,0),0)</f>
        <v>0</v>
      </c>
      <c r="S359" s="163">
        <f t="shared" si="70"/>
        <v>0</v>
      </c>
      <c r="T359" s="162">
        <f t="shared" si="71"/>
        <v>0</v>
      </c>
      <c r="U359" s="16"/>
      <c r="V359" s="71"/>
      <c r="W359" s="16"/>
    </row>
    <row r="360" spans="1:23">
      <c r="A360" s="35" t="s">
        <v>183</v>
      </c>
      <c r="B360" s="35" t="s">
        <v>183</v>
      </c>
      <c r="C360" s="170">
        <v>344557</v>
      </c>
      <c r="D360" s="170">
        <v>344557</v>
      </c>
      <c r="E360" s="22" t="s">
        <v>893</v>
      </c>
      <c r="F360" s="98">
        <v>0</v>
      </c>
      <c r="G360" s="158">
        <v>1</v>
      </c>
      <c r="H360" s="115">
        <f t="shared" si="83"/>
        <v>0</v>
      </c>
      <c r="I360" s="159">
        <f>SUMIFS(Arrival!M:M,Arrival!K:K,'Stock statement'!$C360)</f>
        <v>0</v>
      </c>
      <c r="J360" s="160">
        <f t="shared" si="63"/>
        <v>0</v>
      </c>
      <c r="K360" s="160">
        <f>SUMIFS(Arrival!R:R,Arrival!K:K,'Stock statement'!$C360)</f>
        <v>0</v>
      </c>
      <c r="L360" s="160">
        <f t="shared" si="64"/>
        <v>0</v>
      </c>
      <c r="M360" s="160">
        <f t="shared" si="65"/>
        <v>0</v>
      </c>
      <c r="N360" s="161">
        <f t="shared" si="66"/>
        <v>0</v>
      </c>
      <c r="O360" s="159">
        <f t="shared" si="67"/>
        <v>0</v>
      </c>
      <c r="P360" s="162">
        <f t="shared" si="68"/>
        <v>0</v>
      </c>
      <c r="Q360" s="162">
        <f t="shared" si="69"/>
        <v>0</v>
      </c>
      <c r="R360" s="160">
        <f>IFERROR(VLOOKUP(C360,'Monthly Op &amp; Clo Stock (invoic)'!A:C,3,0),0)</f>
        <v>0</v>
      </c>
      <c r="S360" s="163">
        <f t="shared" si="70"/>
        <v>0</v>
      </c>
      <c r="T360" s="162">
        <f t="shared" si="71"/>
        <v>0</v>
      </c>
      <c r="U360" s="16"/>
      <c r="V360" s="71"/>
      <c r="W360" s="16"/>
    </row>
    <row r="361" spans="1:23">
      <c r="A361" s="35" t="s">
        <v>183</v>
      </c>
      <c r="B361" s="35" t="s">
        <v>183</v>
      </c>
      <c r="C361" s="5">
        <v>214932</v>
      </c>
      <c r="D361" s="5">
        <v>214932</v>
      </c>
      <c r="E361" s="5" t="s">
        <v>530</v>
      </c>
      <c r="F361" s="98">
        <v>0</v>
      </c>
      <c r="G361" s="158">
        <v>0</v>
      </c>
      <c r="H361" s="115">
        <f t="shared" si="83"/>
        <v>0</v>
      </c>
      <c r="I361" s="159">
        <f>SUMIFS(Arrival!M:M,Arrival!K:K,'Stock statement'!$C361)</f>
        <v>0</v>
      </c>
      <c r="J361" s="160">
        <f t="shared" si="63"/>
        <v>0</v>
      </c>
      <c r="K361" s="160">
        <f>SUMIFS(Arrival!R:R,Arrival!K:K,'Stock statement'!$C361)</f>
        <v>0</v>
      </c>
      <c r="L361" s="160">
        <f t="shared" si="64"/>
        <v>0</v>
      </c>
      <c r="M361" s="160">
        <f t="shared" si="65"/>
        <v>0</v>
      </c>
      <c r="N361" s="161">
        <f t="shared" si="66"/>
        <v>0</v>
      </c>
      <c r="O361" s="159">
        <f t="shared" si="67"/>
        <v>0</v>
      </c>
      <c r="P361" s="162">
        <f t="shared" si="68"/>
        <v>0</v>
      </c>
      <c r="Q361" s="162">
        <f t="shared" si="69"/>
        <v>0</v>
      </c>
      <c r="R361" s="160">
        <f>IFERROR(VLOOKUP(C361,'Monthly Op &amp; Clo Stock (invoic)'!A:C,3,0),0)</f>
        <v>0</v>
      </c>
      <c r="S361" s="163">
        <f t="shared" si="70"/>
        <v>0</v>
      </c>
      <c r="T361" s="162">
        <f t="shared" si="71"/>
        <v>0</v>
      </c>
      <c r="U361" s="16"/>
      <c r="V361" s="71"/>
      <c r="W361" s="16"/>
    </row>
    <row r="362" spans="1:23">
      <c r="A362" s="35" t="s">
        <v>183</v>
      </c>
      <c r="B362" s="35" t="s">
        <v>183</v>
      </c>
      <c r="C362" s="5">
        <v>214959</v>
      </c>
      <c r="D362" s="5">
        <v>214959</v>
      </c>
      <c r="E362" s="5" t="s">
        <v>894</v>
      </c>
      <c r="F362" s="98">
        <v>0</v>
      </c>
      <c r="G362" s="158">
        <v>41.01</v>
      </c>
      <c r="H362" s="115">
        <f t="shared" si="83"/>
        <v>0</v>
      </c>
      <c r="I362" s="159">
        <f>SUMIFS(Arrival!M:M,Arrival!K:K,'Stock statement'!$C362)</f>
        <v>6280</v>
      </c>
      <c r="J362" s="160">
        <f t="shared" si="63"/>
        <v>41.01</v>
      </c>
      <c r="K362" s="160">
        <f>SUMIFS(Arrival!R:R,Arrival!K:K,'Stock statement'!$C362)</f>
        <v>257542.8</v>
      </c>
      <c r="L362" s="160">
        <f t="shared" si="64"/>
        <v>6280</v>
      </c>
      <c r="M362" s="160">
        <f t="shared" si="65"/>
        <v>41.01</v>
      </c>
      <c r="N362" s="161">
        <f t="shared" si="66"/>
        <v>257542.8</v>
      </c>
      <c r="O362" s="159">
        <f t="shared" si="67"/>
        <v>120</v>
      </c>
      <c r="P362" s="162">
        <f t="shared" si="68"/>
        <v>41.01</v>
      </c>
      <c r="Q362" s="162">
        <f t="shared" si="69"/>
        <v>4921.2</v>
      </c>
      <c r="R362" s="160">
        <f>IFERROR(VLOOKUP(C362,'Monthly Op &amp; Clo Stock (invoic)'!A:C,3,0),0)</f>
        <v>6160</v>
      </c>
      <c r="S362" s="163">
        <f t="shared" si="70"/>
        <v>41.01</v>
      </c>
      <c r="T362" s="162">
        <f t="shared" si="71"/>
        <v>252621.59999999998</v>
      </c>
      <c r="U362" s="16"/>
      <c r="V362" s="71"/>
      <c r="W362" s="16"/>
    </row>
    <row r="363" spans="1:23">
      <c r="A363" s="35" t="s">
        <v>183</v>
      </c>
      <c r="B363" s="35" t="s">
        <v>183</v>
      </c>
      <c r="C363" s="5">
        <v>214970</v>
      </c>
      <c r="D363" s="5">
        <v>214970</v>
      </c>
      <c r="E363" s="5" t="s">
        <v>895</v>
      </c>
      <c r="F363" s="98">
        <v>1295.77</v>
      </c>
      <c r="G363" s="158">
        <v>208.14893092090696</v>
      </c>
      <c r="H363" s="115">
        <f t="shared" si="83"/>
        <v>269713.14021938364</v>
      </c>
      <c r="I363" s="159">
        <f>SUMIFS(Arrival!M:M,Arrival!K:K,'Stock statement'!$C363)</f>
        <v>6528.2</v>
      </c>
      <c r="J363" s="160">
        <f t="shared" si="63"/>
        <v>208.25190557887322</v>
      </c>
      <c r="K363" s="160">
        <f>SUMIFS(Arrival!R:R,Arrival!K:K,'Stock statement'!$C363)</f>
        <v>1359510.09</v>
      </c>
      <c r="L363" s="160">
        <f t="shared" si="64"/>
        <v>7823.9699999999993</v>
      </c>
      <c r="M363" s="160">
        <f t="shared" si="65"/>
        <v>208.23485138866636</v>
      </c>
      <c r="N363" s="161">
        <f t="shared" si="66"/>
        <v>1629223.2302193837</v>
      </c>
      <c r="O363" s="159">
        <f t="shared" si="67"/>
        <v>6724.9699999999993</v>
      </c>
      <c r="P363" s="162">
        <f t="shared" si="68"/>
        <v>208.23485138866636</v>
      </c>
      <c r="Q363" s="162">
        <f t="shared" si="69"/>
        <v>1400373.1285432396</v>
      </c>
      <c r="R363" s="160">
        <f>IFERROR(VLOOKUP(C363,'Monthly Op &amp; Clo Stock (invoic)'!A:C,3,0),0)</f>
        <v>1099</v>
      </c>
      <c r="S363" s="163">
        <f t="shared" si="70"/>
        <v>208.23485138866636</v>
      </c>
      <c r="T363" s="162">
        <f t="shared" si="71"/>
        <v>228850.10167614432</v>
      </c>
      <c r="U363" s="16"/>
      <c r="V363" s="71"/>
      <c r="W363" s="16"/>
    </row>
    <row r="364" spans="1:23">
      <c r="A364" s="35" t="s">
        <v>183</v>
      </c>
      <c r="B364" s="35" t="s">
        <v>183</v>
      </c>
      <c r="C364" s="5">
        <v>214961</v>
      </c>
      <c r="D364" s="5">
        <v>214961</v>
      </c>
      <c r="E364" s="5" t="s">
        <v>896</v>
      </c>
      <c r="F364" s="98">
        <v>15188</v>
      </c>
      <c r="G364" s="158">
        <v>30.120000000000005</v>
      </c>
      <c r="H364" s="115">
        <f t="shared" si="83"/>
        <v>457462.56000000006</v>
      </c>
      <c r="I364" s="159">
        <f>SUMIFS(Arrival!M:M,Arrival!K:K,'Stock statement'!$C364)</f>
        <v>25540</v>
      </c>
      <c r="J364" s="160">
        <f t="shared" si="63"/>
        <v>29.858715740015661</v>
      </c>
      <c r="K364" s="160">
        <f>SUMIFS(Arrival!R:R,Arrival!K:K,'Stock statement'!$C364)</f>
        <v>762591.6</v>
      </c>
      <c r="L364" s="160">
        <f t="shared" si="64"/>
        <v>40728</v>
      </c>
      <c r="M364" s="160">
        <f t="shared" si="65"/>
        <v>29.956152032999416</v>
      </c>
      <c r="N364" s="161">
        <f t="shared" si="66"/>
        <v>1220054.1600000001</v>
      </c>
      <c r="O364" s="159">
        <f t="shared" si="67"/>
        <v>33788</v>
      </c>
      <c r="P364" s="162">
        <f t="shared" si="68"/>
        <v>29.956152032999416</v>
      </c>
      <c r="Q364" s="162">
        <f t="shared" si="69"/>
        <v>1012158.4648909842</v>
      </c>
      <c r="R364" s="160">
        <f>IFERROR(VLOOKUP(C364,'Monthly Op &amp; Clo Stock (invoic)'!A:C,3,0),0)</f>
        <v>6940</v>
      </c>
      <c r="S364" s="163">
        <f t="shared" si="70"/>
        <v>29.956152032999416</v>
      </c>
      <c r="T364" s="162">
        <f t="shared" si="71"/>
        <v>207895.69510901594</v>
      </c>
      <c r="U364" s="16"/>
      <c r="V364" s="71"/>
      <c r="W364" s="16"/>
    </row>
    <row r="365" spans="1:23">
      <c r="A365" s="35" t="s">
        <v>183</v>
      </c>
      <c r="B365" s="35" t="s">
        <v>183</v>
      </c>
      <c r="C365" s="5">
        <v>214962</v>
      </c>
      <c r="D365" s="5">
        <v>214962</v>
      </c>
      <c r="E365" s="5" t="s">
        <v>897</v>
      </c>
      <c r="F365" s="98">
        <v>30376</v>
      </c>
      <c r="G365" s="158">
        <v>14.299999999999999</v>
      </c>
      <c r="H365" s="115">
        <f t="shared" si="83"/>
        <v>434376.8</v>
      </c>
      <c r="I365" s="159">
        <f>SUMIFS(Arrival!M:M,Arrival!K:K,'Stock statement'!$C365)</f>
        <v>50560</v>
      </c>
      <c r="J365" s="160">
        <f t="shared" si="63"/>
        <v>14.006479430379747</v>
      </c>
      <c r="K365" s="160">
        <f>SUMIFS(Arrival!R:R,Arrival!K:K,'Stock statement'!$C365)</f>
        <v>708167.6</v>
      </c>
      <c r="L365" s="160">
        <f t="shared" si="64"/>
        <v>80936</v>
      </c>
      <c r="M365" s="160">
        <f t="shared" si="65"/>
        <v>14.116640308391814</v>
      </c>
      <c r="N365" s="161">
        <f t="shared" si="66"/>
        <v>1142544.3999999999</v>
      </c>
      <c r="O365" s="159">
        <f t="shared" si="67"/>
        <v>64558</v>
      </c>
      <c r="P365" s="162">
        <f t="shared" si="68"/>
        <v>14.116640308391814</v>
      </c>
      <c r="Q365" s="162">
        <f t="shared" si="69"/>
        <v>911342.06502915872</v>
      </c>
      <c r="R365" s="160">
        <f>IFERROR(VLOOKUP(C365,'Monthly Op &amp; Clo Stock (invoic)'!A:C,3,0),0)</f>
        <v>16378</v>
      </c>
      <c r="S365" s="163">
        <f t="shared" si="70"/>
        <v>14.116640308391814</v>
      </c>
      <c r="T365" s="162">
        <f t="shared" si="71"/>
        <v>231202.33497084113</v>
      </c>
      <c r="U365" s="16"/>
      <c r="V365" s="71"/>
      <c r="W365" s="16"/>
    </row>
    <row r="366" spans="1:23">
      <c r="A366" s="35" t="s">
        <v>183</v>
      </c>
      <c r="B366" s="35" t="s">
        <v>183</v>
      </c>
      <c r="C366" s="5">
        <v>214967</v>
      </c>
      <c r="D366" s="5">
        <v>214967</v>
      </c>
      <c r="E366" s="5" t="s">
        <v>898</v>
      </c>
      <c r="F366" s="98">
        <v>0</v>
      </c>
      <c r="G366" s="158">
        <v>53.22</v>
      </c>
      <c r="H366" s="115">
        <f t="shared" si="83"/>
        <v>0</v>
      </c>
      <c r="I366" s="159">
        <f>SUMIFS(Arrival!M:M,Arrival!K:K,'Stock statement'!$C366)</f>
        <v>0</v>
      </c>
      <c r="J366" s="160">
        <f t="shared" si="63"/>
        <v>0</v>
      </c>
      <c r="K366" s="160">
        <f>SUMIFS(Arrival!R:R,Arrival!K:K,'Stock statement'!$C366)</f>
        <v>0</v>
      </c>
      <c r="L366" s="160">
        <f t="shared" si="64"/>
        <v>0</v>
      </c>
      <c r="M366" s="160">
        <f t="shared" si="65"/>
        <v>0</v>
      </c>
      <c r="N366" s="161">
        <f t="shared" si="66"/>
        <v>0</v>
      </c>
      <c r="O366" s="159">
        <f t="shared" si="67"/>
        <v>-120</v>
      </c>
      <c r="P366" s="162">
        <f t="shared" si="68"/>
        <v>0</v>
      </c>
      <c r="Q366" s="162">
        <f t="shared" si="69"/>
        <v>0</v>
      </c>
      <c r="R366" s="160">
        <f>IFERROR(VLOOKUP(C366,'Monthly Op &amp; Clo Stock (invoic)'!A:C,3,0),0)</f>
        <v>120</v>
      </c>
      <c r="S366" s="163">
        <f t="shared" si="70"/>
        <v>0</v>
      </c>
      <c r="T366" s="162">
        <f t="shared" si="71"/>
        <v>0</v>
      </c>
      <c r="U366" s="16"/>
      <c r="V366" s="71"/>
      <c r="W366" s="16"/>
    </row>
    <row r="367" spans="1:23">
      <c r="A367" s="35" t="s">
        <v>183</v>
      </c>
      <c r="B367" s="35" t="s">
        <v>183</v>
      </c>
      <c r="C367" s="5">
        <v>214968</v>
      </c>
      <c r="D367" s="5">
        <v>214968</v>
      </c>
      <c r="E367" s="5" t="s">
        <v>899</v>
      </c>
      <c r="F367" s="98">
        <v>50</v>
      </c>
      <c r="G367" s="158">
        <v>53.22</v>
      </c>
      <c r="H367" s="115">
        <f t="shared" si="83"/>
        <v>2661</v>
      </c>
      <c r="I367" s="159">
        <f>SUMIFS(Arrival!M:M,Arrival!K:K,'Stock statement'!$C367)</f>
        <v>0</v>
      </c>
      <c r="J367" s="160">
        <f t="shared" si="63"/>
        <v>0</v>
      </c>
      <c r="K367" s="160">
        <f>SUMIFS(Arrival!R:R,Arrival!K:K,'Stock statement'!$C367)</f>
        <v>0</v>
      </c>
      <c r="L367" s="160">
        <f t="shared" si="64"/>
        <v>50</v>
      </c>
      <c r="M367" s="160">
        <f t="shared" si="65"/>
        <v>53.22</v>
      </c>
      <c r="N367" s="161">
        <f t="shared" si="66"/>
        <v>2661</v>
      </c>
      <c r="O367" s="159">
        <f t="shared" si="67"/>
        <v>0</v>
      </c>
      <c r="P367" s="162">
        <f t="shared" si="68"/>
        <v>53.22</v>
      </c>
      <c r="Q367" s="162">
        <f t="shared" si="69"/>
        <v>0</v>
      </c>
      <c r="R367" s="160">
        <f>IFERROR(VLOOKUP(C367,'Monthly Op &amp; Clo Stock (invoic)'!A:C,3,0),0)</f>
        <v>50</v>
      </c>
      <c r="S367" s="163">
        <f t="shared" si="70"/>
        <v>53.22</v>
      </c>
      <c r="T367" s="162">
        <f t="shared" si="71"/>
        <v>2661</v>
      </c>
      <c r="U367" s="16"/>
      <c r="V367" s="71"/>
      <c r="W367" s="16"/>
    </row>
    <row r="368" spans="1:23">
      <c r="A368" s="35" t="s">
        <v>183</v>
      </c>
      <c r="B368" s="35" t="s">
        <v>183</v>
      </c>
      <c r="C368" s="5">
        <v>214966</v>
      </c>
      <c r="D368" s="5">
        <v>214966</v>
      </c>
      <c r="E368" s="5" t="s">
        <v>536</v>
      </c>
      <c r="F368" s="98">
        <v>170</v>
      </c>
      <c r="G368" s="158">
        <v>53.22</v>
      </c>
      <c r="H368" s="115">
        <f t="shared" si="83"/>
        <v>9047.4</v>
      </c>
      <c r="I368" s="159">
        <f>SUMIFS(Arrival!M:M,Arrival!K:K,'Stock statement'!$C368)</f>
        <v>0</v>
      </c>
      <c r="J368" s="160">
        <f t="shared" si="63"/>
        <v>0</v>
      </c>
      <c r="K368" s="160">
        <f>SUMIFS(Arrival!R:R,Arrival!K:K,'Stock statement'!$C368)</f>
        <v>0</v>
      </c>
      <c r="L368" s="160">
        <f t="shared" si="64"/>
        <v>170</v>
      </c>
      <c r="M368" s="160">
        <f t="shared" si="65"/>
        <v>53.22</v>
      </c>
      <c r="N368" s="161">
        <f t="shared" si="66"/>
        <v>9047.4</v>
      </c>
      <c r="O368" s="159">
        <f t="shared" si="67"/>
        <v>0</v>
      </c>
      <c r="P368" s="162">
        <f t="shared" si="68"/>
        <v>53.22</v>
      </c>
      <c r="Q368" s="162">
        <f t="shared" si="69"/>
        <v>0</v>
      </c>
      <c r="R368" s="160">
        <f>IFERROR(VLOOKUP(C368,'Monthly Op &amp; Clo Stock (invoic)'!A:C,3,0),0)</f>
        <v>170</v>
      </c>
      <c r="S368" s="163">
        <f t="shared" si="70"/>
        <v>53.22</v>
      </c>
      <c r="T368" s="162">
        <f t="shared" si="71"/>
        <v>9047.4</v>
      </c>
      <c r="U368" s="16"/>
      <c r="V368" s="71"/>
      <c r="W368" s="16"/>
    </row>
    <row r="369" spans="1:23">
      <c r="A369" s="35" t="s">
        <v>183</v>
      </c>
      <c r="B369" s="35" t="s">
        <v>183</v>
      </c>
      <c r="C369" s="5">
        <v>214965</v>
      </c>
      <c r="D369" s="5">
        <v>214965</v>
      </c>
      <c r="E369" s="5" t="s">
        <v>900</v>
      </c>
      <c r="F369" s="98">
        <v>150</v>
      </c>
      <c r="G369" s="158">
        <v>53.22</v>
      </c>
      <c r="H369" s="115">
        <f t="shared" si="83"/>
        <v>7983</v>
      </c>
      <c r="I369" s="159">
        <f>SUMIFS(Arrival!M:M,Arrival!K:K,'Stock statement'!$C369)</f>
        <v>0</v>
      </c>
      <c r="J369" s="160">
        <f t="shared" si="63"/>
        <v>0</v>
      </c>
      <c r="K369" s="160">
        <f>SUMIFS(Arrival!R:R,Arrival!K:K,'Stock statement'!$C369)</f>
        <v>0</v>
      </c>
      <c r="L369" s="160">
        <f t="shared" si="64"/>
        <v>150</v>
      </c>
      <c r="M369" s="160">
        <f t="shared" si="65"/>
        <v>53.22</v>
      </c>
      <c r="N369" s="161">
        <f t="shared" si="66"/>
        <v>7983</v>
      </c>
      <c r="O369" s="159">
        <f t="shared" si="67"/>
        <v>70</v>
      </c>
      <c r="P369" s="162">
        <f t="shared" si="68"/>
        <v>53.22</v>
      </c>
      <c r="Q369" s="162">
        <f t="shared" si="69"/>
        <v>3725.4</v>
      </c>
      <c r="R369" s="160">
        <f>IFERROR(VLOOKUP(C369,'Monthly Op &amp; Clo Stock (invoic)'!A:C,3,0),0)</f>
        <v>80</v>
      </c>
      <c r="S369" s="163">
        <f t="shared" si="70"/>
        <v>53.22</v>
      </c>
      <c r="T369" s="162">
        <f t="shared" si="71"/>
        <v>4257.6000000000004</v>
      </c>
      <c r="U369" s="16"/>
      <c r="V369" s="71"/>
      <c r="W369" s="16"/>
    </row>
    <row r="370" spans="1:23">
      <c r="A370" s="35" t="s">
        <v>183</v>
      </c>
      <c r="B370" s="35" t="s">
        <v>183</v>
      </c>
      <c r="C370" s="5">
        <v>214977</v>
      </c>
      <c r="D370" s="5">
        <v>214977</v>
      </c>
      <c r="E370" s="5" t="s">
        <v>901</v>
      </c>
      <c r="F370" s="98">
        <v>7260</v>
      </c>
      <c r="G370" s="158">
        <v>36.959089799902401</v>
      </c>
      <c r="H370" s="115">
        <f t="shared" si="83"/>
        <v>268322.99194729142</v>
      </c>
      <c r="I370" s="159">
        <f>SUMIFS(Arrival!M:M,Arrival!K:K,'Stock statement'!$C370)</f>
        <v>6955</v>
      </c>
      <c r="J370" s="160">
        <f t="shared" si="63"/>
        <v>36.700000000000003</v>
      </c>
      <c r="K370" s="160">
        <f>SUMIFS(Arrival!R:R,Arrival!K:K,'Stock statement'!$C370)</f>
        <v>255248.50000000003</v>
      </c>
      <c r="L370" s="160">
        <f t="shared" si="64"/>
        <v>14215</v>
      </c>
      <c r="M370" s="160">
        <f t="shared" si="65"/>
        <v>36.832324442299786</v>
      </c>
      <c r="N370" s="161">
        <f t="shared" si="66"/>
        <v>523571.49194729142</v>
      </c>
      <c r="O370" s="159">
        <f t="shared" si="67"/>
        <v>8935</v>
      </c>
      <c r="P370" s="162">
        <f t="shared" si="68"/>
        <v>36.832324442299786</v>
      </c>
      <c r="Q370" s="162">
        <f t="shared" si="69"/>
        <v>329096.81889194861</v>
      </c>
      <c r="R370" s="160">
        <f>IFERROR(VLOOKUP(C370,'Monthly Op &amp; Clo Stock (invoic)'!A:C,3,0),0)</f>
        <v>5280</v>
      </c>
      <c r="S370" s="163">
        <f t="shared" si="70"/>
        <v>36.832324442299786</v>
      </c>
      <c r="T370" s="162">
        <f t="shared" si="71"/>
        <v>194474.67305534286</v>
      </c>
      <c r="U370" s="16"/>
      <c r="V370" s="71"/>
      <c r="W370" s="16"/>
    </row>
    <row r="371" spans="1:23">
      <c r="A371" s="35" t="s">
        <v>183</v>
      </c>
      <c r="B371" s="35" t="s">
        <v>183</v>
      </c>
      <c r="C371" s="5">
        <v>214978</v>
      </c>
      <c r="D371" s="5">
        <v>214978</v>
      </c>
      <c r="E371" s="5" t="s">
        <v>902</v>
      </c>
      <c r="F371" s="98">
        <v>31760</v>
      </c>
      <c r="G371" s="158">
        <v>10.435355071136348</v>
      </c>
      <c r="H371" s="115">
        <f t="shared" si="83"/>
        <v>331426.87705929042</v>
      </c>
      <c r="I371" s="159">
        <f>SUMIFS(Arrival!M:M,Arrival!K:K,'Stock statement'!$C371)</f>
        <v>27820</v>
      </c>
      <c r="J371" s="160">
        <f t="shared" si="63"/>
        <v>10.53</v>
      </c>
      <c r="K371" s="160">
        <f>SUMIFS(Arrival!R:R,Arrival!K:K,'Stock statement'!$C371)</f>
        <v>292944.59999999998</v>
      </c>
      <c r="L371" s="160">
        <f t="shared" si="64"/>
        <v>59580</v>
      </c>
      <c r="M371" s="160">
        <f t="shared" si="65"/>
        <v>10.479548121169694</v>
      </c>
      <c r="N371" s="161">
        <f t="shared" si="66"/>
        <v>624371.4770592904</v>
      </c>
      <c r="O371" s="159">
        <f t="shared" si="67"/>
        <v>39420</v>
      </c>
      <c r="P371" s="162">
        <f t="shared" si="68"/>
        <v>10.479548121169694</v>
      </c>
      <c r="Q371" s="162">
        <f t="shared" si="69"/>
        <v>413103.78693650936</v>
      </c>
      <c r="R371" s="160">
        <f>IFERROR(VLOOKUP(C371,'Monthly Op &amp; Clo Stock (invoic)'!A:C,3,0),0)</f>
        <v>20160</v>
      </c>
      <c r="S371" s="163">
        <f t="shared" si="70"/>
        <v>10.479548121169694</v>
      </c>
      <c r="T371" s="162">
        <f t="shared" si="71"/>
        <v>211267.69012278103</v>
      </c>
      <c r="U371" s="16"/>
      <c r="V371" s="71"/>
      <c r="W371" s="16"/>
    </row>
    <row r="372" spans="1:23">
      <c r="A372" s="35" t="s">
        <v>183</v>
      </c>
      <c r="B372" s="35" t="s">
        <v>183</v>
      </c>
      <c r="C372" s="5">
        <v>214979</v>
      </c>
      <c r="D372" s="5">
        <v>214979</v>
      </c>
      <c r="E372" s="5" t="s">
        <v>528</v>
      </c>
      <c r="F372" s="98">
        <v>200</v>
      </c>
      <c r="G372" s="158">
        <v>43.38</v>
      </c>
      <c r="H372" s="115">
        <f t="shared" si="83"/>
        <v>8676</v>
      </c>
      <c r="I372" s="159">
        <f>SUMIFS(Arrival!M:M,Arrival!K:K,'Stock statement'!$C372)</f>
        <v>6360</v>
      </c>
      <c r="J372" s="160">
        <f t="shared" si="63"/>
        <v>43.379999999999995</v>
      </c>
      <c r="K372" s="160">
        <f>SUMIFS(Arrival!R:R,Arrival!K:K,'Stock statement'!$C372)</f>
        <v>275896.8</v>
      </c>
      <c r="L372" s="160">
        <f t="shared" si="64"/>
        <v>6560</v>
      </c>
      <c r="M372" s="160">
        <f t="shared" si="65"/>
        <v>43.379999999999995</v>
      </c>
      <c r="N372" s="161">
        <f t="shared" si="66"/>
        <v>284572.79999999999</v>
      </c>
      <c r="O372" s="159">
        <f t="shared" si="67"/>
        <v>6560</v>
      </c>
      <c r="P372" s="162">
        <f t="shared" si="68"/>
        <v>43.379999999999995</v>
      </c>
      <c r="Q372" s="162">
        <f t="shared" si="69"/>
        <v>284572.79999999999</v>
      </c>
      <c r="R372" s="160">
        <f>IFERROR(VLOOKUP(C372,'Monthly Op &amp; Clo Stock (invoic)'!A:C,3,0),0)</f>
        <v>0</v>
      </c>
      <c r="S372" s="163">
        <f t="shared" si="70"/>
        <v>43.379999999999995</v>
      </c>
      <c r="T372" s="162">
        <f t="shared" si="71"/>
        <v>0</v>
      </c>
      <c r="U372" s="16"/>
      <c r="V372" s="71"/>
      <c r="W372" s="16"/>
    </row>
    <row r="373" spans="1:23">
      <c r="A373" s="35" t="s">
        <v>183</v>
      </c>
      <c r="B373" s="35" t="s">
        <v>183</v>
      </c>
      <c r="C373" s="5">
        <v>214954</v>
      </c>
      <c r="D373" s="5">
        <v>214954</v>
      </c>
      <c r="E373" s="5" t="s">
        <v>903</v>
      </c>
      <c r="F373" s="98">
        <v>4517</v>
      </c>
      <c r="G373" s="158">
        <v>234</v>
      </c>
      <c r="H373" s="115">
        <f t="shared" si="83"/>
        <v>1056978</v>
      </c>
      <c r="I373" s="159">
        <f>SUMIFS(Arrival!M:M,Arrival!K:K,'Stock statement'!$C373)</f>
        <v>588.25</v>
      </c>
      <c r="J373" s="160">
        <f t="shared" si="63"/>
        <v>234</v>
      </c>
      <c r="K373" s="160">
        <f>SUMIFS(Arrival!R:R,Arrival!K:K,'Stock statement'!$C373)</f>
        <v>137650.5</v>
      </c>
      <c r="L373" s="160">
        <f t="shared" si="64"/>
        <v>5105.25</v>
      </c>
      <c r="M373" s="160">
        <f t="shared" si="65"/>
        <v>234</v>
      </c>
      <c r="N373" s="161">
        <f t="shared" si="66"/>
        <v>1194628.5</v>
      </c>
      <c r="O373" s="159">
        <f t="shared" si="67"/>
        <v>5105.25</v>
      </c>
      <c r="P373" s="162">
        <f t="shared" si="68"/>
        <v>234</v>
      </c>
      <c r="Q373" s="162">
        <f t="shared" si="69"/>
        <v>1194628.5</v>
      </c>
      <c r="R373" s="160">
        <f>IFERROR(VLOOKUP(C373,'Monthly Op &amp; Clo Stock (invoic)'!A:C,3,0),0)</f>
        <v>0</v>
      </c>
      <c r="S373" s="163">
        <f t="shared" si="70"/>
        <v>234</v>
      </c>
      <c r="T373" s="162">
        <f t="shared" si="71"/>
        <v>0</v>
      </c>
      <c r="U373" s="16"/>
      <c r="V373" s="71"/>
      <c r="W373" s="16"/>
    </row>
    <row r="374" spans="1:23">
      <c r="A374" s="35"/>
      <c r="B374" s="35"/>
      <c r="C374" s="5">
        <v>214989</v>
      </c>
      <c r="D374" s="5">
        <v>214989</v>
      </c>
      <c r="E374" s="5" t="s">
        <v>543</v>
      </c>
      <c r="F374" s="98">
        <v>0</v>
      </c>
      <c r="G374" s="158">
        <v>0</v>
      </c>
      <c r="H374" s="115">
        <f t="shared" si="83"/>
        <v>0</v>
      </c>
      <c r="I374" s="159">
        <f>SUMIFS(Arrival!M:M,Arrival!K:K,'Stock statement'!$C374)</f>
        <v>766.5</v>
      </c>
      <c r="J374" s="160">
        <f t="shared" si="63"/>
        <v>234</v>
      </c>
      <c r="K374" s="160">
        <f>SUMIFS(Arrival!R:R,Arrival!K:K,'Stock statement'!$C374)</f>
        <v>179361</v>
      </c>
      <c r="L374" s="160">
        <f t="shared" si="64"/>
        <v>766.5</v>
      </c>
      <c r="M374" s="160">
        <f t="shared" si="65"/>
        <v>234</v>
      </c>
      <c r="N374" s="161">
        <f t="shared" si="66"/>
        <v>179361</v>
      </c>
      <c r="O374" s="159">
        <f t="shared" si="67"/>
        <v>766.5</v>
      </c>
      <c r="P374" s="162">
        <f t="shared" si="68"/>
        <v>234</v>
      </c>
      <c r="Q374" s="162">
        <f t="shared" si="69"/>
        <v>179361</v>
      </c>
      <c r="R374" s="160">
        <f>IFERROR(VLOOKUP(C374,'Monthly Op &amp; Clo Stock (invoic)'!A:C,3,0),0)</f>
        <v>0</v>
      </c>
      <c r="S374" s="163">
        <f t="shared" si="70"/>
        <v>234</v>
      </c>
      <c r="T374" s="162">
        <f t="shared" si="71"/>
        <v>0</v>
      </c>
      <c r="U374" s="16"/>
      <c r="V374" s="16"/>
    </row>
    <row r="375" spans="1:23">
      <c r="A375" s="35"/>
      <c r="B375" s="35"/>
      <c r="C375" s="5">
        <v>214990</v>
      </c>
      <c r="D375" s="5">
        <v>214990</v>
      </c>
      <c r="E375" s="5" t="s">
        <v>904</v>
      </c>
      <c r="F375" s="98">
        <v>0</v>
      </c>
      <c r="G375" s="158">
        <v>0</v>
      </c>
      <c r="H375" s="115">
        <f t="shared" ref="H375:H379" si="84">IFERROR(F375*G375,)</f>
        <v>0</v>
      </c>
      <c r="I375" s="159">
        <f>SUMIFS(Arrival!M:M,Arrival!K:K,'Stock statement'!$C375)</f>
        <v>13326</v>
      </c>
      <c r="J375" s="160">
        <f t="shared" si="63"/>
        <v>235.42154885186852</v>
      </c>
      <c r="K375" s="160">
        <f>SUMIFS(Arrival!R:R,Arrival!K:K,'Stock statement'!$C375)</f>
        <v>3137227.56</v>
      </c>
      <c r="L375" s="160">
        <f t="shared" si="64"/>
        <v>13326</v>
      </c>
      <c r="M375" s="160">
        <f t="shared" si="65"/>
        <v>235.42154885186852</v>
      </c>
      <c r="N375" s="161">
        <f t="shared" si="66"/>
        <v>3137227.56</v>
      </c>
      <c r="O375" s="159">
        <f t="shared" si="67"/>
        <v>8152.49</v>
      </c>
      <c r="P375" s="162">
        <f t="shared" si="68"/>
        <v>235.42154885186852</v>
      </c>
      <c r="Q375" s="162">
        <f t="shared" si="69"/>
        <v>1919271.8227993695</v>
      </c>
      <c r="R375" s="160">
        <f>IFERROR(VLOOKUP(C375,'Monthly Op &amp; Clo Stock (invoic)'!A:C,3,0),0)</f>
        <v>5173.51</v>
      </c>
      <c r="S375" s="163">
        <f t="shared" si="70"/>
        <v>235.42154885186852</v>
      </c>
      <c r="T375" s="162">
        <f t="shared" si="71"/>
        <v>1217955.7372006304</v>
      </c>
      <c r="U375" s="16"/>
      <c r="V375" s="16"/>
    </row>
    <row r="376" spans="1:23">
      <c r="A376" s="35"/>
      <c r="B376" s="35"/>
      <c r="C376" s="5">
        <v>215015</v>
      </c>
      <c r="D376" s="5">
        <v>215015</v>
      </c>
      <c r="E376" s="5" t="s">
        <v>905</v>
      </c>
      <c r="F376" s="98">
        <v>0</v>
      </c>
      <c r="G376" s="158">
        <v>0</v>
      </c>
      <c r="H376" s="115">
        <f t="shared" si="84"/>
        <v>0</v>
      </c>
      <c r="I376" s="159">
        <f>SUMIFS(Arrival!M:M,Arrival!K:K,'Stock statement'!$C376)</f>
        <v>26054</v>
      </c>
      <c r="J376" s="160">
        <f t="shared" si="63"/>
        <v>40.736795117832195</v>
      </c>
      <c r="K376" s="160">
        <f>SUMIFS(Arrival!R:R,Arrival!K:K,'Stock statement'!$C376)</f>
        <v>1061356.46</v>
      </c>
      <c r="L376" s="160">
        <f t="shared" si="64"/>
        <v>26054</v>
      </c>
      <c r="M376" s="160">
        <f t="shared" si="65"/>
        <v>40.736795117832195</v>
      </c>
      <c r="N376" s="161">
        <f t="shared" si="66"/>
        <v>1061356.46</v>
      </c>
      <c r="O376" s="159">
        <f t="shared" si="67"/>
        <v>12613</v>
      </c>
      <c r="P376" s="162">
        <f t="shared" si="68"/>
        <v>40.736795117832195</v>
      </c>
      <c r="Q376" s="162">
        <f t="shared" si="69"/>
        <v>513813.19682121748</v>
      </c>
      <c r="R376" s="160">
        <f>IFERROR(VLOOKUP(C376,'Monthly Op &amp; Clo Stock (invoic)'!A:C,3,0),0)</f>
        <v>13441</v>
      </c>
      <c r="S376" s="163">
        <f t="shared" si="70"/>
        <v>40.736795117832195</v>
      </c>
      <c r="T376" s="162">
        <f t="shared" si="71"/>
        <v>547543.26317878254</v>
      </c>
      <c r="U376" s="16"/>
      <c r="V376" s="16"/>
    </row>
    <row r="377" spans="1:23">
      <c r="A377" s="35"/>
      <c r="B377" s="35"/>
      <c r="C377" s="5">
        <v>215016</v>
      </c>
      <c r="D377" s="5">
        <v>215016</v>
      </c>
      <c r="E377" s="5" t="s">
        <v>906</v>
      </c>
      <c r="F377" s="98">
        <v>0</v>
      </c>
      <c r="G377" s="158">
        <v>0</v>
      </c>
      <c r="H377" s="115">
        <f t="shared" si="84"/>
        <v>0</v>
      </c>
      <c r="I377" s="159">
        <f>SUMIFS(Arrival!M:M,Arrival!K:K,'Stock statement'!$C377)</f>
        <v>1205</v>
      </c>
      <c r="J377" s="160">
        <f t="shared" si="63"/>
        <v>40.69</v>
      </c>
      <c r="K377" s="160">
        <f>SUMIFS(Arrival!R:R,Arrival!K:K,'Stock statement'!$C377)</f>
        <v>49031.45</v>
      </c>
      <c r="L377" s="160">
        <f t="shared" si="64"/>
        <v>1205</v>
      </c>
      <c r="M377" s="160">
        <f t="shared" si="65"/>
        <v>40.69</v>
      </c>
      <c r="N377" s="161">
        <f t="shared" si="66"/>
        <v>49031.45</v>
      </c>
      <c r="O377" s="159">
        <f t="shared" si="67"/>
        <v>1205</v>
      </c>
      <c r="P377" s="162">
        <f t="shared" si="68"/>
        <v>40.69</v>
      </c>
      <c r="Q377" s="162">
        <f t="shared" si="69"/>
        <v>49031.45</v>
      </c>
      <c r="R377" s="160">
        <f>IFERROR(VLOOKUP(C377,'Monthly Op &amp; Clo Stock (invoic)'!A:C,3,0),0)</f>
        <v>0</v>
      </c>
      <c r="S377" s="163">
        <f t="shared" si="70"/>
        <v>40.69</v>
      </c>
      <c r="T377" s="162">
        <f t="shared" si="71"/>
        <v>0</v>
      </c>
      <c r="U377" s="16"/>
      <c r="V377" s="16"/>
    </row>
    <row r="378" spans="1:23">
      <c r="A378" s="35"/>
      <c r="B378" s="35"/>
      <c r="C378" s="5">
        <v>215007</v>
      </c>
      <c r="D378" s="5">
        <v>215007</v>
      </c>
      <c r="E378" s="5" t="s">
        <v>907</v>
      </c>
      <c r="F378" s="98">
        <v>0</v>
      </c>
      <c r="G378" s="158">
        <v>0</v>
      </c>
      <c r="H378" s="115">
        <f t="shared" si="84"/>
        <v>0</v>
      </c>
      <c r="I378" s="159">
        <f>SUMIFS(Arrival!M:M,Arrival!K:K,'Stock statement'!$C378)</f>
        <v>1042</v>
      </c>
      <c r="J378" s="160">
        <f t="shared" si="63"/>
        <v>40.69</v>
      </c>
      <c r="K378" s="160">
        <f>SUMIFS(Arrival!R:R,Arrival!K:K,'Stock statement'!$C378)</f>
        <v>42398.979999999996</v>
      </c>
      <c r="L378" s="160">
        <f t="shared" si="64"/>
        <v>1042</v>
      </c>
      <c r="M378" s="160">
        <f t="shared" si="65"/>
        <v>40.69</v>
      </c>
      <c r="N378" s="161">
        <f t="shared" si="66"/>
        <v>42398.979999999996</v>
      </c>
      <c r="O378" s="159">
        <f t="shared" si="67"/>
        <v>0</v>
      </c>
      <c r="P378" s="162">
        <f t="shared" si="68"/>
        <v>40.69</v>
      </c>
      <c r="Q378" s="162">
        <f t="shared" si="69"/>
        <v>0</v>
      </c>
      <c r="R378" s="160">
        <f>IFERROR(VLOOKUP(C378,'Monthly Op &amp; Clo Stock (invoic)'!A:C,3,0),0)</f>
        <v>1042</v>
      </c>
      <c r="S378" s="163">
        <f t="shared" si="70"/>
        <v>40.69</v>
      </c>
      <c r="T378" s="162">
        <f t="shared" si="71"/>
        <v>42398.979999999996</v>
      </c>
      <c r="U378" s="16"/>
      <c r="V378" s="16"/>
    </row>
    <row r="379" spans="1:23">
      <c r="A379" s="35"/>
      <c r="B379" s="35"/>
      <c r="C379" s="5">
        <v>215014</v>
      </c>
      <c r="D379" s="5">
        <v>215014</v>
      </c>
      <c r="E379" s="5" t="s">
        <v>908</v>
      </c>
      <c r="F379" s="98">
        <v>0</v>
      </c>
      <c r="G379" s="158">
        <v>0</v>
      </c>
      <c r="H379" s="115">
        <f t="shared" si="84"/>
        <v>0</v>
      </c>
      <c r="I379" s="159">
        <f>SUMIFS(Arrival!M:M,Arrival!K:K,'Stock statement'!$C379)</f>
        <v>883.25</v>
      </c>
      <c r="J379" s="160">
        <f t="shared" si="63"/>
        <v>245</v>
      </c>
      <c r="K379" s="160">
        <f>SUMIFS(Arrival!R:R,Arrival!K:K,'Stock statement'!$C379)</f>
        <v>216396.25</v>
      </c>
      <c r="L379" s="160">
        <f t="shared" si="64"/>
        <v>883.25</v>
      </c>
      <c r="M379" s="160">
        <f t="shared" si="65"/>
        <v>245</v>
      </c>
      <c r="N379" s="161">
        <f t="shared" si="66"/>
        <v>216396.25</v>
      </c>
      <c r="O379" s="159">
        <f t="shared" si="67"/>
        <v>27.450000000000045</v>
      </c>
      <c r="P379" s="162">
        <f t="shared" si="68"/>
        <v>245</v>
      </c>
      <c r="Q379" s="162">
        <f t="shared" si="69"/>
        <v>6725.2500000000109</v>
      </c>
      <c r="R379" s="160">
        <f>IFERROR(VLOOKUP(C379,'Monthly Op &amp; Clo Stock (invoic)'!A:C,3,0),0)</f>
        <v>855.8</v>
      </c>
      <c r="S379" s="163">
        <f t="shared" si="70"/>
        <v>245</v>
      </c>
      <c r="T379" s="162">
        <f t="shared" si="71"/>
        <v>209671</v>
      </c>
      <c r="U379" s="16"/>
      <c r="V379" s="16"/>
    </row>
    <row r="380" spans="1:23">
      <c r="A380" s="35"/>
      <c r="B380" s="35"/>
      <c r="C380" s="5"/>
      <c r="D380" s="5"/>
      <c r="E380" s="5"/>
      <c r="F380" s="98"/>
      <c r="G380" s="158"/>
      <c r="H380" s="115"/>
      <c r="I380" s="159"/>
      <c r="J380" s="160"/>
      <c r="K380" s="160"/>
      <c r="L380" s="160"/>
      <c r="M380" s="160"/>
      <c r="N380" s="161"/>
      <c r="O380" s="159"/>
      <c r="P380" s="162"/>
      <c r="Q380" s="162"/>
      <c r="R380" s="160"/>
      <c r="S380" s="163"/>
      <c r="T380" s="162"/>
      <c r="U380" s="16"/>
      <c r="V380" s="16"/>
    </row>
    <row r="381" spans="1:23">
      <c r="A381" s="35"/>
      <c r="B381" s="35"/>
      <c r="C381" s="170"/>
      <c r="D381" s="170"/>
      <c r="E381" s="22"/>
      <c r="F381" s="98"/>
      <c r="G381" s="158"/>
      <c r="H381" s="115"/>
      <c r="I381" s="159"/>
      <c r="J381" s="163"/>
      <c r="K381" s="160"/>
      <c r="L381" s="160"/>
      <c r="M381" s="163"/>
      <c r="N381" s="161"/>
      <c r="O381" s="159"/>
      <c r="P381" s="163"/>
      <c r="Q381" s="162"/>
      <c r="R381" s="160"/>
      <c r="S381" s="163"/>
      <c r="T381" s="162"/>
      <c r="U381" s="16"/>
      <c r="V381" s="16"/>
    </row>
    <row r="382" spans="1:23">
      <c r="A382" s="35"/>
      <c r="B382" s="35"/>
      <c r="C382" s="157"/>
      <c r="D382" s="157"/>
      <c r="E382" s="36"/>
      <c r="F382" s="162">
        <f>SUM(F3:F379)</f>
        <v>2024488.6370000003</v>
      </c>
      <c r="G382" s="158"/>
      <c r="H382" s="162">
        <f>SUM(H3:H379)</f>
        <v>56456208.896605574</v>
      </c>
      <c r="I382" s="162">
        <f>SUM(I3:I379)</f>
        <v>3066397.4460000005</v>
      </c>
      <c r="J382" s="160"/>
      <c r="K382" s="162">
        <f>SUM(K3:K379)</f>
        <v>90196849.169999972</v>
      </c>
      <c r="L382" s="160"/>
      <c r="M382" s="160"/>
      <c r="N382" s="161"/>
      <c r="O382" s="159"/>
      <c r="P382" s="162"/>
      <c r="Q382" s="162"/>
      <c r="R382" s="162">
        <f>SUM(R3:R373)</f>
        <v>1715360.9770000004</v>
      </c>
      <c r="S382" s="163"/>
      <c r="T382" s="162">
        <f>SUM(T3:T373)</f>
        <v>48725308.650369704</v>
      </c>
      <c r="U382" s="16"/>
      <c r="V382" s="16"/>
    </row>
    <row r="383" spans="1:23">
      <c r="A383" s="35"/>
      <c r="B383" s="35"/>
      <c r="C383" s="157"/>
      <c r="D383" s="157"/>
      <c r="E383" s="36"/>
      <c r="F383" s="106"/>
      <c r="G383" s="158"/>
      <c r="H383" s="181"/>
      <c r="I383" s="162">
        <f>Arrival!M290</f>
        <v>3066397.4459999991</v>
      </c>
      <c r="J383" s="160"/>
      <c r="K383" s="160">
        <f>Arrival!R290</f>
        <v>90196849.170000017</v>
      </c>
      <c r="L383" s="160"/>
      <c r="M383" s="160"/>
      <c r="N383" s="161"/>
      <c r="O383" s="159"/>
      <c r="P383" s="162"/>
      <c r="Q383" s="162"/>
      <c r="R383" s="160"/>
      <c r="S383" s="163"/>
      <c r="T383" s="162"/>
      <c r="U383" s="16"/>
      <c r="V383" s="16"/>
    </row>
    <row r="384" spans="1:23" ht="15.6">
      <c r="A384" s="35"/>
      <c r="B384" s="35"/>
      <c r="C384" s="157"/>
      <c r="D384" s="157"/>
      <c r="E384" s="36"/>
      <c r="F384" s="62"/>
      <c r="G384" s="37"/>
      <c r="H384" s="62"/>
      <c r="I384" s="41">
        <f>I382-I383</f>
        <v>0</v>
      </c>
      <c r="J384" s="38"/>
      <c r="K384" s="38">
        <f>K382-K383</f>
        <v>0</v>
      </c>
      <c r="L384" s="38"/>
      <c r="M384" s="38"/>
      <c r="N384" s="39"/>
      <c r="O384" s="35"/>
      <c r="P384" s="40"/>
      <c r="Q384" s="40"/>
      <c r="R384" s="38"/>
      <c r="S384" s="41"/>
      <c r="T384" s="40"/>
      <c r="U384" s="16"/>
      <c r="V384" s="16"/>
    </row>
    <row r="386" spans="8:18">
      <c r="R386" s="71"/>
    </row>
    <row r="387" spans="8:18">
      <c r="H387" s="3"/>
      <c r="I387" s="3"/>
      <c r="R387" s="145"/>
    </row>
  </sheetData>
  <mergeCells count="4">
    <mergeCell ref="R1:T1"/>
    <mergeCell ref="B1:E1"/>
    <mergeCell ref="L1:N1"/>
    <mergeCell ref="O1:Q1"/>
  </mergeCells>
  <conditionalFormatting sqref="C1">
    <cfRule type="duplicateValues" dxfId="67" priority="119"/>
  </conditionalFormatting>
  <conditionalFormatting sqref="E160:E163">
    <cfRule type="duplicateValues" dxfId="66" priority="105" stopIfTrue="1"/>
  </conditionalFormatting>
  <conditionalFormatting sqref="E160:E163">
    <cfRule type="duplicateValues" dxfId="65" priority="106" stopIfTrue="1"/>
    <cfRule type="duplicateValues" dxfId="64" priority="107" stopIfTrue="1"/>
  </conditionalFormatting>
  <conditionalFormatting sqref="E164">
    <cfRule type="duplicateValues" dxfId="63" priority="89"/>
  </conditionalFormatting>
  <conditionalFormatting sqref="E128">
    <cfRule type="duplicateValues" dxfId="62" priority="73"/>
  </conditionalFormatting>
  <conditionalFormatting sqref="E226">
    <cfRule type="duplicateValues" dxfId="61" priority="113" stopIfTrue="1"/>
  </conditionalFormatting>
  <conditionalFormatting sqref="E226">
    <cfRule type="duplicateValues" dxfId="60" priority="115"/>
  </conditionalFormatting>
  <conditionalFormatting sqref="F325:F337 F342:F381">
    <cfRule type="cellIs" dxfId="59" priority="18" operator="lessThan">
      <formula>0</formula>
    </cfRule>
  </conditionalFormatting>
  <conditionalFormatting sqref="F338">
    <cfRule type="cellIs" dxfId="58" priority="17" operator="lessThan">
      <formula>0</formula>
    </cfRule>
  </conditionalFormatting>
  <conditionalFormatting sqref="F339">
    <cfRule type="cellIs" dxfId="57" priority="16" operator="lessThan">
      <formula>0</formula>
    </cfRule>
  </conditionalFormatting>
  <conditionalFormatting sqref="F340">
    <cfRule type="cellIs" dxfId="56" priority="15" operator="lessThan">
      <formula>0</formula>
    </cfRule>
  </conditionalFormatting>
  <conditionalFormatting sqref="F341">
    <cfRule type="cellIs" dxfId="55" priority="14" operator="lessThan">
      <formula>0</formula>
    </cfRule>
  </conditionalFormatting>
  <conditionalFormatting sqref="E382:E384 E3 E5:E341">
    <cfRule type="duplicateValues" dxfId="54" priority="124" stopIfTrue="1"/>
  </conditionalFormatting>
  <conditionalFormatting sqref="E382:E384 E3:E341">
    <cfRule type="duplicateValues" dxfId="53" priority="126"/>
  </conditionalFormatting>
  <conditionalFormatting sqref="F347">
    <cfRule type="cellIs" dxfId="52" priority="9" operator="lessThan">
      <formula>0</formula>
    </cfRule>
  </conditionalFormatting>
  <conditionalFormatting sqref="F348">
    <cfRule type="cellIs" dxfId="51" priority="8" operator="lessThan">
      <formula>0</formula>
    </cfRule>
  </conditionalFormatting>
  <conditionalFormatting sqref="F349">
    <cfRule type="cellIs" dxfId="50" priority="7" operator="lessThan">
      <formula>0</formula>
    </cfRule>
  </conditionalFormatting>
  <conditionalFormatting sqref="D381:D1048576 D1:D359 D361:D373">
    <cfRule type="duplicateValues" dxfId="49" priority="5"/>
  </conditionalFormatting>
  <conditionalFormatting sqref="E342 E344:E346 E349:E359 E361:E373 E381">
    <cfRule type="duplicateValues" dxfId="48" priority="182" stopIfTrue="1"/>
  </conditionalFormatting>
  <conditionalFormatting sqref="E342 E344:E346 E349:E359 E361:E373 E381">
    <cfRule type="duplicateValues" dxfId="47" priority="186"/>
  </conditionalFormatting>
  <conditionalFormatting sqref="E360">
    <cfRule type="duplicateValues" dxfId="46" priority="3" stopIfTrue="1"/>
  </conditionalFormatting>
  <conditionalFormatting sqref="E360">
    <cfRule type="duplicateValues" dxfId="45" priority="4"/>
  </conditionalFormatting>
  <conditionalFormatting sqref="D374:D380">
    <cfRule type="duplicateValues" dxfId="44" priority="2"/>
  </conditionalFormatting>
  <conditionalFormatting sqref="C374:C380">
    <cfRule type="duplicateValues" dxfId="43" priority="1"/>
  </conditionalFormatting>
  <pageMargins left="0.28000000000000003" right="0.22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0"/>
  <sheetViews>
    <sheetView topLeftCell="I1" zoomScaleNormal="100" workbookViewId="0">
      <pane ySplit="1" topLeftCell="A211" activePane="bottomLeft" state="frozen"/>
      <selection pane="bottomLeft" activeCell="R290" sqref="R290"/>
    </sheetView>
  </sheetViews>
  <sheetFormatPr defaultRowHeight="14.45"/>
  <cols>
    <col min="1" max="1" width="9.7109375" bestFit="1" customWidth="1"/>
    <col min="2" max="2" width="10.140625" customWidth="1"/>
    <col min="3" max="3" width="18.7109375" style="15" bestFit="1" customWidth="1"/>
    <col min="4" max="4" width="14.140625" bestFit="1" customWidth="1"/>
    <col min="5" max="5" width="8.85546875" bestFit="1" customWidth="1"/>
    <col min="6" max="6" width="11" customWidth="1"/>
    <col min="7" max="7" width="11.42578125" customWidth="1"/>
    <col min="8" max="8" width="54.7109375" bestFit="1" customWidth="1"/>
    <col min="10" max="10" width="11.140625" customWidth="1"/>
    <col min="12" max="12" width="62" bestFit="1" customWidth="1"/>
    <col min="13" max="13" width="10.5703125" bestFit="1" customWidth="1"/>
    <col min="14" max="14" width="10.28515625" bestFit="1" customWidth="1"/>
    <col min="15" max="15" width="9.85546875" bestFit="1" customWidth="1"/>
    <col min="16" max="16" width="12" bestFit="1" customWidth="1"/>
    <col min="17" max="17" width="8.85546875" style="3"/>
    <col min="18" max="18" width="12" bestFit="1" customWidth="1"/>
    <col min="19" max="19" width="11" style="3" bestFit="1" customWidth="1"/>
    <col min="21" max="21" width="12.140625" bestFit="1" customWidth="1"/>
    <col min="22" max="22" width="12.140625" style="15" bestFit="1" customWidth="1"/>
    <col min="23" max="23" width="8.85546875" style="12"/>
  </cols>
  <sheetData>
    <row r="1" spans="1:22" ht="27.6">
      <c r="A1" s="164" t="s">
        <v>909</v>
      </c>
      <c r="B1" s="164" t="s">
        <v>910</v>
      </c>
      <c r="C1" s="165" t="s">
        <v>911</v>
      </c>
      <c r="D1" s="166" t="s">
        <v>912</v>
      </c>
      <c r="E1" s="164" t="s">
        <v>913</v>
      </c>
      <c r="F1" s="164" t="s">
        <v>914</v>
      </c>
      <c r="G1" s="166" t="s">
        <v>915</v>
      </c>
      <c r="H1" s="164" t="s">
        <v>916</v>
      </c>
      <c r="I1" s="164" t="s">
        <v>572</v>
      </c>
      <c r="J1" s="164" t="s">
        <v>917</v>
      </c>
      <c r="K1" s="164" t="s">
        <v>918</v>
      </c>
      <c r="L1" s="164" t="s">
        <v>919</v>
      </c>
      <c r="M1" s="167" t="s">
        <v>5</v>
      </c>
      <c r="N1" s="164" t="s">
        <v>920</v>
      </c>
      <c r="O1" s="167" t="s">
        <v>921</v>
      </c>
      <c r="P1" s="167" t="s">
        <v>922</v>
      </c>
      <c r="Q1" s="168" t="s">
        <v>923</v>
      </c>
      <c r="R1" s="167" t="s">
        <v>924</v>
      </c>
      <c r="S1" s="168" t="s">
        <v>925</v>
      </c>
      <c r="T1" s="167" t="s">
        <v>926</v>
      </c>
      <c r="U1" s="167" t="s">
        <v>927</v>
      </c>
      <c r="V1" s="169" t="s">
        <v>8</v>
      </c>
    </row>
    <row r="2" spans="1:22">
      <c r="A2" s="5">
        <v>1</v>
      </c>
      <c r="B2" s="5" t="s">
        <v>928</v>
      </c>
      <c r="C2" s="5" t="s">
        <v>929</v>
      </c>
      <c r="D2" s="178">
        <v>44896</v>
      </c>
      <c r="E2" s="5" t="s">
        <v>930</v>
      </c>
      <c r="F2" s="5" t="s">
        <v>931</v>
      </c>
      <c r="G2" s="178">
        <v>44896</v>
      </c>
      <c r="H2" s="5" t="s">
        <v>932</v>
      </c>
      <c r="I2" s="5" t="s">
        <v>933</v>
      </c>
      <c r="J2" s="5" t="s">
        <v>934</v>
      </c>
      <c r="K2" s="5">
        <v>110001</v>
      </c>
      <c r="L2" s="5" t="s">
        <v>935</v>
      </c>
      <c r="M2" s="5">
        <v>24900</v>
      </c>
      <c r="N2" s="5" t="s">
        <v>936</v>
      </c>
      <c r="O2" s="5">
        <v>0.34</v>
      </c>
      <c r="P2" s="5">
        <f t="shared" ref="P2:P23" si="0">+M2*O2</f>
        <v>8466</v>
      </c>
      <c r="Q2" s="192"/>
      <c r="R2" s="5">
        <f t="shared" ref="R2:R65" si="1">+P2+Q2</f>
        <v>8466</v>
      </c>
      <c r="S2" s="5">
        <f t="shared" ref="S2:S65" si="2">+R2/M2</f>
        <v>0.34</v>
      </c>
      <c r="T2" s="5" t="s">
        <v>937</v>
      </c>
      <c r="U2" s="5" t="s">
        <v>938</v>
      </c>
      <c r="V2" s="170" t="str">
        <f>VLOOKUP(K2,'Stock statement'!$C$3:$D$382,2,0)</f>
        <v>C16</v>
      </c>
    </row>
    <row r="3" spans="1:22">
      <c r="A3" s="5">
        <v>2</v>
      </c>
      <c r="B3" s="5" t="s">
        <v>928</v>
      </c>
      <c r="C3" s="5" t="s">
        <v>929</v>
      </c>
      <c r="D3" s="178">
        <v>44896</v>
      </c>
      <c r="E3" s="5" t="s">
        <v>930</v>
      </c>
      <c r="F3" s="5" t="s">
        <v>939</v>
      </c>
      <c r="G3" s="178">
        <v>44896</v>
      </c>
      <c r="H3" s="5" t="s">
        <v>932</v>
      </c>
      <c r="I3" s="5" t="s">
        <v>933</v>
      </c>
      <c r="J3" s="5" t="s">
        <v>934</v>
      </c>
      <c r="K3" s="5">
        <v>110001</v>
      </c>
      <c r="L3" s="5" t="s">
        <v>935</v>
      </c>
      <c r="M3" s="5">
        <v>24900</v>
      </c>
      <c r="N3" s="5" t="s">
        <v>936</v>
      </c>
      <c r="O3" s="5">
        <v>0.34</v>
      </c>
      <c r="P3" s="5">
        <f t="shared" si="0"/>
        <v>8466</v>
      </c>
      <c r="Q3" s="192"/>
      <c r="R3" s="5">
        <f t="shared" si="1"/>
        <v>8466</v>
      </c>
      <c r="S3" s="5">
        <f t="shared" si="2"/>
        <v>0.34</v>
      </c>
      <c r="T3" s="5" t="s">
        <v>937</v>
      </c>
      <c r="U3" s="5" t="s">
        <v>938</v>
      </c>
      <c r="V3" s="170" t="str">
        <f>VLOOKUP(K3,'Stock statement'!$C$3:$D$382,2,0)</f>
        <v>C16</v>
      </c>
    </row>
    <row r="4" spans="1:22">
      <c r="A4" s="5">
        <v>3</v>
      </c>
      <c r="B4" s="5" t="s">
        <v>928</v>
      </c>
      <c r="C4" s="5" t="s">
        <v>940</v>
      </c>
      <c r="D4" s="178">
        <v>44896</v>
      </c>
      <c r="E4" s="5" t="s">
        <v>930</v>
      </c>
      <c r="F4" s="5" t="s">
        <v>941</v>
      </c>
      <c r="G4" s="178">
        <v>44896</v>
      </c>
      <c r="H4" s="5" t="s">
        <v>942</v>
      </c>
      <c r="I4" s="5" t="s">
        <v>933</v>
      </c>
      <c r="J4" s="5" t="s">
        <v>934</v>
      </c>
      <c r="K4" s="5">
        <v>110001</v>
      </c>
      <c r="L4" s="5" t="s">
        <v>935</v>
      </c>
      <c r="M4" s="5">
        <v>21600</v>
      </c>
      <c r="N4" s="5" t="s">
        <v>936</v>
      </c>
      <c r="O4" s="5">
        <v>0.34</v>
      </c>
      <c r="P4" s="5">
        <f t="shared" si="0"/>
        <v>7344.0000000000009</v>
      </c>
      <c r="Q4" s="192"/>
      <c r="R4" s="5">
        <f t="shared" si="1"/>
        <v>7344.0000000000009</v>
      </c>
      <c r="S4" s="5">
        <f t="shared" si="2"/>
        <v>0.34</v>
      </c>
      <c r="T4" s="5" t="s">
        <v>937</v>
      </c>
      <c r="U4" s="5" t="s">
        <v>943</v>
      </c>
      <c r="V4" s="170" t="str">
        <f>VLOOKUP(K4,'Stock statement'!$C$3:$D$382,2,0)</f>
        <v>C16</v>
      </c>
    </row>
    <row r="5" spans="1:22">
      <c r="A5" s="5">
        <v>4</v>
      </c>
      <c r="B5" s="5" t="s">
        <v>928</v>
      </c>
      <c r="C5" s="5" t="s">
        <v>944</v>
      </c>
      <c r="D5" s="178">
        <v>44896</v>
      </c>
      <c r="E5" s="5" t="s">
        <v>930</v>
      </c>
      <c r="F5" s="5" t="s">
        <v>945</v>
      </c>
      <c r="G5" s="178">
        <v>44896</v>
      </c>
      <c r="H5" s="5" t="s">
        <v>942</v>
      </c>
      <c r="I5" s="5" t="s">
        <v>933</v>
      </c>
      <c r="J5" s="5" t="s">
        <v>934</v>
      </c>
      <c r="K5" s="5">
        <v>110001</v>
      </c>
      <c r="L5" s="5" t="s">
        <v>935</v>
      </c>
      <c r="M5" s="5">
        <v>21500</v>
      </c>
      <c r="N5" s="5" t="s">
        <v>936</v>
      </c>
      <c r="O5" s="5">
        <v>0.34</v>
      </c>
      <c r="P5" s="5">
        <f t="shared" si="0"/>
        <v>7310.0000000000009</v>
      </c>
      <c r="Q5" s="192"/>
      <c r="R5" s="5">
        <f t="shared" si="1"/>
        <v>7310.0000000000009</v>
      </c>
      <c r="S5" s="5">
        <f t="shared" si="2"/>
        <v>0.34</v>
      </c>
      <c r="T5" s="5" t="s">
        <v>937</v>
      </c>
      <c r="U5" s="5" t="s">
        <v>943</v>
      </c>
      <c r="V5" s="170" t="str">
        <f>VLOOKUP(K5,'Stock statement'!$C$3:$D$382,2,0)</f>
        <v>C16</v>
      </c>
    </row>
    <row r="6" spans="1:22">
      <c r="A6" s="5">
        <v>5</v>
      </c>
      <c r="B6" s="5" t="s">
        <v>928</v>
      </c>
      <c r="C6" s="5" t="s">
        <v>946</v>
      </c>
      <c r="D6" s="178">
        <v>44894</v>
      </c>
      <c r="E6" s="5" t="s">
        <v>930</v>
      </c>
      <c r="F6" s="5" t="s">
        <v>947</v>
      </c>
      <c r="G6" s="178">
        <v>44896</v>
      </c>
      <c r="H6" s="5" t="s">
        <v>948</v>
      </c>
      <c r="I6" s="5" t="s">
        <v>949</v>
      </c>
      <c r="J6" s="5" t="s">
        <v>934</v>
      </c>
      <c r="K6" s="5">
        <v>214255</v>
      </c>
      <c r="L6" s="5" t="s">
        <v>950</v>
      </c>
      <c r="M6" s="5">
        <v>2313.5</v>
      </c>
      <c r="N6" s="5" t="s">
        <v>951</v>
      </c>
      <c r="O6" s="5">
        <v>234</v>
      </c>
      <c r="P6" s="5">
        <f t="shared" si="0"/>
        <v>541359</v>
      </c>
      <c r="Q6" s="192"/>
      <c r="R6" s="5">
        <f t="shared" si="1"/>
        <v>541359</v>
      </c>
      <c r="S6" s="5">
        <f t="shared" si="2"/>
        <v>234</v>
      </c>
      <c r="T6" s="5" t="s">
        <v>937</v>
      </c>
      <c r="U6" s="5" t="s">
        <v>952</v>
      </c>
      <c r="V6" s="170">
        <f>VLOOKUP(K6,'Stock statement'!$C$3:$D$382,2,0)</f>
        <v>214255</v>
      </c>
    </row>
    <row r="7" spans="1:22">
      <c r="A7" s="5">
        <v>6</v>
      </c>
      <c r="B7" s="5" t="s">
        <v>928</v>
      </c>
      <c r="C7" s="5" t="s">
        <v>953</v>
      </c>
      <c r="D7" s="178">
        <v>44894</v>
      </c>
      <c r="E7" s="5" t="s">
        <v>930</v>
      </c>
      <c r="F7" s="5" t="s">
        <v>954</v>
      </c>
      <c r="G7" s="178">
        <v>44896</v>
      </c>
      <c r="H7" s="5" t="s">
        <v>948</v>
      </c>
      <c r="I7" s="5" t="s">
        <v>949</v>
      </c>
      <c r="J7" s="5" t="s">
        <v>934</v>
      </c>
      <c r="K7" s="5">
        <v>214686</v>
      </c>
      <c r="L7" s="5" t="s">
        <v>955</v>
      </c>
      <c r="M7" s="5">
        <v>2388.6</v>
      </c>
      <c r="N7" s="5" t="s">
        <v>951</v>
      </c>
      <c r="O7" s="5">
        <v>205</v>
      </c>
      <c r="P7" s="5">
        <f t="shared" si="0"/>
        <v>489663</v>
      </c>
      <c r="Q7" s="192"/>
      <c r="R7" s="5">
        <f t="shared" si="1"/>
        <v>489663</v>
      </c>
      <c r="S7" s="5">
        <f t="shared" si="2"/>
        <v>205</v>
      </c>
      <c r="T7" s="5" t="s">
        <v>937</v>
      </c>
      <c r="U7" s="5" t="s">
        <v>952</v>
      </c>
      <c r="V7" s="170">
        <f>VLOOKUP(K7,'Stock statement'!$C$3:$D$382,2,0)</f>
        <v>214686</v>
      </c>
    </row>
    <row r="8" spans="1:22">
      <c r="A8" s="5">
        <v>7</v>
      </c>
      <c r="B8" s="5" t="s">
        <v>928</v>
      </c>
      <c r="C8" s="5" t="s">
        <v>956</v>
      </c>
      <c r="D8" s="178">
        <v>44894</v>
      </c>
      <c r="E8" s="5" t="s">
        <v>930</v>
      </c>
      <c r="F8" s="5" t="s">
        <v>957</v>
      </c>
      <c r="G8" s="178">
        <v>44896</v>
      </c>
      <c r="H8" s="5" t="s">
        <v>958</v>
      </c>
      <c r="I8" s="5" t="s">
        <v>949</v>
      </c>
      <c r="J8" s="5" t="s">
        <v>934</v>
      </c>
      <c r="K8" s="5">
        <v>214255</v>
      </c>
      <c r="L8" s="5" t="s">
        <v>959</v>
      </c>
      <c r="M8" s="5">
        <v>5073</v>
      </c>
      <c r="N8" s="5" t="s">
        <v>951</v>
      </c>
      <c r="O8" s="5">
        <v>266</v>
      </c>
      <c r="P8" s="5">
        <f t="shared" si="0"/>
        <v>1349418</v>
      </c>
      <c r="Q8" s="192"/>
      <c r="R8" s="5">
        <f t="shared" si="1"/>
        <v>1349418</v>
      </c>
      <c r="S8" s="5">
        <f t="shared" si="2"/>
        <v>266</v>
      </c>
      <c r="T8" s="5" t="s">
        <v>937</v>
      </c>
      <c r="U8" s="5" t="s">
        <v>960</v>
      </c>
      <c r="V8" s="170">
        <f>VLOOKUP(K8,'Stock statement'!$C$3:$D$382,2,0)</f>
        <v>214255</v>
      </c>
    </row>
    <row r="9" spans="1:22">
      <c r="A9" s="5">
        <v>8</v>
      </c>
      <c r="B9" s="5" t="s">
        <v>928</v>
      </c>
      <c r="C9" s="5" t="s">
        <v>961</v>
      </c>
      <c r="D9" s="178">
        <v>44890</v>
      </c>
      <c r="E9" s="5" t="s">
        <v>930</v>
      </c>
      <c r="F9" s="5" t="s">
        <v>962</v>
      </c>
      <c r="G9" s="178">
        <v>44896</v>
      </c>
      <c r="H9" s="5" t="s">
        <v>963</v>
      </c>
      <c r="I9" s="5" t="s">
        <v>933</v>
      </c>
      <c r="J9" s="5" t="s">
        <v>934</v>
      </c>
      <c r="K9" s="5">
        <v>111232</v>
      </c>
      <c r="L9" s="5" t="s">
        <v>964</v>
      </c>
      <c r="M9" s="5">
        <v>30210</v>
      </c>
      <c r="N9" s="5" t="s">
        <v>951</v>
      </c>
      <c r="O9" s="5">
        <v>95.5</v>
      </c>
      <c r="P9" s="5">
        <f t="shared" si="0"/>
        <v>2885055</v>
      </c>
      <c r="Q9" s="192">
        <v>176547.20000000001</v>
      </c>
      <c r="R9" s="5">
        <f t="shared" si="1"/>
        <v>3061602.2</v>
      </c>
      <c r="S9" s="5">
        <f t="shared" si="2"/>
        <v>101.34399867593513</v>
      </c>
      <c r="T9" s="5" t="s">
        <v>937</v>
      </c>
      <c r="U9" s="5" t="s">
        <v>965</v>
      </c>
      <c r="V9" s="170" t="str">
        <f>VLOOKUP(K9,'Stock statement'!$C$3:$D$382,2,0)</f>
        <v>C25</v>
      </c>
    </row>
    <row r="10" spans="1:22">
      <c r="A10" s="5">
        <v>9</v>
      </c>
      <c r="B10" s="5" t="s">
        <v>928</v>
      </c>
      <c r="C10" s="5" t="s">
        <v>966</v>
      </c>
      <c r="D10" s="178">
        <v>44896</v>
      </c>
      <c r="E10" s="5" t="s">
        <v>930</v>
      </c>
      <c r="F10" s="5" t="s">
        <v>967</v>
      </c>
      <c r="G10" s="178">
        <v>44897</v>
      </c>
      <c r="H10" s="5" t="s">
        <v>968</v>
      </c>
      <c r="I10" s="5" t="s">
        <v>933</v>
      </c>
      <c r="J10" s="5" t="s">
        <v>934</v>
      </c>
      <c r="K10" s="5">
        <v>110978</v>
      </c>
      <c r="L10" s="5" t="s">
        <v>368</v>
      </c>
      <c r="M10" s="5">
        <v>1000</v>
      </c>
      <c r="N10" s="5" t="s">
        <v>951</v>
      </c>
      <c r="O10" s="5">
        <v>160</v>
      </c>
      <c r="P10" s="5">
        <f t="shared" si="0"/>
        <v>160000</v>
      </c>
      <c r="Q10" s="192"/>
      <c r="R10" s="5">
        <f t="shared" si="1"/>
        <v>160000</v>
      </c>
      <c r="S10" s="5">
        <f t="shared" si="2"/>
        <v>160</v>
      </c>
      <c r="T10" s="5" t="s">
        <v>937</v>
      </c>
      <c r="U10" s="5" t="s">
        <v>969</v>
      </c>
      <c r="V10" s="170" t="str">
        <f>VLOOKUP(K10,'Stock statement'!$C$3:$D$382,2,0)</f>
        <v>C5</v>
      </c>
    </row>
    <row r="11" spans="1:22">
      <c r="A11" s="5">
        <v>10</v>
      </c>
      <c r="B11" s="5" t="s">
        <v>928</v>
      </c>
      <c r="C11" s="5" t="s">
        <v>966</v>
      </c>
      <c r="D11" s="178">
        <v>44896</v>
      </c>
      <c r="E11" s="5" t="s">
        <v>930</v>
      </c>
      <c r="F11" s="5" t="s">
        <v>967</v>
      </c>
      <c r="G11" s="178">
        <v>44897</v>
      </c>
      <c r="H11" s="5" t="s">
        <v>968</v>
      </c>
      <c r="I11" s="5" t="s">
        <v>933</v>
      </c>
      <c r="J11" s="5" t="s">
        <v>934</v>
      </c>
      <c r="K11" s="5">
        <v>111233</v>
      </c>
      <c r="L11" s="5" t="s">
        <v>578</v>
      </c>
      <c r="M11" s="5">
        <v>5000</v>
      </c>
      <c r="N11" s="5" t="s">
        <v>951</v>
      </c>
      <c r="O11" s="5">
        <v>220</v>
      </c>
      <c r="P11" s="5">
        <f t="shared" si="0"/>
        <v>1100000</v>
      </c>
      <c r="Q11" s="192"/>
      <c r="R11" s="5">
        <f t="shared" si="1"/>
        <v>1100000</v>
      </c>
      <c r="S11" s="5">
        <f t="shared" si="2"/>
        <v>220</v>
      </c>
      <c r="T11" s="5" t="s">
        <v>937</v>
      </c>
      <c r="U11" s="5" t="s">
        <v>970</v>
      </c>
      <c r="V11" s="170" t="str">
        <f>VLOOKUP(K11,'Stock statement'!$C$3:$D$382,2,0)</f>
        <v>C4</v>
      </c>
    </row>
    <row r="12" spans="1:22">
      <c r="A12" s="5">
        <v>11</v>
      </c>
      <c r="B12" s="5" t="s">
        <v>928</v>
      </c>
      <c r="C12" s="5" t="s">
        <v>971</v>
      </c>
      <c r="D12" s="178">
        <v>44896</v>
      </c>
      <c r="E12" s="5" t="s">
        <v>930</v>
      </c>
      <c r="F12" s="5" t="s">
        <v>972</v>
      </c>
      <c r="G12" s="178">
        <v>44897</v>
      </c>
      <c r="H12" s="5" t="s">
        <v>973</v>
      </c>
      <c r="I12" s="5" t="s">
        <v>933</v>
      </c>
      <c r="J12" s="5" t="s">
        <v>934</v>
      </c>
      <c r="K12" s="5">
        <v>230701</v>
      </c>
      <c r="L12" s="5" t="s">
        <v>617</v>
      </c>
      <c r="M12" s="5">
        <v>1000</v>
      </c>
      <c r="N12" s="5" t="s">
        <v>951</v>
      </c>
      <c r="O12" s="5">
        <v>769</v>
      </c>
      <c r="P12" s="5">
        <f t="shared" si="0"/>
        <v>769000</v>
      </c>
      <c r="Q12" s="192"/>
      <c r="R12" s="5">
        <f t="shared" si="1"/>
        <v>769000</v>
      </c>
      <c r="S12" s="5">
        <f t="shared" si="2"/>
        <v>769</v>
      </c>
      <c r="T12" s="5" t="s">
        <v>937</v>
      </c>
      <c r="U12" s="5" t="s">
        <v>974</v>
      </c>
      <c r="V12" s="170" t="str">
        <f>VLOOKUP(K12,'Stock statement'!$C$3:$D$382,2,0)</f>
        <v>C65</v>
      </c>
    </row>
    <row r="13" spans="1:22">
      <c r="A13" s="5">
        <v>12</v>
      </c>
      <c r="B13" s="5" t="s">
        <v>928</v>
      </c>
      <c r="C13" s="5" t="s">
        <v>975</v>
      </c>
      <c r="D13" s="178">
        <v>44892</v>
      </c>
      <c r="E13" s="5" t="s">
        <v>930</v>
      </c>
      <c r="F13" s="5" t="s">
        <v>976</v>
      </c>
      <c r="G13" s="178">
        <v>44897</v>
      </c>
      <c r="H13" s="5" t="s">
        <v>977</v>
      </c>
      <c r="I13" s="5" t="s">
        <v>933</v>
      </c>
      <c r="J13" s="5" t="s">
        <v>934</v>
      </c>
      <c r="K13" s="5">
        <v>111237</v>
      </c>
      <c r="L13" s="5" t="s">
        <v>978</v>
      </c>
      <c r="M13" s="5">
        <v>25000</v>
      </c>
      <c r="N13" s="5" t="s">
        <v>951</v>
      </c>
      <c r="O13" s="5">
        <v>17</v>
      </c>
      <c r="P13" s="5">
        <f t="shared" si="0"/>
        <v>425000</v>
      </c>
      <c r="Q13" s="192">
        <v>2750</v>
      </c>
      <c r="R13" s="5">
        <f t="shared" si="1"/>
        <v>427750</v>
      </c>
      <c r="S13" s="5">
        <f t="shared" si="2"/>
        <v>17.11</v>
      </c>
      <c r="T13" s="5" t="s">
        <v>937</v>
      </c>
      <c r="U13" s="5" t="s">
        <v>979</v>
      </c>
      <c r="V13" s="170" t="str">
        <f>VLOOKUP(K13,'Stock statement'!$C$3:$D$382,2,0)</f>
        <v>C42</v>
      </c>
    </row>
    <row r="14" spans="1:22">
      <c r="A14" s="5">
        <v>13</v>
      </c>
      <c r="B14" s="5" t="s">
        <v>928</v>
      </c>
      <c r="C14" s="5" t="s">
        <v>980</v>
      </c>
      <c r="D14" s="178">
        <v>44897</v>
      </c>
      <c r="E14" s="5" t="s">
        <v>930</v>
      </c>
      <c r="F14" s="5" t="s">
        <v>981</v>
      </c>
      <c r="G14" s="178">
        <v>44897</v>
      </c>
      <c r="H14" s="5" t="s">
        <v>942</v>
      </c>
      <c r="I14" s="5" t="s">
        <v>933</v>
      </c>
      <c r="J14" s="5" t="s">
        <v>934</v>
      </c>
      <c r="K14" s="5">
        <v>110001</v>
      </c>
      <c r="L14" s="5" t="s">
        <v>935</v>
      </c>
      <c r="M14" s="5">
        <v>21200</v>
      </c>
      <c r="N14" s="5" t="s">
        <v>936</v>
      </c>
      <c r="O14" s="5">
        <v>0.34</v>
      </c>
      <c r="P14" s="5">
        <f t="shared" si="0"/>
        <v>7208.0000000000009</v>
      </c>
      <c r="Q14" s="192"/>
      <c r="R14" s="5">
        <f t="shared" si="1"/>
        <v>7208.0000000000009</v>
      </c>
      <c r="S14" s="5">
        <f t="shared" si="2"/>
        <v>0.34</v>
      </c>
      <c r="T14" s="5" t="s">
        <v>937</v>
      </c>
      <c r="U14" s="5" t="s">
        <v>943</v>
      </c>
      <c r="V14" s="170" t="str">
        <f>VLOOKUP(K14,'Stock statement'!$C$3:$D$382,2,0)</f>
        <v>C16</v>
      </c>
    </row>
    <row r="15" spans="1:22">
      <c r="A15" s="5">
        <v>14</v>
      </c>
      <c r="B15" s="5" t="s">
        <v>928</v>
      </c>
      <c r="C15" s="5" t="s">
        <v>982</v>
      </c>
      <c r="D15" s="178">
        <v>44897</v>
      </c>
      <c r="E15" s="5" t="s">
        <v>930</v>
      </c>
      <c r="F15" s="5" t="s">
        <v>983</v>
      </c>
      <c r="G15" s="178">
        <v>44897</v>
      </c>
      <c r="H15" s="5" t="s">
        <v>942</v>
      </c>
      <c r="I15" s="5" t="s">
        <v>933</v>
      </c>
      <c r="J15" s="5" t="s">
        <v>934</v>
      </c>
      <c r="K15" s="5">
        <v>110001</v>
      </c>
      <c r="L15" s="5" t="s">
        <v>935</v>
      </c>
      <c r="M15" s="5">
        <v>21800</v>
      </c>
      <c r="N15" s="5" t="s">
        <v>936</v>
      </c>
      <c r="O15" s="5">
        <v>0.34</v>
      </c>
      <c r="P15" s="5">
        <f t="shared" si="0"/>
        <v>7412.0000000000009</v>
      </c>
      <c r="Q15" s="192"/>
      <c r="R15" s="5">
        <f t="shared" si="1"/>
        <v>7412.0000000000009</v>
      </c>
      <c r="S15" s="5">
        <f t="shared" si="2"/>
        <v>0.34</v>
      </c>
      <c r="T15" s="5" t="s">
        <v>937</v>
      </c>
      <c r="U15" s="5" t="s">
        <v>943</v>
      </c>
      <c r="V15" s="170" t="str">
        <f>VLOOKUP(K15,'Stock statement'!$C$3:$D$382,2,0)</f>
        <v>C16</v>
      </c>
    </row>
    <row r="16" spans="1:22">
      <c r="A16" s="5">
        <v>15</v>
      </c>
      <c r="B16" s="5" t="s">
        <v>928</v>
      </c>
      <c r="C16" s="5" t="s">
        <v>984</v>
      </c>
      <c r="D16" s="178">
        <v>44897</v>
      </c>
      <c r="E16" s="5" t="s">
        <v>930</v>
      </c>
      <c r="F16" s="5" t="s">
        <v>985</v>
      </c>
      <c r="G16" s="178">
        <v>44897</v>
      </c>
      <c r="H16" s="5" t="s">
        <v>942</v>
      </c>
      <c r="I16" s="5" t="s">
        <v>933</v>
      </c>
      <c r="J16" s="5" t="s">
        <v>934</v>
      </c>
      <c r="K16" s="5">
        <v>110001</v>
      </c>
      <c r="L16" s="5" t="s">
        <v>935</v>
      </c>
      <c r="M16" s="5">
        <v>21400</v>
      </c>
      <c r="N16" s="5" t="s">
        <v>936</v>
      </c>
      <c r="O16" s="5">
        <v>0.34</v>
      </c>
      <c r="P16" s="5">
        <f t="shared" si="0"/>
        <v>7276.0000000000009</v>
      </c>
      <c r="Q16" s="192"/>
      <c r="R16" s="5">
        <f t="shared" si="1"/>
        <v>7276.0000000000009</v>
      </c>
      <c r="S16" s="5">
        <f t="shared" si="2"/>
        <v>0.34</v>
      </c>
      <c r="T16" s="5" t="s">
        <v>937</v>
      </c>
      <c r="U16" s="5" t="s">
        <v>943</v>
      </c>
      <c r="V16" s="170" t="str">
        <f>VLOOKUP(K16,'Stock statement'!$C$3:$D$382,2,0)</f>
        <v>C16</v>
      </c>
    </row>
    <row r="17" spans="1:22">
      <c r="A17" s="5">
        <v>16</v>
      </c>
      <c r="B17" s="5" t="s">
        <v>928</v>
      </c>
      <c r="C17" s="5" t="s">
        <v>986</v>
      </c>
      <c r="D17" s="178">
        <v>44895</v>
      </c>
      <c r="E17" s="5" t="s">
        <v>930</v>
      </c>
      <c r="F17" s="5" t="s">
        <v>987</v>
      </c>
      <c r="G17" s="178">
        <v>44897</v>
      </c>
      <c r="H17" s="5" t="s">
        <v>988</v>
      </c>
      <c r="I17" s="5" t="s">
        <v>949</v>
      </c>
      <c r="J17" s="5" t="s">
        <v>934</v>
      </c>
      <c r="K17" s="5">
        <v>214970</v>
      </c>
      <c r="L17" s="5" t="s">
        <v>895</v>
      </c>
      <c r="M17" s="5">
        <v>4427</v>
      </c>
      <c r="N17" s="5" t="s">
        <v>951</v>
      </c>
      <c r="O17" s="5">
        <v>210.27</v>
      </c>
      <c r="P17" s="5">
        <f t="shared" si="0"/>
        <v>930865.29</v>
      </c>
      <c r="Q17" s="192"/>
      <c r="R17" s="5">
        <f t="shared" si="1"/>
        <v>930865.29</v>
      </c>
      <c r="S17" s="5">
        <f t="shared" si="2"/>
        <v>210.27</v>
      </c>
      <c r="T17" s="5" t="s">
        <v>937</v>
      </c>
      <c r="U17" s="5" t="s">
        <v>989</v>
      </c>
      <c r="V17" s="170">
        <f>VLOOKUP(K17,'Stock statement'!$C$3:$D$382,2,0)</f>
        <v>214970</v>
      </c>
    </row>
    <row r="18" spans="1:22">
      <c r="A18" s="5">
        <v>17</v>
      </c>
      <c r="B18" s="5" t="s">
        <v>928</v>
      </c>
      <c r="C18" s="5" t="s">
        <v>990</v>
      </c>
      <c r="D18" s="178">
        <v>44894</v>
      </c>
      <c r="E18" s="5" t="s">
        <v>930</v>
      </c>
      <c r="F18" s="5" t="s">
        <v>991</v>
      </c>
      <c r="G18" s="178">
        <v>44897</v>
      </c>
      <c r="H18" s="5" t="s">
        <v>963</v>
      </c>
      <c r="I18" s="5" t="s">
        <v>933</v>
      </c>
      <c r="J18" s="5" t="s">
        <v>934</v>
      </c>
      <c r="K18" s="5">
        <v>111232</v>
      </c>
      <c r="L18" s="5" t="s">
        <v>964</v>
      </c>
      <c r="M18" s="5">
        <v>28350</v>
      </c>
      <c r="N18" s="5" t="s">
        <v>951</v>
      </c>
      <c r="O18" s="5">
        <v>95.5</v>
      </c>
      <c r="P18" s="5">
        <f t="shared" si="0"/>
        <v>2707425</v>
      </c>
      <c r="Q18" s="192">
        <v>165677.4</v>
      </c>
      <c r="R18" s="5">
        <f t="shared" si="1"/>
        <v>2873102.4</v>
      </c>
      <c r="S18" s="5">
        <f t="shared" si="2"/>
        <v>101.34399999999999</v>
      </c>
      <c r="T18" s="5" t="s">
        <v>937</v>
      </c>
      <c r="U18" s="5" t="s">
        <v>965</v>
      </c>
      <c r="V18" s="170" t="str">
        <f>VLOOKUP(K18,'Stock statement'!$C$3:$D$382,2,0)</f>
        <v>C25</v>
      </c>
    </row>
    <row r="19" spans="1:22">
      <c r="A19" s="5">
        <v>18</v>
      </c>
      <c r="B19" s="5" t="s">
        <v>928</v>
      </c>
      <c r="C19" s="5" t="s">
        <v>992</v>
      </c>
      <c r="D19" s="178">
        <v>44896</v>
      </c>
      <c r="E19" s="5" t="s">
        <v>930</v>
      </c>
      <c r="F19" s="5" t="s">
        <v>993</v>
      </c>
      <c r="G19" s="178">
        <v>44898</v>
      </c>
      <c r="H19" s="5" t="s">
        <v>994</v>
      </c>
      <c r="I19" s="5" t="s">
        <v>949</v>
      </c>
      <c r="J19" s="5" t="s">
        <v>934</v>
      </c>
      <c r="K19" s="5">
        <v>214961</v>
      </c>
      <c r="L19" s="5" t="s">
        <v>896</v>
      </c>
      <c r="M19" s="5">
        <v>3600</v>
      </c>
      <c r="N19" s="5" t="s">
        <v>995</v>
      </c>
      <c r="O19" s="5">
        <v>30.12</v>
      </c>
      <c r="P19" s="5">
        <f t="shared" si="0"/>
        <v>108432</v>
      </c>
      <c r="Q19" s="192"/>
      <c r="R19" s="5">
        <f t="shared" si="1"/>
        <v>108432</v>
      </c>
      <c r="S19" s="5">
        <f t="shared" si="2"/>
        <v>30.12</v>
      </c>
      <c r="T19" s="5" t="s">
        <v>937</v>
      </c>
      <c r="U19" s="5" t="s">
        <v>996</v>
      </c>
      <c r="V19" s="170">
        <f>VLOOKUP(K19,'Stock statement'!$C$3:$D$382,2,0)</f>
        <v>214961</v>
      </c>
    </row>
    <row r="20" spans="1:22">
      <c r="A20" s="5">
        <v>19</v>
      </c>
      <c r="B20" s="5" t="s">
        <v>928</v>
      </c>
      <c r="C20" s="5" t="s">
        <v>992</v>
      </c>
      <c r="D20" s="178">
        <v>44896</v>
      </c>
      <c r="E20" s="5" t="s">
        <v>930</v>
      </c>
      <c r="F20" s="5" t="s">
        <v>993</v>
      </c>
      <c r="G20" s="178">
        <v>44898</v>
      </c>
      <c r="H20" s="5" t="s">
        <v>994</v>
      </c>
      <c r="I20" s="5" t="s">
        <v>949</v>
      </c>
      <c r="J20" s="5" t="s">
        <v>934</v>
      </c>
      <c r="K20" s="5">
        <v>214962</v>
      </c>
      <c r="L20" s="5" t="s">
        <v>897</v>
      </c>
      <c r="M20" s="5">
        <v>7175</v>
      </c>
      <c r="N20" s="5" t="s">
        <v>995</v>
      </c>
      <c r="O20" s="5">
        <v>14.3</v>
      </c>
      <c r="P20" s="5">
        <f t="shared" si="0"/>
        <v>102602.5</v>
      </c>
      <c r="Q20" s="192"/>
      <c r="R20" s="5">
        <f t="shared" si="1"/>
        <v>102602.5</v>
      </c>
      <c r="S20" s="5">
        <f t="shared" si="2"/>
        <v>14.3</v>
      </c>
      <c r="T20" s="5" t="s">
        <v>937</v>
      </c>
      <c r="U20" s="5" t="s">
        <v>996</v>
      </c>
      <c r="V20" s="170">
        <f>VLOOKUP(K20,'Stock statement'!$C$3:$D$382,2,0)</f>
        <v>214962</v>
      </c>
    </row>
    <row r="21" spans="1:22">
      <c r="A21" s="5">
        <v>20</v>
      </c>
      <c r="B21" s="5" t="s">
        <v>928</v>
      </c>
      <c r="C21" s="5" t="s">
        <v>997</v>
      </c>
      <c r="D21" s="178">
        <v>44893</v>
      </c>
      <c r="E21" s="5" t="s">
        <v>930</v>
      </c>
      <c r="F21" s="5" t="s">
        <v>998</v>
      </c>
      <c r="G21" s="178">
        <v>44898</v>
      </c>
      <c r="H21" s="5" t="s">
        <v>999</v>
      </c>
      <c r="I21" s="5" t="s">
        <v>933</v>
      </c>
      <c r="J21" s="5" t="s">
        <v>934</v>
      </c>
      <c r="K21" s="5">
        <v>110908</v>
      </c>
      <c r="L21" s="5" t="s">
        <v>594</v>
      </c>
      <c r="M21" s="5">
        <v>2000</v>
      </c>
      <c r="N21" s="5" t="s">
        <v>951</v>
      </c>
      <c r="O21" s="5">
        <v>760</v>
      </c>
      <c r="P21" s="5">
        <f t="shared" si="0"/>
        <v>1520000</v>
      </c>
      <c r="Q21" s="192">
        <v>22000</v>
      </c>
      <c r="R21" s="5">
        <f t="shared" si="1"/>
        <v>1542000</v>
      </c>
      <c r="S21" s="5">
        <f t="shared" si="2"/>
        <v>771</v>
      </c>
      <c r="T21" s="5" t="s">
        <v>937</v>
      </c>
      <c r="U21" s="5" t="s">
        <v>1000</v>
      </c>
      <c r="V21" s="170" t="str">
        <f>VLOOKUP(K21,'Stock statement'!$C$3:$D$382,2,0)</f>
        <v>C33</v>
      </c>
    </row>
    <row r="22" spans="1:22">
      <c r="A22" s="5">
        <v>21</v>
      </c>
      <c r="B22" s="5" t="s">
        <v>928</v>
      </c>
      <c r="C22" s="5" t="s">
        <v>1001</v>
      </c>
      <c r="D22" s="178">
        <v>44898</v>
      </c>
      <c r="E22" s="5" t="s">
        <v>930</v>
      </c>
      <c r="F22" s="5" t="s">
        <v>1002</v>
      </c>
      <c r="G22" s="178">
        <v>44898</v>
      </c>
      <c r="H22" s="5" t="s">
        <v>942</v>
      </c>
      <c r="I22" s="5" t="s">
        <v>933</v>
      </c>
      <c r="J22" s="5" t="s">
        <v>934</v>
      </c>
      <c r="K22" s="5">
        <v>110001</v>
      </c>
      <c r="L22" s="5" t="s">
        <v>935</v>
      </c>
      <c r="M22" s="5">
        <v>21500</v>
      </c>
      <c r="N22" s="5" t="s">
        <v>936</v>
      </c>
      <c r="O22" s="5">
        <v>0.34</v>
      </c>
      <c r="P22" s="5">
        <f t="shared" si="0"/>
        <v>7310.0000000000009</v>
      </c>
      <c r="Q22" s="192"/>
      <c r="R22" s="5">
        <f t="shared" si="1"/>
        <v>7310.0000000000009</v>
      </c>
      <c r="S22" s="5">
        <f t="shared" si="2"/>
        <v>0.34</v>
      </c>
      <c r="T22" s="5" t="s">
        <v>937</v>
      </c>
      <c r="U22" s="5" t="s">
        <v>943</v>
      </c>
      <c r="V22" s="170" t="str">
        <f>VLOOKUP(K22,'Stock statement'!$C$3:$D$382,2,0)</f>
        <v>C16</v>
      </c>
    </row>
    <row r="23" spans="1:22">
      <c r="A23" s="5">
        <v>22</v>
      </c>
      <c r="B23" s="5" t="s">
        <v>928</v>
      </c>
      <c r="C23" s="5" t="s">
        <v>1003</v>
      </c>
      <c r="D23" s="178">
        <v>44893</v>
      </c>
      <c r="E23" s="5" t="s">
        <v>930</v>
      </c>
      <c r="F23" s="5" t="s">
        <v>1004</v>
      </c>
      <c r="G23" s="178">
        <v>44898</v>
      </c>
      <c r="H23" s="5" t="s">
        <v>1005</v>
      </c>
      <c r="I23" s="5" t="s">
        <v>933</v>
      </c>
      <c r="J23" s="5" t="s">
        <v>934</v>
      </c>
      <c r="K23" s="5">
        <v>110852</v>
      </c>
      <c r="L23" s="5" t="s">
        <v>418</v>
      </c>
      <c r="M23" s="5">
        <v>2000</v>
      </c>
      <c r="N23" s="5" t="s">
        <v>951</v>
      </c>
      <c r="O23" s="5">
        <v>120</v>
      </c>
      <c r="P23" s="5">
        <f t="shared" si="0"/>
        <v>240000</v>
      </c>
      <c r="Q23" s="192">
        <v>16000</v>
      </c>
      <c r="R23" s="5">
        <f t="shared" si="1"/>
        <v>256000</v>
      </c>
      <c r="S23" s="5">
        <f t="shared" si="2"/>
        <v>128</v>
      </c>
      <c r="T23" s="5" t="s">
        <v>937</v>
      </c>
      <c r="U23" s="5" t="s">
        <v>1006</v>
      </c>
      <c r="V23" s="170" t="str">
        <f>VLOOKUP(K23,'Stock statement'!$C$3:$D$382,2,0)</f>
        <v>C26</v>
      </c>
    </row>
    <row r="24" spans="1:22">
      <c r="A24" s="5">
        <v>23</v>
      </c>
      <c r="B24" s="5" t="s">
        <v>928</v>
      </c>
      <c r="C24" s="5" t="s">
        <v>1007</v>
      </c>
      <c r="D24" s="178">
        <v>44898</v>
      </c>
      <c r="E24" s="5" t="s">
        <v>930</v>
      </c>
      <c r="F24" s="5" t="s">
        <v>1008</v>
      </c>
      <c r="G24" s="178">
        <v>44898</v>
      </c>
      <c r="H24" s="5" t="s">
        <v>942</v>
      </c>
      <c r="I24" s="5" t="s">
        <v>933</v>
      </c>
      <c r="J24" s="5" t="s">
        <v>934</v>
      </c>
      <c r="K24" s="5">
        <v>110001</v>
      </c>
      <c r="L24" s="5" t="s">
        <v>935</v>
      </c>
      <c r="M24" s="5">
        <v>8500</v>
      </c>
      <c r="N24" s="5" t="s">
        <v>936</v>
      </c>
      <c r="O24" s="5">
        <v>0.34</v>
      </c>
      <c r="P24" s="5">
        <f t="shared" ref="P24:P87" si="3">+M24*O24</f>
        <v>2890</v>
      </c>
      <c r="Q24" s="192"/>
      <c r="R24" s="5">
        <f t="shared" si="1"/>
        <v>2890</v>
      </c>
      <c r="S24" s="5">
        <f t="shared" si="2"/>
        <v>0.34</v>
      </c>
      <c r="T24" s="5" t="s">
        <v>937</v>
      </c>
      <c r="U24" s="5" t="s">
        <v>943</v>
      </c>
      <c r="V24" s="170" t="str">
        <f>VLOOKUP(K24,'Stock statement'!$C$3:$D$382,2,0)</f>
        <v>C16</v>
      </c>
    </row>
    <row r="25" spans="1:22">
      <c r="A25" s="5">
        <v>24</v>
      </c>
      <c r="B25" s="5" t="s">
        <v>928</v>
      </c>
      <c r="C25" s="5" t="s">
        <v>1009</v>
      </c>
      <c r="D25" s="178">
        <v>44898</v>
      </c>
      <c r="E25" s="5" t="s">
        <v>930</v>
      </c>
      <c r="F25" s="5" t="s">
        <v>1010</v>
      </c>
      <c r="G25" s="178">
        <v>44898</v>
      </c>
      <c r="H25" s="5" t="s">
        <v>942</v>
      </c>
      <c r="I25" s="5" t="s">
        <v>933</v>
      </c>
      <c r="J25" s="5" t="s">
        <v>934</v>
      </c>
      <c r="K25" s="5">
        <v>110001</v>
      </c>
      <c r="L25" s="5" t="s">
        <v>935</v>
      </c>
      <c r="M25" s="5">
        <v>11000</v>
      </c>
      <c r="N25" s="5" t="s">
        <v>936</v>
      </c>
      <c r="O25" s="5">
        <v>0.34</v>
      </c>
      <c r="P25" s="5">
        <f t="shared" si="3"/>
        <v>3740.0000000000005</v>
      </c>
      <c r="Q25" s="192"/>
      <c r="R25" s="5">
        <f t="shared" si="1"/>
        <v>3740.0000000000005</v>
      </c>
      <c r="S25" s="5">
        <f t="shared" si="2"/>
        <v>0.34</v>
      </c>
      <c r="T25" s="5" t="s">
        <v>937</v>
      </c>
      <c r="U25" s="5" t="s">
        <v>943</v>
      </c>
      <c r="V25" s="170" t="str">
        <f>VLOOKUP(K25,'Stock statement'!$C$3:$D$382,2,0)</f>
        <v>C16</v>
      </c>
    </row>
    <row r="26" spans="1:22">
      <c r="A26" s="5">
        <v>25</v>
      </c>
      <c r="B26" s="5" t="s">
        <v>928</v>
      </c>
      <c r="C26" s="5" t="s">
        <v>1011</v>
      </c>
      <c r="D26" s="178">
        <v>44898</v>
      </c>
      <c r="E26" s="5" t="s">
        <v>930</v>
      </c>
      <c r="F26" s="5" t="s">
        <v>1012</v>
      </c>
      <c r="G26" s="178">
        <v>44898</v>
      </c>
      <c r="H26" s="5" t="s">
        <v>942</v>
      </c>
      <c r="I26" s="5" t="s">
        <v>933</v>
      </c>
      <c r="J26" s="5" t="s">
        <v>934</v>
      </c>
      <c r="K26" s="5">
        <v>110001</v>
      </c>
      <c r="L26" s="5" t="s">
        <v>935</v>
      </c>
      <c r="M26" s="5">
        <v>22700</v>
      </c>
      <c r="N26" s="5" t="s">
        <v>936</v>
      </c>
      <c r="O26" s="5">
        <v>0.34</v>
      </c>
      <c r="P26" s="5">
        <f t="shared" si="3"/>
        <v>7718.0000000000009</v>
      </c>
      <c r="Q26" s="192"/>
      <c r="R26" s="5">
        <f t="shared" si="1"/>
        <v>7718.0000000000009</v>
      </c>
      <c r="S26" s="5">
        <f t="shared" si="2"/>
        <v>0.34</v>
      </c>
      <c r="T26" s="5" t="s">
        <v>937</v>
      </c>
      <c r="U26" s="5" t="s">
        <v>943</v>
      </c>
      <c r="V26" s="170" t="str">
        <f>VLOOKUP(K26,'Stock statement'!$C$3:$D$382,2,0)</f>
        <v>C16</v>
      </c>
    </row>
    <row r="27" spans="1:22">
      <c r="A27" s="5">
        <v>26</v>
      </c>
      <c r="B27" s="5" t="s">
        <v>928</v>
      </c>
      <c r="C27" s="5" t="s">
        <v>1013</v>
      </c>
      <c r="D27" s="178">
        <v>44895</v>
      </c>
      <c r="E27" s="5" t="s">
        <v>930</v>
      </c>
      <c r="F27" s="5" t="s">
        <v>1014</v>
      </c>
      <c r="G27" s="178">
        <v>44898</v>
      </c>
      <c r="H27" s="5" t="s">
        <v>1015</v>
      </c>
      <c r="I27" s="5" t="s">
        <v>933</v>
      </c>
      <c r="J27" s="5" t="s">
        <v>934</v>
      </c>
      <c r="K27" s="5">
        <v>110927</v>
      </c>
      <c r="L27" s="5" t="s">
        <v>597</v>
      </c>
      <c r="M27" s="5">
        <v>100</v>
      </c>
      <c r="N27" s="5" t="s">
        <v>951</v>
      </c>
      <c r="O27" s="5">
        <v>875</v>
      </c>
      <c r="P27" s="5">
        <f t="shared" si="3"/>
        <v>87500</v>
      </c>
      <c r="Q27" s="192">
        <v>3304</v>
      </c>
      <c r="R27" s="5">
        <f t="shared" si="1"/>
        <v>90804</v>
      </c>
      <c r="S27" s="5">
        <f t="shared" si="2"/>
        <v>908.04</v>
      </c>
      <c r="T27" s="5" t="s">
        <v>937</v>
      </c>
      <c r="U27" s="5" t="s">
        <v>1016</v>
      </c>
      <c r="V27" s="170" t="str">
        <f>VLOOKUP(K27,'Stock statement'!$C$3:$D$382,2,0)</f>
        <v>C3</v>
      </c>
    </row>
    <row r="28" spans="1:22">
      <c r="A28" s="5">
        <v>27</v>
      </c>
      <c r="B28" s="5" t="s">
        <v>928</v>
      </c>
      <c r="C28" s="5" t="s">
        <v>1013</v>
      </c>
      <c r="D28" s="178">
        <v>44895</v>
      </c>
      <c r="E28" s="5" t="s">
        <v>930</v>
      </c>
      <c r="F28" s="5" t="s">
        <v>1017</v>
      </c>
      <c r="G28" s="178">
        <v>44898</v>
      </c>
      <c r="H28" s="5" t="s">
        <v>1015</v>
      </c>
      <c r="I28" s="5" t="s">
        <v>933</v>
      </c>
      <c r="J28" s="5" t="s">
        <v>934</v>
      </c>
      <c r="K28" s="5">
        <v>110920</v>
      </c>
      <c r="L28" s="5" t="s">
        <v>598</v>
      </c>
      <c r="M28" s="5">
        <v>50</v>
      </c>
      <c r="N28" s="5" t="s">
        <v>951</v>
      </c>
      <c r="O28" s="5">
        <v>675</v>
      </c>
      <c r="P28" s="5">
        <f t="shared" si="3"/>
        <v>33750</v>
      </c>
      <c r="Q28" s="192">
        <v>1652</v>
      </c>
      <c r="R28" s="5">
        <f t="shared" si="1"/>
        <v>35402</v>
      </c>
      <c r="S28" s="5">
        <f t="shared" si="2"/>
        <v>708.04</v>
      </c>
      <c r="T28" s="5" t="s">
        <v>937</v>
      </c>
      <c r="U28" s="5" t="s">
        <v>1018</v>
      </c>
      <c r="V28" s="170" t="str">
        <f>VLOOKUP(K28,'Stock statement'!$C$3:$D$382,2,0)</f>
        <v>C37</v>
      </c>
    </row>
    <row r="29" spans="1:22">
      <c r="A29" s="5">
        <v>28</v>
      </c>
      <c r="B29" s="5" t="s">
        <v>928</v>
      </c>
      <c r="C29" s="5" t="s">
        <v>1013</v>
      </c>
      <c r="D29" s="178">
        <v>44895</v>
      </c>
      <c r="E29" s="5" t="s">
        <v>930</v>
      </c>
      <c r="F29" s="5" t="s">
        <v>1017</v>
      </c>
      <c r="G29" s="178">
        <v>44898</v>
      </c>
      <c r="H29" s="5" t="s">
        <v>1015</v>
      </c>
      <c r="I29" s="5" t="s">
        <v>933</v>
      </c>
      <c r="J29" s="5" t="s">
        <v>934</v>
      </c>
      <c r="K29" s="5">
        <v>110919</v>
      </c>
      <c r="L29" s="5" t="s">
        <v>599</v>
      </c>
      <c r="M29" s="5">
        <v>50</v>
      </c>
      <c r="N29" s="5" t="s">
        <v>951</v>
      </c>
      <c r="O29" s="5">
        <v>525</v>
      </c>
      <c r="P29" s="5">
        <f t="shared" si="3"/>
        <v>26250</v>
      </c>
      <c r="Q29" s="192">
        <v>1652</v>
      </c>
      <c r="R29" s="5">
        <f t="shared" si="1"/>
        <v>27902</v>
      </c>
      <c r="S29" s="5">
        <f t="shared" si="2"/>
        <v>558.04</v>
      </c>
      <c r="T29" s="5" t="s">
        <v>937</v>
      </c>
      <c r="U29" s="5" t="s">
        <v>1018</v>
      </c>
      <c r="V29" s="170" t="str">
        <f>VLOOKUP(K29,'Stock statement'!$C$3:$D$382,2,0)</f>
        <v>C41</v>
      </c>
    </row>
    <row r="30" spans="1:22">
      <c r="A30" s="5">
        <v>29</v>
      </c>
      <c r="B30" s="5" t="s">
        <v>928</v>
      </c>
      <c r="C30" s="5" t="s">
        <v>1013</v>
      </c>
      <c r="D30" s="178">
        <v>44895</v>
      </c>
      <c r="E30" s="5" t="s">
        <v>930</v>
      </c>
      <c r="F30" s="5" t="s">
        <v>1017</v>
      </c>
      <c r="G30" s="178">
        <v>44898</v>
      </c>
      <c r="H30" s="5" t="s">
        <v>1015</v>
      </c>
      <c r="I30" s="5" t="s">
        <v>933</v>
      </c>
      <c r="J30" s="5" t="s">
        <v>934</v>
      </c>
      <c r="K30" s="5">
        <v>110929</v>
      </c>
      <c r="L30" s="5" t="s">
        <v>392</v>
      </c>
      <c r="M30" s="5">
        <v>50</v>
      </c>
      <c r="N30" s="5" t="s">
        <v>951</v>
      </c>
      <c r="O30" s="5">
        <v>1250</v>
      </c>
      <c r="P30" s="5">
        <f t="shared" si="3"/>
        <v>62500</v>
      </c>
      <c r="Q30" s="192">
        <v>1652</v>
      </c>
      <c r="R30" s="5">
        <f t="shared" si="1"/>
        <v>64152</v>
      </c>
      <c r="S30" s="5">
        <f t="shared" si="2"/>
        <v>1283.04</v>
      </c>
      <c r="T30" s="5" t="s">
        <v>937</v>
      </c>
      <c r="U30" s="5" t="s">
        <v>1019</v>
      </c>
      <c r="V30" s="170" t="str">
        <f>VLOOKUP(K30,'Stock statement'!$C$3:$D$382,2,0)</f>
        <v>C19</v>
      </c>
    </row>
    <row r="31" spans="1:22">
      <c r="A31" s="5">
        <v>30</v>
      </c>
      <c r="B31" s="5" t="s">
        <v>928</v>
      </c>
      <c r="C31" s="5" t="s">
        <v>1020</v>
      </c>
      <c r="D31" s="178">
        <v>44895</v>
      </c>
      <c r="E31" s="5" t="s">
        <v>930</v>
      </c>
      <c r="F31" s="5" t="s">
        <v>1021</v>
      </c>
      <c r="G31" s="178">
        <v>44898</v>
      </c>
      <c r="H31" s="5" t="s">
        <v>948</v>
      </c>
      <c r="I31" s="5" t="s">
        <v>949</v>
      </c>
      <c r="J31" s="5" t="s">
        <v>934</v>
      </c>
      <c r="K31" s="5">
        <v>214255</v>
      </c>
      <c r="L31" s="5" t="s">
        <v>950</v>
      </c>
      <c r="M31" s="5">
        <v>2765</v>
      </c>
      <c r="N31" s="5" t="s">
        <v>951</v>
      </c>
      <c r="O31" s="5">
        <v>234</v>
      </c>
      <c r="P31" s="5">
        <f t="shared" si="3"/>
        <v>647010</v>
      </c>
      <c r="Q31" s="192"/>
      <c r="R31" s="5">
        <f t="shared" si="1"/>
        <v>647010</v>
      </c>
      <c r="S31" s="5">
        <f t="shared" si="2"/>
        <v>234</v>
      </c>
      <c r="T31" s="5" t="s">
        <v>937</v>
      </c>
      <c r="U31" s="5" t="s">
        <v>952</v>
      </c>
      <c r="V31" s="170">
        <f>VLOOKUP(K31,'Stock statement'!$C$3:$D$382,2,0)</f>
        <v>214255</v>
      </c>
    </row>
    <row r="32" spans="1:22">
      <c r="A32" s="5">
        <v>31</v>
      </c>
      <c r="B32" s="5" t="s">
        <v>928</v>
      </c>
      <c r="C32" s="5" t="s">
        <v>1022</v>
      </c>
      <c r="D32" s="178">
        <v>44895</v>
      </c>
      <c r="E32" s="5" t="s">
        <v>930</v>
      </c>
      <c r="F32" s="5" t="s">
        <v>1023</v>
      </c>
      <c r="G32" s="178">
        <v>44898</v>
      </c>
      <c r="H32" s="5" t="s">
        <v>948</v>
      </c>
      <c r="I32" s="5" t="s">
        <v>949</v>
      </c>
      <c r="J32" s="5" t="s">
        <v>934</v>
      </c>
      <c r="K32" s="5">
        <v>214255</v>
      </c>
      <c r="L32" s="5" t="s">
        <v>950</v>
      </c>
      <c r="M32" s="5">
        <v>2781.75</v>
      </c>
      <c r="N32" s="5" t="s">
        <v>951</v>
      </c>
      <c r="O32" s="5">
        <v>234</v>
      </c>
      <c r="P32" s="5">
        <f t="shared" si="3"/>
        <v>650929.5</v>
      </c>
      <c r="Q32" s="192"/>
      <c r="R32" s="5">
        <f t="shared" si="1"/>
        <v>650929.5</v>
      </c>
      <c r="S32" s="5">
        <f t="shared" si="2"/>
        <v>234</v>
      </c>
      <c r="T32" s="5" t="s">
        <v>937</v>
      </c>
      <c r="U32" s="5" t="s">
        <v>952</v>
      </c>
      <c r="V32" s="170">
        <f>VLOOKUP(K32,'Stock statement'!$C$3:$D$382,2,0)</f>
        <v>214255</v>
      </c>
    </row>
    <row r="33" spans="1:22">
      <c r="A33" s="5">
        <v>32</v>
      </c>
      <c r="B33" s="5" t="s">
        <v>928</v>
      </c>
      <c r="C33" s="5" t="s">
        <v>1024</v>
      </c>
      <c r="D33" s="178">
        <v>44895</v>
      </c>
      <c r="E33" s="5" t="s">
        <v>930</v>
      </c>
      <c r="F33" s="5" t="s">
        <v>1025</v>
      </c>
      <c r="G33" s="178">
        <v>44898</v>
      </c>
      <c r="H33" s="5" t="s">
        <v>948</v>
      </c>
      <c r="I33" s="5" t="s">
        <v>949</v>
      </c>
      <c r="J33" s="5" t="s">
        <v>934</v>
      </c>
      <c r="K33" s="5">
        <v>214255</v>
      </c>
      <c r="L33" s="5" t="s">
        <v>950</v>
      </c>
      <c r="M33" s="5">
        <v>93.75</v>
      </c>
      <c r="N33" s="5" t="s">
        <v>951</v>
      </c>
      <c r="O33" s="5">
        <v>234</v>
      </c>
      <c r="P33" s="5">
        <f t="shared" si="3"/>
        <v>21937.5</v>
      </c>
      <c r="Q33" s="192"/>
      <c r="R33" s="5">
        <f t="shared" si="1"/>
        <v>21937.5</v>
      </c>
      <c r="S33" s="5">
        <f t="shared" si="2"/>
        <v>234</v>
      </c>
      <c r="T33" s="5" t="s">
        <v>937</v>
      </c>
      <c r="U33" s="5" t="s">
        <v>952</v>
      </c>
      <c r="V33" s="170">
        <f>VLOOKUP(K33,'Stock statement'!$C$3:$D$382,2,0)</f>
        <v>214255</v>
      </c>
    </row>
    <row r="34" spans="1:22">
      <c r="A34" s="5">
        <v>33</v>
      </c>
      <c r="B34" s="5" t="s">
        <v>928</v>
      </c>
      <c r="C34" s="5" t="s">
        <v>1026</v>
      </c>
      <c r="D34" s="178">
        <v>44895</v>
      </c>
      <c r="E34" s="5" t="s">
        <v>930</v>
      </c>
      <c r="F34" s="5" t="s">
        <v>1027</v>
      </c>
      <c r="G34" s="178">
        <v>44900</v>
      </c>
      <c r="H34" s="5" t="s">
        <v>958</v>
      </c>
      <c r="I34" s="5" t="s">
        <v>949</v>
      </c>
      <c r="J34" s="5" t="s">
        <v>934</v>
      </c>
      <c r="K34" s="5">
        <v>214255</v>
      </c>
      <c r="L34" s="5" t="s">
        <v>950</v>
      </c>
      <c r="M34" s="5">
        <v>508</v>
      </c>
      <c r="N34" s="5" t="s">
        <v>951</v>
      </c>
      <c r="O34" s="5">
        <v>235</v>
      </c>
      <c r="P34" s="5">
        <f t="shared" si="3"/>
        <v>119380</v>
      </c>
      <c r="Q34" s="192"/>
      <c r="R34" s="5">
        <f t="shared" si="1"/>
        <v>119380</v>
      </c>
      <c r="S34" s="5">
        <f t="shared" si="2"/>
        <v>235</v>
      </c>
      <c r="T34" s="5" t="s">
        <v>937</v>
      </c>
      <c r="U34" s="5" t="s">
        <v>1028</v>
      </c>
      <c r="V34" s="170">
        <f>VLOOKUP(K34,'Stock statement'!$C$3:$D$382,2,0)</f>
        <v>214255</v>
      </c>
    </row>
    <row r="35" spans="1:22">
      <c r="A35" s="5">
        <v>34</v>
      </c>
      <c r="B35" s="5" t="s">
        <v>928</v>
      </c>
      <c r="C35" s="5" t="s">
        <v>1026</v>
      </c>
      <c r="D35" s="178">
        <v>44895</v>
      </c>
      <c r="E35" s="5" t="s">
        <v>930</v>
      </c>
      <c r="F35" s="5" t="s">
        <v>1027</v>
      </c>
      <c r="G35" s="178">
        <v>44900</v>
      </c>
      <c r="H35" s="5" t="s">
        <v>958</v>
      </c>
      <c r="I35" s="5" t="s">
        <v>949</v>
      </c>
      <c r="J35" s="5" t="s">
        <v>934</v>
      </c>
      <c r="K35" s="5">
        <v>214255</v>
      </c>
      <c r="L35" s="5" t="s">
        <v>1029</v>
      </c>
      <c r="M35" s="5">
        <v>4506</v>
      </c>
      <c r="N35" s="5" t="s">
        <v>951</v>
      </c>
      <c r="O35" s="5">
        <v>235</v>
      </c>
      <c r="P35" s="5">
        <f t="shared" si="3"/>
        <v>1058910</v>
      </c>
      <c r="Q35" s="192"/>
      <c r="R35" s="5">
        <f t="shared" si="1"/>
        <v>1058910</v>
      </c>
      <c r="S35" s="5">
        <f t="shared" si="2"/>
        <v>235</v>
      </c>
      <c r="T35" s="5" t="s">
        <v>937</v>
      </c>
      <c r="U35" s="5" t="s">
        <v>1030</v>
      </c>
      <c r="V35" s="170">
        <f>VLOOKUP(K35,'Stock statement'!$C$3:$D$382,2,0)</f>
        <v>214255</v>
      </c>
    </row>
    <row r="36" spans="1:22">
      <c r="A36" s="5">
        <v>35</v>
      </c>
      <c r="B36" s="5" t="s">
        <v>928</v>
      </c>
      <c r="C36" s="5" t="s">
        <v>1031</v>
      </c>
      <c r="D36" s="178">
        <v>44900</v>
      </c>
      <c r="E36" s="5" t="s">
        <v>930</v>
      </c>
      <c r="F36" s="5" t="s">
        <v>1032</v>
      </c>
      <c r="G36" s="178">
        <v>44900</v>
      </c>
      <c r="H36" s="5" t="s">
        <v>932</v>
      </c>
      <c r="I36" s="5" t="s">
        <v>933</v>
      </c>
      <c r="J36" s="5" t="s">
        <v>934</v>
      </c>
      <c r="K36" s="5">
        <v>110001</v>
      </c>
      <c r="L36" s="5" t="s">
        <v>935</v>
      </c>
      <c r="M36" s="5">
        <v>36200</v>
      </c>
      <c r="N36" s="5" t="s">
        <v>936</v>
      </c>
      <c r="O36" s="5">
        <v>0.34</v>
      </c>
      <c r="P36" s="5">
        <f t="shared" si="3"/>
        <v>12308</v>
      </c>
      <c r="Q36" s="192"/>
      <c r="R36" s="5">
        <f t="shared" si="1"/>
        <v>12308</v>
      </c>
      <c r="S36" s="5">
        <f t="shared" si="2"/>
        <v>0.34</v>
      </c>
      <c r="T36" s="5" t="s">
        <v>937</v>
      </c>
      <c r="U36" s="5" t="s">
        <v>938</v>
      </c>
      <c r="V36" s="170" t="str">
        <f>VLOOKUP(K36,'Stock statement'!$C$3:$D$382,2,0)</f>
        <v>C16</v>
      </c>
    </row>
    <row r="37" spans="1:22">
      <c r="A37" s="5">
        <v>36</v>
      </c>
      <c r="B37" s="5" t="s">
        <v>928</v>
      </c>
      <c r="C37" s="5" t="s">
        <v>1033</v>
      </c>
      <c r="D37" s="178">
        <v>44899</v>
      </c>
      <c r="E37" s="5" t="s">
        <v>930</v>
      </c>
      <c r="F37" s="5" t="s">
        <v>1034</v>
      </c>
      <c r="G37" s="178">
        <v>44900</v>
      </c>
      <c r="H37" s="5" t="s">
        <v>1035</v>
      </c>
      <c r="I37" s="5" t="s">
        <v>949</v>
      </c>
      <c r="J37" s="5" t="s">
        <v>934</v>
      </c>
      <c r="K37" s="5">
        <v>214978</v>
      </c>
      <c r="L37" s="5" t="s">
        <v>902</v>
      </c>
      <c r="M37" s="5">
        <v>11920</v>
      </c>
      <c r="N37" s="5" t="s">
        <v>995</v>
      </c>
      <c r="O37" s="5">
        <v>10.53</v>
      </c>
      <c r="P37" s="5">
        <f t="shared" si="3"/>
        <v>125517.59999999999</v>
      </c>
      <c r="Q37" s="192"/>
      <c r="R37" s="5">
        <f t="shared" si="1"/>
        <v>125517.59999999999</v>
      </c>
      <c r="S37" s="5">
        <f t="shared" si="2"/>
        <v>10.53</v>
      </c>
      <c r="T37" s="5" t="s">
        <v>937</v>
      </c>
      <c r="U37" s="5" t="s">
        <v>1036</v>
      </c>
      <c r="V37" s="170">
        <f>VLOOKUP(K37,'Stock statement'!$C$3:$D$382,2,0)</f>
        <v>214978</v>
      </c>
    </row>
    <row r="38" spans="1:22">
      <c r="A38" s="5">
        <v>37</v>
      </c>
      <c r="B38" s="5" t="s">
        <v>928</v>
      </c>
      <c r="C38" s="5" t="s">
        <v>1033</v>
      </c>
      <c r="D38" s="178">
        <v>44899</v>
      </c>
      <c r="E38" s="5" t="s">
        <v>930</v>
      </c>
      <c r="F38" s="5" t="s">
        <v>1034</v>
      </c>
      <c r="G38" s="178">
        <v>44900</v>
      </c>
      <c r="H38" s="5" t="s">
        <v>1035</v>
      </c>
      <c r="I38" s="5" t="s">
        <v>949</v>
      </c>
      <c r="J38" s="5" t="s">
        <v>934</v>
      </c>
      <c r="K38" s="5">
        <v>214977</v>
      </c>
      <c r="L38" s="5" t="s">
        <v>901</v>
      </c>
      <c r="M38" s="5">
        <v>2980</v>
      </c>
      <c r="N38" s="5" t="s">
        <v>995</v>
      </c>
      <c r="O38" s="5">
        <v>36.700000000000003</v>
      </c>
      <c r="P38" s="5">
        <f t="shared" si="3"/>
        <v>109366.00000000001</v>
      </c>
      <c r="Q38" s="192"/>
      <c r="R38" s="5">
        <f t="shared" si="1"/>
        <v>109366.00000000001</v>
      </c>
      <c r="S38" s="5">
        <f t="shared" si="2"/>
        <v>36.700000000000003</v>
      </c>
      <c r="T38" s="5" t="s">
        <v>937</v>
      </c>
      <c r="U38" s="5" t="s">
        <v>1036</v>
      </c>
      <c r="V38" s="170">
        <f>VLOOKUP(K38,'Stock statement'!$C$3:$D$382,2,0)</f>
        <v>214977</v>
      </c>
    </row>
    <row r="39" spans="1:22">
      <c r="A39" s="5">
        <v>38</v>
      </c>
      <c r="B39" s="5" t="s">
        <v>928</v>
      </c>
      <c r="C39" s="5" t="s">
        <v>1037</v>
      </c>
      <c r="D39" s="178">
        <v>44901</v>
      </c>
      <c r="E39" s="5" t="s">
        <v>930</v>
      </c>
      <c r="F39" s="5" t="s">
        <v>1038</v>
      </c>
      <c r="G39" s="178">
        <v>44901</v>
      </c>
      <c r="H39" s="5" t="s">
        <v>1039</v>
      </c>
      <c r="I39" s="5" t="s">
        <v>933</v>
      </c>
      <c r="J39" s="5" t="s">
        <v>934</v>
      </c>
      <c r="K39" s="5">
        <v>110814</v>
      </c>
      <c r="L39" s="5" t="s">
        <v>1040</v>
      </c>
      <c r="M39" s="5">
        <v>560</v>
      </c>
      <c r="N39" s="5" t="s">
        <v>951</v>
      </c>
      <c r="O39" s="5">
        <v>45</v>
      </c>
      <c r="P39" s="5">
        <f t="shared" si="3"/>
        <v>25200</v>
      </c>
      <c r="Q39" s="192">
        <v>1200</v>
      </c>
      <c r="R39" s="5">
        <f t="shared" si="1"/>
        <v>26400</v>
      </c>
      <c r="S39" s="5">
        <f t="shared" si="2"/>
        <v>47.142857142857146</v>
      </c>
      <c r="T39" s="5" t="s">
        <v>937</v>
      </c>
      <c r="U39" s="5" t="s">
        <v>1041</v>
      </c>
      <c r="V39" s="170" t="str">
        <f>VLOOKUP(K39,'Stock statement'!$C$3:$D$382,2,0)</f>
        <v>C20</v>
      </c>
    </row>
    <row r="40" spans="1:22">
      <c r="A40" s="5">
        <v>39</v>
      </c>
      <c r="B40" s="5" t="s">
        <v>928</v>
      </c>
      <c r="C40" s="5" t="s">
        <v>1042</v>
      </c>
      <c r="D40" s="178">
        <v>44900</v>
      </c>
      <c r="E40" s="5" t="s">
        <v>930</v>
      </c>
      <c r="F40" s="5" t="s">
        <v>1043</v>
      </c>
      <c r="G40" s="178">
        <v>44900</v>
      </c>
      <c r="H40" s="5" t="s">
        <v>932</v>
      </c>
      <c r="I40" s="5" t="s">
        <v>933</v>
      </c>
      <c r="J40" s="5" t="s">
        <v>934</v>
      </c>
      <c r="K40" s="5">
        <v>110001</v>
      </c>
      <c r="L40" s="5" t="s">
        <v>935</v>
      </c>
      <c r="M40" s="5">
        <v>32900</v>
      </c>
      <c r="N40" s="5" t="s">
        <v>936</v>
      </c>
      <c r="O40" s="5">
        <v>0.34</v>
      </c>
      <c r="P40" s="5">
        <f t="shared" si="3"/>
        <v>11186</v>
      </c>
      <c r="Q40" s="192"/>
      <c r="R40" s="5">
        <f t="shared" si="1"/>
        <v>11186</v>
      </c>
      <c r="S40" s="5">
        <f t="shared" si="2"/>
        <v>0.34</v>
      </c>
      <c r="T40" s="5" t="s">
        <v>937</v>
      </c>
      <c r="U40" s="5" t="s">
        <v>938</v>
      </c>
      <c r="V40" s="170" t="str">
        <f>VLOOKUP(K40,'Stock statement'!$C$3:$D$382,2,0)</f>
        <v>C16</v>
      </c>
    </row>
    <row r="41" spans="1:22">
      <c r="A41" s="5">
        <v>40</v>
      </c>
      <c r="B41" s="5" t="s">
        <v>928</v>
      </c>
      <c r="C41" s="5" t="s">
        <v>1044</v>
      </c>
      <c r="D41" s="178">
        <v>44901</v>
      </c>
      <c r="E41" s="5" t="s">
        <v>930</v>
      </c>
      <c r="F41" s="5" t="s">
        <v>1045</v>
      </c>
      <c r="G41" s="178">
        <v>44901</v>
      </c>
      <c r="H41" s="5" t="s">
        <v>932</v>
      </c>
      <c r="I41" s="5" t="s">
        <v>933</v>
      </c>
      <c r="J41" s="5" t="s">
        <v>934</v>
      </c>
      <c r="K41" s="5">
        <v>110001</v>
      </c>
      <c r="L41" s="5" t="s">
        <v>935</v>
      </c>
      <c r="M41" s="5">
        <v>31100</v>
      </c>
      <c r="N41" s="5" t="s">
        <v>936</v>
      </c>
      <c r="O41" s="5">
        <v>0.34</v>
      </c>
      <c r="P41" s="5">
        <f t="shared" si="3"/>
        <v>10574</v>
      </c>
      <c r="Q41" s="192"/>
      <c r="R41" s="5">
        <f t="shared" si="1"/>
        <v>10574</v>
      </c>
      <c r="S41" s="5">
        <f t="shared" si="2"/>
        <v>0.34</v>
      </c>
      <c r="T41" s="5" t="s">
        <v>937</v>
      </c>
      <c r="U41" s="5" t="s">
        <v>938</v>
      </c>
      <c r="V41" s="170" t="str">
        <f>VLOOKUP(K41,'Stock statement'!$C$3:$D$382,2,0)</f>
        <v>C16</v>
      </c>
    </row>
    <row r="42" spans="1:22">
      <c r="A42" s="5">
        <v>41</v>
      </c>
      <c r="B42" s="5" t="s">
        <v>928</v>
      </c>
      <c r="C42" s="5" t="s">
        <v>1046</v>
      </c>
      <c r="D42" s="178">
        <v>44901</v>
      </c>
      <c r="E42" s="5" t="s">
        <v>930</v>
      </c>
      <c r="F42" s="5" t="s">
        <v>1047</v>
      </c>
      <c r="G42" s="178">
        <v>44901</v>
      </c>
      <c r="H42" s="5" t="s">
        <v>932</v>
      </c>
      <c r="I42" s="5" t="s">
        <v>933</v>
      </c>
      <c r="J42" s="5" t="s">
        <v>934</v>
      </c>
      <c r="K42" s="5">
        <v>110001</v>
      </c>
      <c r="L42" s="5" t="s">
        <v>935</v>
      </c>
      <c r="M42" s="5">
        <v>8000</v>
      </c>
      <c r="N42" s="5" t="s">
        <v>936</v>
      </c>
      <c r="O42" s="5">
        <v>0.34</v>
      </c>
      <c r="P42" s="5">
        <f t="shared" si="3"/>
        <v>2720</v>
      </c>
      <c r="Q42" s="192"/>
      <c r="R42" s="5">
        <f t="shared" si="1"/>
        <v>2720</v>
      </c>
      <c r="S42" s="5">
        <f t="shared" si="2"/>
        <v>0.34</v>
      </c>
      <c r="T42" s="5" t="s">
        <v>937</v>
      </c>
      <c r="U42" s="5" t="s">
        <v>938</v>
      </c>
      <c r="V42" s="170" t="str">
        <f>VLOOKUP(K42,'Stock statement'!$C$3:$D$382,2,0)</f>
        <v>C16</v>
      </c>
    </row>
    <row r="43" spans="1:22">
      <c r="A43" s="5">
        <v>42</v>
      </c>
      <c r="B43" s="5" t="s">
        <v>928</v>
      </c>
      <c r="C43" s="5" t="s">
        <v>1048</v>
      </c>
      <c r="D43" s="178">
        <v>44895</v>
      </c>
      <c r="E43" s="5" t="s">
        <v>930</v>
      </c>
      <c r="F43" s="5" t="s">
        <v>1049</v>
      </c>
      <c r="G43" s="178">
        <v>44901</v>
      </c>
      <c r="H43" s="5" t="s">
        <v>1050</v>
      </c>
      <c r="I43" s="5" t="s">
        <v>933</v>
      </c>
      <c r="J43" s="5" t="s">
        <v>934</v>
      </c>
      <c r="K43" s="5">
        <v>114476</v>
      </c>
      <c r="L43" s="5" t="s">
        <v>172</v>
      </c>
      <c r="M43" s="5">
        <v>1400</v>
      </c>
      <c r="N43" s="5" t="s">
        <v>951</v>
      </c>
      <c r="O43" s="5">
        <v>740</v>
      </c>
      <c r="P43" s="5">
        <f t="shared" si="3"/>
        <v>1036000</v>
      </c>
      <c r="Q43" s="192"/>
      <c r="R43" s="5">
        <f t="shared" si="1"/>
        <v>1036000</v>
      </c>
      <c r="S43" s="5">
        <f t="shared" si="2"/>
        <v>740</v>
      </c>
      <c r="T43" s="5" t="s">
        <v>937</v>
      </c>
      <c r="U43" s="5" t="s">
        <v>1051</v>
      </c>
      <c r="V43" s="170">
        <f>VLOOKUP(K43,'Stock statement'!$C$3:$D$382,2,0)</f>
        <v>114476</v>
      </c>
    </row>
    <row r="44" spans="1:22">
      <c r="A44" s="5">
        <v>43</v>
      </c>
      <c r="B44" s="5" t="s">
        <v>928</v>
      </c>
      <c r="C44" s="5" t="s">
        <v>1052</v>
      </c>
      <c r="D44" s="178">
        <v>44901</v>
      </c>
      <c r="E44" s="5" t="s">
        <v>930</v>
      </c>
      <c r="F44" s="5" t="s">
        <v>1053</v>
      </c>
      <c r="G44" s="178">
        <v>44901</v>
      </c>
      <c r="H44" s="5" t="s">
        <v>932</v>
      </c>
      <c r="I44" s="5" t="s">
        <v>933</v>
      </c>
      <c r="J44" s="5" t="s">
        <v>934</v>
      </c>
      <c r="K44" s="5">
        <v>110001</v>
      </c>
      <c r="L44" s="5" t="s">
        <v>935</v>
      </c>
      <c r="M44" s="5">
        <v>27200</v>
      </c>
      <c r="N44" s="5" t="s">
        <v>936</v>
      </c>
      <c r="O44" s="5">
        <v>0.34</v>
      </c>
      <c r="P44" s="5">
        <f t="shared" si="3"/>
        <v>9248</v>
      </c>
      <c r="Q44" s="192"/>
      <c r="R44" s="5">
        <f t="shared" si="1"/>
        <v>9248</v>
      </c>
      <c r="S44" s="5">
        <f t="shared" si="2"/>
        <v>0.34</v>
      </c>
      <c r="T44" s="5" t="s">
        <v>937</v>
      </c>
      <c r="U44" s="5" t="s">
        <v>938</v>
      </c>
      <c r="V44" s="170" t="str">
        <f>VLOOKUP(K44,'Stock statement'!$C$3:$D$382,2,0)</f>
        <v>C16</v>
      </c>
    </row>
    <row r="45" spans="1:22">
      <c r="A45" s="5">
        <v>44</v>
      </c>
      <c r="B45" s="5" t="s">
        <v>928</v>
      </c>
      <c r="C45" s="5" t="s">
        <v>1054</v>
      </c>
      <c r="D45" s="178">
        <v>44895</v>
      </c>
      <c r="E45" s="5" t="s">
        <v>930</v>
      </c>
      <c r="F45" s="5" t="s">
        <v>1055</v>
      </c>
      <c r="G45" s="178">
        <v>44901</v>
      </c>
      <c r="H45" s="5" t="s">
        <v>988</v>
      </c>
      <c r="I45" s="5" t="s">
        <v>949</v>
      </c>
      <c r="J45" s="5" t="s">
        <v>934</v>
      </c>
      <c r="K45" s="5">
        <v>214686</v>
      </c>
      <c r="L45" s="5" t="s">
        <v>1056</v>
      </c>
      <c r="M45" s="5">
        <v>1650</v>
      </c>
      <c r="N45" s="5" t="s">
        <v>951</v>
      </c>
      <c r="O45" s="5">
        <v>210.27</v>
      </c>
      <c r="P45" s="5">
        <f t="shared" si="3"/>
        <v>346945.5</v>
      </c>
      <c r="Q45" s="192"/>
      <c r="R45" s="5">
        <f t="shared" si="1"/>
        <v>346945.5</v>
      </c>
      <c r="S45" s="5">
        <f t="shared" si="2"/>
        <v>210.27</v>
      </c>
      <c r="T45" s="5" t="s">
        <v>937</v>
      </c>
      <c r="U45" s="5" t="s">
        <v>989</v>
      </c>
      <c r="V45" s="170">
        <f>VLOOKUP(K45,'Stock statement'!$C$3:$D$382,2,0)</f>
        <v>214686</v>
      </c>
    </row>
    <row r="46" spans="1:22">
      <c r="A46" s="5">
        <v>45</v>
      </c>
      <c r="B46" s="5" t="s">
        <v>928</v>
      </c>
      <c r="C46" s="5" t="s">
        <v>1057</v>
      </c>
      <c r="D46" s="178">
        <v>44895</v>
      </c>
      <c r="E46" s="5" t="s">
        <v>930</v>
      </c>
      <c r="F46" s="5" t="s">
        <v>1058</v>
      </c>
      <c r="G46" s="178">
        <v>44901</v>
      </c>
      <c r="H46" s="5" t="s">
        <v>988</v>
      </c>
      <c r="I46" s="5" t="s">
        <v>949</v>
      </c>
      <c r="J46" s="5" t="s">
        <v>934</v>
      </c>
      <c r="K46" s="5">
        <v>214255</v>
      </c>
      <c r="L46" s="5" t="s">
        <v>950</v>
      </c>
      <c r="M46" s="5">
        <v>1280</v>
      </c>
      <c r="N46" s="5" t="s">
        <v>951</v>
      </c>
      <c r="O46" s="5">
        <v>239.21</v>
      </c>
      <c r="P46" s="5">
        <f t="shared" si="3"/>
        <v>306188.79999999999</v>
      </c>
      <c r="Q46" s="192"/>
      <c r="R46" s="5">
        <f t="shared" si="1"/>
        <v>306188.79999999999</v>
      </c>
      <c r="S46" s="5">
        <f t="shared" si="2"/>
        <v>239.20999999999998</v>
      </c>
      <c r="T46" s="5" t="s">
        <v>937</v>
      </c>
      <c r="U46" s="5" t="s">
        <v>989</v>
      </c>
      <c r="V46" s="170">
        <f>VLOOKUP(K46,'Stock statement'!$C$3:$D$382,2,0)</f>
        <v>214255</v>
      </c>
    </row>
    <row r="47" spans="1:22">
      <c r="A47" s="5">
        <v>46</v>
      </c>
      <c r="B47" s="5" t="s">
        <v>928</v>
      </c>
      <c r="C47" s="5" t="s">
        <v>1059</v>
      </c>
      <c r="D47" s="178">
        <v>44895</v>
      </c>
      <c r="E47" s="5" t="s">
        <v>930</v>
      </c>
      <c r="F47" s="5" t="s">
        <v>1060</v>
      </c>
      <c r="G47" s="178">
        <v>44901</v>
      </c>
      <c r="H47" s="5" t="s">
        <v>988</v>
      </c>
      <c r="I47" s="5" t="s">
        <v>949</v>
      </c>
      <c r="J47" s="5" t="s">
        <v>934</v>
      </c>
      <c r="K47" s="5">
        <v>214258</v>
      </c>
      <c r="L47" s="5" t="s">
        <v>1061</v>
      </c>
      <c r="M47" s="5">
        <v>2000</v>
      </c>
      <c r="N47" s="5" t="s">
        <v>951</v>
      </c>
      <c r="O47" s="5">
        <v>239.21</v>
      </c>
      <c r="P47" s="5">
        <f t="shared" si="3"/>
        <v>478420</v>
      </c>
      <c r="Q47" s="192"/>
      <c r="R47" s="5">
        <f t="shared" si="1"/>
        <v>478420</v>
      </c>
      <c r="S47" s="5">
        <f t="shared" si="2"/>
        <v>239.21</v>
      </c>
      <c r="T47" s="5" t="s">
        <v>937</v>
      </c>
      <c r="U47" s="5" t="s">
        <v>989</v>
      </c>
      <c r="V47" s="170">
        <f>VLOOKUP(K47,'Stock statement'!$C$3:$D$382,2,0)</f>
        <v>214258</v>
      </c>
    </row>
    <row r="48" spans="1:22">
      <c r="A48" s="5">
        <v>47</v>
      </c>
      <c r="B48" s="5" t="s">
        <v>928</v>
      </c>
      <c r="C48" s="5" t="s">
        <v>1059</v>
      </c>
      <c r="D48" s="178">
        <v>44895</v>
      </c>
      <c r="E48" s="5" t="s">
        <v>930</v>
      </c>
      <c r="F48" s="5" t="s">
        <v>1062</v>
      </c>
      <c r="G48" s="178">
        <v>44901</v>
      </c>
      <c r="H48" s="5" t="s">
        <v>988</v>
      </c>
      <c r="I48" s="5" t="s">
        <v>949</v>
      </c>
      <c r="J48" s="5" t="s">
        <v>934</v>
      </c>
      <c r="K48" s="5">
        <v>214258</v>
      </c>
      <c r="L48" s="5" t="s">
        <v>1061</v>
      </c>
      <c r="M48" s="5">
        <v>24</v>
      </c>
      <c r="N48" s="5" t="s">
        <v>951</v>
      </c>
      <c r="O48" s="5">
        <v>239.21</v>
      </c>
      <c r="P48" s="5">
        <f t="shared" si="3"/>
        <v>5741.04</v>
      </c>
      <c r="Q48" s="192"/>
      <c r="R48" s="5">
        <f t="shared" si="1"/>
        <v>5741.04</v>
      </c>
      <c r="S48" s="5">
        <f t="shared" si="2"/>
        <v>239.21</v>
      </c>
      <c r="T48" s="5" t="s">
        <v>937</v>
      </c>
      <c r="U48" s="5" t="s">
        <v>1063</v>
      </c>
      <c r="V48" s="170">
        <f>VLOOKUP(K48,'Stock statement'!$C$3:$D$382,2,0)</f>
        <v>214258</v>
      </c>
    </row>
    <row r="49" spans="1:22">
      <c r="A49" s="5">
        <v>48</v>
      </c>
      <c r="B49" s="5" t="s">
        <v>928</v>
      </c>
      <c r="C49" s="5" t="s">
        <v>1064</v>
      </c>
      <c r="D49" s="178">
        <v>44900</v>
      </c>
      <c r="E49" s="5" t="s">
        <v>930</v>
      </c>
      <c r="F49" s="5" t="s">
        <v>1065</v>
      </c>
      <c r="G49" s="178">
        <v>44901</v>
      </c>
      <c r="H49" s="5" t="s">
        <v>1066</v>
      </c>
      <c r="I49" s="5" t="s">
        <v>949</v>
      </c>
      <c r="J49" s="5" t="s">
        <v>934</v>
      </c>
      <c r="K49" s="5">
        <v>230240</v>
      </c>
      <c r="L49" s="5" t="s">
        <v>1067</v>
      </c>
      <c r="M49" s="5">
        <v>1920</v>
      </c>
      <c r="N49" s="5" t="s">
        <v>995</v>
      </c>
      <c r="O49" s="5">
        <v>41.01</v>
      </c>
      <c r="P49" s="5">
        <f t="shared" si="3"/>
        <v>78739.199999999997</v>
      </c>
      <c r="Q49" s="192"/>
      <c r="R49" s="5">
        <f t="shared" si="1"/>
        <v>78739.199999999997</v>
      </c>
      <c r="S49" s="5">
        <f t="shared" si="2"/>
        <v>41.01</v>
      </c>
      <c r="T49" s="5" t="s">
        <v>937</v>
      </c>
      <c r="U49" s="5" t="s">
        <v>1068</v>
      </c>
      <c r="V49" s="170">
        <f>VLOOKUP(K49,'Stock statement'!$C$3:$D$382,2,0)</f>
        <v>230240</v>
      </c>
    </row>
    <row r="50" spans="1:22">
      <c r="A50" s="5">
        <v>49</v>
      </c>
      <c r="B50" s="5" t="s">
        <v>928</v>
      </c>
      <c r="C50" s="5" t="s">
        <v>1064</v>
      </c>
      <c r="D50" s="178">
        <v>44900</v>
      </c>
      <c r="E50" s="5" t="s">
        <v>930</v>
      </c>
      <c r="F50" s="5" t="s">
        <v>1069</v>
      </c>
      <c r="G50" s="178">
        <v>44901</v>
      </c>
      <c r="H50" s="5" t="s">
        <v>1066</v>
      </c>
      <c r="I50" s="5" t="s">
        <v>949</v>
      </c>
      <c r="J50" s="5" t="s">
        <v>934</v>
      </c>
      <c r="K50" s="5">
        <v>214378</v>
      </c>
      <c r="L50" s="5" t="s">
        <v>406</v>
      </c>
      <c r="M50" s="5">
        <v>1720</v>
      </c>
      <c r="N50" s="5" t="s">
        <v>995</v>
      </c>
      <c r="O50" s="5">
        <v>41.01</v>
      </c>
      <c r="P50" s="5">
        <f t="shared" si="3"/>
        <v>70537.2</v>
      </c>
      <c r="Q50" s="192"/>
      <c r="R50" s="5">
        <f t="shared" si="1"/>
        <v>70537.2</v>
      </c>
      <c r="S50" s="5">
        <f t="shared" si="2"/>
        <v>41.01</v>
      </c>
      <c r="T50" s="5" t="s">
        <v>937</v>
      </c>
      <c r="U50" s="5" t="s">
        <v>1070</v>
      </c>
      <c r="V50" s="170">
        <f>VLOOKUP(K50,'Stock statement'!$C$3:$D$382,2,0)</f>
        <v>214378</v>
      </c>
    </row>
    <row r="51" spans="1:22">
      <c r="A51" s="5">
        <v>50</v>
      </c>
      <c r="B51" s="5" t="s">
        <v>928</v>
      </c>
      <c r="C51" s="5" t="s">
        <v>1071</v>
      </c>
      <c r="D51" s="178">
        <v>44896</v>
      </c>
      <c r="E51" s="5" t="s">
        <v>930</v>
      </c>
      <c r="F51" s="5" t="s">
        <v>1072</v>
      </c>
      <c r="G51" s="178">
        <v>44902</v>
      </c>
      <c r="H51" s="5" t="s">
        <v>1073</v>
      </c>
      <c r="I51" s="5" t="s">
        <v>933</v>
      </c>
      <c r="J51" s="5" t="s">
        <v>934</v>
      </c>
      <c r="K51" s="5">
        <v>111253</v>
      </c>
      <c r="L51" s="5" t="s">
        <v>1074</v>
      </c>
      <c r="M51" s="5">
        <v>1000</v>
      </c>
      <c r="N51" s="5" t="s">
        <v>951</v>
      </c>
      <c r="O51" s="5">
        <v>882</v>
      </c>
      <c r="P51" s="5">
        <f t="shared" si="3"/>
        <v>882000</v>
      </c>
      <c r="Q51" s="192">
        <v>8500</v>
      </c>
      <c r="R51" s="5">
        <f t="shared" si="1"/>
        <v>890500</v>
      </c>
      <c r="S51" s="5">
        <f t="shared" si="2"/>
        <v>890.5</v>
      </c>
      <c r="T51" s="5" t="s">
        <v>937</v>
      </c>
      <c r="U51" s="5" t="s">
        <v>1075</v>
      </c>
      <c r="V51" s="170" t="str">
        <f>VLOOKUP(K51,'Stock statement'!$C$3:$D$382,2,0)</f>
        <v>C7</v>
      </c>
    </row>
    <row r="52" spans="1:22">
      <c r="A52" s="5">
        <v>51</v>
      </c>
      <c r="B52" s="5" t="s">
        <v>928</v>
      </c>
      <c r="C52" s="5" t="s">
        <v>1076</v>
      </c>
      <c r="D52" s="178">
        <v>44894</v>
      </c>
      <c r="E52" s="5" t="s">
        <v>930</v>
      </c>
      <c r="F52" s="5" t="s">
        <v>1077</v>
      </c>
      <c r="G52" s="178">
        <v>44902</v>
      </c>
      <c r="H52" s="5" t="s">
        <v>1078</v>
      </c>
      <c r="I52" s="5" t="s">
        <v>933</v>
      </c>
      <c r="J52" s="5" t="s">
        <v>934</v>
      </c>
      <c r="K52" s="5">
        <v>110057</v>
      </c>
      <c r="L52" s="5" t="s">
        <v>1079</v>
      </c>
      <c r="M52" s="5">
        <v>127</v>
      </c>
      <c r="N52" s="5" t="s">
        <v>951</v>
      </c>
      <c r="O52" s="5">
        <v>3280</v>
      </c>
      <c r="P52" s="5">
        <f t="shared" si="3"/>
        <v>416560</v>
      </c>
      <c r="Q52" s="192">
        <v>2500</v>
      </c>
      <c r="R52" s="5">
        <f t="shared" si="1"/>
        <v>419060</v>
      </c>
      <c r="S52" s="5">
        <f t="shared" si="2"/>
        <v>3299.6850393700788</v>
      </c>
      <c r="T52" s="5" t="s">
        <v>937</v>
      </c>
      <c r="U52" s="5" t="s">
        <v>1080</v>
      </c>
      <c r="V52" s="170" t="str">
        <f>VLOOKUP(K52,'Stock statement'!$C$3:$D$382,2,0)</f>
        <v>C36</v>
      </c>
    </row>
    <row r="53" spans="1:22">
      <c r="A53" s="5">
        <v>52</v>
      </c>
      <c r="B53" s="5" t="s">
        <v>928</v>
      </c>
      <c r="C53" s="5" t="s">
        <v>1081</v>
      </c>
      <c r="D53" s="178">
        <v>44894</v>
      </c>
      <c r="E53" s="5" t="s">
        <v>930</v>
      </c>
      <c r="F53" s="5" t="s">
        <v>1082</v>
      </c>
      <c r="G53" s="178">
        <v>44902</v>
      </c>
      <c r="H53" s="5" t="s">
        <v>1083</v>
      </c>
      <c r="I53" s="5" t="s">
        <v>933</v>
      </c>
      <c r="J53" s="5" t="s">
        <v>934</v>
      </c>
      <c r="K53" s="5">
        <v>110021</v>
      </c>
      <c r="L53" s="5" t="s">
        <v>1084</v>
      </c>
      <c r="M53" s="5">
        <v>2</v>
      </c>
      <c r="N53" s="5" t="s">
        <v>951</v>
      </c>
      <c r="O53" s="5">
        <v>1749</v>
      </c>
      <c r="P53" s="5">
        <f t="shared" si="3"/>
        <v>3498</v>
      </c>
      <c r="Q53" s="192">
        <v>380</v>
      </c>
      <c r="R53" s="5">
        <f t="shared" si="1"/>
        <v>3878</v>
      </c>
      <c r="S53" s="5">
        <f t="shared" si="2"/>
        <v>1939</v>
      </c>
      <c r="T53" s="5" t="s">
        <v>937</v>
      </c>
      <c r="U53" s="5" t="s">
        <v>1085</v>
      </c>
      <c r="V53" s="170" t="str">
        <f>VLOOKUP(K53,'Stock statement'!$C$3:$D$382,2,0)</f>
        <v>C8</v>
      </c>
    </row>
    <row r="54" spans="1:22">
      <c r="A54" s="5">
        <v>53</v>
      </c>
      <c r="B54" s="5" t="s">
        <v>928</v>
      </c>
      <c r="C54" s="5" t="s">
        <v>1086</v>
      </c>
      <c r="D54" s="178">
        <v>44894</v>
      </c>
      <c r="E54" s="5" t="s">
        <v>930</v>
      </c>
      <c r="F54" s="5" t="s">
        <v>1087</v>
      </c>
      <c r="G54" s="178">
        <v>44902</v>
      </c>
      <c r="H54" s="5" t="s">
        <v>1088</v>
      </c>
      <c r="I54" s="5" t="s">
        <v>933</v>
      </c>
      <c r="J54" s="5" t="s">
        <v>934</v>
      </c>
      <c r="K54" s="5">
        <v>110873</v>
      </c>
      <c r="L54" s="5" t="s">
        <v>443</v>
      </c>
      <c r="M54" s="5">
        <v>1000</v>
      </c>
      <c r="N54" s="5" t="s">
        <v>951</v>
      </c>
      <c r="O54" s="5">
        <v>165</v>
      </c>
      <c r="P54" s="5">
        <f t="shared" si="3"/>
        <v>165000</v>
      </c>
      <c r="Q54" s="192">
        <v>10000</v>
      </c>
      <c r="R54" s="5">
        <f t="shared" si="1"/>
        <v>175000</v>
      </c>
      <c r="S54" s="5">
        <f t="shared" si="2"/>
        <v>175</v>
      </c>
      <c r="T54" s="5" t="s">
        <v>937</v>
      </c>
      <c r="U54" s="5" t="s">
        <v>1089</v>
      </c>
      <c r="V54" s="170" t="str">
        <f>VLOOKUP(K54,'Stock statement'!$C$3:$D$382,2,0)</f>
        <v>C18</v>
      </c>
    </row>
    <row r="55" spans="1:22">
      <c r="A55" s="5">
        <v>54</v>
      </c>
      <c r="B55" s="5" t="s">
        <v>928</v>
      </c>
      <c r="C55" s="5" t="s">
        <v>1090</v>
      </c>
      <c r="D55" s="178">
        <v>44901</v>
      </c>
      <c r="E55" s="5" t="s">
        <v>930</v>
      </c>
      <c r="F55" s="5" t="s">
        <v>1091</v>
      </c>
      <c r="G55" s="178">
        <v>44902</v>
      </c>
      <c r="H55" s="5" t="s">
        <v>932</v>
      </c>
      <c r="I55" s="5" t="s">
        <v>933</v>
      </c>
      <c r="J55" s="5" t="s">
        <v>934</v>
      </c>
      <c r="K55" s="5">
        <v>110001</v>
      </c>
      <c r="L55" s="5" t="s">
        <v>935</v>
      </c>
      <c r="M55" s="5">
        <v>21100</v>
      </c>
      <c r="N55" s="5" t="s">
        <v>936</v>
      </c>
      <c r="O55" s="5">
        <v>0.34</v>
      </c>
      <c r="P55" s="5">
        <f t="shared" si="3"/>
        <v>7174.0000000000009</v>
      </c>
      <c r="Q55" s="192"/>
      <c r="R55" s="5">
        <f t="shared" si="1"/>
        <v>7174.0000000000009</v>
      </c>
      <c r="S55" s="5">
        <f t="shared" si="2"/>
        <v>0.34</v>
      </c>
      <c r="T55" s="5" t="s">
        <v>937</v>
      </c>
      <c r="U55" s="5" t="s">
        <v>938</v>
      </c>
      <c r="V55" s="170" t="str">
        <f>VLOOKUP(K55,'Stock statement'!$C$3:$D$382,2,0)</f>
        <v>C16</v>
      </c>
    </row>
    <row r="56" spans="1:22">
      <c r="A56" s="5">
        <v>55</v>
      </c>
      <c r="B56" s="5" t="s">
        <v>928</v>
      </c>
      <c r="C56" s="5" t="s">
        <v>1092</v>
      </c>
      <c r="D56" s="178">
        <v>44898</v>
      </c>
      <c r="E56" s="5" t="s">
        <v>930</v>
      </c>
      <c r="F56" s="5" t="s">
        <v>1093</v>
      </c>
      <c r="G56" s="178">
        <v>44902</v>
      </c>
      <c r="H56" s="5" t="s">
        <v>1094</v>
      </c>
      <c r="I56" s="5" t="s">
        <v>933</v>
      </c>
      <c r="J56" s="5" t="s">
        <v>934</v>
      </c>
      <c r="K56" s="5">
        <v>110037</v>
      </c>
      <c r="L56" s="5" t="s">
        <v>1095</v>
      </c>
      <c r="M56" s="5">
        <v>50</v>
      </c>
      <c r="N56" s="5" t="s">
        <v>951</v>
      </c>
      <c r="O56" s="5">
        <v>197</v>
      </c>
      <c r="P56" s="5">
        <f t="shared" si="3"/>
        <v>9850</v>
      </c>
      <c r="Q56" s="192">
        <v>350</v>
      </c>
      <c r="R56" s="5">
        <f t="shared" si="1"/>
        <v>10200</v>
      </c>
      <c r="S56" s="5">
        <f t="shared" si="2"/>
        <v>204</v>
      </c>
      <c r="T56" s="5" t="s">
        <v>937</v>
      </c>
      <c r="U56" s="5" t="s">
        <v>1096</v>
      </c>
      <c r="V56" s="170">
        <f>VLOOKUP(K56,'Stock statement'!$C$3:$D$382,2,0)</f>
        <v>110037</v>
      </c>
    </row>
    <row r="57" spans="1:22">
      <c r="A57" s="5">
        <v>56</v>
      </c>
      <c r="B57" s="5" t="s">
        <v>928</v>
      </c>
      <c r="C57" s="5" t="s">
        <v>1097</v>
      </c>
      <c r="D57" s="178">
        <v>44902</v>
      </c>
      <c r="E57" s="5" t="s">
        <v>930</v>
      </c>
      <c r="F57" s="5" t="s">
        <v>1098</v>
      </c>
      <c r="G57" s="178">
        <v>44902</v>
      </c>
      <c r="H57" s="5" t="s">
        <v>932</v>
      </c>
      <c r="I57" s="5" t="s">
        <v>933</v>
      </c>
      <c r="J57" s="5" t="s">
        <v>934</v>
      </c>
      <c r="K57" s="5">
        <v>110001</v>
      </c>
      <c r="L57" s="5" t="s">
        <v>935</v>
      </c>
      <c r="M57" s="5">
        <v>23200</v>
      </c>
      <c r="N57" s="5" t="s">
        <v>936</v>
      </c>
      <c r="O57" s="5">
        <v>0.34</v>
      </c>
      <c r="P57" s="5">
        <f t="shared" si="3"/>
        <v>7888.0000000000009</v>
      </c>
      <c r="Q57" s="192"/>
      <c r="R57" s="5">
        <f t="shared" si="1"/>
        <v>7888.0000000000009</v>
      </c>
      <c r="S57" s="5">
        <f t="shared" si="2"/>
        <v>0.34</v>
      </c>
      <c r="T57" s="5" t="s">
        <v>937</v>
      </c>
      <c r="U57" s="5" t="s">
        <v>938</v>
      </c>
      <c r="V57" s="170" t="str">
        <f>VLOOKUP(K57,'Stock statement'!$C$3:$D$382,2,0)</f>
        <v>C16</v>
      </c>
    </row>
    <row r="58" spans="1:22">
      <c r="A58" s="5">
        <v>57</v>
      </c>
      <c r="B58" s="5" t="s">
        <v>928</v>
      </c>
      <c r="C58" s="5" t="s">
        <v>1099</v>
      </c>
      <c r="D58" s="178">
        <v>44895</v>
      </c>
      <c r="E58" s="5" t="s">
        <v>930</v>
      </c>
      <c r="F58" s="5" t="s">
        <v>1100</v>
      </c>
      <c r="G58" s="178">
        <v>44901</v>
      </c>
      <c r="H58" s="5" t="s">
        <v>948</v>
      </c>
      <c r="I58" s="5" t="s">
        <v>949</v>
      </c>
      <c r="J58" s="5" t="s">
        <v>934</v>
      </c>
      <c r="K58" s="5">
        <v>214954</v>
      </c>
      <c r="L58" s="5" t="s">
        <v>903</v>
      </c>
      <c r="M58" s="5">
        <v>195</v>
      </c>
      <c r="N58" s="5" t="s">
        <v>951</v>
      </c>
      <c r="O58" s="5">
        <v>234</v>
      </c>
      <c r="P58" s="5">
        <f t="shared" si="3"/>
        <v>45630</v>
      </c>
      <c r="Q58" s="192"/>
      <c r="R58" s="5">
        <f t="shared" si="1"/>
        <v>45630</v>
      </c>
      <c r="S58" s="5">
        <f t="shared" si="2"/>
        <v>234</v>
      </c>
      <c r="T58" s="5" t="s">
        <v>937</v>
      </c>
      <c r="U58" s="5" t="s">
        <v>1101</v>
      </c>
      <c r="V58" s="170">
        <f>VLOOKUP(K58,'Stock statement'!$C$3:$D$382,2,0)</f>
        <v>214954</v>
      </c>
    </row>
    <row r="59" spans="1:22">
      <c r="A59" s="5">
        <v>58</v>
      </c>
      <c r="B59" s="5" t="s">
        <v>928</v>
      </c>
      <c r="C59" s="5" t="s">
        <v>1099</v>
      </c>
      <c r="D59" s="178">
        <v>44895</v>
      </c>
      <c r="E59" s="5" t="s">
        <v>930</v>
      </c>
      <c r="F59" s="5" t="s">
        <v>1100</v>
      </c>
      <c r="G59" s="178">
        <v>44901</v>
      </c>
      <c r="H59" s="5" t="s">
        <v>948</v>
      </c>
      <c r="I59" s="5" t="s">
        <v>949</v>
      </c>
      <c r="J59" s="5" t="s">
        <v>934</v>
      </c>
      <c r="K59" s="5">
        <v>214686</v>
      </c>
      <c r="L59" s="5" t="s">
        <v>955</v>
      </c>
      <c r="M59" s="5">
        <v>355.56599999999997</v>
      </c>
      <c r="N59" s="5" t="s">
        <v>951</v>
      </c>
      <c r="O59" s="5">
        <v>205</v>
      </c>
      <c r="P59" s="5">
        <f t="shared" si="3"/>
        <v>72891.03</v>
      </c>
      <c r="Q59" s="192"/>
      <c r="R59" s="5">
        <f t="shared" si="1"/>
        <v>72891.03</v>
      </c>
      <c r="S59" s="5">
        <f t="shared" si="2"/>
        <v>205</v>
      </c>
      <c r="T59" s="5" t="s">
        <v>937</v>
      </c>
      <c r="U59" s="5" t="s">
        <v>952</v>
      </c>
      <c r="V59" s="170">
        <f>VLOOKUP(K59,'Stock statement'!$C$3:$D$382,2,0)</f>
        <v>214686</v>
      </c>
    </row>
    <row r="60" spans="1:22">
      <c r="A60" s="5">
        <v>59</v>
      </c>
      <c r="B60" s="5" t="s">
        <v>928</v>
      </c>
      <c r="C60" s="5" t="s">
        <v>1099</v>
      </c>
      <c r="D60" s="178">
        <v>44895</v>
      </c>
      <c r="E60" s="5" t="s">
        <v>930</v>
      </c>
      <c r="F60" s="5" t="s">
        <v>1100</v>
      </c>
      <c r="G60" s="178">
        <v>44901</v>
      </c>
      <c r="H60" s="5" t="s">
        <v>948</v>
      </c>
      <c r="I60" s="5" t="s">
        <v>949</v>
      </c>
      <c r="J60" s="5" t="s">
        <v>934</v>
      </c>
      <c r="K60" s="5">
        <v>214256</v>
      </c>
      <c r="L60" s="5" t="s">
        <v>1102</v>
      </c>
      <c r="M60" s="5">
        <v>2485.5</v>
      </c>
      <c r="N60" s="5" t="s">
        <v>951</v>
      </c>
      <c r="O60" s="5">
        <v>234</v>
      </c>
      <c r="P60" s="5">
        <f t="shared" si="3"/>
        <v>581607</v>
      </c>
      <c r="Q60" s="192"/>
      <c r="R60" s="5">
        <f t="shared" si="1"/>
        <v>581607</v>
      </c>
      <c r="S60" s="5">
        <f t="shared" si="2"/>
        <v>234</v>
      </c>
      <c r="T60" s="5" t="s">
        <v>937</v>
      </c>
      <c r="U60" s="5" t="s">
        <v>952</v>
      </c>
      <c r="V60" s="170">
        <f>VLOOKUP(K60,'Stock statement'!$C$3:$D$382,2,0)</f>
        <v>214256</v>
      </c>
    </row>
    <row r="61" spans="1:22">
      <c r="A61" s="5">
        <v>60</v>
      </c>
      <c r="B61" s="5" t="s">
        <v>928</v>
      </c>
      <c r="C61" s="5" t="s">
        <v>1103</v>
      </c>
      <c r="D61" s="178">
        <v>44895</v>
      </c>
      <c r="E61" s="5" t="s">
        <v>930</v>
      </c>
      <c r="F61" s="5" t="s">
        <v>1104</v>
      </c>
      <c r="G61" s="178">
        <v>44902</v>
      </c>
      <c r="H61" s="5" t="s">
        <v>948</v>
      </c>
      <c r="I61" s="5" t="s">
        <v>949</v>
      </c>
      <c r="J61" s="5" t="s">
        <v>934</v>
      </c>
      <c r="K61" s="5">
        <v>211696</v>
      </c>
      <c r="L61" s="5" t="s">
        <v>778</v>
      </c>
      <c r="M61" s="5">
        <v>246.75</v>
      </c>
      <c r="N61" s="5" t="s">
        <v>951</v>
      </c>
      <c r="O61" s="5">
        <v>234</v>
      </c>
      <c r="P61" s="5">
        <f t="shared" si="3"/>
        <v>57739.5</v>
      </c>
      <c r="Q61" s="192"/>
      <c r="R61" s="5">
        <f t="shared" si="1"/>
        <v>57739.5</v>
      </c>
      <c r="S61" s="5">
        <f t="shared" si="2"/>
        <v>234</v>
      </c>
      <c r="T61" s="5" t="s">
        <v>937</v>
      </c>
      <c r="U61" s="5" t="s">
        <v>1105</v>
      </c>
      <c r="V61" s="170">
        <f>VLOOKUP(K61,'Stock statement'!$C$3:$D$382,2,0)</f>
        <v>211696</v>
      </c>
    </row>
    <row r="62" spans="1:22">
      <c r="A62" s="5">
        <v>61</v>
      </c>
      <c r="B62" s="5" t="s">
        <v>928</v>
      </c>
      <c r="C62" s="5" t="s">
        <v>1106</v>
      </c>
      <c r="D62" s="178">
        <v>44895</v>
      </c>
      <c r="E62" s="5" t="s">
        <v>930</v>
      </c>
      <c r="F62" s="5" t="s">
        <v>1107</v>
      </c>
      <c r="G62" s="178">
        <v>44902</v>
      </c>
      <c r="H62" s="5" t="s">
        <v>948</v>
      </c>
      <c r="I62" s="5" t="s">
        <v>949</v>
      </c>
      <c r="J62" s="5" t="s">
        <v>934</v>
      </c>
      <c r="K62" s="5">
        <v>214258</v>
      </c>
      <c r="L62" s="5" t="s">
        <v>1061</v>
      </c>
      <c r="M62" s="5">
        <v>391.75</v>
      </c>
      <c r="N62" s="5" t="s">
        <v>951</v>
      </c>
      <c r="O62" s="5">
        <v>234</v>
      </c>
      <c r="P62" s="5">
        <f t="shared" si="3"/>
        <v>91669.5</v>
      </c>
      <c r="Q62" s="192"/>
      <c r="R62" s="5">
        <f t="shared" si="1"/>
        <v>91669.5</v>
      </c>
      <c r="S62" s="5">
        <f t="shared" si="2"/>
        <v>234</v>
      </c>
      <c r="T62" s="5" t="s">
        <v>937</v>
      </c>
      <c r="U62" s="5" t="s">
        <v>1105</v>
      </c>
      <c r="V62" s="170">
        <f>VLOOKUP(K62,'Stock statement'!$C$3:$D$382,2,0)</f>
        <v>214258</v>
      </c>
    </row>
    <row r="63" spans="1:22">
      <c r="A63" s="5">
        <v>62</v>
      </c>
      <c r="B63" s="5" t="s">
        <v>928</v>
      </c>
      <c r="C63" s="5" t="s">
        <v>1108</v>
      </c>
      <c r="D63" s="178">
        <v>44895</v>
      </c>
      <c r="E63" s="5" t="s">
        <v>930</v>
      </c>
      <c r="F63" s="5" t="s">
        <v>1109</v>
      </c>
      <c r="G63" s="178">
        <v>44902</v>
      </c>
      <c r="H63" s="5" t="s">
        <v>948</v>
      </c>
      <c r="I63" s="5" t="s">
        <v>949</v>
      </c>
      <c r="J63" s="5" t="s">
        <v>934</v>
      </c>
      <c r="K63" s="5">
        <v>214954</v>
      </c>
      <c r="L63" s="5" t="s">
        <v>903</v>
      </c>
      <c r="M63" s="5">
        <v>246.75</v>
      </c>
      <c r="N63" s="5" t="s">
        <v>951</v>
      </c>
      <c r="O63" s="5">
        <v>234</v>
      </c>
      <c r="P63" s="5">
        <f t="shared" si="3"/>
        <v>57739.5</v>
      </c>
      <c r="Q63" s="192"/>
      <c r="R63" s="5">
        <f t="shared" si="1"/>
        <v>57739.5</v>
      </c>
      <c r="S63" s="5">
        <f t="shared" si="2"/>
        <v>234</v>
      </c>
      <c r="T63" s="5" t="s">
        <v>937</v>
      </c>
      <c r="U63" s="5" t="s">
        <v>1101</v>
      </c>
      <c r="V63" s="170">
        <f>VLOOKUP(K63,'Stock statement'!$C$3:$D$382,2,0)</f>
        <v>214954</v>
      </c>
    </row>
    <row r="64" spans="1:22">
      <c r="A64" s="5">
        <v>63</v>
      </c>
      <c r="B64" s="5" t="s">
        <v>928</v>
      </c>
      <c r="C64" s="5" t="s">
        <v>1108</v>
      </c>
      <c r="D64" s="178">
        <v>44895</v>
      </c>
      <c r="E64" s="5" t="s">
        <v>930</v>
      </c>
      <c r="F64" s="5" t="s">
        <v>1110</v>
      </c>
      <c r="G64" s="178">
        <v>44902</v>
      </c>
      <c r="H64" s="5" t="s">
        <v>948</v>
      </c>
      <c r="I64" s="5" t="s">
        <v>949</v>
      </c>
      <c r="J64" s="5" t="s">
        <v>934</v>
      </c>
      <c r="K64" s="5">
        <v>214954</v>
      </c>
      <c r="L64" s="5" t="s">
        <v>903</v>
      </c>
      <c r="M64" s="5">
        <v>146.5</v>
      </c>
      <c r="N64" s="5" t="s">
        <v>951</v>
      </c>
      <c r="O64" s="5">
        <v>234</v>
      </c>
      <c r="P64" s="5">
        <f t="shared" si="3"/>
        <v>34281</v>
      </c>
      <c r="Q64" s="192"/>
      <c r="R64" s="5">
        <f t="shared" si="1"/>
        <v>34281</v>
      </c>
      <c r="S64" s="5">
        <f t="shared" si="2"/>
        <v>234</v>
      </c>
      <c r="T64" s="5" t="s">
        <v>937</v>
      </c>
      <c r="U64" s="5" t="s">
        <v>1111</v>
      </c>
      <c r="V64" s="170">
        <f>VLOOKUP(K64,'Stock statement'!$C$3:$D$382,2,0)</f>
        <v>214954</v>
      </c>
    </row>
    <row r="65" spans="1:22">
      <c r="A65" s="5">
        <v>64</v>
      </c>
      <c r="B65" s="5" t="s">
        <v>928</v>
      </c>
      <c r="C65" s="5" t="s">
        <v>1112</v>
      </c>
      <c r="D65" s="178">
        <v>44902</v>
      </c>
      <c r="E65" s="5" t="s">
        <v>930</v>
      </c>
      <c r="F65" s="5" t="s">
        <v>1113</v>
      </c>
      <c r="G65" s="178">
        <v>44903</v>
      </c>
      <c r="H65" s="5" t="s">
        <v>1114</v>
      </c>
      <c r="I65" s="5" t="s">
        <v>933</v>
      </c>
      <c r="J65" s="5" t="s">
        <v>934</v>
      </c>
      <c r="K65" s="5">
        <v>110020</v>
      </c>
      <c r="L65" s="5" t="s">
        <v>1115</v>
      </c>
      <c r="M65" s="5">
        <v>3175</v>
      </c>
      <c r="N65" s="5" t="s">
        <v>951</v>
      </c>
      <c r="O65" s="5">
        <v>153.46</v>
      </c>
      <c r="P65" s="5">
        <f t="shared" si="3"/>
        <v>487235.5</v>
      </c>
      <c r="Q65" s="192">
        <v>9000</v>
      </c>
      <c r="R65" s="5">
        <f t="shared" si="1"/>
        <v>496235.5</v>
      </c>
      <c r="S65" s="5">
        <f t="shared" si="2"/>
        <v>156.29464566929133</v>
      </c>
      <c r="T65" s="5" t="s">
        <v>937</v>
      </c>
      <c r="U65" s="5" t="s">
        <v>1116</v>
      </c>
      <c r="V65" s="170" t="str">
        <f>VLOOKUP(K65,'Stock statement'!$C$3:$D$382,2,0)</f>
        <v>C14</v>
      </c>
    </row>
    <row r="66" spans="1:22">
      <c r="A66" s="5">
        <v>65</v>
      </c>
      <c r="B66" s="5" t="s">
        <v>928</v>
      </c>
      <c r="C66" s="5" t="s">
        <v>1117</v>
      </c>
      <c r="D66" s="178">
        <v>44900</v>
      </c>
      <c r="E66" s="5" t="s">
        <v>930</v>
      </c>
      <c r="F66" s="5" t="s">
        <v>1118</v>
      </c>
      <c r="G66" s="178">
        <v>44903</v>
      </c>
      <c r="H66" s="5" t="s">
        <v>1119</v>
      </c>
      <c r="I66" s="5" t="s">
        <v>933</v>
      </c>
      <c r="J66" s="5" t="s">
        <v>934</v>
      </c>
      <c r="K66" s="5">
        <v>111232</v>
      </c>
      <c r="L66" s="5" t="s">
        <v>964</v>
      </c>
      <c r="M66" s="5">
        <v>24660</v>
      </c>
      <c r="N66" s="5" t="s">
        <v>951</v>
      </c>
      <c r="O66" s="5">
        <v>88.74</v>
      </c>
      <c r="P66" s="5">
        <f t="shared" si="3"/>
        <v>2188328.4</v>
      </c>
      <c r="Q66" s="192"/>
      <c r="R66" s="5">
        <f t="shared" ref="R66:R129" si="4">+P66+Q66</f>
        <v>2188328.4</v>
      </c>
      <c r="S66" s="5">
        <f t="shared" ref="S66:S129" si="5">+R66/M66</f>
        <v>88.74</v>
      </c>
      <c r="T66" s="5" t="s">
        <v>937</v>
      </c>
      <c r="U66" s="5" t="s">
        <v>1120</v>
      </c>
      <c r="V66" s="170" t="str">
        <f>VLOOKUP(K66,'Stock statement'!$C$3:$D$382,2,0)</f>
        <v>C25</v>
      </c>
    </row>
    <row r="67" spans="1:22">
      <c r="A67" s="5">
        <v>66</v>
      </c>
      <c r="B67" s="5" t="s">
        <v>928</v>
      </c>
      <c r="C67" s="5" t="s">
        <v>1121</v>
      </c>
      <c r="D67" s="178">
        <v>44902</v>
      </c>
      <c r="E67" s="5" t="s">
        <v>930</v>
      </c>
      <c r="F67" s="5" t="s">
        <v>1122</v>
      </c>
      <c r="G67" s="178">
        <v>44903</v>
      </c>
      <c r="H67" s="5" t="s">
        <v>1066</v>
      </c>
      <c r="I67" s="5" t="s">
        <v>949</v>
      </c>
      <c r="J67" s="5" t="s">
        <v>934</v>
      </c>
      <c r="K67" s="5">
        <v>214379</v>
      </c>
      <c r="L67" s="5" t="s">
        <v>1123</v>
      </c>
      <c r="M67" s="5">
        <v>2046</v>
      </c>
      <c r="N67" s="5" t="s">
        <v>995</v>
      </c>
      <c r="O67" s="5">
        <v>41.01</v>
      </c>
      <c r="P67" s="5">
        <f t="shared" si="3"/>
        <v>83906.459999999992</v>
      </c>
      <c r="Q67" s="192"/>
      <c r="R67" s="5">
        <f t="shared" si="4"/>
        <v>83906.459999999992</v>
      </c>
      <c r="S67" s="5">
        <f t="shared" si="5"/>
        <v>41.01</v>
      </c>
      <c r="T67" s="5" t="s">
        <v>937</v>
      </c>
      <c r="U67" s="5" t="s">
        <v>1124</v>
      </c>
      <c r="V67" s="170">
        <f>VLOOKUP(K67,'Stock statement'!$C$3:$D$382,2,0)</f>
        <v>214379</v>
      </c>
    </row>
    <row r="68" spans="1:22">
      <c r="A68" s="5">
        <v>67</v>
      </c>
      <c r="B68" s="5" t="s">
        <v>928</v>
      </c>
      <c r="C68" s="5" t="s">
        <v>1121</v>
      </c>
      <c r="D68" s="178">
        <v>44902</v>
      </c>
      <c r="E68" s="5" t="s">
        <v>930</v>
      </c>
      <c r="F68" s="5" t="s">
        <v>1122</v>
      </c>
      <c r="G68" s="178">
        <v>44903</v>
      </c>
      <c r="H68" s="5" t="s">
        <v>1066</v>
      </c>
      <c r="I68" s="5" t="s">
        <v>949</v>
      </c>
      <c r="J68" s="5" t="s">
        <v>934</v>
      </c>
      <c r="K68" s="5">
        <v>214378</v>
      </c>
      <c r="L68" s="5" t="s">
        <v>406</v>
      </c>
      <c r="M68" s="5">
        <v>380</v>
      </c>
      <c r="N68" s="5" t="s">
        <v>995</v>
      </c>
      <c r="O68" s="5">
        <v>41.01</v>
      </c>
      <c r="P68" s="5">
        <f t="shared" si="3"/>
        <v>15583.8</v>
      </c>
      <c r="Q68" s="192"/>
      <c r="R68" s="5">
        <f t="shared" si="4"/>
        <v>15583.8</v>
      </c>
      <c r="S68" s="5">
        <f t="shared" si="5"/>
        <v>41.01</v>
      </c>
      <c r="T68" s="5" t="s">
        <v>937</v>
      </c>
      <c r="U68" s="5" t="s">
        <v>1124</v>
      </c>
      <c r="V68" s="170">
        <f>VLOOKUP(K68,'Stock statement'!$C$3:$D$382,2,0)</f>
        <v>214378</v>
      </c>
    </row>
    <row r="69" spans="1:22">
      <c r="A69" s="5">
        <v>68</v>
      </c>
      <c r="B69" s="5" t="s">
        <v>928</v>
      </c>
      <c r="C69" s="5" t="s">
        <v>1121</v>
      </c>
      <c r="D69" s="178">
        <v>44902</v>
      </c>
      <c r="E69" s="5" t="s">
        <v>930</v>
      </c>
      <c r="F69" s="5" t="s">
        <v>1122</v>
      </c>
      <c r="G69" s="178">
        <v>44903</v>
      </c>
      <c r="H69" s="5" t="s">
        <v>1066</v>
      </c>
      <c r="I69" s="5" t="s">
        <v>949</v>
      </c>
      <c r="J69" s="5" t="s">
        <v>934</v>
      </c>
      <c r="K69" s="5">
        <v>230240</v>
      </c>
      <c r="L69" s="5" t="s">
        <v>1067</v>
      </c>
      <c r="M69" s="5">
        <v>1044</v>
      </c>
      <c r="N69" s="5" t="s">
        <v>995</v>
      </c>
      <c r="O69" s="5">
        <v>41.01</v>
      </c>
      <c r="P69" s="5">
        <f t="shared" si="3"/>
        <v>42814.439999999995</v>
      </c>
      <c r="Q69" s="192"/>
      <c r="R69" s="5">
        <f t="shared" si="4"/>
        <v>42814.439999999995</v>
      </c>
      <c r="S69" s="5">
        <f t="shared" si="5"/>
        <v>41.01</v>
      </c>
      <c r="T69" s="5" t="s">
        <v>937</v>
      </c>
      <c r="U69" s="5" t="s">
        <v>1124</v>
      </c>
      <c r="V69" s="170">
        <f>VLOOKUP(K69,'Stock statement'!$C$3:$D$382,2,0)</f>
        <v>230240</v>
      </c>
    </row>
    <row r="70" spans="1:22">
      <c r="A70" s="5">
        <v>69</v>
      </c>
      <c r="B70" s="5" t="s">
        <v>928</v>
      </c>
      <c r="C70" s="5" t="s">
        <v>1125</v>
      </c>
      <c r="D70" s="178">
        <v>44903</v>
      </c>
      <c r="E70" s="5" t="s">
        <v>930</v>
      </c>
      <c r="F70" s="5" t="s">
        <v>1126</v>
      </c>
      <c r="G70" s="178">
        <v>44903</v>
      </c>
      <c r="H70" s="5" t="s">
        <v>968</v>
      </c>
      <c r="I70" s="5" t="s">
        <v>933</v>
      </c>
      <c r="J70" s="5" t="s">
        <v>934</v>
      </c>
      <c r="K70" s="5">
        <v>110978</v>
      </c>
      <c r="L70" s="5" t="s">
        <v>368</v>
      </c>
      <c r="M70" s="5">
        <v>1000</v>
      </c>
      <c r="N70" s="5" t="s">
        <v>951</v>
      </c>
      <c r="O70" s="5">
        <v>160</v>
      </c>
      <c r="P70" s="5">
        <f t="shared" si="3"/>
        <v>160000</v>
      </c>
      <c r="Q70" s="192"/>
      <c r="R70" s="5">
        <f t="shared" si="4"/>
        <v>160000</v>
      </c>
      <c r="S70" s="5">
        <f t="shared" si="5"/>
        <v>160</v>
      </c>
      <c r="T70" s="5" t="s">
        <v>937</v>
      </c>
      <c r="U70" s="5" t="s">
        <v>969</v>
      </c>
      <c r="V70" s="170" t="str">
        <f>VLOOKUP(K70,'Stock statement'!$C$3:$D$382,2,0)</f>
        <v>C5</v>
      </c>
    </row>
    <row r="71" spans="1:22">
      <c r="A71" s="5">
        <v>70</v>
      </c>
      <c r="B71" s="5" t="s">
        <v>928</v>
      </c>
      <c r="C71" s="5" t="s">
        <v>1125</v>
      </c>
      <c r="D71" s="178">
        <v>44903</v>
      </c>
      <c r="E71" s="5" t="s">
        <v>930</v>
      </c>
      <c r="F71" s="5" t="s">
        <v>1126</v>
      </c>
      <c r="G71" s="178">
        <v>44903</v>
      </c>
      <c r="H71" s="5" t="s">
        <v>968</v>
      </c>
      <c r="I71" s="5" t="s">
        <v>933</v>
      </c>
      <c r="J71" s="5" t="s">
        <v>934</v>
      </c>
      <c r="K71" s="5">
        <v>111233</v>
      </c>
      <c r="L71" s="5" t="s">
        <v>578</v>
      </c>
      <c r="M71" s="5">
        <v>5000</v>
      </c>
      <c r="N71" s="5" t="s">
        <v>951</v>
      </c>
      <c r="O71" s="5">
        <v>220</v>
      </c>
      <c r="P71" s="5">
        <f t="shared" si="3"/>
        <v>1100000</v>
      </c>
      <c r="Q71" s="192"/>
      <c r="R71" s="5">
        <f t="shared" si="4"/>
        <v>1100000</v>
      </c>
      <c r="S71" s="5">
        <f t="shared" si="5"/>
        <v>220</v>
      </c>
      <c r="T71" s="5" t="s">
        <v>937</v>
      </c>
      <c r="U71" s="5" t="s">
        <v>970</v>
      </c>
      <c r="V71" s="170" t="str">
        <f>VLOOKUP(K71,'Stock statement'!$C$3:$D$382,2,0)</f>
        <v>C4</v>
      </c>
    </row>
    <row r="72" spans="1:22">
      <c r="A72" s="5">
        <v>71</v>
      </c>
      <c r="B72" s="5" t="s">
        <v>928</v>
      </c>
      <c r="C72" s="5" t="s">
        <v>1127</v>
      </c>
      <c r="D72" s="178">
        <v>44903</v>
      </c>
      <c r="E72" s="5" t="s">
        <v>930</v>
      </c>
      <c r="F72" s="5" t="s">
        <v>1128</v>
      </c>
      <c r="G72" s="178">
        <v>44903</v>
      </c>
      <c r="H72" s="5" t="s">
        <v>942</v>
      </c>
      <c r="I72" s="5" t="s">
        <v>933</v>
      </c>
      <c r="J72" s="5" t="s">
        <v>934</v>
      </c>
      <c r="K72" s="5">
        <v>110001</v>
      </c>
      <c r="L72" s="5" t="s">
        <v>935</v>
      </c>
      <c r="M72" s="5">
        <v>19700</v>
      </c>
      <c r="N72" s="5" t="s">
        <v>936</v>
      </c>
      <c r="O72" s="5">
        <v>0.34</v>
      </c>
      <c r="P72" s="5">
        <f t="shared" si="3"/>
        <v>6698.0000000000009</v>
      </c>
      <c r="Q72" s="192"/>
      <c r="R72" s="5">
        <f t="shared" si="4"/>
        <v>6698.0000000000009</v>
      </c>
      <c r="S72" s="5">
        <f t="shared" si="5"/>
        <v>0.34</v>
      </c>
      <c r="T72" s="5" t="s">
        <v>937</v>
      </c>
      <c r="U72" s="5" t="s">
        <v>943</v>
      </c>
      <c r="V72" s="170" t="str">
        <f>VLOOKUP(K72,'Stock statement'!$C$3:$D$382,2,0)</f>
        <v>C16</v>
      </c>
    </row>
    <row r="73" spans="1:22">
      <c r="A73" s="5">
        <v>72</v>
      </c>
      <c r="B73" s="5" t="s">
        <v>928</v>
      </c>
      <c r="C73" s="5" t="s">
        <v>1129</v>
      </c>
      <c r="D73" s="178">
        <v>44903</v>
      </c>
      <c r="E73" s="5" t="s">
        <v>930</v>
      </c>
      <c r="F73" s="5" t="s">
        <v>1130</v>
      </c>
      <c r="G73" s="178">
        <v>44903</v>
      </c>
      <c r="H73" s="5" t="s">
        <v>942</v>
      </c>
      <c r="I73" s="5" t="s">
        <v>933</v>
      </c>
      <c r="J73" s="5" t="s">
        <v>934</v>
      </c>
      <c r="K73" s="5">
        <v>110001</v>
      </c>
      <c r="L73" s="5" t="s">
        <v>935</v>
      </c>
      <c r="M73" s="5">
        <v>23800</v>
      </c>
      <c r="N73" s="5" t="s">
        <v>936</v>
      </c>
      <c r="O73" s="5">
        <v>0.34</v>
      </c>
      <c r="P73" s="5">
        <f t="shared" si="3"/>
        <v>8092.0000000000009</v>
      </c>
      <c r="Q73" s="192"/>
      <c r="R73" s="5">
        <f t="shared" si="4"/>
        <v>8092.0000000000009</v>
      </c>
      <c r="S73" s="5">
        <f t="shared" si="5"/>
        <v>0.34</v>
      </c>
      <c r="T73" s="5" t="s">
        <v>937</v>
      </c>
      <c r="U73" s="5" t="s">
        <v>943</v>
      </c>
      <c r="V73" s="170" t="str">
        <f>VLOOKUP(K73,'Stock statement'!$C$3:$D$382,2,0)</f>
        <v>C16</v>
      </c>
    </row>
    <row r="74" spans="1:22">
      <c r="A74" s="5">
        <v>73</v>
      </c>
      <c r="B74" s="5" t="s">
        <v>928</v>
      </c>
      <c r="C74" s="5" t="s">
        <v>1131</v>
      </c>
      <c r="D74" s="178">
        <v>44903</v>
      </c>
      <c r="E74" s="5" t="s">
        <v>930</v>
      </c>
      <c r="F74" s="5" t="s">
        <v>1132</v>
      </c>
      <c r="G74" s="178">
        <v>44904</v>
      </c>
      <c r="H74" s="5" t="s">
        <v>1133</v>
      </c>
      <c r="I74" s="5" t="s">
        <v>949</v>
      </c>
      <c r="J74" s="5" t="s">
        <v>934</v>
      </c>
      <c r="K74" s="5">
        <v>214979</v>
      </c>
      <c r="L74" s="5" t="s">
        <v>528</v>
      </c>
      <c r="M74" s="5">
        <v>3000</v>
      </c>
      <c r="N74" s="5" t="s">
        <v>995</v>
      </c>
      <c r="O74" s="5">
        <v>43.38</v>
      </c>
      <c r="P74" s="5">
        <f t="shared" si="3"/>
        <v>130140.00000000001</v>
      </c>
      <c r="Q74" s="192"/>
      <c r="R74" s="5">
        <f t="shared" si="4"/>
        <v>130140.00000000001</v>
      </c>
      <c r="S74" s="5">
        <f t="shared" si="5"/>
        <v>43.38</v>
      </c>
      <c r="T74" s="5" t="s">
        <v>937</v>
      </c>
      <c r="U74" s="5" t="s">
        <v>1134</v>
      </c>
      <c r="V74" s="170">
        <f>VLOOKUP(K74,'Stock statement'!$C$3:$D$382,2,0)</f>
        <v>214979</v>
      </c>
    </row>
    <row r="75" spans="1:22">
      <c r="A75" s="5">
        <v>74</v>
      </c>
      <c r="B75" s="5" t="s">
        <v>928</v>
      </c>
      <c r="C75" s="5" t="s">
        <v>1135</v>
      </c>
      <c r="D75" s="178">
        <v>44904</v>
      </c>
      <c r="E75" s="5" t="s">
        <v>930</v>
      </c>
      <c r="F75" s="5" t="s">
        <v>1136</v>
      </c>
      <c r="G75" s="178">
        <v>44904</v>
      </c>
      <c r="H75" s="5" t="s">
        <v>994</v>
      </c>
      <c r="I75" s="5" t="s">
        <v>949</v>
      </c>
      <c r="J75" s="5" t="s">
        <v>934</v>
      </c>
      <c r="K75" s="5">
        <v>214376</v>
      </c>
      <c r="L75" s="5" t="s">
        <v>1137</v>
      </c>
      <c r="M75" s="5">
        <v>3000</v>
      </c>
      <c r="N75" s="5" t="s">
        <v>995</v>
      </c>
      <c r="O75" s="5">
        <v>29.39</v>
      </c>
      <c r="P75" s="5">
        <f t="shared" si="3"/>
        <v>88170</v>
      </c>
      <c r="Q75" s="192"/>
      <c r="R75" s="5">
        <f t="shared" si="4"/>
        <v>88170</v>
      </c>
      <c r="S75" s="5">
        <f t="shared" si="5"/>
        <v>29.39</v>
      </c>
      <c r="T75" s="5" t="s">
        <v>937</v>
      </c>
      <c r="U75" s="5" t="s">
        <v>1138</v>
      </c>
      <c r="V75" s="170">
        <f>VLOOKUP(K75,'Stock statement'!$C$3:$D$382,2,0)</f>
        <v>214376</v>
      </c>
    </row>
    <row r="76" spans="1:22">
      <c r="A76" s="5">
        <v>75</v>
      </c>
      <c r="B76" s="5" t="s">
        <v>928</v>
      </c>
      <c r="C76" s="5" t="s">
        <v>1135</v>
      </c>
      <c r="D76" s="178">
        <v>44904</v>
      </c>
      <c r="E76" s="5" t="s">
        <v>930</v>
      </c>
      <c r="F76" s="5" t="s">
        <v>1136</v>
      </c>
      <c r="G76" s="178">
        <v>44904</v>
      </c>
      <c r="H76" s="5" t="s">
        <v>994</v>
      </c>
      <c r="I76" s="5" t="s">
        <v>949</v>
      </c>
      <c r="J76" s="5" t="s">
        <v>934</v>
      </c>
      <c r="K76" s="5">
        <v>214377</v>
      </c>
      <c r="L76" s="5" t="s">
        <v>1139</v>
      </c>
      <c r="M76" s="5">
        <v>6000</v>
      </c>
      <c r="N76" s="5" t="s">
        <v>995</v>
      </c>
      <c r="O76" s="5">
        <v>14.13</v>
      </c>
      <c r="P76" s="5">
        <f t="shared" si="3"/>
        <v>84780</v>
      </c>
      <c r="Q76" s="192"/>
      <c r="R76" s="5">
        <f t="shared" si="4"/>
        <v>84780</v>
      </c>
      <c r="S76" s="5">
        <f t="shared" si="5"/>
        <v>14.13</v>
      </c>
      <c r="T76" s="5" t="s">
        <v>937</v>
      </c>
      <c r="U76" s="5" t="s">
        <v>1138</v>
      </c>
      <c r="V76" s="170">
        <f>VLOOKUP(K76,'Stock statement'!$C$3:$D$382,2,0)</f>
        <v>214377</v>
      </c>
    </row>
    <row r="77" spans="1:22">
      <c r="A77" s="5">
        <v>76</v>
      </c>
      <c r="B77" s="5" t="s">
        <v>928</v>
      </c>
      <c r="C77" s="5" t="s">
        <v>1140</v>
      </c>
      <c r="D77" s="178">
        <v>44904</v>
      </c>
      <c r="E77" s="5" t="s">
        <v>930</v>
      </c>
      <c r="F77" s="5" t="s">
        <v>1141</v>
      </c>
      <c r="G77" s="178">
        <v>44904</v>
      </c>
      <c r="H77" s="5" t="s">
        <v>942</v>
      </c>
      <c r="I77" s="5" t="s">
        <v>933</v>
      </c>
      <c r="J77" s="5" t="s">
        <v>934</v>
      </c>
      <c r="K77" s="5">
        <v>110001</v>
      </c>
      <c r="L77" s="5" t="s">
        <v>935</v>
      </c>
      <c r="M77" s="5">
        <v>23700</v>
      </c>
      <c r="N77" s="5" t="s">
        <v>936</v>
      </c>
      <c r="O77" s="5">
        <v>0.34</v>
      </c>
      <c r="P77" s="5">
        <f t="shared" si="3"/>
        <v>8058.0000000000009</v>
      </c>
      <c r="Q77" s="192"/>
      <c r="R77" s="5">
        <f t="shared" si="4"/>
        <v>8058.0000000000009</v>
      </c>
      <c r="S77" s="5">
        <f t="shared" si="5"/>
        <v>0.34</v>
      </c>
      <c r="T77" s="5" t="s">
        <v>937</v>
      </c>
      <c r="U77" s="5" t="s">
        <v>943</v>
      </c>
      <c r="V77" s="170" t="str">
        <f>VLOOKUP(K77,'Stock statement'!$C$3:$D$382,2,0)</f>
        <v>C16</v>
      </c>
    </row>
    <row r="78" spans="1:22">
      <c r="A78" s="5">
        <v>77</v>
      </c>
      <c r="B78" s="5" t="s">
        <v>928</v>
      </c>
      <c r="C78" s="5" t="s">
        <v>1142</v>
      </c>
      <c r="D78" s="178">
        <v>44904</v>
      </c>
      <c r="E78" s="5" t="s">
        <v>930</v>
      </c>
      <c r="F78" s="5" t="s">
        <v>1143</v>
      </c>
      <c r="G78" s="178">
        <v>44904</v>
      </c>
      <c r="H78" s="5" t="s">
        <v>942</v>
      </c>
      <c r="I78" s="5" t="s">
        <v>933</v>
      </c>
      <c r="J78" s="5" t="s">
        <v>934</v>
      </c>
      <c r="K78" s="5">
        <v>110001</v>
      </c>
      <c r="L78" s="5" t="s">
        <v>935</v>
      </c>
      <c r="M78" s="5">
        <v>9500</v>
      </c>
      <c r="N78" s="5" t="s">
        <v>936</v>
      </c>
      <c r="O78" s="5">
        <v>0.34</v>
      </c>
      <c r="P78" s="5">
        <f t="shared" si="3"/>
        <v>3230.0000000000005</v>
      </c>
      <c r="Q78" s="192"/>
      <c r="R78" s="5">
        <f t="shared" si="4"/>
        <v>3230.0000000000005</v>
      </c>
      <c r="S78" s="5">
        <f t="shared" si="5"/>
        <v>0.34</v>
      </c>
      <c r="T78" s="5" t="s">
        <v>937</v>
      </c>
      <c r="U78" s="5" t="s">
        <v>943</v>
      </c>
      <c r="V78" s="170" t="str">
        <f>VLOOKUP(K78,'Stock statement'!$C$3:$D$382,2,0)</f>
        <v>C16</v>
      </c>
    </row>
    <row r="79" spans="1:22">
      <c r="A79" s="5">
        <v>78</v>
      </c>
      <c r="B79" s="5" t="s">
        <v>928</v>
      </c>
      <c r="C79" s="5" t="s">
        <v>1144</v>
      </c>
      <c r="D79" s="178">
        <v>44904</v>
      </c>
      <c r="E79" s="5" t="s">
        <v>930</v>
      </c>
      <c r="F79" s="5" t="s">
        <v>1145</v>
      </c>
      <c r="G79" s="178">
        <v>44904</v>
      </c>
      <c r="H79" s="5" t="s">
        <v>942</v>
      </c>
      <c r="I79" s="5" t="s">
        <v>933</v>
      </c>
      <c r="J79" s="5" t="s">
        <v>934</v>
      </c>
      <c r="K79" s="5">
        <v>110001</v>
      </c>
      <c r="L79" s="5" t="s">
        <v>935</v>
      </c>
      <c r="M79" s="5">
        <v>15000</v>
      </c>
      <c r="N79" s="5" t="s">
        <v>936</v>
      </c>
      <c r="O79" s="5">
        <v>0.34</v>
      </c>
      <c r="P79" s="5">
        <f t="shared" si="3"/>
        <v>5100</v>
      </c>
      <c r="Q79" s="192"/>
      <c r="R79" s="5">
        <f t="shared" si="4"/>
        <v>5100</v>
      </c>
      <c r="S79" s="5">
        <f t="shared" si="5"/>
        <v>0.34</v>
      </c>
      <c r="T79" s="5" t="s">
        <v>937</v>
      </c>
      <c r="U79" s="5" t="s">
        <v>943</v>
      </c>
      <c r="V79" s="170" t="str">
        <f>VLOOKUP(K79,'Stock statement'!$C$3:$D$382,2,0)</f>
        <v>C16</v>
      </c>
    </row>
    <row r="80" spans="1:22">
      <c r="A80" s="5">
        <v>79</v>
      </c>
      <c r="B80" s="5" t="s">
        <v>928</v>
      </c>
      <c r="C80" s="5" t="s">
        <v>1146</v>
      </c>
      <c r="D80" s="178">
        <v>44904</v>
      </c>
      <c r="E80" s="5" t="s">
        <v>930</v>
      </c>
      <c r="F80" s="5" t="s">
        <v>1147</v>
      </c>
      <c r="G80" s="178">
        <v>44904</v>
      </c>
      <c r="H80" s="5" t="s">
        <v>942</v>
      </c>
      <c r="I80" s="5" t="s">
        <v>933</v>
      </c>
      <c r="J80" s="5" t="s">
        <v>934</v>
      </c>
      <c r="K80" s="5">
        <v>110001</v>
      </c>
      <c r="L80" s="5" t="s">
        <v>935</v>
      </c>
      <c r="M80" s="5">
        <v>24000</v>
      </c>
      <c r="N80" s="5" t="s">
        <v>936</v>
      </c>
      <c r="O80" s="5">
        <v>0.34</v>
      </c>
      <c r="P80" s="5">
        <f t="shared" si="3"/>
        <v>8160.0000000000009</v>
      </c>
      <c r="Q80" s="192"/>
      <c r="R80" s="5">
        <f t="shared" si="4"/>
        <v>8160.0000000000009</v>
      </c>
      <c r="S80" s="5">
        <f t="shared" si="5"/>
        <v>0.34</v>
      </c>
      <c r="T80" s="5" t="s">
        <v>937</v>
      </c>
      <c r="U80" s="5" t="s">
        <v>943</v>
      </c>
      <c r="V80" s="170" t="str">
        <f>VLOOKUP(K80,'Stock statement'!$C$3:$D$382,2,0)</f>
        <v>C16</v>
      </c>
    </row>
    <row r="81" spans="1:22">
      <c r="A81" s="5">
        <v>80</v>
      </c>
      <c r="B81" s="5" t="s">
        <v>928</v>
      </c>
      <c r="C81" s="5" t="s">
        <v>1148</v>
      </c>
      <c r="D81" s="178">
        <v>44905</v>
      </c>
      <c r="E81" s="5" t="s">
        <v>930</v>
      </c>
      <c r="F81" s="5" t="s">
        <v>1149</v>
      </c>
      <c r="G81" s="178">
        <v>44905</v>
      </c>
      <c r="H81" s="5" t="s">
        <v>942</v>
      </c>
      <c r="I81" s="5" t="s">
        <v>933</v>
      </c>
      <c r="J81" s="5" t="s">
        <v>934</v>
      </c>
      <c r="K81" s="5">
        <v>110001</v>
      </c>
      <c r="L81" s="5" t="s">
        <v>935</v>
      </c>
      <c r="M81" s="5">
        <v>20200</v>
      </c>
      <c r="N81" s="5" t="s">
        <v>936</v>
      </c>
      <c r="O81" s="5">
        <v>0.34</v>
      </c>
      <c r="P81" s="5">
        <f t="shared" si="3"/>
        <v>6868.0000000000009</v>
      </c>
      <c r="Q81" s="192"/>
      <c r="R81" s="5">
        <f t="shared" si="4"/>
        <v>6868.0000000000009</v>
      </c>
      <c r="S81" s="5">
        <f t="shared" si="5"/>
        <v>0.34</v>
      </c>
      <c r="T81" s="5" t="s">
        <v>937</v>
      </c>
      <c r="U81" s="5" t="s">
        <v>943</v>
      </c>
      <c r="V81" s="170" t="str">
        <f>VLOOKUP(K81,'Stock statement'!$C$3:$D$382,2,0)</f>
        <v>C16</v>
      </c>
    </row>
    <row r="82" spans="1:22">
      <c r="A82" s="5">
        <v>81</v>
      </c>
      <c r="B82" s="5" t="s">
        <v>928</v>
      </c>
      <c r="C82" s="5" t="s">
        <v>1150</v>
      </c>
      <c r="D82" s="178">
        <v>44905</v>
      </c>
      <c r="E82" s="5" t="s">
        <v>930</v>
      </c>
      <c r="F82" s="5" t="s">
        <v>1151</v>
      </c>
      <c r="G82" s="178">
        <v>44905</v>
      </c>
      <c r="H82" s="5" t="s">
        <v>942</v>
      </c>
      <c r="I82" s="5" t="s">
        <v>933</v>
      </c>
      <c r="J82" s="5" t="s">
        <v>934</v>
      </c>
      <c r="K82" s="5">
        <v>110001</v>
      </c>
      <c r="L82" s="5" t="s">
        <v>935</v>
      </c>
      <c r="M82" s="5">
        <v>24100</v>
      </c>
      <c r="N82" s="5" t="s">
        <v>936</v>
      </c>
      <c r="O82" s="5">
        <v>0.34</v>
      </c>
      <c r="P82" s="5">
        <f t="shared" si="3"/>
        <v>8194</v>
      </c>
      <c r="Q82" s="192"/>
      <c r="R82" s="5">
        <f t="shared" si="4"/>
        <v>8194</v>
      </c>
      <c r="S82" s="5">
        <f t="shared" si="5"/>
        <v>0.34</v>
      </c>
      <c r="T82" s="5" t="s">
        <v>937</v>
      </c>
      <c r="U82" s="5" t="s">
        <v>943</v>
      </c>
      <c r="V82" s="170" t="str">
        <f>VLOOKUP(K82,'Stock statement'!$C$3:$D$382,2,0)</f>
        <v>C16</v>
      </c>
    </row>
    <row r="83" spans="1:22">
      <c r="A83" s="5">
        <v>82</v>
      </c>
      <c r="B83" s="5" t="s">
        <v>928</v>
      </c>
      <c r="C83" s="5" t="s">
        <v>1152</v>
      </c>
      <c r="D83" s="178">
        <v>44905</v>
      </c>
      <c r="E83" s="5" t="s">
        <v>930</v>
      </c>
      <c r="F83" s="5" t="s">
        <v>1153</v>
      </c>
      <c r="G83" s="178">
        <v>44905</v>
      </c>
      <c r="H83" s="5" t="s">
        <v>942</v>
      </c>
      <c r="I83" s="5" t="s">
        <v>933</v>
      </c>
      <c r="J83" s="5" t="s">
        <v>934</v>
      </c>
      <c r="K83" s="5">
        <v>110001</v>
      </c>
      <c r="L83" s="5" t="s">
        <v>935</v>
      </c>
      <c r="M83" s="5">
        <v>24100</v>
      </c>
      <c r="N83" s="5" t="s">
        <v>936</v>
      </c>
      <c r="O83" s="5">
        <v>0.34</v>
      </c>
      <c r="P83" s="5">
        <f t="shared" si="3"/>
        <v>8194</v>
      </c>
      <c r="Q83" s="192"/>
      <c r="R83" s="5">
        <f t="shared" si="4"/>
        <v>8194</v>
      </c>
      <c r="S83" s="5">
        <f t="shared" si="5"/>
        <v>0.34</v>
      </c>
      <c r="T83" s="5" t="s">
        <v>937</v>
      </c>
      <c r="U83" s="5" t="s">
        <v>943</v>
      </c>
      <c r="V83" s="170" t="str">
        <f>VLOOKUP(K83,'Stock statement'!$C$3:$D$382,2,0)</f>
        <v>C16</v>
      </c>
    </row>
    <row r="84" spans="1:22">
      <c r="A84" s="5">
        <v>83</v>
      </c>
      <c r="B84" s="5" t="s">
        <v>928</v>
      </c>
      <c r="C84" s="5" t="s">
        <v>1154</v>
      </c>
      <c r="D84" s="178">
        <v>44905</v>
      </c>
      <c r="E84" s="5" t="s">
        <v>930</v>
      </c>
      <c r="F84" s="5" t="s">
        <v>1155</v>
      </c>
      <c r="G84" s="178">
        <v>44905</v>
      </c>
      <c r="H84" s="5" t="s">
        <v>942</v>
      </c>
      <c r="I84" s="5" t="s">
        <v>933</v>
      </c>
      <c r="J84" s="5" t="s">
        <v>934</v>
      </c>
      <c r="K84" s="5">
        <v>110001</v>
      </c>
      <c r="L84" s="5" t="s">
        <v>935</v>
      </c>
      <c r="M84" s="5">
        <v>24000</v>
      </c>
      <c r="N84" s="5" t="s">
        <v>936</v>
      </c>
      <c r="O84" s="5">
        <v>0.34</v>
      </c>
      <c r="P84" s="5">
        <f t="shared" si="3"/>
        <v>8160.0000000000009</v>
      </c>
      <c r="Q84" s="192"/>
      <c r="R84" s="5">
        <f t="shared" si="4"/>
        <v>8160.0000000000009</v>
      </c>
      <c r="S84" s="5">
        <f t="shared" si="5"/>
        <v>0.34</v>
      </c>
      <c r="T84" s="5" t="s">
        <v>937</v>
      </c>
      <c r="U84" s="5" t="s">
        <v>943</v>
      </c>
      <c r="V84" s="170" t="str">
        <f>VLOOKUP(K84,'Stock statement'!$C$3:$D$382,2,0)</f>
        <v>C16</v>
      </c>
    </row>
    <row r="85" spans="1:22">
      <c r="A85" s="5">
        <v>84</v>
      </c>
      <c r="B85" s="5" t="s">
        <v>928</v>
      </c>
      <c r="C85" s="5" t="s">
        <v>1156</v>
      </c>
      <c r="D85" s="178">
        <v>44904</v>
      </c>
      <c r="E85" s="5" t="s">
        <v>930</v>
      </c>
      <c r="F85" s="5" t="s">
        <v>1157</v>
      </c>
      <c r="G85" s="178">
        <v>44905</v>
      </c>
      <c r="H85" s="5" t="s">
        <v>1066</v>
      </c>
      <c r="I85" s="5" t="s">
        <v>949</v>
      </c>
      <c r="J85" s="5" t="s">
        <v>934</v>
      </c>
      <c r="K85" s="5">
        <v>214376</v>
      </c>
      <c r="L85" s="5" t="s">
        <v>1137</v>
      </c>
      <c r="M85" s="5">
        <v>4170</v>
      </c>
      <c r="N85" s="5" t="s">
        <v>995</v>
      </c>
      <c r="O85" s="5">
        <v>29.39</v>
      </c>
      <c r="P85" s="5">
        <f t="shared" si="3"/>
        <v>122556.3</v>
      </c>
      <c r="Q85" s="192"/>
      <c r="R85" s="5">
        <f t="shared" si="4"/>
        <v>122556.3</v>
      </c>
      <c r="S85" s="5">
        <f t="shared" si="5"/>
        <v>29.39</v>
      </c>
      <c r="T85" s="5" t="s">
        <v>937</v>
      </c>
      <c r="U85" s="5" t="s">
        <v>1158</v>
      </c>
      <c r="V85" s="170">
        <f>VLOOKUP(K85,'Stock statement'!$C$3:$D$382,2,0)</f>
        <v>214376</v>
      </c>
    </row>
    <row r="86" spans="1:22">
      <c r="A86" s="5">
        <v>85</v>
      </c>
      <c r="B86" s="5" t="s">
        <v>928</v>
      </c>
      <c r="C86" s="5" t="s">
        <v>1156</v>
      </c>
      <c r="D86" s="178">
        <v>44904</v>
      </c>
      <c r="E86" s="5" t="s">
        <v>930</v>
      </c>
      <c r="F86" s="5" t="s">
        <v>1157</v>
      </c>
      <c r="G86" s="178">
        <v>44905</v>
      </c>
      <c r="H86" s="5" t="s">
        <v>1066</v>
      </c>
      <c r="I86" s="5" t="s">
        <v>949</v>
      </c>
      <c r="J86" s="5" t="s">
        <v>934</v>
      </c>
      <c r="K86" s="5">
        <v>214377</v>
      </c>
      <c r="L86" s="5" t="s">
        <v>1139</v>
      </c>
      <c r="M86" s="5">
        <v>8108</v>
      </c>
      <c r="N86" s="5" t="s">
        <v>995</v>
      </c>
      <c r="O86" s="5">
        <v>14.13</v>
      </c>
      <c r="P86" s="5">
        <f t="shared" si="3"/>
        <v>114566.04000000001</v>
      </c>
      <c r="Q86" s="192"/>
      <c r="R86" s="5">
        <f t="shared" si="4"/>
        <v>114566.04000000001</v>
      </c>
      <c r="S86" s="5">
        <f t="shared" si="5"/>
        <v>14.13</v>
      </c>
      <c r="T86" s="5" t="s">
        <v>937</v>
      </c>
      <c r="U86" s="5" t="s">
        <v>1158</v>
      </c>
      <c r="V86" s="170">
        <f>VLOOKUP(K86,'Stock statement'!$C$3:$D$382,2,0)</f>
        <v>214377</v>
      </c>
    </row>
    <row r="87" spans="1:22">
      <c r="A87" s="5">
        <v>86</v>
      </c>
      <c r="B87" s="5" t="s">
        <v>928</v>
      </c>
      <c r="C87" s="5" t="s">
        <v>1159</v>
      </c>
      <c r="D87" s="178">
        <v>44905</v>
      </c>
      <c r="E87" s="5" t="s">
        <v>930</v>
      </c>
      <c r="F87" s="5" t="s">
        <v>1160</v>
      </c>
      <c r="G87" s="178">
        <v>44905</v>
      </c>
      <c r="H87" s="5" t="s">
        <v>1035</v>
      </c>
      <c r="I87" s="5" t="s">
        <v>949</v>
      </c>
      <c r="J87" s="5" t="s">
        <v>934</v>
      </c>
      <c r="K87" s="5">
        <v>214768</v>
      </c>
      <c r="L87" s="5" t="s">
        <v>459</v>
      </c>
      <c r="M87" s="5">
        <v>12160</v>
      </c>
      <c r="N87" s="5" t="s">
        <v>995</v>
      </c>
      <c r="O87" s="5">
        <v>10.53</v>
      </c>
      <c r="P87" s="5">
        <f t="shared" si="3"/>
        <v>128044.79999999999</v>
      </c>
      <c r="Q87" s="192"/>
      <c r="R87" s="5">
        <f t="shared" si="4"/>
        <v>128044.79999999999</v>
      </c>
      <c r="S87" s="5">
        <f t="shared" si="5"/>
        <v>10.53</v>
      </c>
      <c r="T87" s="5" t="s">
        <v>937</v>
      </c>
      <c r="U87" s="5" t="s">
        <v>1161</v>
      </c>
      <c r="V87" s="170">
        <f>VLOOKUP(K87,'Stock statement'!$C$3:$D$382,2,0)</f>
        <v>214768</v>
      </c>
    </row>
    <row r="88" spans="1:22">
      <c r="A88" s="5">
        <v>87</v>
      </c>
      <c r="B88" s="5" t="s">
        <v>928</v>
      </c>
      <c r="C88" s="5" t="s">
        <v>1159</v>
      </c>
      <c r="D88" s="178">
        <v>44905</v>
      </c>
      <c r="E88" s="5" t="s">
        <v>930</v>
      </c>
      <c r="F88" s="5" t="s">
        <v>1160</v>
      </c>
      <c r="G88" s="178">
        <v>44905</v>
      </c>
      <c r="H88" s="5" t="s">
        <v>1035</v>
      </c>
      <c r="I88" s="5" t="s">
        <v>949</v>
      </c>
      <c r="J88" s="5" t="s">
        <v>934</v>
      </c>
      <c r="K88" s="5">
        <v>214767</v>
      </c>
      <c r="L88" s="5" t="s">
        <v>458</v>
      </c>
      <c r="M88" s="5">
        <v>3040</v>
      </c>
      <c r="N88" s="5" t="s">
        <v>995</v>
      </c>
      <c r="O88" s="5">
        <v>36.700000000000003</v>
      </c>
      <c r="P88" s="5">
        <f t="shared" ref="P88:P151" si="6">+M88*O88</f>
        <v>111568.00000000001</v>
      </c>
      <c r="Q88" s="192"/>
      <c r="R88" s="5">
        <f t="shared" si="4"/>
        <v>111568.00000000001</v>
      </c>
      <c r="S88" s="5">
        <f t="shared" si="5"/>
        <v>36.700000000000003</v>
      </c>
      <c r="T88" s="5" t="s">
        <v>937</v>
      </c>
      <c r="U88" s="5" t="s">
        <v>1161</v>
      </c>
      <c r="V88" s="170">
        <f>VLOOKUP(K88,'Stock statement'!$C$3:$D$382,2,0)</f>
        <v>214767</v>
      </c>
    </row>
    <row r="89" spans="1:22">
      <c r="A89" s="5">
        <v>88</v>
      </c>
      <c r="B89" s="5" t="s">
        <v>928</v>
      </c>
      <c r="C89" s="5" t="s">
        <v>1162</v>
      </c>
      <c r="D89" s="178">
        <v>44905</v>
      </c>
      <c r="E89" s="5" t="s">
        <v>930</v>
      </c>
      <c r="F89" s="5" t="s">
        <v>1163</v>
      </c>
      <c r="G89" s="178">
        <v>44905</v>
      </c>
      <c r="H89" s="5" t="s">
        <v>1039</v>
      </c>
      <c r="I89" s="5" t="s">
        <v>933</v>
      </c>
      <c r="J89" s="5" t="s">
        <v>934</v>
      </c>
      <c r="K89" s="5">
        <v>110814</v>
      </c>
      <c r="L89" s="5" t="s">
        <v>1040</v>
      </c>
      <c r="M89" s="5">
        <v>575</v>
      </c>
      <c r="N89" s="5" t="s">
        <v>951</v>
      </c>
      <c r="O89" s="5">
        <v>45</v>
      </c>
      <c r="P89" s="5">
        <f t="shared" si="6"/>
        <v>25875</v>
      </c>
      <c r="Q89" s="192">
        <v>1200</v>
      </c>
      <c r="R89" s="5">
        <f t="shared" si="4"/>
        <v>27075</v>
      </c>
      <c r="S89" s="5">
        <f t="shared" si="5"/>
        <v>47.086956521739133</v>
      </c>
      <c r="T89" s="5" t="s">
        <v>937</v>
      </c>
      <c r="U89" s="5" t="s">
        <v>1041</v>
      </c>
      <c r="V89" s="170" t="str">
        <f>VLOOKUP(K89,'Stock statement'!$C$3:$D$382,2,0)</f>
        <v>C20</v>
      </c>
    </row>
    <row r="90" spans="1:22">
      <c r="A90" s="5">
        <v>89</v>
      </c>
      <c r="B90" s="5" t="s">
        <v>928</v>
      </c>
      <c r="C90" s="5" t="s">
        <v>1164</v>
      </c>
      <c r="D90" s="178">
        <v>44904</v>
      </c>
      <c r="E90" s="5" t="s">
        <v>930</v>
      </c>
      <c r="F90" s="5" t="s">
        <v>1165</v>
      </c>
      <c r="G90" s="178">
        <v>44905</v>
      </c>
      <c r="H90" s="5" t="s">
        <v>988</v>
      </c>
      <c r="I90" s="5" t="s">
        <v>949</v>
      </c>
      <c r="J90" s="5" t="s">
        <v>934</v>
      </c>
      <c r="K90" s="5">
        <v>214255</v>
      </c>
      <c r="L90" s="5" t="s">
        <v>950</v>
      </c>
      <c r="M90" s="5">
        <v>5589</v>
      </c>
      <c r="N90" s="5" t="s">
        <v>951</v>
      </c>
      <c r="O90" s="5">
        <v>239.21</v>
      </c>
      <c r="P90" s="5">
        <f t="shared" si="6"/>
        <v>1336944.69</v>
      </c>
      <c r="Q90" s="192"/>
      <c r="R90" s="5">
        <f t="shared" si="4"/>
        <v>1336944.69</v>
      </c>
      <c r="S90" s="5">
        <f t="shared" si="5"/>
        <v>239.20999999999998</v>
      </c>
      <c r="T90" s="5" t="s">
        <v>937</v>
      </c>
      <c r="U90" s="5" t="s">
        <v>989</v>
      </c>
      <c r="V90" s="170">
        <f>VLOOKUP(K90,'Stock statement'!$C$3:$D$382,2,0)</f>
        <v>214255</v>
      </c>
    </row>
    <row r="91" spans="1:22">
      <c r="A91" s="5">
        <v>90</v>
      </c>
      <c r="B91" s="5" t="s">
        <v>928</v>
      </c>
      <c r="C91" s="5" t="s">
        <v>1166</v>
      </c>
      <c r="D91" s="178">
        <v>44903</v>
      </c>
      <c r="E91" s="5" t="s">
        <v>930</v>
      </c>
      <c r="F91" s="5" t="s">
        <v>1167</v>
      </c>
      <c r="G91" s="178">
        <v>44907</v>
      </c>
      <c r="H91" s="5" t="s">
        <v>963</v>
      </c>
      <c r="I91" s="5" t="s">
        <v>933</v>
      </c>
      <c r="J91" s="5" t="s">
        <v>934</v>
      </c>
      <c r="K91" s="5">
        <v>111232</v>
      </c>
      <c r="L91" s="5" t="s">
        <v>964</v>
      </c>
      <c r="M91" s="5">
        <v>30040</v>
      </c>
      <c r="N91" s="5" t="s">
        <v>951</v>
      </c>
      <c r="O91" s="5">
        <v>86.5</v>
      </c>
      <c r="P91" s="5">
        <f t="shared" si="6"/>
        <v>2598460</v>
      </c>
      <c r="Q91" s="192">
        <v>175553.8</v>
      </c>
      <c r="R91" s="5">
        <f t="shared" si="4"/>
        <v>2774013.8</v>
      </c>
      <c r="S91" s="5">
        <f t="shared" si="5"/>
        <v>92.344001331557919</v>
      </c>
      <c r="T91" s="5" t="s">
        <v>937</v>
      </c>
      <c r="U91" s="5" t="s">
        <v>1168</v>
      </c>
      <c r="V91" s="170" t="str">
        <f>VLOOKUP(K91,'Stock statement'!$C$3:$D$382,2,0)</f>
        <v>C25</v>
      </c>
    </row>
    <row r="92" spans="1:22">
      <c r="A92" s="5">
        <v>91</v>
      </c>
      <c r="B92" s="5" t="s">
        <v>928</v>
      </c>
      <c r="C92" s="5" t="s">
        <v>1169</v>
      </c>
      <c r="D92" s="178">
        <v>44906</v>
      </c>
      <c r="E92" s="5" t="s">
        <v>930</v>
      </c>
      <c r="F92" s="5" t="s">
        <v>1170</v>
      </c>
      <c r="G92" s="178">
        <v>44907</v>
      </c>
      <c r="H92" s="5" t="s">
        <v>1133</v>
      </c>
      <c r="I92" s="5" t="s">
        <v>949</v>
      </c>
      <c r="J92" s="5" t="s">
        <v>934</v>
      </c>
      <c r="K92" s="5">
        <v>214979</v>
      </c>
      <c r="L92" s="5" t="s">
        <v>528</v>
      </c>
      <c r="M92" s="5">
        <v>2690</v>
      </c>
      <c r="N92" s="5" t="s">
        <v>995</v>
      </c>
      <c r="O92" s="5">
        <v>43.38</v>
      </c>
      <c r="P92" s="5">
        <f t="shared" si="6"/>
        <v>116692.20000000001</v>
      </c>
      <c r="Q92" s="192"/>
      <c r="R92" s="5">
        <f t="shared" si="4"/>
        <v>116692.20000000001</v>
      </c>
      <c r="S92" s="5">
        <f t="shared" si="5"/>
        <v>43.38</v>
      </c>
      <c r="T92" s="5" t="s">
        <v>937</v>
      </c>
      <c r="U92" s="5" t="s">
        <v>1134</v>
      </c>
      <c r="V92" s="170">
        <f>VLOOKUP(K92,'Stock statement'!$C$3:$D$382,2,0)</f>
        <v>214979</v>
      </c>
    </row>
    <row r="93" spans="1:22">
      <c r="A93" s="5">
        <v>92</v>
      </c>
      <c r="B93" s="5" t="s">
        <v>928</v>
      </c>
      <c r="C93" s="5" t="s">
        <v>1171</v>
      </c>
      <c r="D93" s="178">
        <v>44906</v>
      </c>
      <c r="E93" s="5" t="s">
        <v>930</v>
      </c>
      <c r="F93" s="5" t="s">
        <v>1172</v>
      </c>
      <c r="G93" s="178">
        <v>44907</v>
      </c>
      <c r="H93" s="5" t="s">
        <v>1173</v>
      </c>
      <c r="I93" s="5" t="s">
        <v>949</v>
      </c>
      <c r="J93" s="5" t="s">
        <v>934</v>
      </c>
      <c r="K93" s="5">
        <v>229099</v>
      </c>
      <c r="L93" s="5" t="s">
        <v>1174</v>
      </c>
      <c r="M93" s="5">
        <v>2084</v>
      </c>
      <c r="N93" s="5" t="s">
        <v>995</v>
      </c>
      <c r="O93" s="5">
        <v>12</v>
      </c>
      <c r="P93" s="5">
        <f t="shared" si="6"/>
        <v>25008</v>
      </c>
      <c r="Q93" s="192">
        <v>2500</v>
      </c>
      <c r="R93" s="5">
        <f t="shared" si="4"/>
        <v>27508</v>
      </c>
      <c r="S93" s="209">
        <f>+R93/M93</f>
        <v>13.199616122840691</v>
      </c>
      <c r="T93" s="5" t="s">
        <v>937</v>
      </c>
      <c r="U93" s="5" t="s">
        <v>1175</v>
      </c>
      <c r="V93" s="170" t="str">
        <f>VLOOKUP(K93,'Stock statement'!$C$3:$D$382,2,0)</f>
        <v>B3</v>
      </c>
    </row>
    <row r="94" spans="1:22">
      <c r="A94" s="5">
        <v>93</v>
      </c>
      <c r="B94" s="5" t="s">
        <v>928</v>
      </c>
      <c r="C94" s="5" t="s">
        <v>1176</v>
      </c>
      <c r="D94" s="178">
        <v>44907</v>
      </c>
      <c r="E94" s="5" t="s">
        <v>930</v>
      </c>
      <c r="F94" s="5" t="s">
        <v>1177</v>
      </c>
      <c r="G94" s="178">
        <v>44907</v>
      </c>
      <c r="H94" s="5" t="s">
        <v>1178</v>
      </c>
      <c r="I94" s="5" t="s">
        <v>933</v>
      </c>
      <c r="J94" s="5" t="s">
        <v>934</v>
      </c>
      <c r="K94" s="5">
        <v>110001</v>
      </c>
      <c r="L94" s="5" t="s">
        <v>935</v>
      </c>
      <c r="M94" s="5">
        <v>21500</v>
      </c>
      <c r="N94" s="5" t="s">
        <v>936</v>
      </c>
      <c r="O94" s="5">
        <v>0.34</v>
      </c>
      <c r="P94" s="5">
        <f t="shared" si="6"/>
        <v>7310.0000000000009</v>
      </c>
      <c r="Q94" s="192"/>
      <c r="R94" s="5">
        <f t="shared" si="4"/>
        <v>7310.0000000000009</v>
      </c>
      <c r="S94" s="5">
        <f t="shared" si="5"/>
        <v>0.34</v>
      </c>
      <c r="T94" s="5" t="s">
        <v>937</v>
      </c>
      <c r="U94" s="5" t="s">
        <v>1179</v>
      </c>
      <c r="V94" s="170" t="str">
        <f>VLOOKUP(K94,'Stock statement'!$C$3:$D$382,2,0)</f>
        <v>C16</v>
      </c>
    </row>
    <row r="95" spans="1:22">
      <c r="A95" s="5">
        <v>94</v>
      </c>
      <c r="B95" s="5" t="s">
        <v>928</v>
      </c>
      <c r="C95" s="5" t="s">
        <v>1180</v>
      </c>
      <c r="D95" s="178">
        <v>44907</v>
      </c>
      <c r="E95" s="5" t="s">
        <v>930</v>
      </c>
      <c r="F95" s="5" t="s">
        <v>1181</v>
      </c>
      <c r="G95" s="178">
        <v>44907</v>
      </c>
      <c r="H95" s="5" t="s">
        <v>932</v>
      </c>
      <c r="I95" s="5" t="s">
        <v>933</v>
      </c>
      <c r="J95" s="5" t="s">
        <v>934</v>
      </c>
      <c r="K95" s="5">
        <v>110001</v>
      </c>
      <c r="L95" s="5" t="s">
        <v>935</v>
      </c>
      <c r="M95" s="5">
        <v>7300</v>
      </c>
      <c r="N95" s="5" t="s">
        <v>936</v>
      </c>
      <c r="O95" s="5">
        <v>0.34</v>
      </c>
      <c r="P95" s="5">
        <f t="shared" si="6"/>
        <v>2482</v>
      </c>
      <c r="Q95" s="192"/>
      <c r="R95" s="5">
        <f t="shared" si="4"/>
        <v>2482</v>
      </c>
      <c r="S95" s="5">
        <f t="shared" si="5"/>
        <v>0.34</v>
      </c>
      <c r="T95" s="5" t="s">
        <v>937</v>
      </c>
      <c r="U95" s="5" t="s">
        <v>938</v>
      </c>
      <c r="V95" s="170" t="str">
        <f>VLOOKUP(K95,'Stock statement'!$C$3:$D$382,2,0)</f>
        <v>C16</v>
      </c>
    </row>
    <row r="96" spans="1:22">
      <c r="A96" s="5">
        <v>95</v>
      </c>
      <c r="B96" s="5" t="s">
        <v>928</v>
      </c>
      <c r="C96" s="5" t="s">
        <v>1182</v>
      </c>
      <c r="D96" s="178">
        <v>44907</v>
      </c>
      <c r="E96" s="5" t="s">
        <v>930</v>
      </c>
      <c r="F96" s="5" t="s">
        <v>1183</v>
      </c>
      <c r="G96" s="178">
        <v>44907</v>
      </c>
      <c r="H96" s="5" t="s">
        <v>932</v>
      </c>
      <c r="I96" s="5" t="s">
        <v>933</v>
      </c>
      <c r="J96" s="5" t="s">
        <v>934</v>
      </c>
      <c r="K96" s="5">
        <v>110001</v>
      </c>
      <c r="L96" s="5" t="s">
        <v>935</v>
      </c>
      <c r="M96" s="5">
        <v>27100</v>
      </c>
      <c r="N96" s="5" t="s">
        <v>936</v>
      </c>
      <c r="O96" s="5">
        <v>0.34</v>
      </c>
      <c r="P96" s="5">
        <f t="shared" si="6"/>
        <v>9214</v>
      </c>
      <c r="Q96" s="192"/>
      <c r="R96" s="5">
        <f t="shared" si="4"/>
        <v>9214</v>
      </c>
      <c r="S96" s="5">
        <f t="shared" si="5"/>
        <v>0.34</v>
      </c>
      <c r="T96" s="5" t="s">
        <v>937</v>
      </c>
      <c r="U96" s="5" t="s">
        <v>938</v>
      </c>
      <c r="V96" s="170" t="str">
        <f>VLOOKUP(K96,'Stock statement'!$C$3:$D$382,2,0)</f>
        <v>C16</v>
      </c>
    </row>
    <row r="97" spans="1:22">
      <c r="A97" s="5">
        <v>96</v>
      </c>
      <c r="B97" s="5" t="s">
        <v>928</v>
      </c>
      <c r="C97" s="5" t="s">
        <v>1184</v>
      </c>
      <c r="D97" s="178">
        <v>44907</v>
      </c>
      <c r="E97" s="5" t="s">
        <v>930</v>
      </c>
      <c r="F97" s="5" t="s">
        <v>1185</v>
      </c>
      <c r="G97" s="178">
        <v>44908</v>
      </c>
      <c r="H97" s="5" t="s">
        <v>1114</v>
      </c>
      <c r="I97" s="5" t="s">
        <v>933</v>
      </c>
      <c r="J97" s="5" t="s">
        <v>934</v>
      </c>
      <c r="K97" s="5">
        <v>110020</v>
      </c>
      <c r="L97" s="5" t="s">
        <v>1115</v>
      </c>
      <c r="M97" s="5">
        <v>4600</v>
      </c>
      <c r="N97" s="5" t="s">
        <v>951</v>
      </c>
      <c r="O97" s="5">
        <v>153.46</v>
      </c>
      <c r="P97" s="5">
        <f t="shared" si="6"/>
        <v>705916</v>
      </c>
      <c r="Q97" s="192">
        <v>9000</v>
      </c>
      <c r="R97" s="5">
        <f t="shared" si="4"/>
        <v>714916</v>
      </c>
      <c r="S97" s="5">
        <f t="shared" si="5"/>
        <v>155.41652173913045</v>
      </c>
      <c r="T97" s="5" t="s">
        <v>937</v>
      </c>
      <c r="U97" s="5" t="s">
        <v>1186</v>
      </c>
      <c r="V97" s="170" t="str">
        <f>VLOOKUP(K97,'Stock statement'!$C$3:$D$382,2,0)</f>
        <v>C14</v>
      </c>
    </row>
    <row r="98" spans="1:22">
      <c r="A98" s="5">
        <v>97</v>
      </c>
      <c r="B98" s="5" t="s">
        <v>928</v>
      </c>
      <c r="C98" s="5" t="s">
        <v>1187</v>
      </c>
      <c r="D98" s="178">
        <v>44908</v>
      </c>
      <c r="E98" s="5" t="s">
        <v>930</v>
      </c>
      <c r="F98" s="5" t="s">
        <v>1188</v>
      </c>
      <c r="G98" s="178">
        <v>44908</v>
      </c>
      <c r="H98" s="5" t="s">
        <v>932</v>
      </c>
      <c r="I98" s="5" t="s">
        <v>933</v>
      </c>
      <c r="J98" s="5" t="s">
        <v>934</v>
      </c>
      <c r="K98" s="5">
        <v>110001</v>
      </c>
      <c r="L98" s="5" t="s">
        <v>935</v>
      </c>
      <c r="M98" s="5">
        <v>35500</v>
      </c>
      <c r="N98" s="5" t="s">
        <v>936</v>
      </c>
      <c r="O98" s="5">
        <v>0.34</v>
      </c>
      <c r="P98" s="5">
        <f t="shared" si="6"/>
        <v>12070</v>
      </c>
      <c r="Q98" s="192"/>
      <c r="R98" s="5">
        <f t="shared" si="4"/>
        <v>12070</v>
      </c>
      <c r="S98" s="5">
        <f t="shared" si="5"/>
        <v>0.34</v>
      </c>
      <c r="T98" s="5" t="s">
        <v>937</v>
      </c>
      <c r="U98" s="5" t="s">
        <v>938</v>
      </c>
      <c r="V98" s="170" t="str">
        <f>VLOOKUP(K98,'Stock statement'!$C$3:$D$382,2,0)</f>
        <v>C16</v>
      </c>
    </row>
    <row r="99" spans="1:22">
      <c r="A99" s="5">
        <v>98</v>
      </c>
      <c r="B99" s="5" t="s">
        <v>928</v>
      </c>
      <c r="C99" s="5" t="s">
        <v>1189</v>
      </c>
      <c r="D99" s="178">
        <v>44908</v>
      </c>
      <c r="E99" s="5" t="s">
        <v>930</v>
      </c>
      <c r="F99" s="5" t="s">
        <v>1190</v>
      </c>
      <c r="G99" s="178">
        <v>44908</v>
      </c>
      <c r="H99" s="5" t="s">
        <v>932</v>
      </c>
      <c r="I99" s="5" t="s">
        <v>933</v>
      </c>
      <c r="J99" s="5" t="s">
        <v>934</v>
      </c>
      <c r="K99" s="5">
        <v>110001</v>
      </c>
      <c r="L99" s="5" t="s">
        <v>935</v>
      </c>
      <c r="M99" s="5">
        <v>35700</v>
      </c>
      <c r="N99" s="5" t="s">
        <v>936</v>
      </c>
      <c r="O99" s="5">
        <v>0.34</v>
      </c>
      <c r="P99" s="5">
        <f t="shared" si="6"/>
        <v>12138</v>
      </c>
      <c r="Q99" s="192"/>
      <c r="R99" s="5">
        <f t="shared" si="4"/>
        <v>12138</v>
      </c>
      <c r="S99" s="5">
        <f t="shared" si="5"/>
        <v>0.34</v>
      </c>
      <c r="T99" s="5" t="s">
        <v>937</v>
      </c>
      <c r="U99" s="5" t="s">
        <v>938</v>
      </c>
      <c r="V99" s="170" t="str">
        <f>VLOOKUP(K99,'Stock statement'!$C$3:$D$382,2,0)</f>
        <v>C16</v>
      </c>
    </row>
    <row r="100" spans="1:22">
      <c r="A100" s="5">
        <v>99</v>
      </c>
      <c r="B100" s="5" t="s">
        <v>928</v>
      </c>
      <c r="C100" s="5" t="s">
        <v>1191</v>
      </c>
      <c r="D100" s="178">
        <v>44907</v>
      </c>
      <c r="E100" s="5" t="s">
        <v>930</v>
      </c>
      <c r="F100" s="5" t="s">
        <v>1192</v>
      </c>
      <c r="G100" s="178">
        <v>44908</v>
      </c>
      <c r="H100" s="5" t="s">
        <v>1066</v>
      </c>
      <c r="I100" s="5" t="s">
        <v>949</v>
      </c>
      <c r="J100" s="5" t="s">
        <v>934</v>
      </c>
      <c r="K100" s="5">
        <v>214376</v>
      </c>
      <c r="L100" s="5" t="s">
        <v>1137</v>
      </c>
      <c r="M100" s="5">
        <v>3803</v>
      </c>
      <c r="N100" s="5" t="s">
        <v>995</v>
      </c>
      <c r="O100" s="5">
        <v>29.39</v>
      </c>
      <c r="P100" s="5">
        <f t="shared" si="6"/>
        <v>111770.17</v>
      </c>
      <c r="Q100" s="192"/>
      <c r="R100" s="5">
        <f t="shared" si="4"/>
        <v>111770.17</v>
      </c>
      <c r="S100" s="5">
        <f t="shared" si="5"/>
        <v>29.39</v>
      </c>
      <c r="T100" s="5" t="s">
        <v>937</v>
      </c>
      <c r="U100" s="5" t="s">
        <v>1193</v>
      </c>
      <c r="V100" s="170">
        <f>VLOOKUP(K100,'Stock statement'!$C$3:$D$382,2,0)</f>
        <v>214376</v>
      </c>
    </row>
    <row r="101" spans="1:22">
      <c r="A101" s="5">
        <v>100</v>
      </c>
      <c r="B101" s="5" t="s">
        <v>928</v>
      </c>
      <c r="C101" s="5" t="s">
        <v>1191</v>
      </c>
      <c r="D101" s="178">
        <v>44907</v>
      </c>
      <c r="E101" s="5" t="s">
        <v>930</v>
      </c>
      <c r="F101" s="5" t="s">
        <v>1192</v>
      </c>
      <c r="G101" s="178">
        <v>44908</v>
      </c>
      <c r="H101" s="5" t="s">
        <v>1066</v>
      </c>
      <c r="I101" s="5" t="s">
        <v>949</v>
      </c>
      <c r="J101" s="5" t="s">
        <v>934</v>
      </c>
      <c r="K101" s="5">
        <v>214377</v>
      </c>
      <c r="L101" s="5" t="s">
        <v>1139</v>
      </c>
      <c r="M101" s="5">
        <v>7933</v>
      </c>
      <c r="N101" s="5" t="s">
        <v>995</v>
      </c>
      <c r="O101" s="5">
        <v>14.13</v>
      </c>
      <c r="P101" s="5">
        <f t="shared" si="6"/>
        <v>112093.29000000001</v>
      </c>
      <c r="Q101" s="192"/>
      <c r="R101" s="5">
        <f t="shared" si="4"/>
        <v>112093.29000000001</v>
      </c>
      <c r="S101" s="5">
        <f t="shared" si="5"/>
        <v>14.13</v>
      </c>
      <c r="T101" s="5" t="s">
        <v>937</v>
      </c>
      <c r="U101" s="5" t="s">
        <v>1193</v>
      </c>
      <c r="V101" s="170">
        <f>VLOOKUP(K101,'Stock statement'!$C$3:$D$382,2,0)</f>
        <v>214377</v>
      </c>
    </row>
    <row r="102" spans="1:22">
      <c r="A102" s="5">
        <v>101</v>
      </c>
      <c r="B102" s="5" t="s">
        <v>928</v>
      </c>
      <c r="C102" s="5" t="s">
        <v>1194</v>
      </c>
      <c r="D102" s="178">
        <v>44907</v>
      </c>
      <c r="E102" s="5" t="s">
        <v>930</v>
      </c>
      <c r="F102" s="5" t="s">
        <v>1195</v>
      </c>
      <c r="G102" s="178">
        <v>44908</v>
      </c>
      <c r="H102" s="5" t="s">
        <v>1066</v>
      </c>
      <c r="I102" s="5" t="s">
        <v>949</v>
      </c>
      <c r="J102" s="5" t="s">
        <v>934</v>
      </c>
      <c r="K102" s="5">
        <v>230241</v>
      </c>
      <c r="L102" s="5" t="s">
        <v>1196</v>
      </c>
      <c r="M102" s="5">
        <v>806</v>
      </c>
      <c r="N102" s="5" t="s">
        <v>995</v>
      </c>
      <c r="O102" s="5">
        <v>41.01</v>
      </c>
      <c r="P102" s="5">
        <f t="shared" si="6"/>
        <v>33054.06</v>
      </c>
      <c r="Q102" s="192"/>
      <c r="R102" s="5">
        <f t="shared" si="4"/>
        <v>33054.06</v>
      </c>
      <c r="S102" s="5">
        <f t="shared" si="5"/>
        <v>41.01</v>
      </c>
      <c r="T102" s="5" t="s">
        <v>937</v>
      </c>
      <c r="U102" s="5" t="s">
        <v>1197</v>
      </c>
      <c r="V102" s="170">
        <f>VLOOKUP(K102,'Stock statement'!$C$3:$D$382,2,0)</f>
        <v>230241</v>
      </c>
    </row>
    <row r="103" spans="1:22">
      <c r="A103" s="5">
        <v>102</v>
      </c>
      <c r="B103" s="5" t="s">
        <v>928</v>
      </c>
      <c r="C103" s="5" t="s">
        <v>1198</v>
      </c>
      <c r="D103" s="178">
        <v>44907</v>
      </c>
      <c r="E103" s="5" t="s">
        <v>930</v>
      </c>
      <c r="F103" s="5" t="s">
        <v>1199</v>
      </c>
      <c r="G103" s="178">
        <v>44908</v>
      </c>
      <c r="H103" s="5" t="s">
        <v>1035</v>
      </c>
      <c r="I103" s="5" t="s">
        <v>949</v>
      </c>
      <c r="J103" s="5" t="s">
        <v>934</v>
      </c>
      <c r="K103" s="5">
        <v>214767</v>
      </c>
      <c r="L103" s="5" t="s">
        <v>458</v>
      </c>
      <c r="M103" s="5">
        <v>3075</v>
      </c>
      <c r="N103" s="5" t="s">
        <v>995</v>
      </c>
      <c r="O103" s="5">
        <v>36.700000000000003</v>
      </c>
      <c r="P103" s="5">
        <f t="shared" si="6"/>
        <v>112852.50000000001</v>
      </c>
      <c r="Q103" s="192"/>
      <c r="R103" s="5">
        <f t="shared" si="4"/>
        <v>112852.50000000001</v>
      </c>
      <c r="S103" s="5">
        <f t="shared" si="5"/>
        <v>36.700000000000003</v>
      </c>
      <c r="T103" s="5" t="s">
        <v>937</v>
      </c>
      <c r="U103" s="5" t="s">
        <v>1200</v>
      </c>
      <c r="V103" s="170">
        <f>VLOOKUP(K103,'Stock statement'!$C$3:$D$382,2,0)</f>
        <v>214767</v>
      </c>
    </row>
    <row r="104" spans="1:22">
      <c r="A104" s="5">
        <v>103</v>
      </c>
      <c r="B104" s="5" t="s">
        <v>928</v>
      </c>
      <c r="C104" s="5" t="s">
        <v>1198</v>
      </c>
      <c r="D104" s="178">
        <v>44907</v>
      </c>
      <c r="E104" s="5" t="s">
        <v>930</v>
      </c>
      <c r="F104" s="5" t="s">
        <v>1199</v>
      </c>
      <c r="G104" s="178">
        <v>44908</v>
      </c>
      <c r="H104" s="5" t="s">
        <v>1035</v>
      </c>
      <c r="I104" s="5" t="s">
        <v>949</v>
      </c>
      <c r="J104" s="5" t="s">
        <v>934</v>
      </c>
      <c r="K104" s="5">
        <v>214768</v>
      </c>
      <c r="L104" s="5" t="s">
        <v>459</v>
      </c>
      <c r="M104" s="5">
        <v>12300</v>
      </c>
      <c r="N104" s="5" t="s">
        <v>995</v>
      </c>
      <c r="O104" s="5">
        <v>10.53</v>
      </c>
      <c r="P104" s="5">
        <f t="shared" si="6"/>
        <v>129518.99999999999</v>
      </c>
      <c r="Q104" s="192"/>
      <c r="R104" s="5">
        <f t="shared" si="4"/>
        <v>129518.99999999999</v>
      </c>
      <c r="S104" s="5">
        <f t="shared" si="5"/>
        <v>10.53</v>
      </c>
      <c r="T104" s="5" t="s">
        <v>937</v>
      </c>
      <c r="U104" s="5" t="s">
        <v>1200</v>
      </c>
      <c r="V104" s="170">
        <f>VLOOKUP(K104,'Stock statement'!$C$3:$D$382,2,0)</f>
        <v>214768</v>
      </c>
    </row>
    <row r="105" spans="1:22">
      <c r="A105" s="5">
        <v>104</v>
      </c>
      <c r="B105" s="5" t="s">
        <v>928</v>
      </c>
      <c r="C105" s="5" t="s">
        <v>1201</v>
      </c>
      <c r="D105" s="178">
        <v>44895</v>
      </c>
      <c r="E105" s="5" t="s">
        <v>930</v>
      </c>
      <c r="F105" s="5" t="s">
        <v>1202</v>
      </c>
      <c r="G105" s="178">
        <v>44908</v>
      </c>
      <c r="H105" s="5" t="s">
        <v>948</v>
      </c>
      <c r="I105" s="5" t="s">
        <v>949</v>
      </c>
      <c r="J105" s="5" t="s">
        <v>934</v>
      </c>
      <c r="K105" s="5">
        <v>214256</v>
      </c>
      <c r="L105" s="5" t="s">
        <v>1102</v>
      </c>
      <c r="M105" s="5">
        <v>799.5</v>
      </c>
      <c r="N105" s="5" t="s">
        <v>951</v>
      </c>
      <c r="O105" s="5">
        <v>234</v>
      </c>
      <c r="P105" s="5">
        <f t="shared" si="6"/>
        <v>187083</v>
      </c>
      <c r="Q105" s="192"/>
      <c r="R105" s="5">
        <f t="shared" si="4"/>
        <v>187083</v>
      </c>
      <c r="S105" s="5">
        <f t="shared" si="5"/>
        <v>234</v>
      </c>
      <c r="T105" s="5" t="s">
        <v>937</v>
      </c>
      <c r="U105" s="5" t="s">
        <v>952</v>
      </c>
      <c r="V105" s="170">
        <f>VLOOKUP(K105,'Stock statement'!$C$3:$D$382,2,0)</f>
        <v>214256</v>
      </c>
    </row>
    <row r="106" spans="1:22">
      <c r="A106" s="5">
        <v>105</v>
      </c>
      <c r="B106" s="5" t="s">
        <v>928</v>
      </c>
      <c r="C106" s="5" t="s">
        <v>1201</v>
      </c>
      <c r="D106" s="178">
        <v>44895</v>
      </c>
      <c r="E106" s="5" t="s">
        <v>930</v>
      </c>
      <c r="F106" s="5" t="s">
        <v>1202</v>
      </c>
      <c r="G106" s="178">
        <v>44908</v>
      </c>
      <c r="H106" s="5" t="s">
        <v>948</v>
      </c>
      <c r="I106" s="5" t="s">
        <v>949</v>
      </c>
      <c r="J106" s="5" t="s">
        <v>934</v>
      </c>
      <c r="K106" s="5">
        <v>214255</v>
      </c>
      <c r="L106" s="5" t="s">
        <v>950</v>
      </c>
      <c r="M106" s="5">
        <v>406.75</v>
      </c>
      <c r="N106" s="5" t="s">
        <v>951</v>
      </c>
      <c r="O106" s="5">
        <v>234</v>
      </c>
      <c r="P106" s="5">
        <f t="shared" si="6"/>
        <v>95179.5</v>
      </c>
      <c r="Q106" s="192"/>
      <c r="R106" s="5">
        <f t="shared" si="4"/>
        <v>95179.5</v>
      </c>
      <c r="S106" s="5">
        <f t="shared" si="5"/>
        <v>234</v>
      </c>
      <c r="T106" s="5" t="s">
        <v>937</v>
      </c>
      <c r="U106" s="5" t="s">
        <v>952</v>
      </c>
      <c r="V106" s="170">
        <f>VLOOKUP(K106,'Stock statement'!$C$3:$D$382,2,0)</f>
        <v>214255</v>
      </c>
    </row>
    <row r="107" spans="1:22">
      <c r="A107" s="5">
        <v>106</v>
      </c>
      <c r="B107" s="5" t="s">
        <v>928</v>
      </c>
      <c r="C107" s="5" t="s">
        <v>1203</v>
      </c>
      <c r="D107" s="178">
        <v>44908</v>
      </c>
      <c r="E107" s="5" t="s">
        <v>930</v>
      </c>
      <c r="F107" s="5" t="s">
        <v>1204</v>
      </c>
      <c r="G107" s="178">
        <v>44908</v>
      </c>
      <c r="H107" s="5" t="s">
        <v>948</v>
      </c>
      <c r="I107" s="5" t="s">
        <v>949</v>
      </c>
      <c r="J107" s="5" t="s">
        <v>934</v>
      </c>
      <c r="K107" s="5">
        <v>214255</v>
      </c>
      <c r="L107" s="5" t="s">
        <v>950</v>
      </c>
      <c r="M107" s="5">
        <v>774.5</v>
      </c>
      <c r="N107" s="5" t="s">
        <v>951</v>
      </c>
      <c r="O107" s="5">
        <v>234</v>
      </c>
      <c r="P107" s="5">
        <f t="shared" si="6"/>
        <v>181233</v>
      </c>
      <c r="Q107" s="192"/>
      <c r="R107" s="5">
        <f t="shared" si="4"/>
        <v>181233</v>
      </c>
      <c r="S107" s="5">
        <f t="shared" si="5"/>
        <v>234</v>
      </c>
      <c r="T107" s="5" t="s">
        <v>937</v>
      </c>
      <c r="U107" s="5" t="s">
        <v>952</v>
      </c>
      <c r="V107" s="170">
        <f>VLOOKUP(K107,'Stock statement'!$C$3:$D$382,2,0)</f>
        <v>214255</v>
      </c>
    </row>
    <row r="108" spans="1:22">
      <c r="A108" s="5">
        <v>107</v>
      </c>
      <c r="B108" s="5" t="s">
        <v>928</v>
      </c>
      <c r="C108" s="5" t="s">
        <v>1203</v>
      </c>
      <c r="D108" s="178">
        <v>44908</v>
      </c>
      <c r="E108" s="5" t="s">
        <v>930</v>
      </c>
      <c r="F108" s="5" t="s">
        <v>1204</v>
      </c>
      <c r="G108" s="178">
        <v>44908</v>
      </c>
      <c r="H108" s="5" t="s">
        <v>948</v>
      </c>
      <c r="I108" s="5" t="s">
        <v>949</v>
      </c>
      <c r="J108" s="5" t="s">
        <v>934</v>
      </c>
      <c r="K108" s="5">
        <v>214989</v>
      </c>
      <c r="L108" s="5" t="s">
        <v>543</v>
      </c>
      <c r="M108" s="5">
        <v>700</v>
      </c>
      <c r="N108" s="5" t="s">
        <v>951</v>
      </c>
      <c r="O108" s="5">
        <v>234</v>
      </c>
      <c r="P108" s="5">
        <f t="shared" si="6"/>
        <v>163800</v>
      </c>
      <c r="Q108" s="192"/>
      <c r="R108" s="5">
        <f t="shared" si="4"/>
        <v>163800</v>
      </c>
      <c r="S108" s="5">
        <f t="shared" si="5"/>
        <v>234</v>
      </c>
      <c r="T108" s="5" t="s">
        <v>937</v>
      </c>
      <c r="U108" s="5" t="s">
        <v>952</v>
      </c>
      <c r="V108" s="170">
        <f>VLOOKUP(K108,'Stock statement'!$C$3:$D$382,2,0)</f>
        <v>214989</v>
      </c>
    </row>
    <row r="109" spans="1:22">
      <c r="A109" s="5">
        <v>108</v>
      </c>
      <c r="B109" s="5" t="s">
        <v>928</v>
      </c>
      <c r="C109" s="5" t="s">
        <v>1203</v>
      </c>
      <c r="D109" s="178">
        <v>44908</v>
      </c>
      <c r="E109" s="5" t="s">
        <v>930</v>
      </c>
      <c r="F109" s="5" t="s">
        <v>1205</v>
      </c>
      <c r="G109" s="178">
        <v>44908</v>
      </c>
      <c r="H109" s="5" t="s">
        <v>948</v>
      </c>
      <c r="I109" s="5" t="s">
        <v>949</v>
      </c>
      <c r="J109" s="5" t="s">
        <v>934</v>
      </c>
      <c r="K109" s="5">
        <v>214989</v>
      </c>
      <c r="L109" s="5" t="s">
        <v>1206</v>
      </c>
      <c r="M109" s="5">
        <v>66.5</v>
      </c>
      <c r="N109" s="5" t="s">
        <v>951</v>
      </c>
      <c r="O109" s="5">
        <v>234</v>
      </c>
      <c r="P109" s="5">
        <f t="shared" si="6"/>
        <v>15561</v>
      </c>
      <c r="Q109" s="192"/>
      <c r="R109" s="5">
        <f t="shared" si="4"/>
        <v>15561</v>
      </c>
      <c r="S109" s="5">
        <f t="shared" si="5"/>
        <v>234</v>
      </c>
      <c r="T109" s="5" t="s">
        <v>937</v>
      </c>
      <c r="U109" s="5" t="s">
        <v>1207</v>
      </c>
      <c r="V109" s="170">
        <f>VLOOKUP(K109,'Stock statement'!$C$3:$D$382,2,0)</f>
        <v>214989</v>
      </c>
    </row>
    <row r="110" spans="1:22">
      <c r="A110" s="5">
        <v>109</v>
      </c>
      <c r="B110" s="5" t="s">
        <v>928</v>
      </c>
      <c r="C110" s="5" t="s">
        <v>1208</v>
      </c>
      <c r="D110" s="178">
        <v>44907</v>
      </c>
      <c r="E110" s="5" t="s">
        <v>930</v>
      </c>
      <c r="F110" s="5" t="s">
        <v>1209</v>
      </c>
      <c r="G110" s="178">
        <v>44908</v>
      </c>
      <c r="H110" s="5" t="s">
        <v>988</v>
      </c>
      <c r="I110" s="5" t="s">
        <v>949</v>
      </c>
      <c r="J110" s="5" t="s">
        <v>934</v>
      </c>
      <c r="K110" s="5">
        <v>214686</v>
      </c>
      <c r="L110" s="5" t="s">
        <v>1056</v>
      </c>
      <c r="M110" s="5">
        <v>630</v>
      </c>
      <c r="N110" s="5" t="s">
        <v>951</v>
      </c>
      <c r="O110" s="5">
        <v>210.27</v>
      </c>
      <c r="P110" s="5">
        <f t="shared" si="6"/>
        <v>132470.1</v>
      </c>
      <c r="Q110" s="192"/>
      <c r="R110" s="5">
        <f t="shared" si="4"/>
        <v>132470.1</v>
      </c>
      <c r="S110" s="5">
        <f t="shared" si="5"/>
        <v>210.27</v>
      </c>
      <c r="T110" s="5" t="s">
        <v>937</v>
      </c>
      <c r="U110" s="5" t="s">
        <v>989</v>
      </c>
      <c r="V110" s="170">
        <f>VLOOKUP(K110,'Stock statement'!$C$3:$D$382,2,0)</f>
        <v>214686</v>
      </c>
    </row>
    <row r="111" spans="1:22">
      <c r="A111" s="5">
        <v>110</v>
      </c>
      <c r="B111" s="5" t="s">
        <v>928</v>
      </c>
      <c r="C111" s="5" t="s">
        <v>1210</v>
      </c>
      <c r="D111" s="178">
        <v>44907</v>
      </c>
      <c r="E111" s="5" t="s">
        <v>930</v>
      </c>
      <c r="F111" s="5" t="s">
        <v>1211</v>
      </c>
      <c r="G111" s="178">
        <v>44908</v>
      </c>
      <c r="H111" s="5" t="s">
        <v>988</v>
      </c>
      <c r="I111" s="5" t="s">
        <v>949</v>
      </c>
      <c r="J111" s="5" t="s">
        <v>934</v>
      </c>
      <c r="K111" s="5">
        <v>214255</v>
      </c>
      <c r="L111" s="5" t="s">
        <v>950</v>
      </c>
      <c r="M111" s="5">
        <v>3266</v>
      </c>
      <c r="N111" s="5" t="s">
        <v>951</v>
      </c>
      <c r="O111" s="5">
        <v>239.21</v>
      </c>
      <c r="P111" s="5">
        <f t="shared" si="6"/>
        <v>781259.86</v>
      </c>
      <c r="Q111" s="192"/>
      <c r="R111" s="5">
        <f t="shared" si="4"/>
        <v>781259.86</v>
      </c>
      <c r="S111" s="5">
        <f t="shared" si="5"/>
        <v>239.21</v>
      </c>
      <c r="T111" s="5" t="s">
        <v>937</v>
      </c>
      <c r="U111" s="5" t="s">
        <v>989</v>
      </c>
      <c r="V111" s="170">
        <f>VLOOKUP(K111,'Stock statement'!$C$3:$D$382,2,0)</f>
        <v>214255</v>
      </c>
    </row>
    <row r="112" spans="1:22">
      <c r="A112" s="5">
        <v>111</v>
      </c>
      <c r="B112" s="5" t="s">
        <v>928</v>
      </c>
      <c r="C112" s="5" t="s">
        <v>1212</v>
      </c>
      <c r="D112" s="178">
        <v>44909</v>
      </c>
      <c r="E112" s="5" t="s">
        <v>930</v>
      </c>
      <c r="F112" s="5" t="s">
        <v>1213</v>
      </c>
      <c r="G112" s="178">
        <v>44909</v>
      </c>
      <c r="H112" s="5" t="s">
        <v>994</v>
      </c>
      <c r="I112" s="5" t="s">
        <v>949</v>
      </c>
      <c r="J112" s="5" t="s">
        <v>934</v>
      </c>
      <c r="K112" s="5">
        <v>214376</v>
      </c>
      <c r="L112" s="5" t="s">
        <v>1137</v>
      </c>
      <c r="M112" s="5">
        <v>5000</v>
      </c>
      <c r="N112" s="5" t="s">
        <v>995</v>
      </c>
      <c r="O112" s="5">
        <v>29.39</v>
      </c>
      <c r="P112" s="5">
        <f t="shared" si="6"/>
        <v>146950</v>
      </c>
      <c r="Q112" s="192"/>
      <c r="R112" s="5">
        <f t="shared" si="4"/>
        <v>146950</v>
      </c>
      <c r="S112" s="5">
        <f t="shared" si="5"/>
        <v>29.39</v>
      </c>
      <c r="T112" s="5" t="s">
        <v>937</v>
      </c>
      <c r="U112" s="5" t="s">
        <v>1214</v>
      </c>
      <c r="V112" s="170">
        <f>VLOOKUP(K112,'Stock statement'!$C$3:$D$382,2,0)</f>
        <v>214376</v>
      </c>
    </row>
    <row r="113" spans="1:22">
      <c r="A113" s="5">
        <v>112</v>
      </c>
      <c r="B113" s="5" t="s">
        <v>928</v>
      </c>
      <c r="C113" s="5" t="s">
        <v>1212</v>
      </c>
      <c r="D113" s="178">
        <v>44909</v>
      </c>
      <c r="E113" s="5" t="s">
        <v>930</v>
      </c>
      <c r="F113" s="5" t="s">
        <v>1213</v>
      </c>
      <c r="G113" s="178">
        <v>44909</v>
      </c>
      <c r="H113" s="5" t="s">
        <v>994</v>
      </c>
      <c r="I113" s="5" t="s">
        <v>949</v>
      </c>
      <c r="J113" s="5" t="s">
        <v>934</v>
      </c>
      <c r="K113" s="5">
        <v>214377</v>
      </c>
      <c r="L113" s="5" t="s">
        <v>1139</v>
      </c>
      <c r="M113" s="5">
        <v>9900</v>
      </c>
      <c r="N113" s="5" t="s">
        <v>995</v>
      </c>
      <c r="O113" s="5">
        <v>14.13</v>
      </c>
      <c r="P113" s="5">
        <f t="shared" si="6"/>
        <v>139887</v>
      </c>
      <c r="Q113" s="192"/>
      <c r="R113" s="5">
        <f t="shared" si="4"/>
        <v>139887</v>
      </c>
      <c r="S113" s="5">
        <f t="shared" si="5"/>
        <v>14.13</v>
      </c>
      <c r="T113" s="5" t="s">
        <v>937</v>
      </c>
      <c r="U113" s="5" t="s">
        <v>1214</v>
      </c>
      <c r="V113" s="170">
        <f>VLOOKUP(K113,'Stock statement'!$C$3:$D$382,2,0)</f>
        <v>214377</v>
      </c>
    </row>
    <row r="114" spans="1:22">
      <c r="A114" s="5">
        <v>113</v>
      </c>
      <c r="B114" s="5" t="s">
        <v>928</v>
      </c>
      <c r="C114" s="5" t="s">
        <v>1215</v>
      </c>
      <c r="D114" s="178">
        <v>44908</v>
      </c>
      <c r="E114" s="5" t="s">
        <v>930</v>
      </c>
      <c r="F114" s="5" t="s">
        <v>1216</v>
      </c>
      <c r="G114" s="178">
        <v>44909</v>
      </c>
      <c r="H114" s="5" t="s">
        <v>1066</v>
      </c>
      <c r="I114" s="5" t="s">
        <v>949</v>
      </c>
      <c r="J114" s="5" t="s">
        <v>934</v>
      </c>
      <c r="K114" s="5">
        <v>214376</v>
      </c>
      <c r="L114" s="5" t="s">
        <v>1137</v>
      </c>
      <c r="M114" s="5">
        <v>4140</v>
      </c>
      <c r="N114" s="5" t="s">
        <v>995</v>
      </c>
      <c r="O114" s="5">
        <v>29.39</v>
      </c>
      <c r="P114" s="5">
        <f t="shared" si="6"/>
        <v>121674.6</v>
      </c>
      <c r="Q114" s="192"/>
      <c r="R114" s="5">
        <f t="shared" si="4"/>
        <v>121674.6</v>
      </c>
      <c r="S114" s="5">
        <f t="shared" si="5"/>
        <v>29.39</v>
      </c>
      <c r="T114" s="5" t="s">
        <v>937</v>
      </c>
      <c r="U114" s="5" t="s">
        <v>1217</v>
      </c>
      <c r="V114" s="170">
        <f>VLOOKUP(K114,'Stock statement'!$C$3:$D$382,2,0)</f>
        <v>214376</v>
      </c>
    </row>
    <row r="115" spans="1:22">
      <c r="A115" s="5">
        <v>114</v>
      </c>
      <c r="B115" s="5" t="s">
        <v>928</v>
      </c>
      <c r="C115" s="5" t="s">
        <v>1215</v>
      </c>
      <c r="D115" s="178">
        <v>44908</v>
      </c>
      <c r="E115" s="5" t="s">
        <v>930</v>
      </c>
      <c r="F115" s="5" t="s">
        <v>1216</v>
      </c>
      <c r="G115" s="178">
        <v>44909</v>
      </c>
      <c r="H115" s="5" t="s">
        <v>1066</v>
      </c>
      <c r="I115" s="5" t="s">
        <v>949</v>
      </c>
      <c r="J115" s="5" t="s">
        <v>934</v>
      </c>
      <c r="K115" s="5">
        <v>214377</v>
      </c>
      <c r="L115" s="5" t="s">
        <v>1139</v>
      </c>
      <c r="M115" s="5">
        <v>7969</v>
      </c>
      <c r="N115" s="5" t="s">
        <v>995</v>
      </c>
      <c r="O115" s="5">
        <v>14.13</v>
      </c>
      <c r="P115" s="5">
        <f t="shared" si="6"/>
        <v>112601.97</v>
      </c>
      <c r="Q115" s="192"/>
      <c r="R115" s="5">
        <f t="shared" si="4"/>
        <v>112601.97</v>
      </c>
      <c r="S115" s="5">
        <f t="shared" si="5"/>
        <v>14.13</v>
      </c>
      <c r="T115" s="5" t="s">
        <v>937</v>
      </c>
      <c r="U115" s="5" t="s">
        <v>1217</v>
      </c>
      <c r="V115" s="170">
        <f>VLOOKUP(K115,'Stock statement'!$C$3:$D$382,2,0)</f>
        <v>214377</v>
      </c>
    </row>
    <row r="116" spans="1:22">
      <c r="A116" s="5">
        <v>115</v>
      </c>
      <c r="B116" s="5" t="s">
        <v>928</v>
      </c>
      <c r="C116" s="5" t="s">
        <v>1218</v>
      </c>
      <c r="D116" s="178">
        <v>44903</v>
      </c>
      <c r="E116" s="5" t="s">
        <v>930</v>
      </c>
      <c r="F116" s="5" t="s">
        <v>1219</v>
      </c>
      <c r="G116" s="178">
        <v>44909</v>
      </c>
      <c r="H116" s="5" t="s">
        <v>1073</v>
      </c>
      <c r="I116" s="5" t="s">
        <v>933</v>
      </c>
      <c r="J116" s="5" t="s">
        <v>934</v>
      </c>
      <c r="K116" s="5">
        <v>111253</v>
      </c>
      <c r="L116" s="5" t="s">
        <v>1074</v>
      </c>
      <c r="M116" s="5">
        <v>1000</v>
      </c>
      <c r="N116" s="5" t="s">
        <v>951</v>
      </c>
      <c r="O116" s="5">
        <v>882</v>
      </c>
      <c r="P116" s="5">
        <f t="shared" si="6"/>
        <v>882000</v>
      </c>
      <c r="Q116" s="192">
        <v>8500</v>
      </c>
      <c r="R116" s="5">
        <f t="shared" si="4"/>
        <v>890500</v>
      </c>
      <c r="S116" s="5">
        <f t="shared" si="5"/>
        <v>890.5</v>
      </c>
      <c r="T116" s="5" t="s">
        <v>937</v>
      </c>
      <c r="U116" s="5" t="s">
        <v>1075</v>
      </c>
      <c r="V116" s="170" t="str">
        <f>VLOOKUP(K116,'Stock statement'!$C$3:$D$382,2,0)</f>
        <v>C7</v>
      </c>
    </row>
    <row r="117" spans="1:22">
      <c r="A117" s="5">
        <v>116</v>
      </c>
      <c r="B117" s="5" t="s">
        <v>928</v>
      </c>
      <c r="C117" s="5" t="s">
        <v>1220</v>
      </c>
      <c r="D117" s="178">
        <v>44906</v>
      </c>
      <c r="E117" s="5" t="s">
        <v>930</v>
      </c>
      <c r="F117" s="5" t="s">
        <v>1221</v>
      </c>
      <c r="G117" s="178">
        <v>44909</v>
      </c>
      <c r="H117" s="5" t="s">
        <v>963</v>
      </c>
      <c r="I117" s="5" t="s">
        <v>933</v>
      </c>
      <c r="J117" s="5" t="s">
        <v>934</v>
      </c>
      <c r="K117" s="5">
        <v>111232</v>
      </c>
      <c r="L117" s="5" t="s">
        <v>964</v>
      </c>
      <c r="M117" s="5">
        <v>29680</v>
      </c>
      <c r="N117" s="5" t="s">
        <v>951</v>
      </c>
      <c r="O117" s="5">
        <v>86.5</v>
      </c>
      <c r="P117" s="5">
        <f t="shared" si="6"/>
        <v>2567320</v>
      </c>
      <c r="Q117" s="192">
        <v>173449.9</v>
      </c>
      <c r="R117" s="5">
        <f t="shared" si="4"/>
        <v>2740769.9</v>
      </c>
      <c r="S117" s="5">
        <f t="shared" si="5"/>
        <v>92.34399932614555</v>
      </c>
      <c r="T117" s="5" t="s">
        <v>937</v>
      </c>
      <c r="U117" s="5" t="s">
        <v>1168</v>
      </c>
      <c r="V117" s="170" t="str">
        <f>VLOOKUP(K117,'Stock statement'!$C$3:$D$382,2,0)</f>
        <v>C25</v>
      </c>
    </row>
    <row r="118" spans="1:22">
      <c r="A118" s="5">
        <v>117</v>
      </c>
      <c r="B118" s="5" t="s">
        <v>928</v>
      </c>
      <c r="C118" s="5" t="s">
        <v>1222</v>
      </c>
      <c r="D118" s="178">
        <v>44909</v>
      </c>
      <c r="E118" s="5" t="s">
        <v>930</v>
      </c>
      <c r="F118" s="5" t="s">
        <v>1223</v>
      </c>
      <c r="G118" s="178">
        <v>44909</v>
      </c>
      <c r="H118" s="5" t="s">
        <v>932</v>
      </c>
      <c r="I118" s="5" t="s">
        <v>933</v>
      </c>
      <c r="J118" s="5" t="s">
        <v>934</v>
      </c>
      <c r="K118" s="5">
        <v>110001</v>
      </c>
      <c r="L118" s="5" t="s">
        <v>935</v>
      </c>
      <c r="M118" s="5">
        <v>27900</v>
      </c>
      <c r="N118" s="5" t="s">
        <v>936</v>
      </c>
      <c r="O118" s="5">
        <v>0.34</v>
      </c>
      <c r="P118" s="5">
        <f t="shared" si="6"/>
        <v>9486</v>
      </c>
      <c r="Q118" s="192"/>
      <c r="R118" s="5">
        <f t="shared" si="4"/>
        <v>9486</v>
      </c>
      <c r="S118" s="5">
        <f t="shared" si="5"/>
        <v>0.34</v>
      </c>
      <c r="T118" s="5" t="s">
        <v>937</v>
      </c>
      <c r="U118" s="5" t="s">
        <v>938</v>
      </c>
      <c r="V118" s="170" t="str">
        <f>VLOOKUP(K118,'Stock statement'!$C$3:$D$382,2,0)</f>
        <v>C16</v>
      </c>
    </row>
    <row r="119" spans="1:22">
      <c r="A119" s="5">
        <v>118</v>
      </c>
      <c r="B119" s="5" t="s">
        <v>928</v>
      </c>
      <c r="C119" s="5" t="s">
        <v>1224</v>
      </c>
      <c r="D119" s="178">
        <v>44909</v>
      </c>
      <c r="E119" s="5" t="s">
        <v>930</v>
      </c>
      <c r="F119" s="5" t="s">
        <v>1225</v>
      </c>
      <c r="G119" s="178">
        <v>44909</v>
      </c>
      <c r="H119" s="5" t="s">
        <v>932</v>
      </c>
      <c r="I119" s="5" t="s">
        <v>933</v>
      </c>
      <c r="J119" s="5" t="s">
        <v>934</v>
      </c>
      <c r="K119" s="5">
        <v>110001</v>
      </c>
      <c r="L119" s="5" t="s">
        <v>935</v>
      </c>
      <c r="M119" s="5">
        <v>34200</v>
      </c>
      <c r="N119" s="5" t="s">
        <v>936</v>
      </c>
      <c r="O119" s="5">
        <v>0.34</v>
      </c>
      <c r="P119" s="5">
        <f t="shared" si="6"/>
        <v>11628</v>
      </c>
      <c r="Q119" s="192"/>
      <c r="R119" s="5">
        <f t="shared" si="4"/>
        <v>11628</v>
      </c>
      <c r="S119" s="5">
        <f t="shared" si="5"/>
        <v>0.34</v>
      </c>
      <c r="T119" s="5" t="s">
        <v>937</v>
      </c>
      <c r="U119" s="5" t="s">
        <v>938</v>
      </c>
      <c r="V119" s="170" t="str">
        <f>VLOOKUP(K119,'Stock statement'!$C$3:$D$382,2,0)</f>
        <v>C16</v>
      </c>
    </row>
    <row r="120" spans="1:22">
      <c r="A120" s="5">
        <v>119</v>
      </c>
      <c r="B120" s="5" t="s">
        <v>928</v>
      </c>
      <c r="C120" s="5" t="s">
        <v>1226</v>
      </c>
      <c r="D120" s="178">
        <v>44908</v>
      </c>
      <c r="E120" s="5" t="s">
        <v>930</v>
      </c>
      <c r="F120" s="5" t="s">
        <v>1227</v>
      </c>
      <c r="G120" s="178">
        <v>44910</v>
      </c>
      <c r="H120" s="5" t="s">
        <v>1035</v>
      </c>
      <c r="I120" s="5" t="s">
        <v>949</v>
      </c>
      <c r="J120" s="5" t="s">
        <v>934</v>
      </c>
      <c r="K120" s="5">
        <v>214376</v>
      </c>
      <c r="L120" s="5" t="s">
        <v>1137</v>
      </c>
      <c r="M120" s="5">
        <v>4900</v>
      </c>
      <c r="N120" s="5" t="s">
        <v>995</v>
      </c>
      <c r="O120" s="5">
        <v>27.92</v>
      </c>
      <c r="P120" s="5">
        <f t="shared" si="6"/>
        <v>136808</v>
      </c>
      <c r="Q120" s="192"/>
      <c r="R120" s="5">
        <f t="shared" si="4"/>
        <v>136808</v>
      </c>
      <c r="S120" s="5">
        <f t="shared" si="5"/>
        <v>27.92</v>
      </c>
      <c r="T120" s="5" t="s">
        <v>937</v>
      </c>
      <c r="U120" s="5" t="s">
        <v>1228</v>
      </c>
      <c r="V120" s="170">
        <f>VLOOKUP(K120,'Stock statement'!$C$3:$D$382,2,0)</f>
        <v>214376</v>
      </c>
    </row>
    <row r="121" spans="1:22">
      <c r="A121" s="5">
        <v>120</v>
      </c>
      <c r="B121" s="5" t="s">
        <v>928</v>
      </c>
      <c r="C121" s="5" t="s">
        <v>1226</v>
      </c>
      <c r="D121" s="178">
        <v>44908</v>
      </c>
      <c r="E121" s="5" t="s">
        <v>930</v>
      </c>
      <c r="F121" s="5" t="s">
        <v>1227</v>
      </c>
      <c r="G121" s="178">
        <v>44910</v>
      </c>
      <c r="H121" s="5" t="s">
        <v>1035</v>
      </c>
      <c r="I121" s="5" t="s">
        <v>949</v>
      </c>
      <c r="J121" s="5" t="s">
        <v>934</v>
      </c>
      <c r="K121" s="5">
        <v>214377</v>
      </c>
      <c r="L121" s="5" t="s">
        <v>1139</v>
      </c>
      <c r="M121" s="5">
        <v>9800</v>
      </c>
      <c r="N121" s="5" t="s">
        <v>995</v>
      </c>
      <c r="O121" s="5">
        <v>12.94</v>
      </c>
      <c r="P121" s="5">
        <f t="shared" si="6"/>
        <v>126812</v>
      </c>
      <c r="Q121" s="192"/>
      <c r="R121" s="5">
        <f t="shared" si="4"/>
        <v>126812</v>
      </c>
      <c r="S121" s="5">
        <f t="shared" si="5"/>
        <v>12.94</v>
      </c>
      <c r="T121" s="5" t="s">
        <v>937</v>
      </c>
      <c r="U121" s="5" t="s">
        <v>1228</v>
      </c>
      <c r="V121" s="170">
        <f>VLOOKUP(K121,'Stock statement'!$C$3:$D$382,2,0)</f>
        <v>214377</v>
      </c>
    </row>
    <row r="122" spans="1:22">
      <c r="A122" s="5">
        <v>121</v>
      </c>
      <c r="B122" s="5" t="s">
        <v>928</v>
      </c>
      <c r="C122" s="5" t="s">
        <v>1229</v>
      </c>
      <c r="D122" s="178">
        <v>44900</v>
      </c>
      <c r="E122" s="5" t="s">
        <v>930</v>
      </c>
      <c r="F122" s="5" t="s">
        <v>1230</v>
      </c>
      <c r="G122" s="178">
        <v>44909</v>
      </c>
      <c r="H122" s="5" t="s">
        <v>1231</v>
      </c>
      <c r="I122" s="5" t="s">
        <v>933</v>
      </c>
      <c r="J122" s="5" t="s">
        <v>934</v>
      </c>
      <c r="K122" s="5">
        <v>110852</v>
      </c>
      <c r="L122" s="5" t="s">
        <v>418</v>
      </c>
      <c r="M122" s="5">
        <v>1000</v>
      </c>
      <c r="N122" s="5" t="s">
        <v>951</v>
      </c>
      <c r="O122" s="5">
        <v>118</v>
      </c>
      <c r="P122" s="5">
        <f t="shared" si="6"/>
        <v>118000</v>
      </c>
      <c r="Q122" s="192">
        <v>8000</v>
      </c>
      <c r="R122" s="5">
        <f t="shared" si="4"/>
        <v>126000</v>
      </c>
      <c r="S122" s="5">
        <f t="shared" si="5"/>
        <v>126</v>
      </c>
      <c r="T122" s="5" t="s">
        <v>937</v>
      </c>
      <c r="U122" s="5" t="s">
        <v>1232</v>
      </c>
      <c r="V122" s="170" t="str">
        <f>VLOOKUP(K122,'Stock statement'!$C$3:$D$382,2,0)</f>
        <v>C26</v>
      </c>
    </row>
    <row r="123" spans="1:22">
      <c r="A123" s="5">
        <v>122</v>
      </c>
      <c r="B123" s="5" t="s">
        <v>928</v>
      </c>
      <c r="C123" s="5" t="s">
        <v>1233</v>
      </c>
      <c r="D123" s="178">
        <v>44910</v>
      </c>
      <c r="E123" s="5" t="s">
        <v>930</v>
      </c>
      <c r="F123" s="5" t="s">
        <v>1234</v>
      </c>
      <c r="G123" s="178">
        <v>44911</v>
      </c>
      <c r="H123" s="5" t="s">
        <v>942</v>
      </c>
      <c r="I123" s="5" t="s">
        <v>933</v>
      </c>
      <c r="J123" s="5" t="s">
        <v>934</v>
      </c>
      <c r="K123" s="5">
        <v>110001</v>
      </c>
      <c r="L123" s="5" t="s">
        <v>935</v>
      </c>
      <c r="M123" s="5">
        <v>23400</v>
      </c>
      <c r="N123" s="5" t="s">
        <v>936</v>
      </c>
      <c r="O123" s="5">
        <v>0.34</v>
      </c>
      <c r="P123" s="5">
        <f t="shared" si="6"/>
        <v>7956.0000000000009</v>
      </c>
      <c r="Q123" s="192"/>
      <c r="R123" s="5">
        <f t="shared" si="4"/>
        <v>7956.0000000000009</v>
      </c>
      <c r="S123" s="5">
        <f t="shared" si="5"/>
        <v>0.34</v>
      </c>
      <c r="T123" s="5" t="s">
        <v>937</v>
      </c>
      <c r="U123" s="5" t="s">
        <v>943</v>
      </c>
      <c r="V123" s="170" t="str">
        <f>VLOOKUP(K123,'Stock statement'!$C$3:$D$382,2,0)</f>
        <v>C16</v>
      </c>
    </row>
    <row r="124" spans="1:22">
      <c r="A124" s="5">
        <v>123</v>
      </c>
      <c r="B124" s="5" t="s">
        <v>928</v>
      </c>
      <c r="C124" s="5" t="s">
        <v>1235</v>
      </c>
      <c r="D124" s="178">
        <v>44910</v>
      </c>
      <c r="E124" s="5" t="s">
        <v>930</v>
      </c>
      <c r="F124" s="5" t="s">
        <v>1236</v>
      </c>
      <c r="G124" s="178">
        <v>44911</v>
      </c>
      <c r="H124" s="5" t="s">
        <v>942</v>
      </c>
      <c r="I124" s="5" t="s">
        <v>933</v>
      </c>
      <c r="J124" s="5" t="s">
        <v>934</v>
      </c>
      <c r="K124" s="5">
        <v>110001</v>
      </c>
      <c r="L124" s="5" t="s">
        <v>935</v>
      </c>
      <c r="M124" s="5">
        <v>24700</v>
      </c>
      <c r="N124" s="5" t="s">
        <v>936</v>
      </c>
      <c r="O124" s="5">
        <v>0.34</v>
      </c>
      <c r="P124" s="5">
        <f t="shared" si="6"/>
        <v>8398</v>
      </c>
      <c r="Q124" s="192"/>
      <c r="R124" s="5">
        <f t="shared" si="4"/>
        <v>8398</v>
      </c>
      <c r="S124" s="5">
        <f t="shared" si="5"/>
        <v>0.34</v>
      </c>
      <c r="T124" s="5" t="s">
        <v>937</v>
      </c>
      <c r="U124" s="5" t="s">
        <v>943</v>
      </c>
      <c r="V124" s="170" t="str">
        <f>VLOOKUP(K124,'Stock statement'!$C$3:$D$382,2,0)</f>
        <v>C16</v>
      </c>
    </row>
    <row r="125" spans="1:22">
      <c r="A125" s="5">
        <v>124</v>
      </c>
      <c r="B125" s="5" t="s">
        <v>928</v>
      </c>
      <c r="C125" s="5" t="s">
        <v>1237</v>
      </c>
      <c r="D125" s="178">
        <v>44910</v>
      </c>
      <c r="E125" s="5" t="s">
        <v>930</v>
      </c>
      <c r="F125" s="5" t="s">
        <v>1238</v>
      </c>
      <c r="G125" s="178">
        <v>44911</v>
      </c>
      <c r="H125" s="5" t="s">
        <v>948</v>
      </c>
      <c r="I125" s="5" t="s">
        <v>949</v>
      </c>
      <c r="J125" s="5" t="s">
        <v>934</v>
      </c>
      <c r="K125" s="5">
        <v>214990</v>
      </c>
      <c r="L125" s="5" t="s">
        <v>904</v>
      </c>
      <c r="M125" s="5">
        <v>3195</v>
      </c>
      <c r="N125" s="5" t="s">
        <v>951</v>
      </c>
      <c r="O125" s="5">
        <v>234</v>
      </c>
      <c r="P125" s="5">
        <f t="shared" si="6"/>
        <v>747630</v>
      </c>
      <c r="Q125" s="192"/>
      <c r="R125" s="5">
        <f t="shared" si="4"/>
        <v>747630</v>
      </c>
      <c r="S125" s="5">
        <f t="shared" si="5"/>
        <v>234</v>
      </c>
      <c r="T125" s="5" t="s">
        <v>937</v>
      </c>
      <c r="U125" s="5" t="s">
        <v>952</v>
      </c>
      <c r="V125" s="170">
        <f>VLOOKUP(K125,'Stock statement'!$C$3:$D$382,2,0)</f>
        <v>214990</v>
      </c>
    </row>
    <row r="126" spans="1:22">
      <c r="A126" s="5">
        <v>125</v>
      </c>
      <c r="B126" s="5" t="s">
        <v>928</v>
      </c>
      <c r="C126" s="5" t="s">
        <v>1239</v>
      </c>
      <c r="D126" s="178">
        <v>44910</v>
      </c>
      <c r="E126" s="5" t="s">
        <v>930</v>
      </c>
      <c r="F126" s="5" t="s">
        <v>1240</v>
      </c>
      <c r="G126" s="178">
        <v>44911</v>
      </c>
      <c r="H126" s="5" t="s">
        <v>988</v>
      </c>
      <c r="I126" s="5" t="s">
        <v>949</v>
      </c>
      <c r="J126" s="5" t="s">
        <v>934</v>
      </c>
      <c r="K126" s="5">
        <v>214255</v>
      </c>
      <c r="L126" s="5" t="s">
        <v>950</v>
      </c>
      <c r="M126" s="5">
        <v>5515</v>
      </c>
      <c r="N126" s="5" t="s">
        <v>951</v>
      </c>
      <c r="O126" s="5">
        <v>239.21</v>
      </c>
      <c r="P126" s="5">
        <f t="shared" si="6"/>
        <v>1319243.1500000001</v>
      </c>
      <c r="Q126" s="192"/>
      <c r="R126" s="5">
        <f t="shared" si="4"/>
        <v>1319243.1500000001</v>
      </c>
      <c r="S126" s="5">
        <f t="shared" si="5"/>
        <v>239.21000000000004</v>
      </c>
      <c r="T126" s="5" t="s">
        <v>937</v>
      </c>
      <c r="U126" s="5" t="s">
        <v>1241</v>
      </c>
      <c r="V126" s="170">
        <f>VLOOKUP(K126,'Stock statement'!$C$3:$D$382,2,0)</f>
        <v>214255</v>
      </c>
    </row>
    <row r="127" spans="1:22">
      <c r="A127" s="5">
        <v>126</v>
      </c>
      <c r="B127" s="5" t="s">
        <v>928</v>
      </c>
      <c r="C127" s="5" t="s">
        <v>1242</v>
      </c>
      <c r="D127" s="178">
        <v>44911</v>
      </c>
      <c r="E127" s="5" t="s">
        <v>930</v>
      </c>
      <c r="F127" s="5" t="s">
        <v>1243</v>
      </c>
      <c r="G127" s="178">
        <v>44911</v>
      </c>
      <c r="H127" s="5" t="s">
        <v>1035</v>
      </c>
      <c r="I127" s="5" t="s">
        <v>949</v>
      </c>
      <c r="J127" s="5" t="s">
        <v>934</v>
      </c>
      <c r="K127" s="5">
        <v>214767</v>
      </c>
      <c r="L127" s="5" t="s">
        <v>458</v>
      </c>
      <c r="M127" s="5">
        <v>3100</v>
      </c>
      <c r="N127" s="5" t="s">
        <v>995</v>
      </c>
      <c r="O127" s="5">
        <v>36.700000000000003</v>
      </c>
      <c r="P127" s="5">
        <f t="shared" si="6"/>
        <v>113770.00000000001</v>
      </c>
      <c r="Q127" s="192"/>
      <c r="R127" s="5">
        <f t="shared" si="4"/>
        <v>113770.00000000001</v>
      </c>
      <c r="S127" s="5">
        <f t="shared" si="5"/>
        <v>36.700000000000003</v>
      </c>
      <c r="T127" s="5" t="s">
        <v>937</v>
      </c>
      <c r="U127" s="5" t="s">
        <v>1244</v>
      </c>
      <c r="V127" s="170">
        <f>VLOOKUP(K127,'Stock statement'!$C$3:$D$382,2,0)</f>
        <v>214767</v>
      </c>
    </row>
    <row r="128" spans="1:22">
      <c r="A128" s="5">
        <v>127</v>
      </c>
      <c r="B128" s="5" t="s">
        <v>928</v>
      </c>
      <c r="C128" s="5" t="s">
        <v>1242</v>
      </c>
      <c r="D128" s="178">
        <v>44911</v>
      </c>
      <c r="E128" s="5" t="s">
        <v>930</v>
      </c>
      <c r="F128" s="5" t="s">
        <v>1243</v>
      </c>
      <c r="G128" s="178">
        <v>44911</v>
      </c>
      <c r="H128" s="5" t="s">
        <v>1035</v>
      </c>
      <c r="I128" s="5" t="s">
        <v>949</v>
      </c>
      <c r="J128" s="5" t="s">
        <v>934</v>
      </c>
      <c r="K128" s="5">
        <v>214768</v>
      </c>
      <c r="L128" s="5" t="s">
        <v>459</v>
      </c>
      <c r="M128" s="5">
        <v>12400</v>
      </c>
      <c r="N128" s="5" t="s">
        <v>995</v>
      </c>
      <c r="O128" s="5">
        <v>10.53</v>
      </c>
      <c r="P128" s="5">
        <f t="shared" si="6"/>
        <v>130571.99999999999</v>
      </c>
      <c r="Q128" s="192"/>
      <c r="R128" s="5">
        <f t="shared" si="4"/>
        <v>130571.99999999999</v>
      </c>
      <c r="S128" s="5">
        <f t="shared" si="5"/>
        <v>10.53</v>
      </c>
      <c r="T128" s="5" t="s">
        <v>937</v>
      </c>
      <c r="U128" s="5" t="s">
        <v>1244</v>
      </c>
      <c r="V128" s="170">
        <f>VLOOKUP(K128,'Stock statement'!$C$3:$D$382,2,0)</f>
        <v>214768</v>
      </c>
    </row>
    <row r="129" spans="1:22">
      <c r="A129" s="5">
        <v>128</v>
      </c>
      <c r="B129" s="5" t="s">
        <v>928</v>
      </c>
      <c r="C129" s="5" t="s">
        <v>1245</v>
      </c>
      <c r="D129" s="178">
        <v>44911</v>
      </c>
      <c r="E129" s="5" t="s">
        <v>930</v>
      </c>
      <c r="F129" s="5" t="s">
        <v>1246</v>
      </c>
      <c r="G129" s="178">
        <v>44911</v>
      </c>
      <c r="H129" s="5" t="s">
        <v>1173</v>
      </c>
      <c r="I129" s="5" t="s">
        <v>949</v>
      </c>
      <c r="J129" s="5" t="s">
        <v>934</v>
      </c>
      <c r="K129" s="5">
        <v>229745</v>
      </c>
      <c r="L129" s="5" t="s">
        <v>1247</v>
      </c>
      <c r="M129" s="5">
        <v>2046</v>
      </c>
      <c r="N129" s="5" t="s">
        <v>995</v>
      </c>
      <c r="O129" s="5">
        <v>12</v>
      </c>
      <c r="P129" s="5">
        <f t="shared" si="6"/>
        <v>24552</v>
      </c>
      <c r="Q129" s="192">
        <v>3000</v>
      </c>
      <c r="R129" s="5">
        <f t="shared" si="4"/>
        <v>27552</v>
      </c>
      <c r="S129" s="209">
        <f t="shared" si="5"/>
        <v>13.466275659824047</v>
      </c>
      <c r="T129" s="5" t="s">
        <v>937</v>
      </c>
      <c r="U129" s="5" t="s">
        <v>1248</v>
      </c>
      <c r="V129" s="170" t="str">
        <f>VLOOKUP(K129,'Stock statement'!$C$3:$D$382,2,0)</f>
        <v>B39</v>
      </c>
    </row>
    <row r="130" spans="1:22">
      <c r="A130" s="5">
        <v>129</v>
      </c>
      <c r="B130" s="5" t="s">
        <v>928</v>
      </c>
      <c r="C130" s="5" t="s">
        <v>1249</v>
      </c>
      <c r="D130" s="178">
        <v>44911</v>
      </c>
      <c r="E130" s="5" t="s">
        <v>930</v>
      </c>
      <c r="F130" s="5" t="s">
        <v>1250</v>
      </c>
      <c r="G130" s="178">
        <v>44911</v>
      </c>
      <c r="H130" s="5" t="s">
        <v>1035</v>
      </c>
      <c r="I130" s="5" t="s">
        <v>949</v>
      </c>
      <c r="J130" s="5" t="s">
        <v>934</v>
      </c>
      <c r="K130" s="5">
        <v>214767</v>
      </c>
      <c r="L130" s="5" t="s">
        <v>458</v>
      </c>
      <c r="M130" s="5">
        <v>2940</v>
      </c>
      <c r="N130" s="5" t="s">
        <v>995</v>
      </c>
      <c r="O130" s="5">
        <v>36.700000000000003</v>
      </c>
      <c r="P130" s="5">
        <f t="shared" si="6"/>
        <v>107898.00000000001</v>
      </c>
      <c r="Q130" s="192"/>
      <c r="R130" s="5">
        <f t="shared" ref="R130:R193" si="7">+P130+Q130</f>
        <v>107898.00000000001</v>
      </c>
      <c r="S130" s="5">
        <f t="shared" ref="S130:S193" si="8">+R130/M130</f>
        <v>36.700000000000003</v>
      </c>
      <c r="T130" s="5" t="s">
        <v>937</v>
      </c>
      <c r="U130" s="5" t="s">
        <v>1244</v>
      </c>
      <c r="V130" s="170">
        <f>VLOOKUP(K130,'Stock statement'!$C$3:$D$382,2,0)</f>
        <v>214767</v>
      </c>
    </row>
    <row r="131" spans="1:22">
      <c r="A131" s="5">
        <v>130</v>
      </c>
      <c r="B131" s="5" t="s">
        <v>928</v>
      </c>
      <c r="C131" s="5" t="s">
        <v>1249</v>
      </c>
      <c r="D131" s="178">
        <v>44911</v>
      </c>
      <c r="E131" s="5" t="s">
        <v>930</v>
      </c>
      <c r="F131" s="5" t="s">
        <v>1250</v>
      </c>
      <c r="G131" s="178">
        <v>44911</v>
      </c>
      <c r="H131" s="5" t="s">
        <v>1035</v>
      </c>
      <c r="I131" s="5" t="s">
        <v>949</v>
      </c>
      <c r="J131" s="5" t="s">
        <v>934</v>
      </c>
      <c r="K131" s="5">
        <v>214768</v>
      </c>
      <c r="L131" s="5" t="s">
        <v>459</v>
      </c>
      <c r="M131" s="5">
        <v>11740</v>
      </c>
      <c r="N131" s="5" t="s">
        <v>995</v>
      </c>
      <c r="O131" s="5">
        <v>10.53</v>
      </c>
      <c r="P131" s="5">
        <f t="shared" si="6"/>
        <v>123622.2</v>
      </c>
      <c r="Q131" s="192"/>
      <c r="R131" s="5">
        <f t="shared" si="7"/>
        <v>123622.2</v>
      </c>
      <c r="S131" s="5">
        <f t="shared" si="8"/>
        <v>10.53</v>
      </c>
      <c r="T131" s="5" t="s">
        <v>937</v>
      </c>
      <c r="U131" s="5" t="s">
        <v>1244</v>
      </c>
      <c r="V131" s="170">
        <f>VLOOKUP(K131,'Stock statement'!$C$3:$D$382,2,0)</f>
        <v>214768</v>
      </c>
    </row>
    <row r="132" spans="1:22">
      <c r="A132" s="5">
        <v>131</v>
      </c>
      <c r="B132" s="5" t="s">
        <v>928</v>
      </c>
      <c r="C132" s="5" t="s">
        <v>1251</v>
      </c>
      <c r="D132" s="178">
        <v>44908</v>
      </c>
      <c r="E132" s="5" t="s">
        <v>930</v>
      </c>
      <c r="F132" s="5" t="s">
        <v>1252</v>
      </c>
      <c r="G132" s="178">
        <v>44911</v>
      </c>
      <c r="H132" s="5" t="s">
        <v>1253</v>
      </c>
      <c r="I132" s="5" t="s">
        <v>933</v>
      </c>
      <c r="J132" s="5" t="s">
        <v>934</v>
      </c>
      <c r="K132" s="5">
        <v>110054</v>
      </c>
      <c r="L132" s="5" t="s">
        <v>1254</v>
      </c>
      <c r="M132" s="5">
        <v>24140</v>
      </c>
      <c r="N132" s="5" t="s">
        <v>951</v>
      </c>
      <c r="O132" s="5">
        <v>60</v>
      </c>
      <c r="P132" s="5">
        <f t="shared" si="6"/>
        <v>1448400</v>
      </c>
      <c r="Q132" s="192">
        <v>138129.1</v>
      </c>
      <c r="R132" s="5">
        <f t="shared" si="7"/>
        <v>1586529.1</v>
      </c>
      <c r="S132" s="5">
        <f t="shared" si="8"/>
        <v>65.722000828500413</v>
      </c>
      <c r="T132" s="5" t="s">
        <v>937</v>
      </c>
      <c r="U132" s="5" t="s">
        <v>1255</v>
      </c>
      <c r="V132" s="170" t="str">
        <f>VLOOKUP(K132,'Stock statement'!$C$3:$D$382,2,0)</f>
        <v>C24</v>
      </c>
    </row>
    <row r="133" spans="1:22">
      <c r="A133" s="5">
        <v>132</v>
      </c>
      <c r="B133" s="5" t="s">
        <v>928</v>
      </c>
      <c r="C133" s="5" t="s">
        <v>1256</v>
      </c>
      <c r="D133" s="178">
        <v>44910</v>
      </c>
      <c r="E133" s="5" t="s">
        <v>930</v>
      </c>
      <c r="F133" s="5" t="s">
        <v>1257</v>
      </c>
      <c r="G133" s="178">
        <v>44911</v>
      </c>
      <c r="H133" s="5" t="s">
        <v>1066</v>
      </c>
      <c r="I133" s="5" t="s">
        <v>949</v>
      </c>
      <c r="J133" s="5" t="s">
        <v>934</v>
      </c>
      <c r="K133" s="5">
        <v>215015</v>
      </c>
      <c r="L133" s="5" t="s">
        <v>905</v>
      </c>
      <c r="M133" s="5">
        <v>3810</v>
      </c>
      <c r="N133" s="5" t="s">
        <v>995</v>
      </c>
      <c r="O133" s="5">
        <v>41.01</v>
      </c>
      <c r="P133" s="5">
        <f t="shared" si="6"/>
        <v>156248.1</v>
      </c>
      <c r="Q133" s="192"/>
      <c r="R133" s="5">
        <f t="shared" si="7"/>
        <v>156248.1</v>
      </c>
      <c r="S133" s="5">
        <f t="shared" si="8"/>
        <v>41.01</v>
      </c>
      <c r="T133" s="5" t="s">
        <v>937</v>
      </c>
      <c r="U133" s="5" t="s">
        <v>1258</v>
      </c>
      <c r="V133" s="170">
        <f>VLOOKUP(K133,'Stock statement'!$C$3:$D$382,2,0)</f>
        <v>215015</v>
      </c>
    </row>
    <row r="134" spans="1:22">
      <c r="A134" s="5">
        <v>133</v>
      </c>
      <c r="B134" s="5" t="s">
        <v>928</v>
      </c>
      <c r="C134" s="5" t="s">
        <v>1259</v>
      </c>
      <c r="D134" s="178">
        <v>44911</v>
      </c>
      <c r="E134" s="5" t="s">
        <v>930</v>
      </c>
      <c r="F134" s="5" t="s">
        <v>1260</v>
      </c>
      <c r="G134" s="178">
        <v>44911</v>
      </c>
      <c r="H134" s="5" t="s">
        <v>942</v>
      </c>
      <c r="I134" s="5" t="s">
        <v>933</v>
      </c>
      <c r="J134" s="5" t="s">
        <v>934</v>
      </c>
      <c r="K134" s="5">
        <v>110001</v>
      </c>
      <c r="L134" s="5" t="s">
        <v>935</v>
      </c>
      <c r="M134" s="5">
        <v>25500</v>
      </c>
      <c r="N134" s="5" t="s">
        <v>936</v>
      </c>
      <c r="O134" s="5">
        <v>0.34</v>
      </c>
      <c r="P134" s="5">
        <f t="shared" si="6"/>
        <v>8670</v>
      </c>
      <c r="Q134" s="192"/>
      <c r="R134" s="5">
        <f t="shared" si="7"/>
        <v>8670</v>
      </c>
      <c r="S134" s="5">
        <f t="shared" si="8"/>
        <v>0.34</v>
      </c>
      <c r="T134" s="5" t="s">
        <v>937</v>
      </c>
      <c r="U134" s="5" t="s">
        <v>943</v>
      </c>
      <c r="V134" s="170" t="str">
        <f>VLOOKUP(K134,'Stock statement'!$C$3:$D$382,2,0)</f>
        <v>C16</v>
      </c>
    </row>
    <row r="135" spans="1:22">
      <c r="A135" s="5">
        <v>134</v>
      </c>
      <c r="B135" s="5" t="s">
        <v>928</v>
      </c>
      <c r="C135" s="5" t="s">
        <v>1261</v>
      </c>
      <c r="D135" s="178">
        <v>44911</v>
      </c>
      <c r="E135" s="5" t="s">
        <v>930</v>
      </c>
      <c r="F135" s="5" t="s">
        <v>1262</v>
      </c>
      <c r="G135" s="178">
        <v>44911</v>
      </c>
      <c r="H135" s="5" t="s">
        <v>942</v>
      </c>
      <c r="I135" s="5" t="s">
        <v>933</v>
      </c>
      <c r="J135" s="5" t="s">
        <v>934</v>
      </c>
      <c r="K135" s="5">
        <v>110001</v>
      </c>
      <c r="L135" s="5" t="s">
        <v>935</v>
      </c>
      <c r="M135" s="5">
        <v>24900</v>
      </c>
      <c r="N135" s="5" t="s">
        <v>936</v>
      </c>
      <c r="O135" s="5">
        <v>0.34</v>
      </c>
      <c r="P135" s="5">
        <f t="shared" si="6"/>
        <v>8466</v>
      </c>
      <c r="Q135" s="192"/>
      <c r="R135" s="5">
        <f t="shared" si="7"/>
        <v>8466</v>
      </c>
      <c r="S135" s="5">
        <f t="shared" si="8"/>
        <v>0.34</v>
      </c>
      <c r="T135" s="5" t="s">
        <v>937</v>
      </c>
      <c r="U135" s="5" t="s">
        <v>943</v>
      </c>
      <c r="V135" s="170" t="str">
        <f>VLOOKUP(K135,'Stock statement'!$C$3:$D$382,2,0)</f>
        <v>C16</v>
      </c>
    </row>
    <row r="136" spans="1:22">
      <c r="A136" s="5">
        <v>135</v>
      </c>
      <c r="B136" s="5" t="s">
        <v>928</v>
      </c>
      <c r="C136" s="5" t="s">
        <v>1263</v>
      </c>
      <c r="D136" s="178">
        <v>44911</v>
      </c>
      <c r="E136" s="5" t="s">
        <v>930</v>
      </c>
      <c r="F136" s="5" t="s">
        <v>1264</v>
      </c>
      <c r="G136" s="178">
        <v>44912</v>
      </c>
      <c r="H136" s="5" t="s">
        <v>968</v>
      </c>
      <c r="I136" s="5" t="s">
        <v>933</v>
      </c>
      <c r="J136" s="5" t="s">
        <v>934</v>
      </c>
      <c r="K136" s="5">
        <v>111233</v>
      </c>
      <c r="L136" s="5" t="s">
        <v>578</v>
      </c>
      <c r="M136" s="5">
        <v>5000</v>
      </c>
      <c r="N136" s="5" t="s">
        <v>951</v>
      </c>
      <c r="O136" s="5">
        <v>220</v>
      </c>
      <c r="P136" s="5">
        <f t="shared" si="6"/>
        <v>1100000</v>
      </c>
      <c r="Q136" s="192"/>
      <c r="R136" s="5">
        <f t="shared" si="7"/>
        <v>1100000</v>
      </c>
      <c r="S136" s="5">
        <f t="shared" si="8"/>
        <v>220</v>
      </c>
      <c r="T136" s="5" t="s">
        <v>937</v>
      </c>
      <c r="U136" s="5" t="s">
        <v>970</v>
      </c>
      <c r="V136" s="170" t="str">
        <f>VLOOKUP(K136,'Stock statement'!$C$3:$D$382,2,0)</f>
        <v>C4</v>
      </c>
    </row>
    <row r="137" spans="1:22">
      <c r="A137" s="5">
        <v>136</v>
      </c>
      <c r="B137" s="5" t="s">
        <v>928</v>
      </c>
      <c r="C137" s="5" t="s">
        <v>1265</v>
      </c>
      <c r="D137" s="178">
        <v>44911</v>
      </c>
      <c r="E137" s="5" t="s">
        <v>930</v>
      </c>
      <c r="F137" s="5" t="s">
        <v>1266</v>
      </c>
      <c r="G137" s="178">
        <v>44912</v>
      </c>
      <c r="H137" s="5" t="s">
        <v>973</v>
      </c>
      <c r="I137" s="5" t="s">
        <v>933</v>
      </c>
      <c r="J137" s="5" t="s">
        <v>934</v>
      </c>
      <c r="K137" s="5">
        <v>230701</v>
      </c>
      <c r="L137" s="5" t="s">
        <v>617</v>
      </c>
      <c r="M137" s="5">
        <v>1000</v>
      </c>
      <c r="N137" s="5" t="s">
        <v>951</v>
      </c>
      <c r="O137" s="5">
        <v>769</v>
      </c>
      <c r="P137" s="5">
        <f t="shared" si="6"/>
        <v>769000</v>
      </c>
      <c r="Q137" s="192"/>
      <c r="R137" s="5">
        <f t="shared" si="7"/>
        <v>769000</v>
      </c>
      <c r="S137" s="5">
        <f t="shared" si="8"/>
        <v>769</v>
      </c>
      <c r="T137" s="5" t="s">
        <v>937</v>
      </c>
      <c r="U137" s="5" t="s">
        <v>1267</v>
      </c>
      <c r="V137" s="170" t="str">
        <f>VLOOKUP(K137,'Stock statement'!$C$3:$D$382,2,0)</f>
        <v>C65</v>
      </c>
    </row>
    <row r="138" spans="1:22">
      <c r="A138" s="5">
        <v>137</v>
      </c>
      <c r="B138" s="5" t="s">
        <v>928</v>
      </c>
      <c r="C138" s="5" t="s">
        <v>1268</v>
      </c>
      <c r="D138" s="178">
        <v>44910</v>
      </c>
      <c r="E138" s="5" t="s">
        <v>930</v>
      </c>
      <c r="F138" s="5" t="s">
        <v>1269</v>
      </c>
      <c r="G138" s="178">
        <v>44912</v>
      </c>
      <c r="H138" s="5" t="s">
        <v>1270</v>
      </c>
      <c r="I138" s="5" t="s">
        <v>933</v>
      </c>
      <c r="J138" s="5" t="s">
        <v>934</v>
      </c>
      <c r="K138" s="5">
        <v>111300</v>
      </c>
      <c r="L138" s="5" t="s">
        <v>1271</v>
      </c>
      <c r="M138" s="5">
        <v>300</v>
      </c>
      <c r="N138" s="5" t="s">
        <v>951</v>
      </c>
      <c r="O138" s="5">
        <v>929</v>
      </c>
      <c r="P138" s="5">
        <f t="shared" si="6"/>
        <v>278700</v>
      </c>
      <c r="Q138" s="192"/>
      <c r="R138" s="5">
        <f t="shared" si="7"/>
        <v>278700</v>
      </c>
      <c r="S138" s="5">
        <f t="shared" si="8"/>
        <v>929</v>
      </c>
      <c r="T138" s="5" t="s">
        <v>937</v>
      </c>
      <c r="U138" s="5" t="s">
        <v>1272</v>
      </c>
      <c r="V138" s="170" t="str">
        <f>VLOOKUP(K138,'Stock statement'!$C$3:$D$382,2,0)</f>
        <v>C21</v>
      </c>
    </row>
    <row r="139" spans="1:22">
      <c r="A139" s="5">
        <v>138</v>
      </c>
      <c r="B139" s="5" t="s">
        <v>928</v>
      </c>
      <c r="C139" s="5" t="s">
        <v>1273</v>
      </c>
      <c r="D139" s="178">
        <v>44911</v>
      </c>
      <c r="E139" s="5" t="s">
        <v>930</v>
      </c>
      <c r="F139" s="5" t="s">
        <v>1274</v>
      </c>
      <c r="G139" s="178">
        <v>44911</v>
      </c>
      <c r="H139" s="5" t="s">
        <v>942</v>
      </c>
      <c r="I139" s="5" t="s">
        <v>933</v>
      </c>
      <c r="J139" s="5" t="s">
        <v>934</v>
      </c>
      <c r="K139" s="5">
        <v>110001</v>
      </c>
      <c r="L139" s="5" t="s">
        <v>935</v>
      </c>
      <c r="M139" s="5">
        <v>24200</v>
      </c>
      <c r="N139" s="5" t="s">
        <v>936</v>
      </c>
      <c r="O139" s="5">
        <v>0.34</v>
      </c>
      <c r="P139" s="5">
        <f t="shared" si="6"/>
        <v>8228</v>
      </c>
      <c r="Q139" s="192"/>
      <c r="R139" s="5">
        <f t="shared" si="7"/>
        <v>8228</v>
      </c>
      <c r="S139" s="5">
        <f t="shared" si="8"/>
        <v>0.34</v>
      </c>
      <c r="T139" s="5" t="s">
        <v>937</v>
      </c>
      <c r="U139" s="5" t="s">
        <v>943</v>
      </c>
      <c r="V139" s="170" t="str">
        <f>VLOOKUP(K139,'Stock statement'!$C$3:$D$382,2,0)</f>
        <v>C16</v>
      </c>
    </row>
    <row r="140" spans="1:22">
      <c r="A140" s="5">
        <v>139</v>
      </c>
      <c r="B140" s="5" t="s">
        <v>928</v>
      </c>
      <c r="C140" s="5" t="s">
        <v>1275</v>
      </c>
      <c r="D140" s="178">
        <v>44912</v>
      </c>
      <c r="E140" s="5" t="s">
        <v>930</v>
      </c>
      <c r="F140" s="5" t="s">
        <v>1276</v>
      </c>
      <c r="G140" s="178">
        <v>44912</v>
      </c>
      <c r="H140" s="5" t="s">
        <v>942</v>
      </c>
      <c r="I140" s="5" t="s">
        <v>933</v>
      </c>
      <c r="J140" s="5" t="s">
        <v>934</v>
      </c>
      <c r="K140" s="5">
        <v>110001</v>
      </c>
      <c r="L140" s="5" t="s">
        <v>935</v>
      </c>
      <c r="M140" s="5">
        <v>11600</v>
      </c>
      <c r="N140" s="5" t="s">
        <v>936</v>
      </c>
      <c r="O140" s="5">
        <v>0.34</v>
      </c>
      <c r="P140" s="5">
        <f t="shared" si="6"/>
        <v>3944.0000000000005</v>
      </c>
      <c r="Q140" s="192"/>
      <c r="R140" s="5">
        <f t="shared" si="7"/>
        <v>3944.0000000000005</v>
      </c>
      <c r="S140" s="5">
        <f t="shared" si="8"/>
        <v>0.34</v>
      </c>
      <c r="T140" s="5" t="s">
        <v>937</v>
      </c>
      <c r="U140" s="5" t="s">
        <v>943</v>
      </c>
      <c r="V140" s="170" t="str">
        <f>VLOOKUP(K140,'Stock statement'!$C$3:$D$382,2,0)</f>
        <v>C16</v>
      </c>
    </row>
    <row r="141" spans="1:22">
      <c r="A141" s="5">
        <v>140</v>
      </c>
      <c r="B141" s="5" t="s">
        <v>928</v>
      </c>
      <c r="C141" s="5" t="s">
        <v>1277</v>
      </c>
      <c r="D141" s="178">
        <v>44912</v>
      </c>
      <c r="E141" s="5" t="s">
        <v>930</v>
      </c>
      <c r="F141" s="5" t="s">
        <v>1278</v>
      </c>
      <c r="G141" s="178">
        <v>44912</v>
      </c>
      <c r="H141" s="5" t="s">
        <v>942</v>
      </c>
      <c r="I141" s="5" t="s">
        <v>933</v>
      </c>
      <c r="J141" s="5" t="s">
        <v>934</v>
      </c>
      <c r="K141" s="5">
        <v>110001</v>
      </c>
      <c r="L141" s="5" t="s">
        <v>935</v>
      </c>
      <c r="M141" s="5">
        <v>11000</v>
      </c>
      <c r="N141" s="5" t="s">
        <v>936</v>
      </c>
      <c r="O141" s="5">
        <v>0.34</v>
      </c>
      <c r="P141" s="5">
        <f t="shared" si="6"/>
        <v>3740.0000000000005</v>
      </c>
      <c r="Q141" s="192"/>
      <c r="R141" s="5">
        <f t="shared" si="7"/>
        <v>3740.0000000000005</v>
      </c>
      <c r="S141" s="5">
        <f t="shared" si="8"/>
        <v>0.34</v>
      </c>
      <c r="T141" s="5" t="s">
        <v>937</v>
      </c>
      <c r="U141" s="5" t="s">
        <v>943</v>
      </c>
      <c r="V141" s="170" t="str">
        <f>VLOOKUP(K141,'Stock statement'!$C$3:$D$382,2,0)</f>
        <v>C16</v>
      </c>
    </row>
    <row r="142" spans="1:22">
      <c r="A142" s="5">
        <v>141</v>
      </c>
      <c r="B142" s="5" t="s">
        <v>928</v>
      </c>
      <c r="C142" s="5" t="s">
        <v>1279</v>
      </c>
      <c r="D142" s="178">
        <v>44912</v>
      </c>
      <c r="E142" s="5" t="s">
        <v>930</v>
      </c>
      <c r="F142" s="5" t="s">
        <v>1280</v>
      </c>
      <c r="G142" s="178">
        <v>44912</v>
      </c>
      <c r="H142" s="5" t="s">
        <v>942</v>
      </c>
      <c r="I142" s="5" t="s">
        <v>933</v>
      </c>
      <c r="J142" s="5" t="s">
        <v>934</v>
      </c>
      <c r="K142" s="5">
        <v>110001</v>
      </c>
      <c r="L142" s="5" t="s">
        <v>935</v>
      </c>
      <c r="M142" s="5">
        <v>24100</v>
      </c>
      <c r="N142" s="5" t="s">
        <v>936</v>
      </c>
      <c r="O142" s="5">
        <v>0.34</v>
      </c>
      <c r="P142" s="5">
        <f t="shared" si="6"/>
        <v>8194</v>
      </c>
      <c r="Q142" s="192"/>
      <c r="R142" s="5">
        <f t="shared" si="7"/>
        <v>8194</v>
      </c>
      <c r="S142" s="5">
        <f t="shared" si="8"/>
        <v>0.34</v>
      </c>
      <c r="T142" s="5" t="s">
        <v>937</v>
      </c>
      <c r="U142" s="5" t="s">
        <v>943</v>
      </c>
      <c r="V142" s="170" t="str">
        <f>VLOOKUP(K142,'Stock statement'!$C$3:$D$382,2,0)</f>
        <v>C16</v>
      </c>
    </row>
    <row r="143" spans="1:22">
      <c r="A143" s="5">
        <v>142</v>
      </c>
      <c r="B143" s="5" t="s">
        <v>928</v>
      </c>
      <c r="C143" s="5" t="s">
        <v>1281</v>
      </c>
      <c r="D143" s="178">
        <v>44907</v>
      </c>
      <c r="E143" s="5" t="s">
        <v>930</v>
      </c>
      <c r="F143" s="5" t="s">
        <v>1282</v>
      </c>
      <c r="G143" s="178">
        <v>44914</v>
      </c>
      <c r="H143" s="5" t="s">
        <v>1283</v>
      </c>
      <c r="I143" s="5" t="s">
        <v>933</v>
      </c>
      <c r="J143" s="5" t="s">
        <v>934</v>
      </c>
      <c r="K143" s="5">
        <v>110017</v>
      </c>
      <c r="L143" s="5" t="s">
        <v>1284</v>
      </c>
      <c r="M143" s="5">
        <v>1000</v>
      </c>
      <c r="N143" s="5" t="s">
        <v>951</v>
      </c>
      <c r="O143" s="5">
        <v>755</v>
      </c>
      <c r="P143" s="5">
        <f t="shared" si="6"/>
        <v>755000</v>
      </c>
      <c r="Q143" s="192">
        <v>8000</v>
      </c>
      <c r="R143" s="5">
        <f t="shared" si="7"/>
        <v>763000</v>
      </c>
      <c r="S143" s="5">
        <f t="shared" si="8"/>
        <v>763</v>
      </c>
      <c r="T143" s="5" t="s">
        <v>937</v>
      </c>
      <c r="U143" s="5" t="s">
        <v>1285</v>
      </c>
      <c r="V143" s="170" t="str">
        <f>VLOOKUP(K143,'Stock statement'!$C$3:$D$382,2,0)</f>
        <v>C9</v>
      </c>
    </row>
    <row r="144" spans="1:22">
      <c r="A144" s="5">
        <v>143</v>
      </c>
      <c r="B144" s="5" t="s">
        <v>928</v>
      </c>
      <c r="C144" s="5" t="s">
        <v>1286</v>
      </c>
      <c r="D144" s="178">
        <v>44909</v>
      </c>
      <c r="E144" s="5" t="s">
        <v>930</v>
      </c>
      <c r="F144" s="5" t="s">
        <v>1287</v>
      </c>
      <c r="G144" s="178">
        <v>44914</v>
      </c>
      <c r="H144" s="5" t="s">
        <v>1073</v>
      </c>
      <c r="I144" s="5" t="s">
        <v>933</v>
      </c>
      <c r="J144" s="5" t="s">
        <v>934</v>
      </c>
      <c r="K144" s="5">
        <v>111253</v>
      </c>
      <c r="L144" s="5" t="s">
        <v>1074</v>
      </c>
      <c r="M144" s="5">
        <v>1200</v>
      </c>
      <c r="N144" s="5" t="s">
        <v>951</v>
      </c>
      <c r="O144" s="5">
        <v>882</v>
      </c>
      <c r="P144" s="5">
        <f t="shared" si="6"/>
        <v>1058400</v>
      </c>
      <c r="Q144" s="192">
        <v>10200</v>
      </c>
      <c r="R144" s="5">
        <f t="shared" si="7"/>
        <v>1068600</v>
      </c>
      <c r="S144" s="5">
        <f t="shared" si="8"/>
        <v>890.5</v>
      </c>
      <c r="T144" s="5" t="s">
        <v>937</v>
      </c>
      <c r="U144" s="5" t="s">
        <v>1288</v>
      </c>
      <c r="V144" s="170" t="str">
        <f>VLOOKUP(K144,'Stock statement'!$C$3:$D$382,2,0)</f>
        <v>C7</v>
      </c>
    </row>
    <row r="145" spans="1:22">
      <c r="A145" s="5">
        <v>144</v>
      </c>
      <c r="B145" s="5" t="s">
        <v>928</v>
      </c>
      <c r="C145" s="5" t="s">
        <v>1289</v>
      </c>
      <c r="D145" s="178">
        <v>44913</v>
      </c>
      <c r="E145" s="5" t="s">
        <v>930</v>
      </c>
      <c r="F145" s="5" t="s">
        <v>1290</v>
      </c>
      <c r="G145" s="178">
        <v>44914</v>
      </c>
      <c r="H145" s="5" t="s">
        <v>1291</v>
      </c>
      <c r="I145" s="5" t="s">
        <v>949</v>
      </c>
      <c r="J145" s="5" t="s">
        <v>934</v>
      </c>
      <c r="K145" s="5">
        <v>220393</v>
      </c>
      <c r="L145" s="5" t="s">
        <v>1292</v>
      </c>
      <c r="M145" s="5">
        <v>5072</v>
      </c>
      <c r="N145" s="5" t="s">
        <v>1293</v>
      </c>
      <c r="O145" s="5">
        <v>44</v>
      </c>
      <c r="P145" s="5">
        <f t="shared" si="6"/>
        <v>223168</v>
      </c>
      <c r="Q145" s="192">
        <v>5000</v>
      </c>
      <c r="R145" s="5">
        <f t="shared" si="7"/>
        <v>228168</v>
      </c>
      <c r="S145" s="5">
        <f t="shared" si="8"/>
        <v>44.985804416403788</v>
      </c>
      <c r="T145" s="5" t="s">
        <v>937</v>
      </c>
      <c r="U145" s="5" t="s">
        <v>1294</v>
      </c>
      <c r="V145" s="170" t="str">
        <f>VLOOKUP(K145,'Stock statement'!$C$3:$D$382,2,0)</f>
        <v>Bopp tape</v>
      </c>
    </row>
    <row r="146" spans="1:22">
      <c r="A146" s="5">
        <v>145</v>
      </c>
      <c r="B146" s="5" t="s">
        <v>928</v>
      </c>
      <c r="C146" s="5" t="s">
        <v>1295</v>
      </c>
      <c r="D146" s="178">
        <v>44913</v>
      </c>
      <c r="E146" s="5" t="s">
        <v>930</v>
      </c>
      <c r="F146" s="5" t="s">
        <v>1296</v>
      </c>
      <c r="G146" s="178">
        <v>44914</v>
      </c>
      <c r="H146" s="5" t="s">
        <v>994</v>
      </c>
      <c r="I146" s="5" t="s">
        <v>949</v>
      </c>
      <c r="J146" s="5" t="s">
        <v>934</v>
      </c>
      <c r="K146" s="5">
        <v>214961</v>
      </c>
      <c r="L146" s="5" t="s">
        <v>896</v>
      </c>
      <c r="M146" s="5">
        <v>2100</v>
      </c>
      <c r="N146" s="5" t="s">
        <v>995</v>
      </c>
      <c r="O146" s="5">
        <v>30.12</v>
      </c>
      <c r="P146" s="5">
        <f t="shared" si="6"/>
        <v>63252</v>
      </c>
      <c r="Q146" s="192"/>
      <c r="R146" s="5">
        <f t="shared" si="7"/>
        <v>63252</v>
      </c>
      <c r="S146" s="5">
        <f t="shared" si="8"/>
        <v>30.12</v>
      </c>
      <c r="T146" s="5" t="s">
        <v>937</v>
      </c>
      <c r="U146" s="5" t="s">
        <v>996</v>
      </c>
      <c r="V146" s="170">
        <f>VLOOKUP(K146,'Stock statement'!$C$3:$D$382,2,0)</f>
        <v>214961</v>
      </c>
    </row>
    <row r="147" spans="1:22">
      <c r="A147" s="5">
        <v>146</v>
      </c>
      <c r="B147" s="5" t="s">
        <v>928</v>
      </c>
      <c r="C147" s="5" t="s">
        <v>1295</v>
      </c>
      <c r="D147" s="178">
        <v>44913</v>
      </c>
      <c r="E147" s="5" t="s">
        <v>930</v>
      </c>
      <c r="F147" s="5" t="s">
        <v>1296</v>
      </c>
      <c r="G147" s="178">
        <v>44914</v>
      </c>
      <c r="H147" s="5" t="s">
        <v>994</v>
      </c>
      <c r="I147" s="5" t="s">
        <v>949</v>
      </c>
      <c r="J147" s="5" t="s">
        <v>934</v>
      </c>
      <c r="K147" s="5">
        <v>214962</v>
      </c>
      <c r="L147" s="5" t="s">
        <v>897</v>
      </c>
      <c r="M147" s="5">
        <v>4200</v>
      </c>
      <c r="N147" s="5" t="s">
        <v>995</v>
      </c>
      <c r="O147" s="5">
        <v>14.3</v>
      </c>
      <c r="P147" s="5">
        <f t="shared" si="6"/>
        <v>60060</v>
      </c>
      <c r="Q147" s="192"/>
      <c r="R147" s="5">
        <f t="shared" si="7"/>
        <v>60060</v>
      </c>
      <c r="S147" s="5">
        <f t="shared" si="8"/>
        <v>14.3</v>
      </c>
      <c r="T147" s="5" t="s">
        <v>937</v>
      </c>
      <c r="U147" s="5" t="s">
        <v>996</v>
      </c>
      <c r="V147" s="170">
        <f>VLOOKUP(K147,'Stock statement'!$C$3:$D$382,2,0)</f>
        <v>214962</v>
      </c>
    </row>
    <row r="148" spans="1:22">
      <c r="A148" s="5">
        <v>147</v>
      </c>
      <c r="B148" s="5" t="s">
        <v>928</v>
      </c>
      <c r="C148" s="5" t="s">
        <v>1297</v>
      </c>
      <c r="D148" s="178">
        <v>44913</v>
      </c>
      <c r="E148" s="5" t="s">
        <v>930</v>
      </c>
      <c r="F148" s="5" t="s">
        <v>1298</v>
      </c>
      <c r="G148" s="178">
        <v>44914</v>
      </c>
      <c r="H148" s="5" t="s">
        <v>994</v>
      </c>
      <c r="I148" s="5" t="s">
        <v>949</v>
      </c>
      <c r="J148" s="5" t="s">
        <v>934</v>
      </c>
      <c r="K148" s="5">
        <v>215016</v>
      </c>
      <c r="L148" s="5" t="s">
        <v>906</v>
      </c>
      <c r="M148" s="5">
        <v>1205</v>
      </c>
      <c r="N148" s="5" t="s">
        <v>995</v>
      </c>
      <c r="O148" s="5">
        <v>40.69</v>
      </c>
      <c r="P148" s="5">
        <f t="shared" si="6"/>
        <v>49031.45</v>
      </c>
      <c r="Q148" s="192"/>
      <c r="R148" s="5">
        <f t="shared" si="7"/>
        <v>49031.45</v>
      </c>
      <c r="S148" s="5">
        <f t="shared" si="8"/>
        <v>40.69</v>
      </c>
      <c r="T148" s="5" t="s">
        <v>937</v>
      </c>
      <c r="U148" s="5" t="s">
        <v>1299</v>
      </c>
      <c r="V148" s="170">
        <f>VLOOKUP(K148,'Stock statement'!$C$3:$D$382,2,0)</f>
        <v>215016</v>
      </c>
    </row>
    <row r="149" spans="1:22">
      <c r="A149" s="5">
        <v>148</v>
      </c>
      <c r="B149" s="5" t="s">
        <v>928</v>
      </c>
      <c r="C149" s="5" t="s">
        <v>1300</v>
      </c>
      <c r="D149" s="178">
        <v>44912</v>
      </c>
      <c r="E149" s="5" t="s">
        <v>930</v>
      </c>
      <c r="F149" s="5" t="s">
        <v>1301</v>
      </c>
      <c r="G149" s="178">
        <v>44914</v>
      </c>
      <c r="H149" s="5" t="s">
        <v>1035</v>
      </c>
      <c r="I149" s="5" t="s">
        <v>949</v>
      </c>
      <c r="J149" s="5" t="s">
        <v>934</v>
      </c>
      <c r="K149" s="5">
        <v>213052</v>
      </c>
      <c r="L149" s="5" t="s">
        <v>564</v>
      </c>
      <c r="M149" s="5">
        <v>1385</v>
      </c>
      <c r="N149" s="5" t="s">
        <v>995</v>
      </c>
      <c r="O149" s="5">
        <v>49.66</v>
      </c>
      <c r="P149" s="5">
        <f t="shared" si="6"/>
        <v>68779.099999999991</v>
      </c>
      <c r="Q149" s="192"/>
      <c r="R149" s="5">
        <f t="shared" si="7"/>
        <v>68779.099999999991</v>
      </c>
      <c r="S149" s="5">
        <f t="shared" si="8"/>
        <v>49.66</v>
      </c>
      <c r="T149" s="5" t="s">
        <v>937</v>
      </c>
      <c r="U149" s="5" t="s">
        <v>1302</v>
      </c>
      <c r="V149" s="170">
        <f>VLOOKUP(K149,'Stock statement'!$C$3:$D$382,2,0)</f>
        <v>213052</v>
      </c>
    </row>
    <row r="150" spans="1:22">
      <c r="A150" s="5">
        <v>149</v>
      </c>
      <c r="B150" s="5" t="s">
        <v>928</v>
      </c>
      <c r="C150" s="5" t="s">
        <v>1303</v>
      </c>
      <c r="D150" s="178">
        <v>44914</v>
      </c>
      <c r="E150" s="5" t="s">
        <v>930</v>
      </c>
      <c r="F150" s="5" t="s">
        <v>1304</v>
      </c>
      <c r="G150" s="178">
        <v>44914</v>
      </c>
      <c r="H150" s="5" t="s">
        <v>1039</v>
      </c>
      <c r="I150" s="5" t="s">
        <v>933</v>
      </c>
      <c r="J150" s="5" t="s">
        <v>934</v>
      </c>
      <c r="K150" s="5">
        <v>110814</v>
      </c>
      <c r="L150" s="5" t="s">
        <v>1040</v>
      </c>
      <c r="M150" s="5">
        <v>645</v>
      </c>
      <c r="N150" s="5" t="s">
        <v>951</v>
      </c>
      <c r="O150" s="5">
        <v>45</v>
      </c>
      <c r="P150" s="5">
        <f t="shared" si="6"/>
        <v>29025</v>
      </c>
      <c r="Q150" s="192">
        <v>1200</v>
      </c>
      <c r="R150" s="5">
        <f t="shared" si="7"/>
        <v>30225</v>
      </c>
      <c r="S150" s="5">
        <f t="shared" si="8"/>
        <v>46.860465116279073</v>
      </c>
      <c r="T150" s="5" t="s">
        <v>937</v>
      </c>
      <c r="U150" s="5" t="s">
        <v>1041</v>
      </c>
      <c r="V150" s="170" t="str">
        <f>VLOOKUP(K150,'Stock statement'!$C$3:$D$382,2,0)</f>
        <v>C20</v>
      </c>
    </row>
    <row r="151" spans="1:22">
      <c r="A151" s="5">
        <v>150</v>
      </c>
      <c r="B151" s="5" t="s">
        <v>928</v>
      </c>
      <c r="C151" s="5" t="s">
        <v>1305</v>
      </c>
      <c r="D151" s="178">
        <v>44909</v>
      </c>
      <c r="E151" s="5" t="s">
        <v>930</v>
      </c>
      <c r="F151" s="5" t="s">
        <v>1306</v>
      </c>
      <c r="G151" s="178">
        <v>44912</v>
      </c>
      <c r="H151" s="5" t="s">
        <v>963</v>
      </c>
      <c r="I151" s="5" t="s">
        <v>933</v>
      </c>
      <c r="J151" s="5" t="s">
        <v>934</v>
      </c>
      <c r="K151" s="5">
        <v>111232</v>
      </c>
      <c r="L151" s="5" t="s">
        <v>964</v>
      </c>
      <c r="M151" s="5">
        <v>24500</v>
      </c>
      <c r="N151" s="5" t="s">
        <v>951</v>
      </c>
      <c r="O151" s="5">
        <v>86.5</v>
      </c>
      <c r="P151" s="5">
        <f t="shared" si="6"/>
        <v>2119250</v>
      </c>
      <c r="Q151" s="192">
        <v>143178</v>
      </c>
      <c r="R151" s="5">
        <f t="shared" si="7"/>
        <v>2262428</v>
      </c>
      <c r="S151" s="5">
        <f t="shared" si="8"/>
        <v>92.343999999999994</v>
      </c>
      <c r="T151" s="5" t="s">
        <v>937</v>
      </c>
      <c r="U151" s="5" t="s">
        <v>1168</v>
      </c>
      <c r="V151" s="170" t="str">
        <f>VLOOKUP(K151,'Stock statement'!$C$3:$D$382,2,0)</f>
        <v>C25</v>
      </c>
    </row>
    <row r="152" spans="1:22">
      <c r="A152" s="5">
        <v>151</v>
      </c>
      <c r="B152" s="5" t="s">
        <v>928</v>
      </c>
      <c r="C152" s="5" t="s">
        <v>1307</v>
      </c>
      <c r="D152" s="178">
        <v>44914</v>
      </c>
      <c r="E152" s="5" t="s">
        <v>930</v>
      </c>
      <c r="F152" s="5" t="s">
        <v>1308</v>
      </c>
      <c r="G152" s="178">
        <v>44914</v>
      </c>
      <c r="H152" s="5" t="s">
        <v>948</v>
      </c>
      <c r="I152" s="5" t="s">
        <v>949</v>
      </c>
      <c r="J152" s="5" t="s">
        <v>934</v>
      </c>
      <c r="K152" s="5">
        <v>214990</v>
      </c>
      <c r="L152" s="5" t="s">
        <v>904</v>
      </c>
      <c r="M152" s="5">
        <v>4116.5</v>
      </c>
      <c r="N152" s="5" t="s">
        <v>951</v>
      </c>
      <c r="O152" s="5">
        <v>234</v>
      </c>
      <c r="P152" s="5">
        <f t="shared" ref="P152:P215" si="9">+M152*O152</f>
        <v>963261</v>
      </c>
      <c r="Q152" s="192"/>
      <c r="R152" s="5">
        <f t="shared" si="7"/>
        <v>963261</v>
      </c>
      <c r="S152" s="5">
        <f t="shared" si="8"/>
        <v>234</v>
      </c>
      <c r="T152" s="5" t="s">
        <v>937</v>
      </c>
      <c r="U152" s="5" t="s">
        <v>952</v>
      </c>
      <c r="V152" s="170">
        <f>VLOOKUP(K152,'Stock statement'!$C$3:$D$382,2,0)</f>
        <v>214990</v>
      </c>
    </row>
    <row r="153" spans="1:22">
      <c r="A153" s="5">
        <v>152</v>
      </c>
      <c r="B153" s="5" t="s">
        <v>928</v>
      </c>
      <c r="C153" s="5" t="s">
        <v>1309</v>
      </c>
      <c r="D153" s="178">
        <v>44912</v>
      </c>
      <c r="E153" s="5" t="s">
        <v>930</v>
      </c>
      <c r="F153" s="5" t="s">
        <v>1310</v>
      </c>
      <c r="G153" s="178">
        <v>44914</v>
      </c>
      <c r="H153" s="5" t="s">
        <v>988</v>
      </c>
      <c r="I153" s="5" t="s">
        <v>949</v>
      </c>
      <c r="J153" s="5" t="s">
        <v>934</v>
      </c>
      <c r="K153" s="5">
        <v>214255</v>
      </c>
      <c r="L153" s="5" t="s">
        <v>950</v>
      </c>
      <c r="M153" s="5">
        <v>2629</v>
      </c>
      <c r="N153" s="5" t="s">
        <v>951</v>
      </c>
      <c r="O153" s="5">
        <v>239.21</v>
      </c>
      <c r="P153" s="5">
        <f t="shared" si="9"/>
        <v>628883.09</v>
      </c>
      <c r="Q153" s="192"/>
      <c r="R153" s="5">
        <f t="shared" si="7"/>
        <v>628883.09</v>
      </c>
      <c r="S153" s="5">
        <f t="shared" si="8"/>
        <v>239.20999999999998</v>
      </c>
      <c r="T153" s="5" t="s">
        <v>937</v>
      </c>
      <c r="U153" s="5" t="s">
        <v>1241</v>
      </c>
      <c r="V153" s="170">
        <f>VLOOKUP(K153,'Stock statement'!$C$3:$D$382,2,0)</f>
        <v>214255</v>
      </c>
    </row>
    <row r="154" spans="1:22">
      <c r="A154" s="5">
        <v>153</v>
      </c>
      <c r="B154" s="5" t="s">
        <v>928</v>
      </c>
      <c r="C154" s="5" t="s">
        <v>1311</v>
      </c>
      <c r="D154" s="178">
        <v>44910</v>
      </c>
      <c r="E154" s="5" t="s">
        <v>930</v>
      </c>
      <c r="F154" s="5" t="s">
        <v>1312</v>
      </c>
      <c r="G154" s="178">
        <v>44914</v>
      </c>
      <c r="H154" s="5" t="s">
        <v>1313</v>
      </c>
      <c r="I154" s="5" t="s">
        <v>949</v>
      </c>
      <c r="J154" s="5" t="s">
        <v>934</v>
      </c>
      <c r="K154" s="5">
        <v>229738</v>
      </c>
      <c r="L154" s="5" t="s">
        <v>1314</v>
      </c>
      <c r="M154" s="5">
        <v>22000</v>
      </c>
      <c r="N154" s="5" t="s">
        <v>995</v>
      </c>
      <c r="O154" s="5">
        <v>1.91</v>
      </c>
      <c r="P154" s="5">
        <f t="shared" si="9"/>
        <v>42020</v>
      </c>
      <c r="Q154" s="192">
        <v>1108.5271317829499</v>
      </c>
      <c r="R154" s="5">
        <f t="shared" si="7"/>
        <v>43128.527131782947</v>
      </c>
      <c r="S154" s="5">
        <f t="shared" si="8"/>
        <v>1.9603875968992248</v>
      </c>
      <c r="T154" s="5" t="s">
        <v>937</v>
      </c>
      <c r="U154" s="5" t="s">
        <v>1315</v>
      </c>
      <c r="V154" s="170" t="str">
        <f>VLOOKUP(K154,'Stock statement'!$C$3:$D$382,2,0)</f>
        <v>B31</v>
      </c>
    </row>
    <row r="155" spans="1:22">
      <c r="A155" s="5">
        <v>154</v>
      </c>
      <c r="B155" s="5" t="s">
        <v>928</v>
      </c>
      <c r="C155" s="5" t="s">
        <v>1311</v>
      </c>
      <c r="D155" s="178">
        <v>44910</v>
      </c>
      <c r="E155" s="5" t="s">
        <v>930</v>
      </c>
      <c r="F155" s="5" t="s">
        <v>1312</v>
      </c>
      <c r="G155" s="178">
        <v>44914</v>
      </c>
      <c r="H155" s="5" t="s">
        <v>1313</v>
      </c>
      <c r="I155" s="5" t="s">
        <v>949</v>
      </c>
      <c r="J155" s="5" t="s">
        <v>934</v>
      </c>
      <c r="K155" s="5">
        <v>229739</v>
      </c>
      <c r="L155" s="5" t="s">
        <v>1316</v>
      </c>
      <c r="M155" s="5">
        <v>22000</v>
      </c>
      <c r="N155" s="5" t="s">
        <v>995</v>
      </c>
      <c r="O155" s="5">
        <v>1.42</v>
      </c>
      <c r="P155" s="5">
        <f t="shared" si="9"/>
        <v>31240</v>
      </c>
      <c r="Q155" s="192">
        <v>1108.5271317829456</v>
      </c>
      <c r="R155" s="5">
        <f t="shared" si="7"/>
        <v>32348.527131782947</v>
      </c>
      <c r="S155" s="5">
        <f t="shared" si="8"/>
        <v>1.4703875968992248</v>
      </c>
      <c r="T155" s="5" t="s">
        <v>937</v>
      </c>
      <c r="U155" s="5" t="s">
        <v>1315</v>
      </c>
      <c r="V155" s="170" t="str">
        <f>VLOOKUP(K155,'Stock statement'!$C$3:$D$382,2,0)</f>
        <v>B32</v>
      </c>
    </row>
    <row r="156" spans="1:22">
      <c r="A156" s="5">
        <v>155</v>
      </c>
      <c r="B156" s="5" t="s">
        <v>928</v>
      </c>
      <c r="C156" s="5" t="s">
        <v>1311</v>
      </c>
      <c r="D156" s="178">
        <v>44910</v>
      </c>
      <c r="E156" s="5" t="s">
        <v>930</v>
      </c>
      <c r="F156" s="5" t="s">
        <v>1312</v>
      </c>
      <c r="G156" s="178">
        <v>44914</v>
      </c>
      <c r="H156" s="5" t="s">
        <v>1313</v>
      </c>
      <c r="I156" s="5" t="s">
        <v>949</v>
      </c>
      <c r="J156" s="5" t="s">
        <v>934</v>
      </c>
      <c r="K156" s="5">
        <v>229736</v>
      </c>
      <c r="L156" s="5" t="s">
        <v>1317</v>
      </c>
      <c r="M156" s="5">
        <v>31500</v>
      </c>
      <c r="N156" s="5" t="s">
        <v>995</v>
      </c>
      <c r="O156" s="5">
        <v>1.19</v>
      </c>
      <c r="P156" s="5">
        <f t="shared" si="9"/>
        <v>37485</v>
      </c>
      <c r="Q156" s="192">
        <v>1587.2093023255813</v>
      </c>
      <c r="R156" s="5">
        <f t="shared" si="7"/>
        <v>39072.20930232558</v>
      </c>
      <c r="S156" s="5">
        <f t="shared" si="8"/>
        <v>1.2403875968992248</v>
      </c>
      <c r="T156" s="5" t="s">
        <v>937</v>
      </c>
      <c r="U156" s="5" t="s">
        <v>1315</v>
      </c>
      <c r="V156" s="170" t="str">
        <f>VLOOKUP(K156,'Stock statement'!$C$3:$D$382,2,0)</f>
        <v>b23</v>
      </c>
    </row>
    <row r="157" spans="1:22">
      <c r="A157" s="5">
        <v>156</v>
      </c>
      <c r="B157" s="5" t="s">
        <v>928</v>
      </c>
      <c r="C157" s="5" t="s">
        <v>1311</v>
      </c>
      <c r="D157" s="178">
        <v>44910</v>
      </c>
      <c r="E157" s="5" t="s">
        <v>930</v>
      </c>
      <c r="F157" s="5" t="s">
        <v>1312</v>
      </c>
      <c r="G157" s="178">
        <v>44914</v>
      </c>
      <c r="H157" s="5" t="s">
        <v>1313</v>
      </c>
      <c r="I157" s="5" t="s">
        <v>949</v>
      </c>
      <c r="J157" s="5" t="s">
        <v>934</v>
      </c>
      <c r="K157" s="5">
        <v>229737</v>
      </c>
      <c r="L157" s="5" t="s">
        <v>1318</v>
      </c>
      <c r="M157" s="5">
        <v>31500</v>
      </c>
      <c r="N157" s="5" t="s">
        <v>995</v>
      </c>
      <c r="O157" s="5">
        <v>0.88</v>
      </c>
      <c r="P157" s="5">
        <f t="shared" si="9"/>
        <v>27720</v>
      </c>
      <c r="Q157" s="192">
        <v>1587.2093023255813</v>
      </c>
      <c r="R157" s="5">
        <f t="shared" si="7"/>
        <v>29307.20930232558</v>
      </c>
      <c r="S157" s="5">
        <f t="shared" si="8"/>
        <v>0.93038759689922479</v>
      </c>
      <c r="T157" s="5" t="s">
        <v>937</v>
      </c>
      <c r="U157" s="5" t="s">
        <v>1315</v>
      </c>
      <c r="V157" s="170" t="str">
        <f>VLOOKUP(K157,'Stock statement'!$C$3:$D$382,2,0)</f>
        <v>B24</v>
      </c>
    </row>
    <row r="158" spans="1:22">
      <c r="A158" s="5">
        <v>157</v>
      </c>
      <c r="B158" s="5" t="s">
        <v>928</v>
      </c>
      <c r="C158" s="5" t="s">
        <v>1311</v>
      </c>
      <c r="D158" s="178">
        <v>44910</v>
      </c>
      <c r="E158" s="5" t="s">
        <v>930</v>
      </c>
      <c r="F158" s="5" t="s">
        <v>1312</v>
      </c>
      <c r="G158" s="178">
        <v>44914</v>
      </c>
      <c r="H158" s="5" t="s">
        <v>1313</v>
      </c>
      <c r="I158" s="5" t="s">
        <v>949</v>
      </c>
      <c r="J158" s="5" t="s">
        <v>934</v>
      </c>
      <c r="K158" s="5">
        <v>229896</v>
      </c>
      <c r="L158" s="5" t="s">
        <v>1319</v>
      </c>
      <c r="M158" s="5">
        <v>11000</v>
      </c>
      <c r="N158" s="5" t="s">
        <v>995</v>
      </c>
      <c r="O158" s="5">
        <v>1.91</v>
      </c>
      <c r="P158" s="5">
        <f t="shared" si="9"/>
        <v>21010</v>
      </c>
      <c r="Q158" s="192">
        <v>554.26356589147281</v>
      </c>
      <c r="R158" s="5">
        <f t="shared" si="7"/>
        <v>21564.263565891473</v>
      </c>
      <c r="S158" s="5">
        <f t="shared" si="8"/>
        <v>1.9603875968992248</v>
      </c>
      <c r="T158" s="5" t="s">
        <v>937</v>
      </c>
      <c r="U158" s="5" t="s">
        <v>1315</v>
      </c>
      <c r="V158" s="170" t="str">
        <f>VLOOKUP(K158,'Stock statement'!$C$3:$D$382,2,0)</f>
        <v>B27</v>
      </c>
    </row>
    <row r="159" spans="1:22">
      <c r="A159" s="5">
        <v>158</v>
      </c>
      <c r="B159" s="5" t="s">
        <v>928</v>
      </c>
      <c r="C159" s="5" t="s">
        <v>1311</v>
      </c>
      <c r="D159" s="178">
        <v>44910</v>
      </c>
      <c r="E159" s="5" t="s">
        <v>930</v>
      </c>
      <c r="F159" s="5" t="s">
        <v>1312</v>
      </c>
      <c r="G159" s="178">
        <v>44914</v>
      </c>
      <c r="H159" s="5" t="s">
        <v>1313</v>
      </c>
      <c r="I159" s="5" t="s">
        <v>949</v>
      </c>
      <c r="J159" s="5" t="s">
        <v>934</v>
      </c>
      <c r="K159" s="5">
        <v>229897</v>
      </c>
      <c r="L159" s="5" t="s">
        <v>1320</v>
      </c>
      <c r="M159" s="5">
        <v>11000</v>
      </c>
      <c r="N159" s="5" t="s">
        <v>995</v>
      </c>
      <c r="O159" s="5">
        <v>1.42</v>
      </c>
      <c r="P159" s="5">
        <f t="shared" si="9"/>
        <v>15620</v>
      </c>
      <c r="Q159" s="192">
        <v>554.26356589147281</v>
      </c>
      <c r="R159" s="5">
        <f t="shared" si="7"/>
        <v>16174.263565891473</v>
      </c>
      <c r="S159" s="5">
        <f t="shared" si="8"/>
        <v>1.4703875968992248</v>
      </c>
      <c r="T159" s="5" t="s">
        <v>937</v>
      </c>
      <c r="U159" s="5" t="s">
        <v>1315</v>
      </c>
      <c r="V159" s="170" t="str">
        <f>VLOOKUP(K159,'Stock statement'!$C$3:$D$382,2,0)</f>
        <v>B28</v>
      </c>
    </row>
    <row r="160" spans="1:22">
      <c r="A160" s="5">
        <v>159</v>
      </c>
      <c r="B160" s="5" t="s">
        <v>928</v>
      </c>
      <c r="C160" s="5" t="s">
        <v>1321</v>
      </c>
      <c r="D160" s="178">
        <v>44914</v>
      </c>
      <c r="E160" s="5" t="s">
        <v>930</v>
      </c>
      <c r="F160" s="5" t="s">
        <v>1322</v>
      </c>
      <c r="G160" s="178">
        <v>44914</v>
      </c>
      <c r="H160" s="5" t="s">
        <v>1178</v>
      </c>
      <c r="I160" s="5" t="s">
        <v>933</v>
      </c>
      <c r="J160" s="5" t="s">
        <v>934</v>
      </c>
      <c r="K160" s="5">
        <v>110001</v>
      </c>
      <c r="L160" s="5" t="s">
        <v>935</v>
      </c>
      <c r="M160" s="5">
        <v>21500</v>
      </c>
      <c r="N160" s="5" t="s">
        <v>936</v>
      </c>
      <c r="O160" s="5">
        <v>0.34</v>
      </c>
      <c r="P160" s="5">
        <f t="shared" si="9"/>
        <v>7310.0000000000009</v>
      </c>
      <c r="Q160" s="192"/>
      <c r="R160" s="5">
        <f t="shared" si="7"/>
        <v>7310.0000000000009</v>
      </c>
      <c r="S160" s="5">
        <f t="shared" si="8"/>
        <v>0.34</v>
      </c>
      <c r="T160" s="5" t="s">
        <v>937</v>
      </c>
      <c r="U160" s="5" t="s">
        <v>1179</v>
      </c>
      <c r="V160" s="170" t="str">
        <f>VLOOKUP(K160,'Stock statement'!$C$3:$D$382,2,0)</f>
        <v>C16</v>
      </c>
    </row>
    <row r="161" spans="1:22">
      <c r="A161" s="5">
        <v>160</v>
      </c>
      <c r="B161" s="5" t="s">
        <v>928</v>
      </c>
      <c r="C161" s="5" t="s">
        <v>1323</v>
      </c>
      <c r="D161" s="178">
        <v>44914</v>
      </c>
      <c r="E161" s="5" t="s">
        <v>930</v>
      </c>
      <c r="F161" s="5" t="s">
        <v>1324</v>
      </c>
      <c r="G161" s="178">
        <v>44914</v>
      </c>
      <c r="H161" s="5" t="s">
        <v>932</v>
      </c>
      <c r="I161" s="5" t="s">
        <v>933</v>
      </c>
      <c r="J161" s="5" t="s">
        <v>934</v>
      </c>
      <c r="K161" s="5">
        <v>110001</v>
      </c>
      <c r="L161" s="5" t="s">
        <v>935</v>
      </c>
      <c r="M161" s="5">
        <v>34500</v>
      </c>
      <c r="N161" s="5" t="s">
        <v>936</v>
      </c>
      <c r="O161" s="5">
        <v>0.34</v>
      </c>
      <c r="P161" s="5">
        <f t="shared" si="9"/>
        <v>11730</v>
      </c>
      <c r="Q161" s="192"/>
      <c r="R161" s="5">
        <f t="shared" si="7"/>
        <v>11730</v>
      </c>
      <c r="S161" s="5">
        <f t="shared" si="8"/>
        <v>0.34</v>
      </c>
      <c r="T161" s="5" t="s">
        <v>937</v>
      </c>
      <c r="U161" s="5" t="s">
        <v>938</v>
      </c>
      <c r="V161" s="170" t="str">
        <f>VLOOKUP(K161,'Stock statement'!$C$3:$D$382,2,0)</f>
        <v>C16</v>
      </c>
    </row>
    <row r="162" spans="1:22">
      <c r="A162" s="5">
        <v>161</v>
      </c>
      <c r="B162" s="5" t="s">
        <v>928</v>
      </c>
      <c r="C162" s="5" t="s">
        <v>1325</v>
      </c>
      <c r="D162" s="178">
        <v>44914</v>
      </c>
      <c r="E162" s="5" t="s">
        <v>930</v>
      </c>
      <c r="F162" s="5" t="s">
        <v>1326</v>
      </c>
      <c r="G162" s="178">
        <v>44915</v>
      </c>
      <c r="H162" s="5" t="s">
        <v>1066</v>
      </c>
      <c r="I162" s="5" t="s">
        <v>949</v>
      </c>
      <c r="J162" s="5" t="s">
        <v>934</v>
      </c>
      <c r="K162" s="5">
        <v>214379</v>
      </c>
      <c r="L162" s="5" t="s">
        <v>1123</v>
      </c>
      <c r="M162" s="5">
        <v>3776</v>
      </c>
      <c r="N162" s="5" t="s">
        <v>995</v>
      </c>
      <c r="O162" s="5">
        <v>40.69</v>
      </c>
      <c r="P162" s="5">
        <f t="shared" si="9"/>
        <v>153645.44</v>
      </c>
      <c r="Q162" s="192"/>
      <c r="R162" s="5">
        <f t="shared" si="7"/>
        <v>153645.44</v>
      </c>
      <c r="S162" s="5">
        <f t="shared" si="8"/>
        <v>40.69</v>
      </c>
      <c r="T162" s="5" t="s">
        <v>937</v>
      </c>
      <c r="U162" s="5" t="s">
        <v>1327</v>
      </c>
      <c r="V162" s="170">
        <f>VLOOKUP(K162,'Stock statement'!$C$3:$D$382,2,0)</f>
        <v>214379</v>
      </c>
    </row>
    <row r="163" spans="1:22">
      <c r="A163" s="5">
        <v>162</v>
      </c>
      <c r="B163" s="5" t="s">
        <v>928</v>
      </c>
      <c r="C163" s="5" t="s">
        <v>1325</v>
      </c>
      <c r="D163" s="178">
        <v>44914</v>
      </c>
      <c r="E163" s="5" t="s">
        <v>930</v>
      </c>
      <c r="F163" s="5" t="s">
        <v>1326</v>
      </c>
      <c r="G163" s="178">
        <v>44915</v>
      </c>
      <c r="H163" s="5" t="s">
        <v>1066</v>
      </c>
      <c r="I163" s="5" t="s">
        <v>949</v>
      </c>
      <c r="J163" s="5" t="s">
        <v>934</v>
      </c>
      <c r="K163" s="5">
        <v>215015</v>
      </c>
      <c r="L163" s="5" t="s">
        <v>905</v>
      </c>
      <c r="M163" s="5">
        <v>303</v>
      </c>
      <c r="N163" s="5" t="s">
        <v>995</v>
      </c>
      <c r="O163" s="5">
        <v>40.69</v>
      </c>
      <c r="P163" s="5">
        <f t="shared" si="9"/>
        <v>12329.07</v>
      </c>
      <c r="Q163" s="192"/>
      <c r="R163" s="5">
        <f t="shared" si="7"/>
        <v>12329.07</v>
      </c>
      <c r="S163" s="5">
        <f t="shared" si="8"/>
        <v>40.69</v>
      </c>
      <c r="T163" s="5" t="s">
        <v>937</v>
      </c>
      <c r="U163" s="5" t="s">
        <v>1327</v>
      </c>
      <c r="V163" s="170">
        <f>VLOOKUP(K163,'Stock statement'!$C$3:$D$382,2,0)</f>
        <v>215015</v>
      </c>
    </row>
    <row r="164" spans="1:22">
      <c r="A164" s="5">
        <v>163</v>
      </c>
      <c r="B164" s="5" t="s">
        <v>928</v>
      </c>
      <c r="C164" s="5" t="s">
        <v>1328</v>
      </c>
      <c r="D164" s="178">
        <v>44914</v>
      </c>
      <c r="E164" s="5" t="s">
        <v>930</v>
      </c>
      <c r="F164" s="5" t="s">
        <v>1329</v>
      </c>
      <c r="G164" s="178">
        <v>44915</v>
      </c>
      <c r="H164" s="5" t="s">
        <v>1066</v>
      </c>
      <c r="I164" s="5" t="s">
        <v>949</v>
      </c>
      <c r="J164" s="5" t="s">
        <v>934</v>
      </c>
      <c r="K164" s="5">
        <v>214378</v>
      </c>
      <c r="L164" s="5" t="s">
        <v>406</v>
      </c>
      <c r="M164" s="5">
        <v>3995</v>
      </c>
      <c r="N164" s="5" t="s">
        <v>995</v>
      </c>
      <c r="O164" s="5">
        <v>40.69</v>
      </c>
      <c r="P164" s="5">
        <f t="shared" si="9"/>
        <v>162556.54999999999</v>
      </c>
      <c r="Q164" s="192"/>
      <c r="R164" s="5">
        <f t="shared" si="7"/>
        <v>162556.54999999999</v>
      </c>
      <c r="S164" s="5">
        <f t="shared" si="8"/>
        <v>40.69</v>
      </c>
      <c r="T164" s="5" t="s">
        <v>937</v>
      </c>
      <c r="U164" s="5" t="s">
        <v>1327</v>
      </c>
      <c r="V164" s="170">
        <f>VLOOKUP(K164,'Stock statement'!$C$3:$D$382,2,0)</f>
        <v>214378</v>
      </c>
    </row>
    <row r="165" spans="1:22">
      <c r="A165" s="5">
        <v>164</v>
      </c>
      <c r="B165" s="5" t="s">
        <v>928</v>
      </c>
      <c r="C165" s="5" t="s">
        <v>1330</v>
      </c>
      <c r="D165" s="178">
        <v>44915</v>
      </c>
      <c r="E165" s="5" t="s">
        <v>930</v>
      </c>
      <c r="F165" s="5" t="s">
        <v>1331</v>
      </c>
      <c r="G165" s="178">
        <v>44915</v>
      </c>
      <c r="H165" s="5" t="s">
        <v>1332</v>
      </c>
      <c r="I165" s="5" t="s">
        <v>949</v>
      </c>
      <c r="J165" s="5" t="s">
        <v>934</v>
      </c>
      <c r="K165" s="5">
        <v>229895</v>
      </c>
      <c r="L165" s="5" t="s">
        <v>1333</v>
      </c>
      <c r="M165" s="5">
        <v>35000</v>
      </c>
      <c r="N165" s="5" t="s">
        <v>995</v>
      </c>
      <c r="O165" s="5">
        <v>2.6</v>
      </c>
      <c r="P165" s="5">
        <f t="shared" si="9"/>
        <v>91000</v>
      </c>
      <c r="Q165" s="192"/>
      <c r="R165" s="5">
        <f t="shared" si="7"/>
        <v>91000</v>
      </c>
      <c r="S165" s="5">
        <f t="shared" si="8"/>
        <v>2.6</v>
      </c>
      <c r="T165" s="5" t="s">
        <v>937</v>
      </c>
      <c r="U165" s="5" t="s">
        <v>1334</v>
      </c>
      <c r="V165" s="170" t="str">
        <f>VLOOKUP(K165,'Stock statement'!$C$3:$D$382,2,0)</f>
        <v>B6</v>
      </c>
    </row>
    <row r="166" spans="1:22">
      <c r="A166" s="5">
        <v>165</v>
      </c>
      <c r="B166" s="5" t="s">
        <v>928</v>
      </c>
      <c r="C166" s="5" t="s">
        <v>1335</v>
      </c>
      <c r="D166" s="178">
        <v>44915</v>
      </c>
      <c r="E166" s="5" t="s">
        <v>930</v>
      </c>
      <c r="F166" s="5" t="s">
        <v>1336</v>
      </c>
      <c r="G166" s="178">
        <v>44915</v>
      </c>
      <c r="H166" s="5" t="s">
        <v>1332</v>
      </c>
      <c r="I166" s="5" t="s">
        <v>949</v>
      </c>
      <c r="J166" s="5" t="s">
        <v>934</v>
      </c>
      <c r="K166" s="5">
        <v>229895</v>
      </c>
      <c r="L166" s="5" t="s">
        <v>1333</v>
      </c>
      <c r="M166" s="5">
        <v>1000</v>
      </c>
      <c r="N166" s="5" t="s">
        <v>995</v>
      </c>
      <c r="O166" s="5">
        <v>2.6</v>
      </c>
      <c r="P166" s="5">
        <f t="shared" si="9"/>
        <v>2600</v>
      </c>
      <c r="Q166" s="192"/>
      <c r="R166" s="5">
        <f t="shared" si="7"/>
        <v>2600</v>
      </c>
      <c r="S166" s="5">
        <f t="shared" si="8"/>
        <v>2.6</v>
      </c>
      <c r="T166" s="5" t="s">
        <v>937</v>
      </c>
      <c r="U166" s="5" t="s">
        <v>1334</v>
      </c>
      <c r="V166" s="170" t="str">
        <f>VLOOKUP(K166,'Stock statement'!$C$3:$D$382,2,0)</f>
        <v>B6</v>
      </c>
    </row>
    <row r="167" spans="1:22">
      <c r="A167" s="5">
        <v>166</v>
      </c>
      <c r="B167" s="5" t="s">
        <v>928</v>
      </c>
      <c r="C167" s="5" t="s">
        <v>1337</v>
      </c>
      <c r="D167" s="178">
        <v>44908</v>
      </c>
      <c r="E167" s="5" t="s">
        <v>930</v>
      </c>
      <c r="F167" s="5" t="s">
        <v>1338</v>
      </c>
      <c r="G167" s="178">
        <v>44915</v>
      </c>
      <c r="H167" s="5" t="s">
        <v>1339</v>
      </c>
      <c r="I167" s="5" t="s">
        <v>933</v>
      </c>
      <c r="J167" s="5" t="s">
        <v>934</v>
      </c>
      <c r="K167" s="5">
        <v>115150</v>
      </c>
      <c r="L167" s="5" t="s">
        <v>159</v>
      </c>
      <c r="M167" s="5">
        <v>1000</v>
      </c>
      <c r="N167" s="5" t="s">
        <v>951</v>
      </c>
      <c r="O167" s="5">
        <v>453</v>
      </c>
      <c r="P167" s="5">
        <f t="shared" si="9"/>
        <v>453000</v>
      </c>
      <c r="Q167" s="192"/>
      <c r="R167" s="5">
        <f t="shared" si="7"/>
        <v>453000</v>
      </c>
      <c r="S167" s="5">
        <f t="shared" si="8"/>
        <v>453</v>
      </c>
      <c r="T167" s="5" t="s">
        <v>937</v>
      </c>
      <c r="U167" s="5" t="s">
        <v>1340</v>
      </c>
      <c r="V167" s="170">
        <f>VLOOKUP(K167,'Stock statement'!$C$3:$D$382,2,0)</f>
        <v>115150</v>
      </c>
    </row>
    <row r="168" spans="1:22">
      <c r="A168" s="5">
        <v>167</v>
      </c>
      <c r="B168" s="5" t="s">
        <v>928</v>
      </c>
      <c r="C168" s="5" t="s">
        <v>1341</v>
      </c>
      <c r="D168" s="178">
        <v>44914</v>
      </c>
      <c r="E168" s="5" t="s">
        <v>930</v>
      </c>
      <c r="F168" s="5" t="s">
        <v>1342</v>
      </c>
      <c r="G168" s="178">
        <v>44914</v>
      </c>
      <c r="H168" s="5" t="s">
        <v>932</v>
      </c>
      <c r="I168" s="5" t="s">
        <v>933</v>
      </c>
      <c r="J168" s="5" t="s">
        <v>934</v>
      </c>
      <c r="K168" s="5">
        <v>110001</v>
      </c>
      <c r="L168" s="5" t="s">
        <v>935</v>
      </c>
      <c r="M168" s="5">
        <v>34400</v>
      </c>
      <c r="N168" s="5" t="s">
        <v>936</v>
      </c>
      <c r="O168" s="5">
        <v>0.34</v>
      </c>
      <c r="P168" s="5">
        <f t="shared" si="9"/>
        <v>11696</v>
      </c>
      <c r="Q168" s="192"/>
      <c r="R168" s="5">
        <f t="shared" si="7"/>
        <v>11696</v>
      </c>
      <c r="S168" s="5">
        <f t="shared" si="8"/>
        <v>0.34</v>
      </c>
      <c r="T168" s="5" t="s">
        <v>937</v>
      </c>
      <c r="U168" s="5" t="s">
        <v>938</v>
      </c>
      <c r="V168" s="170" t="str">
        <f>VLOOKUP(K168,'Stock statement'!$C$3:$D$382,2,0)</f>
        <v>C16</v>
      </c>
    </row>
    <row r="169" spans="1:22">
      <c r="A169" s="5">
        <v>168</v>
      </c>
      <c r="B169" s="5" t="s">
        <v>928</v>
      </c>
      <c r="C169" s="5" t="s">
        <v>1343</v>
      </c>
      <c r="D169" s="178">
        <v>44915</v>
      </c>
      <c r="E169" s="5" t="s">
        <v>930</v>
      </c>
      <c r="F169" s="5" t="s">
        <v>1344</v>
      </c>
      <c r="G169" s="178">
        <v>44915</v>
      </c>
      <c r="H169" s="5" t="s">
        <v>994</v>
      </c>
      <c r="I169" s="5" t="s">
        <v>949</v>
      </c>
      <c r="J169" s="5" t="s">
        <v>934</v>
      </c>
      <c r="K169" s="5">
        <v>214961</v>
      </c>
      <c r="L169" s="5" t="s">
        <v>896</v>
      </c>
      <c r="M169" s="5">
        <v>580</v>
      </c>
      <c r="N169" s="5" t="s">
        <v>995</v>
      </c>
      <c r="O169" s="5">
        <v>30.12</v>
      </c>
      <c r="P169" s="5">
        <f t="shared" si="9"/>
        <v>17469.600000000002</v>
      </c>
      <c r="Q169" s="192"/>
      <c r="R169" s="5">
        <f t="shared" si="7"/>
        <v>17469.600000000002</v>
      </c>
      <c r="S169" s="5">
        <f t="shared" si="8"/>
        <v>30.120000000000005</v>
      </c>
      <c r="T169" s="5" t="s">
        <v>937</v>
      </c>
      <c r="U169" s="5" t="s">
        <v>1345</v>
      </c>
      <c r="V169" s="170">
        <f>VLOOKUP(K169,'Stock statement'!$C$3:$D$382,2,0)</f>
        <v>214961</v>
      </c>
    </row>
    <row r="170" spans="1:22">
      <c r="A170" s="5">
        <v>169</v>
      </c>
      <c r="B170" s="5" t="s">
        <v>928</v>
      </c>
      <c r="C170" s="5" t="s">
        <v>1343</v>
      </c>
      <c r="D170" s="178">
        <v>44915</v>
      </c>
      <c r="E170" s="5" t="s">
        <v>930</v>
      </c>
      <c r="F170" s="5" t="s">
        <v>1344</v>
      </c>
      <c r="G170" s="178">
        <v>44915</v>
      </c>
      <c r="H170" s="5" t="s">
        <v>994</v>
      </c>
      <c r="I170" s="5" t="s">
        <v>949</v>
      </c>
      <c r="J170" s="5" t="s">
        <v>934</v>
      </c>
      <c r="K170" s="5">
        <v>214962</v>
      </c>
      <c r="L170" s="5" t="s">
        <v>897</v>
      </c>
      <c r="M170" s="5">
        <v>625</v>
      </c>
      <c r="N170" s="5" t="s">
        <v>995</v>
      </c>
      <c r="O170" s="5">
        <v>14.3</v>
      </c>
      <c r="P170" s="5">
        <f t="shared" si="9"/>
        <v>8937.5</v>
      </c>
      <c r="Q170" s="192"/>
      <c r="R170" s="5">
        <f t="shared" si="7"/>
        <v>8937.5</v>
      </c>
      <c r="S170" s="5">
        <f t="shared" si="8"/>
        <v>14.3</v>
      </c>
      <c r="T170" s="5" t="s">
        <v>937</v>
      </c>
      <c r="U170" s="5" t="s">
        <v>1345</v>
      </c>
      <c r="V170" s="170">
        <f>VLOOKUP(K170,'Stock statement'!$C$3:$D$382,2,0)</f>
        <v>214962</v>
      </c>
    </row>
    <row r="171" spans="1:22">
      <c r="A171" s="5">
        <v>170</v>
      </c>
      <c r="B171" s="5" t="s">
        <v>928</v>
      </c>
      <c r="C171" s="5" t="s">
        <v>1343</v>
      </c>
      <c r="D171" s="178">
        <v>44915</v>
      </c>
      <c r="E171" s="5" t="s">
        <v>930</v>
      </c>
      <c r="F171" s="5" t="s">
        <v>1344</v>
      </c>
      <c r="G171" s="178">
        <v>44915</v>
      </c>
      <c r="H171" s="5" t="s">
        <v>994</v>
      </c>
      <c r="I171" s="5" t="s">
        <v>949</v>
      </c>
      <c r="J171" s="5" t="s">
        <v>934</v>
      </c>
      <c r="K171" s="5">
        <v>214961</v>
      </c>
      <c r="L171" s="5" t="s">
        <v>896</v>
      </c>
      <c r="M171" s="5">
        <v>3000</v>
      </c>
      <c r="N171" s="5" t="s">
        <v>995</v>
      </c>
      <c r="O171" s="5">
        <v>30.12</v>
      </c>
      <c r="P171" s="5">
        <f t="shared" si="9"/>
        <v>90360</v>
      </c>
      <c r="Q171" s="192"/>
      <c r="R171" s="5">
        <f t="shared" si="7"/>
        <v>90360</v>
      </c>
      <c r="S171" s="5">
        <f t="shared" si="8"/>
        <v>30.12</v>
      </c>
      <c r="T171" s="5" t="s">
        <v>937</v>
      </c>
      <c r="U171" s="5" t="s">
        <v>996</v>
      </c>
      <c r="V171" s="170">
        <f>VLOOKUP(K171,'Stock statement'!$C$3:$D$382,2,0)</f>
        <v>214961</v>
      </c>
    </row>
    <row r="172" spans="1:22">
      <c r="A172" s="5">
        <v>171</v>
      </c>
      <c r="B172" s="5" t="s">
        <v>928</v>
      </c>
      <c r="C172" s="5" t="s">
        <v>1343</v>
      </c>
      <c r="D172" s="178">
        <v>44915</v>
      </c>
      <c r="E172" s="5" t="s">
        <v>930</v>
      </c>
      <c r="F172" s="5" t="s">
        <v>1344</v>
      </c>
      <c r="G172" s="178">
        <v>44915</v>
      </c>
      <c r="H172" s="5" t="s">
        <v>994</v>
      </c>
      <c r="I172" s="5" t="s">
        <v>949</v>
      </c>
      <c r="J172" s="5" t="s">
        <v>934</v>
      </c>
      <c r="K172" s="5">
        <v>214962</v>
      </c>
      <c r="L172" s="5" t="s">
        <v>897</v>
      </c>
      <c r="M172" s="5">
        <v>6025</v>
      </c>
      <c r="N172" s="5" t="s">
        <v>995</v>
      </c>
      <c r="O172" s="5">
        <v>14.3</v>
      </c>
      <c r="P172" s="5">
        <f t="shared" si="9"/>
        <v>86157.5</v>
      </c>
      <c r="Q172" s="192"/>
      <c r="R172" s="5">
        <f t="shared" si="7"/>
        <v>86157.5</v>
      </c>
      <c r="S172" s="5">
        <f t="shared" si="8"/>
        <v>14.3</v>
      </c>
      <c r="T172" s="5" t="s">
        <v>937</v>
      </c>
      <c r="U172" s="5" t="s">
        <v>996</v>
      </c>
      <c r="V172" s="170">
        <f>VLOOKUP(K172,'Stock statement'!$C$3:$D$382,2,0)</f>
        <v>214962</v>
      </c>
    </row>
    <row r="173" spans="1:22">
      <c r="A173" s="5">
        <v>172</v>
      </c>
      <c r="B173" s="5" t="s">
        <v>928</v>
      </c>
      <c r="C173" s="5" t="s">
        <v>1343</v>
      </c>
      <c r="D173" s="178">
        <v>44915</v>
      </c>
      <c r="E173" s="5" t="s">
        <v>930</v>
      </c>
      <c r="F173" s="5" t="s">
        <v>1344</v>
      </c>
      <c r="G173" s="178">
        <v>44915</v>
      </c>
      <c r="H173" s="5" t="s">
        <v>994</v>
      </c>
      <c r="I173" s="5" t="s">
        <v>949</v>
      </c>
      <c r="J173" s="5" t="s">
        <v>934</v>
      </c>
      <c r="K173" s="5">
        <v>215015</v>
      </c>
      <c r="L173" s="5" t="s">
        <v>905</v>
      </c>
      <c r="M173" s="5">
        <v>2100</v>
      </c>
      <c r="N173" s="5" t="s">
        <v>995</v>
      </c>
      <c r="O173" s="5">
        <v>40.69</v>
      </c>
      <c r="P173" s="5">
        <f t="shared" si="9"/>
        <v>85449</v>
      </c>
      <c r="Q173" s="192"/>
      <c r="R173" s="5">
        <f t="shared" si="7"/>
        <v>85449</v>
      </c>
      <c r="S173" s="5">
        <f t="shared" si="8"/>
        <v>40.69</v>
      </c>
      <c r="T173" s="5" t="s">
        <v>937</v>
      </c>
      <c r="U173" s="5" t="s">
        <v>1299</v>
      </c>
      <c r="V173" s="170">
        <f>VLOOKUP(K173,'Stock statement'!$C$3:$D$382,2,0)</f>
        <v>215015</v>
      </c>
    </row>
    <row r="174" spans="1:22">
      <c r="A174" s="5">
        <v>173</v>
      </c>
      <c r="B174" s="5" t="s">
        <v>928</v>
      </c>
      <c r="C174" s="5" t="s">
        <v>1346</v>
      </c>
      <c r="D174" s="178">
        <v>44914</v>
      </c>
      <c r="E174" s="5" t="s">
        <v>930</v>
      </c>
      <c r="F174" s="5" t="s">
        <v>1347</v>
      </c>
      <c r="G174" s="178">
        <v>44915</v>
      </c>
      <c r="H174" s="5" t="s">
        <v>1270</v>
      </c>
      <c r="I174" s="5" t="s">
        <v>933</v>
      </c>
      <c r="J174" s="5" t="s">
        <v>934</v>
      </c>
      <c r="K174" s="5">
        <v>111300</v>
      </c>
      <c r="L174" s="5" t="s">
        <v>1271</v>
      </c>
      <c r="M174" s="5">
        <v>300</v>
      </c>
      <c r="N174" s="5" t="s">
        <v>951</v>
      </c>
      <c r="O174" s="5">
        <v>929</v>
      </c>
      <c r="P174" s="5">
        <f t="shared" si="9"/>
        <v>278700</v>
      </c>
      <c r="Q174" s="192"/>
      <c r="R174" s="5">
        <f t="shared" si="7"/>
        <v>278700</v>
      </c>
      <c r="S174" s="5">
        <f t="shared" si="8"/>
        <v>929</v>
      </c>
      <c r="T174" s="5" t="s">
        <v>937</v>
      </c>
      <c r="U174" s="5" t="s">
        <v>1272</v>
      </c>
      <c r="V174" s="170" t="str">
        <f>VLOOKUP(K174,'Stock statement'!$C$3:$D$382,2,0)</f>
        <v>C21</v>
      </c>
    </row>
    <row r="175" spans="1:22">
      <c r="A175" s="5">
        <v>174</v>
      </c>
      <c r="B175" s="5" t="s">
        <v>928</v>
      </c>
      <c r="C175" s="5" t="s">
        <v>1348</v>
      </c>
      <c r="D175" s="178">
        <v>44915</v>
      </c>
      <c r="E175" s="5" t="s">
        <v>930</v>
      </c>
      <c r="F175" s="5" t="s">
        <v>1349</v>
      </c>
      <c r="G175" s="178">
        <v>44915</v>
      </c>
      <c r="H175" s="5" t="s">
        <v>932</v>
      </c>
      <c r="I175" s="5" t="s">
        <v>933</v>
      </c>
      <c r="J175" s="5" t="s">
        <v>934</v>
      </c>
      <c r="K175" s="5">
        <v>110001</v>
      </c>
      <c r="L175" s="5" t="s">
        <v>935</v>
      </c>
      <c r="M175" s="5">
        <v>34100</v>
      </c>
      <c r="N175" s="5" t="s">
        <v>936</v>
      </c>
      <c r="O175" s="5">
        <v>0.34</v>
      </c>
      <c r="P175" s="5">
        <f t="shared" si="9"/>
        <v>11594</v>
      </c>
      <c r="Q175" s="192"/>
      <c r="R175" s="5">
        <f t="shared" si="7"/>
        <v>11594</v>
      </c>
      <c r="S175" s="5">
        <f t="shared" si="8"/>
        <v>0.34</v>
      </c>
      <c r="T175" s="5" t="s">
        <v>937</v>
      </c>
      <c r="U175" s="5" t="s">
        <v>938</v>
      </c>
      <c r="V175" s="170" t="str">
        <f>VLOOKUP(K175,'Stock statement'!$C$3:$D$382,2,0)</f>
        <v>C16</v>
      </c>
    </row>
    <row r="176" spans="1:22">
      <c r="A176" s="5">
        <v>175</v>
      </c>
      <c r="B176" s="5" t="s">
        <v>928</v>
      </c>
      <c r="C176" s="5" t="s">
        <v>1350</v>
      </c>
      <c r="D176" s="178">
        <v>44885</v>
      </c>
      <c r="E176" s="5" t="s">
        <v>930</v>
      </c>
      <c r="F176" s="5" t="s">
        <v>1351</v>
      </c>
      <c r="G176" s="178">
        <v>44916</v>
      </c>
      <c r="H176" s="5" t="s">
        <v>932</v>
      </c>
      <c r="I176" s="5" t="s">
        <v>933</v>
      </c>
      <c r="J176" s="5" t="s">
        <v>934</v>
      </c>
      <c r="K176" s="5">
        <v>110001</v>
      </c>
      <c r="L176" s="5" t="s">
        <v>935</v>
      </c>
      <c r="M176" s="5">
        <v>11000</v>
      </c>
      <c r="N176" s="5" t="s">
        <v>936</v>
      </c>
      <c r="O176" s="5">
        <v>0.34</v>
      </c>
      <c r="P176" s="5">
        <f t="shared" si="9"/>
        <v>3740.0000000000005</v>
      </c>
      <c r="Q176" s="192"/>
      <c r="R176" s="5">
        <f t="shared" si="7"/>
        <v>3740.0000000000005</v>
      </c>
      <c r="S176" s="5">
        <f t="shared" si="8"/>
        <v>0.34</v>
      </c>
      <c r="T176" s="5" t="s">
        <v>937</v>
      </c>
      <c r="U176" s="5" t="s">
        <v>938</v>
      </c>
      <c r="V176" s="170" t="str">
        <f>VLOOKUP(K176,'Stock statement'!$C$3:$D$382,2,0)</f>
        <v>C16</v>
      </c>
    </row>
    <row r="177" spans="1:22">
      <c r="A177" s="5">
        <v>176</v>
      </c>
      <c r="B177" s="5" t="s">
        <v>928</v>
      </c>
      <c r="C177" s="5" t="s">
        <v>1352</v>
      </c>
      <c r="D177" s="178">
        <v>44916</v>
      </c>
      <c r="E177" s="5" t="s">
        <v>930</v>
      </c>
      <c r="F177" s="5" t="s">
        <v>1353</v>
      </c>
      <c r="G177" s="178">
        <v>44916</v>
      </c>
      <c r="H177" s="5" t="s">
        <v>932</v>
      </c>
      <c r="I177" s="5" t="s">
        <v>933</v>
      </c>
      <c r="J177" s="5" t="s">
        <v>934</v>
      </c>
      <c r="K177" s="5">
        <v>110001</v>
      </c>
      <c r="L177" s="5" t="s">
        <v>935</v>
      </c>
      <c r="M177" s="5">
        <v>23000</v>
      </c>
      <c r="N177" s="5" t="s">
        <v>936</v>
      </c>
      <c r="O177" s="5">
        <v>0.34</v>
      </c>
      <c r="P177" s="5">
        <f t="shared" si="9"/>
        <v>7820.0000000000009</v>
      </c>
      <c r="Q177" s="192"/>
      <c r="R177" s="5">
        <f t="shared" si="7"/>
        <v>7820.0000000000009</v>
      </c>
      <c r="S177" s="5">
        <f t="shared" si="8"/>
        <v>0.34</v>
      </c>
      <c r="T177" s="5" t="s">
        <v>937</v>
      </c>
      <c r="U177" s="5" t="s">
        <v>938</v>
      </c>
      <c r="V177" s="170" t="str">
        <f>VLOOKUP(K177,'Stock statement'!$C$3:$D$382,2,0)</f>
        <v>C16</v>
      </c>
    </row>
    <row r="178" spans="1:22">
      <c r="A178" s="5">
        <v>177</v>
      </c>
      <c r="B178" s="5" t="s">
        <v>928</v>
      </c>
      <c r="C178" s="5" t="s">
        <v>1354</v>
      </c>
      <c r="D178" s="178">
        <v>44915</v>
      </c>
      <c r="E178" s="5" t="s">
        <v>930</v>
      </c>
      <c r="F178" s="5" t="s">
        <v>1355</v>
      </c>
      <c r="G178" s="178">
        <v>44916</v>
      </c>
      <c r="H178" s="5" t="s">
        <v>1066</v>
      </c>
      <c r="I178" s="5" t="s">
        <v>949</v>
      </c>
      <c r="J178" s="5" t="s">
        <v>934</v>
      </c>
      <c r="K178" s="5">
        <v>215015</v>
      </c>
      <c r="L178" s="5" t="s">
        <v>1356</v>
      </c>
      <c r="M178" s="5">
        <v>4470</v>
      </c>
      <c r="N178" s="5" t="s">
        <v>995</v>
      </c>
      <c r="O178" s="5">
        <v>40.69</v>
      </c>
      <c r="P178" s="5">
        <f t="shared" si="9"/>
        <v>181884.3</v>
      </c>
      <c r="Q178" s="192"/>
      <c r="R178" s="5">
        <f t="shared" si="7"/>
        <v>181884.3</v>
      </c>
      <c r="S178" s="5">
        <f t="shared" si="8"/>
        <v>40.69</v>
      </c>
      <c r="T178" s="5" t="s">
        <v>937</v>
      </c>
      <c r="U178" s="5" t="s">
        <v>1327</v>
      </c>
      <c r="V178" s="170">
        <f>VLOOKUP(K178,'Stock statement'!$C$3:$D$382,2,0)</f>
        <v>215015</v>
      </c>
    </row>
    <row r="179" spans="1:22">
      <c r="A179" s="5">
        <v>178</v>
      </c>
      <c r="B179" s="5" t="s">
        <v>928</v>
      </c>
      <c r="C179" s="5" t="s">
        <v>1357</v>
      </c>
      <c r="D179" s="178">
        <v>44915</v>
      </c>
      <c r="E179" s="5" t="s">
        <v>930</v>
      </c>
      <c r="F179" s="5" t="s">
        <v>1358</v>
      </c>
      <c r="G179" s="178">
        <v>44916</v>
      </c>
      <c r="H179" s="5" t="s">
        <v>1066</v>
      </c>
      <c r="I179" s="5" t="s">
        <v>949</v>
      </c>
      <c r="J179" s="5" t="s">
        <v>934</v>
      </c>
      <c r="K179" s="5">
        <v>214767</v>
      </c>
      <c r="L179" s="5" t="s">
        <v>458</v>
      </c>
      <c r="M179" s="5">
        <v>3083</v>
      </c>
      <c r="N179" s="5" t="s">
        <v>995</v>
      </c>
      <c r="O179" s="5">
        <v>38.25</v>
      </c>
      <c r="P179" s="5">
        <f t="shared" si="9"/>
        <v>117924.75</v>
      </c>
      <c r="Q179" s="192"/>
      <c r="R179" s="5">
        <f t="shared" si="7"/>
        <v>117924.75</v>
      </c>
      <c r="S179" s="5">
        <f t="shared" si="8"/>
        <v>38.25</v>
      </c>
      <c r="T179" s="5" t="s">
        <v>937</v>
      </c>
      <c r="U179" s="5" t="s">
        <v>1327</v>
      </c>
      <c r="V179" s="170">
        <f>VLOOKUP(K179,'Stock statement'!$C$3:$D$382,2,0)</f>
        <v>214767</v>
      </c>
    </row>
    <row r="180" spans="1:22">
      <c r="A180" s="5">
        <v>179</v>
      </c>
      <c r="B180" s="5" t="s">
        <v>928</v>
      </c>
      <c r="C180" s="5" t="s">
        <v>1357</v>
      </c>
      <c r="D180" s="178">
        <v>44915</v>
      </c>
      <c r="E180" s="5" t="s">
        <v>930</v>
      </c>
      <c r="F180" s="5" t="s">
        <v>1358</v>
      </c>
      <c r="G180" s="178">
        <v>44916</v>
      </c>
      <c r="H180" s="5" t="s">
        <v>1066</v>
      </c>
      <c r="I180" s="5" t="s">
        <v>949</v>
      </c>
      <c r="J180" s="5" t="s">
        <v>934</v>
      </c>
      <c r="K180" s="5">
        <v>214768</v>
      </c>
      <c r="L180" s="5" t="s">
        <v>459</v>
      </c>
      <c r="M180" s="5">
        <v>11808</v>
      </c>
      <c r="N180" s="5" t="s">
        <v>995</v>
      </c>
      <c r="O180" s="5">
        <v>11.43</v>
      </c>
      <c r="P180" s="5">
        <f t="shared" si="9"/>
        <v>134965.44</v>
      </c>
      <c r="Q180" s="192"/>
      <c r="R180" s="5">
        <f t="shared" si="7"/>
        <v>134965.44</v>
      </c>
      <c r="S180" s="5">
        <f t="shared" si="8"/>
        <v>11.43</v>
      </c>
      <c r="T180" s="5" t="s">
        <v>937</v>
      </c>
      <c r="U180" s="5" t="s">
        <v>1327</v>
      </c>
      <c r="V180" s="170">
        <f>VLOOKUP(K180,'Stock statement'!$C$3:$D$382,2,0)</f>
        <v>214768</v>
      </c>
    </row>
    <row r="181" spans="1:22">
      <c r="A181" s="5">
        <v>180</v>
      </c>
      <c r="B181" s="5" t="s">
        <v>928</v>
      </c>
      <c r="C181" s="5" t="s">
        <v>1359</v>
      </c>
      <c r="D181" s="178">
        <v>44914</v>
      </c>
      <c r="E181" s="5" t="s">
        <v>930</v>
      </c>
      <c r="F181" s="5" t="s">
        <v>1360</v>
      </c>
      <c r="G181" s="178">
        <v>44916</v>
      </c>
      <c r="H181" s="5" t="s">
        <v>1114</v>
      </c>
      <c r="I181" s="5" t="s">
        <v>933</v>
      </c>
      <c r="J181" s="5" t="s">
        <v>934</v>
      </c>
      <c r="K181" s="5">
        <v>110020</v>
      </c>
      <c r="L181" s="5" t="s">
        <v>1115</v>
      </c>
      <c r="M181" s="5">
        <v>6000</v>
      </c>
      <c r="N181" s="5" t="s">
        <v>951</v>
      </c>
      <c r="O181" s="5">
        <v>145.86000000000001</v>
      </c>
      <c r="P181" s="5">
        <f t="shared" si="9"/>
        <v>875160.00000000012</v>
      </c>
      <c r="Q181" s="192">
        <v>9000</v>
      </c>
      <c r="R181" s="5">
        <f t="shared" si="7"/>
        <v>884160.00000000012</v>
      </c>
      <c r="S181" s="5">
        <f t="shared" si="8"/>
        <v>147.36000000000001</v>
      </c>
      <c r="T181" s="5" t="s">
        <v>937</v>
      </c>
      <c r="U181" s="5" t="s">
        <v>1361</v>
      </c>
      <c r="V181" s="170" t="str">
        <f>VLOOKUP(K181,'Stock statement'!$C$3:$D$382,2,0)</f>
        <v>C14</v>
      </c>
    </row>
    <row r="182" spans="1:22">
      <c r="A182" s="5">
        <v>181</v>
      </c>
      <c r="B182" s="5" t="s">
        <v>928</v>
      </c>
      <c r="C182" s="5" t="s">
        <v>1362</v>
      </c>
      <c r="D182" s="178">
        <v>44916</v>
      </c>
      <c r="E182" s="5" t="s">
        <v>930</v>
      </c>
      <c r="F182" s="5" t="s">
        <v>1363</v>
      </c>
      <c r="G182" s="178">
        <v>44916</v>
      </c>
      <c r="H182" s="5" t="s">
        <v>1364</v>
      </c>
      <c r="I182" s="5" t="s">
        <v>949</v>
      </c>
      <c r="J182" s="5" t="s">
        <v>934</v>
      </c>
      <c r="K182" s="5">
        <v>229741</v>
      </c>
      <c r="L182" s="5" t="s">
        <v>1365</v>
      </c>
      <c r="M182" s="5">
        <v>10885</v>
      </c>
      <c r="N182" s="5" t="s">
        <v>995</v>
      </c>
      <c r="O182" s="5">
        <v>4.84</v>
      </c>
      <c r="P182" s="5">
        <f t="shared" si="9"/>
        <v>52683.4</v>
      </c>
      <c r="Q182" s="192">
        <v>4500</v>
      </c>
      <c r="R182" s="5">
        <f t="shared" si="7"/>
        <v>57183.4</v>
      </c>
      <c r="S182" s="5">
        <f t="shared" si="8"/>
        <v>5.2534129536058796</v>
      </c>
      <c r="T182" s="5" t="s">
        <v>937</v>
      </c>
      <c r="U182" s="5" t="s">
        <v>1366</v>
      </c>
      <c r="V182" s="170" t="str">
        <f>VLOOKUP(K182,'Stock statement'!$C$3:$D$382,2,0)</f>
        <v>B26</v>
      </c>
    </row>
    <row r="183" spans="1:22">
      <c r="A183" s="5">
        <v>182</v>
      </c>
      <c r="B183" s="5" t="s">
        <v>928</v>
      </c>
      <c r="C183" s="5" t="s">
        <v>1367</v>
      </c>
      <c r="D183" s="178">
        <v>44915</v>
      </c>
      <c r="E183" s="5" t="s">
        <v>930</v>
      </c>
      <c r="F183" s="5" t="s">
        <v>1368</v>
      </c>
      <c r="G183" s="178">
        <v>44916</v>
      </c>
      <c r="H183" s="5" t="s">
        <v>1119</v>
      </c>
      <c r="I183" s="5" t="s">
        <v>933</v>
      </c>
      <c r="J183" s="5" t="s">
        <v>934</v>
      </c>
      <c r="K183" s="5">
        <v>111232</v>
      </c>
      <c r="L183" s="5" t="s">
        <v>964</v>
      </c>
      <c r="M183" s="5">
        <v>20620</v>
      </c>
      <c r="N183" s="5" t="s">
        <v>951</v>
      </c>
      <c r="O183" s="5">
        <v>88.74</v>
      </c>
      <c r="P183" s="5">
        <f t="shared" si="9"/>
        <v>1829818.7999999998</v>
      </c>
      <c r="Q183" s="192"/>
      <c r="R183" s="5">
        <f t="shared" si="7"/>
        <v>1829818.7999999998</v>
      </c>
      <c r="S183" s="5">
        <f t="shared" si="8"/>
        <v>88.74</v>
      </c>
      <c r="T183" s="5" t="s">
        <v>937</v>
      </c>
      <c r="U183" s="5" t="s">
        <v>1120</v>
      </c>
      <c r="V183" s="170" t="str">
        <f>VLOOKUP(K183,'Stock statement'!$C$3:$D$382,2,0)</f>
        <v>C25</v>
      </c>
    </row>
    <row r="184" spans="1:22">
      <c r="A184" s="5">
        <v>183</v>
      </c>
      <c r="B184" s="5" t="s">
        <v>928</v>
      </c>
      <c r="C184" s="5" t="s">
        <v>1369</v>
      </c>
      <c r="D184" s="178">
        <v>44916</v>
      </c>
      <c r="E184" s="5" t="s">
        <v>930</v>
      </c>
      <c r="F184" s="5" t="s">
        <v>1370</v>
      </c>
      <c r="G184" s="178">
        <v>44916</v>
      </c>
      <c r="H184" s="5" t="s">
        <v>932</v>
      </c>
      <c r="I184" s="5" t="s">
        <v>933</v>
      </c>
      <c r="J184" s="5" t="s">
        <v>934</v>
      </c>
      <c r="K184" s="5">
        <v>110001</v>
      </c>
      <c r="L184" s="5" t="s">
        <v>935</v>
      </c>
      <c r="M184" s="5">
        <v>5000</v>
      </c>
      <c r="N184" s="5" t="s">
        <v>936</v>
      </c>
      <c r="O184" s="5">
        <v>0.34</v>
      </c>
      <c r="P184" s="5">
        <f t="shared" si="9"/>
        <v>1700.0000000000002</v>
      </c>
      <c r="Q184" s="192"/>
      <c r="R184" s="5">
        <f t="shared" si="7"/>
        <v>1700.0000000000002</v>
      </c>
      <c r="S184" s="5">
        <f t="shared" si="8"/>
        <v>0.34</v>
      </c>
      <c r="T184" s="5" t="s">
        <v>937</v>
      </c>
      <c r="U184" s="5" t="s">
        <v>938</v>
      </c>
      <c r="V184" s="170" t="str">
        <f>VLOOKUP(K184,'Stock statement'!$C$3:$D$382,2,0)</f>
        <v>C16</v>
      </c>
    </row>
    <row r="185" spans="1:22">
      <c r="A185" s="5">
        <v>184</v>
      </c>
      <c r="B185" s="5" t="s">
        <v>928</v>
      </c>
      <c r="C185" s="5" t="s">
        <v>1371</v>
      </c>
      <c r="D185" s="178">
        <v>44916</v>
      </c>
      <c r="E185" s="5" t="s">
        <v>930</v>
      </c>
      <c r="F185" s="5" t="s">
        <v>1372</v>
      </c>
      <c r="G185" s="178">
        <v>44916</v>
      </c>
      <c r="H185" s="5" t="s">
        <v>932</v>
      </c>
      <c r="I185" s="5" t="s">
        <v>933</v>
      </c>
      <c r="J185" s="5" t="s">
        <v>934</v>
      </c>
      <c r="K185" s="5">
        <v>110001</v>
      </c>
      <c r="L185" s="5" t="s">
        <v>935</v>
      </c>
      <c r="M185" s="5">
        <v>29400</v>
      </c>
      <c r="N185" s="5" t="s">
        <v>936</v>
      </c>
      <c r="O185" s="5">
        <v>0.34</v>
      </c>
      <c r="P185" s="5">
        <f t="shared" si="9"/>
        <v>9996</v>
      </c>
      <c r="Q185" s="192"/>
      <c r="R185" s="5">
        <f t="shared" si="7"/>
        <v>9996</v>
      </c>
      <c r="S185" s="5">
        <f t="shared" si="8"/>
        <v>0.34</v>
      </c>
      <c r="T185" s="5" t="s">
        <v>937</v>
      </c>
      <c r="U185" s="5" t="s">
        <v>938</v>
      </c>
      <c r="V185" s="170" t="str">
        <f>VLOOKUP(K185,'Stock statement'!$C$3:$D$382,2,0)</f>
        <v>C16</v>
      </c>
    </row>
    <row r="186" spans="1:22">
      <c r="A186" s="5">
        <v>185</v>
      </c>
      <c r="B186" s="5" t="s">
        <v>928</v>
      </c>
      <c r="C186" s="5" t="s">
        <v>1373</v>
      </c>
      <c r="D186" s="178">
        <v>44916</v>
      </c>
      <c r="E186" s="5" t="s">
        <v>930</v>
      </c>
      <c r="F186" s="5" t="s">
        <v>1374</v>
      </c>
      <c r="G186" s="178">
        <v>44917</v>
      </c>
      <c r="H186" s="5" t="s">
        <v>932</v>
      </c>
      <c r="I186" s="5" t="s">
        <v>933</v>
      </c>
      <c r="J186" s="5" t="s">
        <v>934</v>
      </c>
      <c r="K186" s="5">
        <v>110001</v>
      </c>
      <c r="L186" s="5" t="s">
        <v>935</v>
      </c>
      <c r="M186" s="5">
        <v>35500</v>
      </c>
      <c r="N186" s="5" t="s">
        <v>936</v>
      </c>
      <c r="O186" s="5">
        <v>0.34</v>
      </c>
      <c r="P186" s="5">
        <f t="shared" si="9"/>
        <v>12070</v>
      </c>
      <c r="Q186" s="192"/>
      <c r="R186" s="5">
        <f t="shared" si="7"/>
        <v>12070</v>
      </c>
      <c r="S186" s="5">
        <f t="shared" si="8"/>
        <v>0.34</v>
      </c>
      <c r="T186" s="5" t="s">
        <v>937</v>
      </c>
      <c r="U186" s="5" t="s">
        <v>938</v>
      </c>
      <c r="V186" s="170" t="str">
        <f>VLOOKUP(K186,'Stock statement'!$C$3:$D$382,2,0)</f>
        <v>C16</v>
      </c>
    </row>
    <row r="187" spans="1:22">
      <c r="A187" s="5">
        <v>186</v>
      </c>
      <c r="B187" s="5" t="s">
        <v>928</v>
      </c>
      <c r="C187" s="5" t="s">
        <v>1375</v>
      </c>
      <c r="D187" s="178">
        <v>44916</v>
      </c>
      <c r="E187" s="5" t="s">
        <v>930</v>
      </c>
      <c r="F187" s="5" t="s">
        <v>1376</v>
      </c>
      <c r="G187" s="178">
        <v>44916</v>
      </c>
      <c r="H187" s="5" t="s">
        <v>948</v>
      </c>
      <c r="I187" s="5" t="s">
        <v>949</v>
      </c>
      <c r="J187" s="5" t="s">
        <v>934</v>
      </c>
      <c r="K187" s="5">
        <v>214970</v>
      </c>
      <c r="L187" s="5" t="s">
        <v>895</v>
      </c>
      <c r="M187" s="5">
        <v>2101.1999999999998</v>
      </c>
      <c r="N187" s="5" t="s">
        <v>951</v>
      </c>
      <c r="O187" s="5">
        <v>204</v>
      </c>
      <c r="P187" s="5">
        <f t="shared" si="9"/>
        <v>428644.8</v>
      </c>
      <c r="Q187" s="192"/>
      <c r="R187" s="5">
        <f t="shared" si="7"/>
        <v>428644.8</v>
      </c>
      <c r="S187" s="5">
        <f t="shared" si="8"/>
        <v>204</v>
      </c>
      <c r="T187" s="5" t="s">
        <v>937</v>
      </c>
      <c r="U187" s="5" t="s">
        <v>1377</v>
      </c>
      <c r="V187" s="170">
        <f>VLOOKUP(K187,'Stock statement'!$C$3:$D$382,2,0)</f>
        <v>214970</v>
      </c>
    </row>
    <row r="188" spans="1:22">
      <c r="A188" s="5">
        <v>187</v>
      </c>
      <c r="B188" s="5" t="s">
        <v>928</v>
      </c>
      <c r="C188" s="5" t="s">
        <v>1378</v>
      </c>
      <c r="D188" s="178">
        <v>44916</v>
      </c>
      <c r="E188" s="5" t="s">
        <v>930</v>
      </c>
      <c r="F188" s="5" t="s">
        <v>1379</v>
      </c>
      <c r="G188" s="178">
        <v>44916</v>
      </c>
      <c r="H188" s="5" t="s">
        <v>948</v>
      </c>
      <c r="I188" s="5" t="s">
        <v>949</v>
      </c>
      <c r="J188" s="5" t="s">
        <v>934</v>
      </c>
      <c r="K188" s="5">
        <v>214044</v>
      </c>
      <c r="L188" s="5" t="s">
        <v>1380</v>
      </c>
      <c r="M188" s="5">
        <v>1941.2</v>
      </c>
      <c r="N188" s="5" t="s">
        <v>951</v>
      </c>
      <c r="O188" s="5">
        <v>204</v>
      </c>
      <c r="P188" s="5">
        <f t="shared" si="9"/>
        <v>396004.8</v>
      </c>
      <c r="Q188" s="192"/>
      <c r="R188" s="5">
        <f t="shared" si="7"/>
        <v>396004.8</v>
      </c>
      <c r="S188" s="5">
        <f t="shared" si="8"/>
        <v>204</v>
      </c>
      <c r="T188" s="5" t="s">
        <v>937</v>
      </c>
      <c r="U188" s="5" t="s">
        <v>1381</v>
      </c>
      <c r="V188" s="170">
        <f>VLOOKUP(K188,'Stock statement'!$C$3:$D$382,2,0)</f>
        <v>214044</v>
      </c>
    </row>
    <row r="189" spans="1:22">
      <c r="A189" s="5">
        <v>188</v>
      </c>
      <c r="B189" s="5" t="s">
        <v>928</v>
      </c>
      <c r="C189" s="5" t="s">
        <v>1382</v>
      </c>
      <c r="D189" s="178">
        <v>44917</v>
      </c>
      <c r="E189" s="5" t="s">
        <v>930</v>
      </c>
      <c r="F189" s="5" t="s">
        <v>1383</v>
      </c>
      <c r="G189" s="178">
        <v>44917</v>
      </c>
      <c r="H189" s="5" t="s">
        <v>942</v>
      </c>
      <c r="I189" s="5" t="s">
        <v>933</v>
      </c>
      <c r="J189" s="5" t="s">
        <v>934</v>
      </c>
      <c r="K189" s="5">
        <v>110001</v>
      </c>
      <c r="L189" s="5" t="s">
        <v>935</v>
      </c>
      <c r="M189" s="5">
        <v>23200</v>
      </c>
      <c r="N189" s="5" t="s">
        <v>936</v>
      </c>
      <c r="O189" s="5">
        <v>0.34</v>
      </c>
      <c r="P189" s="5">
        <f t="shared" si="9"/>
        <v>7888.0000000000009</v>
      </c>
      <c r="Q189" s="192"/>
      <c r="R189" s="5">
        <f t="shared" si="7"/>
        <v>7888.0000000000009</v>
      </c>
      <c r="S189" s="5">
        <f t="shared" si="8"/>
        <v>0.34</v>
      </c>
      <c r="T189" s="5" t="s">
        <v>937</v>
      </c>
      <c r="U189" s="5" t="s">
        <v>943</v>
      </c>
      <c r="V189" s="170" t="str">
        <f>VLOOKUP(K189,'Stock statement'!$C$3:$D$382,2,0)</f>
        <v>C16</v>
      </c>
    </row>
    <row r="190" spans="1:22">
      <c r="A190" s="5">
        <v>189</v>
      </c>
      <c r="B190" s="5" t="s">
        <v>928</v>
      </c>
      <c r="C190" s="5" t="s">
        <v>1384</v>
      </c>
      <c r="D190" s="178">
        <v>44895</v>
      </c>
      <c r="E190" s="5" t="s">
        <v>930</v>
      </c>
      <c r="F190" s="5" t="s">
        <v>1385</v>
      </c>
      <c r="G190" s="178">
        <v>44917</v>
      </c>
      <c r="H190" s="5" t="s">
        <v>948</v>
      </c>
      <c r="I190" s="5" t="s">
        <v>949</v>
      </c>
      <c r="J190" s="5" t="s">
        <v>934</v>
      </c>
      <c r="K190" s="5">
        <v>214686</v>
      </c>
      <c r="L190" s="5" t="s">
        <v>955</v>
      </c>
      <c r="M190" s="5">
        <v>2184.4</v>
      </c>
      <c r="N190" s="5" t="s">
        <v>951</v>
      </c>
      <c r="O190" s="5">
        <v>205</v>
      </c>
      <c r="P190" s="5">
        <f t="shared" si="9"/>
        <v>447802</v>
      </c>
      <c r="Q190" s="192"/>
      <c r="R190" s="5">
        <f t="shared" si="7"/>
        <v>447802</v>
      </c>
      <c r="S190" s="5">
        <f t="shared" si="8"/>
        <v>205</v>
      </c>
      <c r="T190" s="5" t="s">
        <v>937</v>
      </c>
      <c r="U190" s="5" t="s">
        <v>952</v>
      </c>
      <c r="V190" s="170">
        <f>VLOOKUP(K190,'Stock statement'!$C$3:$D$382,2,0)</f>
        <v>214686</v>
      </c>
    </row>
    <row r="191" spans="1:22">
      <c r="A191" s="5">
        <v>190</v>
      </c>
      <c r="B191" s="5" t="s">
        <v>928</v>
      </c>
      <c r="C191" s="5" t="s">
        <v>1386</v>
      </c>
      <c r="D191" s="178">
        <v>44917</v>
      </c>
      <c r="E191" s="5" t="s">
        <v>930</v>
      </c>
      <c r="F191" s="5" t="s">
        <v>1387</v>
      </c>
      <c r="G191" s="178">
        <v>44917</v>
      </c>
      <c r="H191" s="5" t="s">
        <v>942</v>
      </c>
      <c r="I191" s="5" t="s">
        <v>933</v>
      </c>
      <c r="J191" s="5" t="s">
        <v>934</v>
      </c>
      <c r="K191" s="5">
        <v>110001</v>
      </c>
      <c r="L191" s="5" t="s">
        <v>935</v>
      </c>
      <c r="M191" s="5">
        <v>24100</v>
      </c>
      <c r="N191" s="5" t="s">
        <v>936</v>
      </c>
      <c r="O191" s="5">
        <v>0.34</v>
      </c>
      <c r="P191" s="5">
        <f t="shared" si="9"/>
        <v>8194</v>
      </c>
      <c r="Q191" s="192"/>
      <c r="R191" s="5">
        <f t="shared" si="7"/>
        <v>8194</v>
      </c>
      <c r="S191" s="5">
        <f t="shared" si="8"/>
        <v>0.34</v>
      </c>
      <c r="T191" s="5" t="s">
        <v>937</v>
      </c>
      <c r="U191" s="5" t="s">
        <v>943</v>
      </c>
      <c r="V191" s="170" t="str">
        <f>VLOOKUP(K191,'Stock statement'!$C$3:$D$382,2,0)</f>
        <v>C16</v>
      </c>
    </row>
    <row r="192" spans="1:22">
      <c r="A192" s="5">
        <v>191</v>
      </c>
      <c r="B192" s="5" t="s">
        <v>928</v>
      </c>
      <c r="C192" s="5" t="s">
        <v>1388</v>
      </c>
      <c r="D192" s="178">
        <v>44895</v>
      </c>
      <c r="E192" s="5" t="s">
        <v>930</v>
      </c>
      <c r="F192" s="5" t="s">
        <v>1389</v>
      </c>
      <c r="G192" s="178">
        <v>44917</v>
      </c>
      <c r="H192" s="5" t="s">
        <v>948</v>
      </c>
      <c r="I192" s="5" t="s">
        <v>949</v>
      </c>
      <c r="J192" s="5" t="s">
        <v>934</v>
      </c>
      <c r="K192" s="5">
        <v>214686</v>
      </c>
      <c r="L192" s="5" t="s">
        <v>955</v>
      </c>
      <c r="M192" s="5">
        <v>2132</v>
      </c>
      <c r="N192" s="5" t="s">
        <v>951</v>
      </c>
      <c r="O192" s="5">
        <v>205</v>
      </c>
      <c r="P192" s="5">
        <f t="shared" si="9"/>
        <v>437060</v>
      </c>
      <c r="Q192" s="192"/>
      <c r="R192" s="5">
        <f t="shared" si="7"/>
        <v>437060</v>
      </c>
      <c r="S192" s="5">
        <f t="shared" si="8"/>
        <v>205</v>
      </c>
      <c r="T192" s="5" t="s">
        <v>937</v>
      </c>
      <c r="U192" s="5" t="s">
        <v>952</v>
      </c>
      <c r="V192" s="170">
        <f>VLOOKUP(K192,'Stock statement'!$C$3:$D$382,2,0)</f>
        <v>214686</v>
      </c>
    </row>
    <row r="193" spans="1:22">
      <c r="A193" s="5">
        <v>192</v>
      </c>
      <c r="B193" s="5" t="s">
        <v>928</v>
      </c>
      <c r="C193" s="5" t="s">
        <v>1390</v>
      </c>
      <c r="D193" s="178">
        <v>44895</v>
      </c>
      <c r="E193" s="5" t="s">
        <v>930</v>
      </c>
      <c r="F193" s="5" t="s">
        <v>1391</v>
      </c>
      <c r="G193" s="178">
        <v>44917</v>
      </c>
      <c r="H193" s="5" t="s">
        <v>948</v>
      </c>
      <c r="I193" s="5" t="s">
        <v>949</v>
      </c>
      <c r="J193" s="5" t="s">
        <v>934</v>
      </c>
      <c r="K193" s="5">
        <v>214686</v>
      </c>
      <c r="L193" s="5" t="s">
        <v>955</v>
      </c>
      <c r="M193" s="5">
        <v>2103.4</v>
      </c>
      <c r="N193" s="5" t="s">
        <v>951</v>
      </c>
      <c r="O193" s="5">
        <v>205</v>
      </c>
      <c r="P193" s="5">
        <f t="shared" si="9"/>
        <v>431197</v>
      </c>
      <c r="Q193" s="192"/>
      <c r="R193" s="5">
        <f t="shared" si="7"/>
        <v>431197</v>
      </c>
      <c r="S193" s="5">
        <f t="shared" si="8"/>
        <v>205</v>
      </c>
      <c r="T193" s="5" t="s">
        <v>937</v>
      </c>
      <c r="U193" s="5" t="s">
        <v>952</v>
      </c>
      <c r="V193" s="170">
        <f>VLOOKUP(K193,'Stock statement'!$C$3:$D$382,2,0)</f>
        <v>214686</v>
      </c>
    </row>
    <row r="194" spans="1:22">
      <c r="A194" s="5">
        <v>193</v>
      </c>
      <c r="B194" s="5" t="s">
        <v>928</v>
      </c>
      <c r="C194" s="5" t="s">
        <v>1392</v>
      </c>
      <c r="D194" s="178">
        <v>44917</v>
      </c>
      <c r="E194" s="5" t="s">
        <v>930</v>
      </c>
      <c r="F194" s="5" t="s">
        <v>1393</v>
      </c>
      <c r="G194" s="178">
        <v>44917</v>
      </c>
      <c r="H194" s="5" t="s">
        <v>1394</v>
      </c>
      <c r="I194" s="5" t="s">
        <v>933</v>
      </c>
      <c r="J194" s="5" t="s">
        <v>934</v>
      </c>
      <c r="K194" s="5">
        <v>110004</v>
      </c>
      <c r="L194" s="5" t="s">
        <v>150</v>
      </c>
      <c r="M194" s="5">
        <v>200</v>
      </c>
      <c r="N194" s="5" t="s">
        <v>951</v>
      </c>
      <c r="O194" s="5">
        <v>140</v>
      </c>
      <c r="P194" s="5">
        <f t="shared" si="9"/>
        <v>28000</v>
      </c>
      <c r="Q194" s="192">
        <v>2500</v>
      </c>
      <c r="R194" s="5">
        <f t="shared" ref="R194:R257" si="10">+P194+Q194</f>
        <v>30500</v>
      </c>
      <c r="S194" s="5">
        <f t="shared" ref="S194:S257" si="11">+R194/M194</f>
        <v>152.5</v>
      </c>
      <c r="T194" s="5" t="s">
        <v>937</v>
      </c>
      <c r="U194" s="5" t="s">
        <v>1395</v>
      </c>
      <c r="V194" s="170" t="str">
        <f>VLOOKUP(K194,'Stock statement'!$C$3:$D$382,2,0)</f>
        <v>C12</v>
      </c>
    </row>
    <row r="195" spans="1:22">
      <c r="A195" s="5">
        <v>194</v>
      </c>
      <c r="B195" s="5" t="s">
        <v>928</v>
      </c>
      <c r="C195" s="5" t="s">
        <v>1396</v>
      </c>
      <c r="D195" s="178">
        <v>44918</v>
      </c>
      <c r="E195" s="5" t="s">
        <v>930</v>
      </c>
      <c r="F195" s="5" t="s">
        <v>1397</v>
      </c>
      <c r="G195" s="178">
        <v>44918</v>
      </c>
      <c r="H195" s="5" t="s">
        <v>942</v>
      </c>
      <c r="I195" s="5" t="s">
        <v>933</v>
      </c>
      <c r="J195" s="5" t="s">
        <v>934</v>
      </c>
      <c r="K195" s="5">
        <v>110001</v>
      </c>
      <c r="L195" s="5" t="s">
        <v>935</v>
      </c>
      <c r="M195" s="5">
        <v>24000</v>
      </c>
      <c r="N195" s="5" t="s">
        <v>936</v>
      </c>
      <c r="O195" s="5">
        <v>0.34</v>
      </c>
      <c r="P195" s="5">
        <f t="shared" si="9"/>
        <v>8160.0000000000009</v>
      </c>
      <c r="Q195" s="192"/>
      <c r="R195" s="5">
        <f t="shared" si="10"/>
        <v>8160.0000000000009</v>
      </c>
      <c r="S195" s="5">
        <f t="shared" si="11"/>
        <v>0.34</v>
      </c>
      <c r="T195" s="5" t="s">
        <v>937</v>
      </c>
      <c r="U195" s="5" t="s">
        <v>943</v>
      </c>
      <c r="V195" s="170" t="str">
        <f>VLOOKUP(K195,'Stock statement'!$C$3:$D$382,2,0)</f>
        <v>C16</v>
      </c>
    </row>
    <row r="196" spans="1:22">
      <c r="A196" s="5">
        <v>195</v>
      </c>
      <c r="B196" s="5" t="s">
        <v>928</v>
      </c>
      <c r="C196" s="5" t="s">
        <v>1398</v>
      </c>
      <c r="D196" s="178">
        <v>44914</v>
      </c>
      <c r="E196" s="5" t="s">
        <v>930</v>
      </c>
      <c r="F196" s="5" t="s">
        <v>1399</v>
      </c>
      <c r="G196" s="178">
        <v>44918</v>
      </c>
      <c r="H196" s="5" t="s">
        <v>1078</v>
      </c>
      <c r="I196" s="5" t="s">
        <v>933</v>
      </c>
      <c r="J196" s="5" t="s">
        <v>934</v>
      </c>
      <c r="K196" s="5">
        <v>110057</v>
      </c>
      <c r="L196" s="5" t="s">
        <v>1079</v>
      </c>
      <c r="M196" s="5">
        <v>127</v>
      </c>
      <c r="N196" s="5" t="s">
        <v>951</v>
      </c>
      <c r="O196" s="5">
        <v>3280</v>
      </c>
      <c r="P196" s="5">
        <f t="shared" si="9"/>
        <v>416560</v>
      </c>
      <c r="Q196" s="192">
        <v>2500</v>
      </c>
      <c r="R196" s="5">
        <f t="shared" si="10"/>
        <v>419060</v>
      </c>
      <c r="S196" s="5">
        <f t="shared" si="11"/>
        <v>3299.6850393700788</v>
      </c>
      <c r="T196" s="5" t="s">
        <v>937</v>
      </c>
      <c r="U196" s="5" t="s">
        <v>1400</v>
      </c>
      <c r="V196" s="170" t="str">
        <f>VLOOKUP(K196,'Stock statement'!$C$3:$D$382,2,0)</f>
        <v>C36</v>
      </c>
    </row>
    <row r="197" spans="1:22">
      <c r="A197" s="5">
        <v>196</v>
      </c>
      <c r="B197" s="5" t="s">
        <v>928</v>
      </c>
      <c r="C197" s="5" t="s">
        <v>1401</v>
      </c>
      <c r="D197" s="178">
        <v>44910</v>
      </c>
      <c r="E197" s="5" t="s">
        <v>930</v>
      </c>
      <c r="F197" s="5" t="s">
        <v>1402</v>
      </c>
      <c r="G197" s="178">
        <v>44918</v>
      </c>
      <c r="H197" s="5" t="s">
        <v>1078</v>
      </c>
      <c r="I197" s="5" t="s">
        <v>933</v>
      </c>
      <c r="J197" s="5" t="s">
        <v>934</v>
      </c>
      <c r="K197" s="5">
        <v>110057</v>
      </c>
      <c r="L197" s="5" t="s">
        <v>1079</v>
      </c>
      <c r="M197" s="5">
        <v>127</v>
      </c>
      <c r="N197" s="5" t="s">
        <v>951</v>
      </c>
      <c r="O197" s="5">
        <v>3280</v>
      </c>
      <c r="P197" s="5">
        <f t="shared" si="9"/>
        <v>416560</v>
      </c>
      <c r="Q197" s="192">
        <v>2500</v>
      </c>
      <c r="R197" s="5">
        <f t="shared" si="10"/>
        <v>419060</v>
      </c>
      <c r="S197" s="5">
        <f t="shared" si="11"/>
        <v>3299.6850393700788</v>
      </c>
      <c r="T197" s="5" t="s">
        <v>937</v>
      </c>
      <c r="U197" s="5" t="s">
        <v>1400</v>
      </c>
      <c r="V197" s="170" t="str">
        <f>VLOOKUP(K197,'Stock statement'!$C$3:$D$382,2,0)</f>
        <v>C36</v>
      </c>
    </row>
    <row r="198" spans="1:22">
      <c r="A198" s="5">
        <v>197</v>
      </c>
      <c r="B198" s="5" t="s">
        <v>928</v>
      </c>
      <c r="C198" s="5" t="s">
        <v>1403</v>
      </c>
      <c r="D198" s="178">
        <v>44912</v>
      </c>
      <c r="E198" s="5" t="s">
        <v>930</v>
      </c>
      <c r="F198" s="5" t="s">
        <v>1404</v>
      </c>
      <c r="G198" s="178">
        <v>44918</v>
      </c>
      <c r="H198" s="5" t="s">
        <v>1231</v>
      </c>
      <c r="I198" s="5" t="s">
        <v>933</v>
      </c>
      <c r="J198" s="5" t="s">
        <v>934</v>
      </c>
      <c r="K198" s="5">
        <v>110852</v>
      </c>
      <c r="L198" s="5" t="s">
        <v>418</v>
      </c>
      <c r="M198" s="5">
        <v>1000</v>
      </c>
      <c r="N198" s="5" t="s">
        <v>951</v>
      </c>
      <c r="O198" s="5">
        <v>118</v>
      </c>
      <c r="P198" s="5">
        <f t="shared" si="9"/>
        <v>118000</v>
      </c>
      <c r="Q198" s="192">
        <v>8000</v>
      </c>
      <c r="R198" s="5">
        <f t="shared" si="10"/>
        <v>126000</v>
      </c>
      <c r="S198" s="5">
        <f t="shared" si="11"/>
        <v>126</v>
      </c>
      <c r="T198" s="5" t="s">
        <v>937</v>
      </c>
      <c r="U198" s="5" t="s">
        <v>1232</v>
      </c>
      <c r="V198" s="170" t="str">
        <f>VLOOKUP(K198,'Stock statement'!$C$3:$D$382,2,0)</f>
        <v>C26</v>
      </c>
    </row>
    <row r="199" spans="1:22">
      <c r="A199" s="5">
        <v>198</v>
      </c>
      <c r="B199" s="5" t="s">
        <v>928</v>
      </c>
      <c r="C199" s="5" t="s">
        <v>1405</v>
      </c>
      <c r="D199" s="178">
        <v>44918</v>
      </c>
      <c r="E199" s="5" t="s">
        <v>930</v>
      </c>
      <c r="F199" s="5" t="s">
        <v>1406</v>
      </c>
      <c r="G199" s="178">
        <v>44918</v>
      </c>
      <c r="H199" s="5" t="s">
        <v>994</v>
      </c>
      <c r="I199" s="5" t="s">
        <v>949</v>
      </c>
      <c r="J199" s="5" t="s">
        <v>934</v>
      </c>
      <c r="K199" s="5">
        <v>215015</v>
      </c>
      <c r="L199" s="5" t="s">
        <v>905</v>
      </c>
      <c r="M199" s="5">
        <v>3326</v>
      </c>
      <c r="N199" s="5" t="s">
        <v>995</v>
      </c>
      <c r="O199" s="5">
        <v>40.69</v>
      </c>
      <c r="P199" s="5">
        <f t="shared" si="9"/>
        <v>135334.94</v>
      </c>
      <c r="Q199" s="192"/>
      <c r="R199" s="5">
        <f t="shared" si="10"/>
        <v>135334.94</v>
      </c>
      <c r="S199" s="5">
        <f t="shared" si="11"/>
        <v>40.69</v>
      </c>
      <c r="T199" s="5" t="s">
        <v>937</v>
      </c>
      <c r="U199" s="5" t="s">
        <v>1299</v>
      </c>
      <c r="V199" s="170">
        <f>VLOOKUP(K199,'Stock statement'!$C$3:$D$382,2,0)</f>
        <v>215015</v>
      </c>
    </row>
    <row r="200" spans="1:22">
      <c r="A200" s="5">
        <v>199</v>
      </c>
      <c r="B200" s="5" t="s">
        <v>928</v>
      </c>
      <c r="C200" s="5" t="s">
        <v>1407</v>
      </c>
      <c r="D200" s="178">
        <v>44912</v>
      </c>
      <c r="E200" s="5" t="s">
        <v>930</v>
      </c>
      <c r="F200" s="5" t="s">
        <v>1408</v>
      </c>
      <c r="G200" s="178">
        <v>44918</v>
      </c>
      <c r="H200" s="5" t="s">
        <v>1409</v>
      </c>
      <c r="I200" s="5" t="s">
        <v>933</v>
      </c>
      <c r="J200" s="5" t="s">
        <v>934</v>
      </c>
      <c r="K200" s="5">
        <v>110981</v>
      </c>
      <c r="L200" s="5" t="s">
        <v>370</v>
      </c>
      <c r="M200" s="5">
        <v>880</v>
      </c>
      <c r="N200" s="5" t="s">
        <v>951</v>
      </c>
      <c r="O200" s="5">
        <v>421</v>
      </c>
      <c r="P200" s="5">
        <f t="shared" si="9"/>
        <v>370480</v>
      </c>
      <c r="Q200" s="192">
        <v>7040</v>
      </c>
      <c r="R200" s="5">
        <f t="shared" si="10"/>
        <v>377520</v>
      </c>
      <c r="S200" s="5">
        <f t="shared" si="11"/>
        <v>429</v>
      </c>
      <c r="T200" s="5" t="s">
        <v>937</v>
      </c>
      <c r="U200" s="5" t="s">
        <v>1410</v>
      </c>
      <c r="V200" s="170" t="str">
        <f>VLOOKUP(K200,'Stock statement'!$C$3:$D$382,2,0)</f>
        <v>C39</v>
      </c>
    </row>
    <row r="201" spans="1:22">
      <c r="A201" s="5">
        <v>200</v>
      </c>
      <c r="B201" s="5" t="s">
        <v>928</v>
      </c>
      <c r="C201" s="5" t="s">
        <v>1411</v>
      </c>
      <c r="D201" s="178">
        <v>44917</v>
      </c>
      <c r="E201" s="5" t="s">
        <v>930</v>
      </c>
      <c r="F201" s="5" t="s">
        <v>1412</v>
      </c>
      <c r="G201" s="178">
        <v>44918</v>
      </c>
      <c r="H201" s="5" t="s">
        <v>973</v>
      </c>
      <c r="I201" s="5" t="s">
        <v>933</v>
      </c>
      <c r="J201" s="5" t="s">
        <v>934</v>
      </c>
      <c r="K201" s="5">
        <v>230701</v>
      </c>
      <c r="L201" s="5" t="s">
        <v>617</v>
      </c>
      <c r="M201" s="5">
        <v>1000</v>
      </c>
      <c r="N201" s="5" t="s">
        <v>951</v>
      </c>
      <c r="O201" s="5">
        <v>769</v>
      </c>
      <c r="P201" s="5">
        <f t="shared" si="9"/>
        <v>769000</v>
      </c>
      <c r="Q201" s="192"/>
      <c r="R201" s="5">
        <f t="shared" si="10"/>
        <v>769000</v>
      </c>
      <c r="S201" s="5">
        <f t="shared" si="11"/>
        <v>769</v>
      </c>
      <c r="T201" s="5" t="s">
        <v>937</v>
      </c>
      <c r="U201" s="5" t="s">
        <v>1267</v>
      </c>
      <c r="V201" s="170" t="str">
        <f>VLOOKUP(K201,'Stock statement'!$C$3:$D$382,2,0)</f>
        <v>C65</v>
      </c>
    </row>
    <row r="202" spans="1:22">
      <c r="A202" s="5">
        <v>201</v>
      </c>
      <c r="B202" s="5" t="s">
        <v>928</v>
      </c>
      <c r="C202" s="5" t="s">
        <v>1413</v>
      </c>
      <c r="D202" s="178">
        <v>44917</v>
      </c>
      <c r="E202" s="5" t="s">
        <v>930</v>
      </c>
      <c r="F202" s="5" t="s">
        <v>1414</v>
      </c>
      <c r="G202" s="178">
        <v>44918</v>
      </c>
      <c r="H202" s="5" t="s">
        <v>973</v>
      </c>
      <c r="I202" s="5" t="s">
        <v>933</v>
      </c>
      <c r="J202" s="5" t="s">
        <v>934</v>
      </c>
      <c r="K202" s="5">
        <v>230701</v>
      </c>
      <c r="L202" s="5" t="s">
        <v>617</v>
      </c>
      <c r="M202" s="5">
        <v>1000</v>
      </c>
      <c r="N202" s="5" t="s">
        <v>951</v>
      </c>
      <c r="O202" s="5">
        <v>769</v>
      </c>
      <c r="P202" s="5">
        <f t="shared" si="9"/>
        <v>769000</v>
      </c>
      <c r="Q202" s="192"/>
      <c r="R202" s="5">
        <f t="shared" si="10"/>
        <v>769000</v>
      </c>
      <c r="S202" s="5">
        <f t="shared" si="11"/>
        <v>769</v>
      </c>
      <c r="T202" s="5" t="s">
        <v>937</v>
      </c>
      <c r="U202" s="5" t="s">
        <v>1415</v>
      </c>
      <c r="V202" s="170" t="str">
        <f>VLOOKUP(K202,'Stock statement'!$C$3:$D$382,2,0)</f>
        <v>C65</v>
      </c>
    </row>
    <row r="203" spans="1:22">
      <c r="A203" s="5">
        <v>202</v>
      </c>
      <c r="B203" s="5" t="s">
        <v>928</v>
      </c>
      <c r="C203" s="5" t="s">
        <v>1416</v>
      </c>
      <c r="D203" s="178">
        <v>44912</v>
      </c>
      <c r="E203" s="5" t="s">
        <v>930</v>
      </c>
      <c r="F203" s="5" t="s">
        <v>1417</v>
      </c>
      <c r="G203" s="178">
        <v>44918</v>
      </c>
      <c r="H203" s="5" t="s">
        <v>963</v>
      </c>
      <c r="I203" s="5" t="s">
        <v>933</v>
      </c>
      <c r="J203" s="5" t="s">
        <v>934</v>
      </c>
      <c r="K203" s="5">
        <v>111232</v>
      </c>
      <c r="L203" s="5" t="s">
        <v>964</v>
      </c>
      <c r="M203" s="5">
        <v>29780</v>
      </c>
      <c r="N203" s="5" t="s">
        <v>951</v>
      </c>
      <c r="O203" s="5">
        <v>86.5</v>
      </c>
      <c r="P203" s="5">
        <f t="shared" si="9"/>
        <v>2575970</v>
      </c>
      <c r="Q203" s="192">
        <v>174034.3</v>
      </c>
      <c r="R203" s="5">
        <f t="shared" si="10"/>
        <v>2750004.3</v>
      </c>
      <c r="S203" s="5">
        <f t="shared" si="11"/>
        <v>92.343999328408316</v>
      </c>
      <c r="T203" s="5" t="s">
        <v>937</v>
      </c>
      <c r="U203" s="5" t="s">
        <v>1168</v>
      </c>
      <c r="V203" s="170" t="str">
        <f>VLOOKUP(K203,'Stock statement'!$C$3:$D$382,2,0)</f>
        <v>C25</v>
      </c>
    </row>
    <row r="204" spans="1:22">
      <c r="A204" s="5">
        <v>203</v>
      </c>
      <c r="B204" s="5" t="s">
        <v>928</v>
      </c>
      <c r="C204" s="5" t="s">
        <v>1418</v>
      </c>
      <c r="D204" s="178">
        <v>44917</v>
      </c>
      <c r="E204" s="5" t="s">
        <v>930</v>
      </c>
      <c r="F204" s="5" t="s">
        <v>1419</v>
      </c>
      <c r="G204" s="178">
        <v>44918</v>
      </c>
      <c r="H204" s="5" t="s">
        <v>1133</v>
      </c>
      <c r="I204" s="5" t="s">
        <v>949</v>
      </c>
      <c r="J204" s="5" t="s">
        <v>934</v>
      </c>
      <c r="K204" s="5">
        <v>214767</v>
      </c>
      <c r="L204" s="5" t="s">
        <v>458</v>
      </c>
      <c r="M204" s="5">
        <v>3200</v>
      </c>
      <c r="N204" s="5" t="s">
        <v>995</v>
      </c>
      <c r="O204" s="5">
        <v>38.07</v>
      </c>
      <c r="P204" s="5">
        <f t="shared" si="9"/>
        <v>121824</v>
      </c>
      <c r="Q204" s="192"/>
      <c r="R204" s="5">
        <f t="shared" si="10"/>
        <v>121824</v>
      </c>
      <c r="S204" s="5">
        <f t="shared" si="11"/>
        <v>38.07</v>
      </c>
      <c r="T204" s="5" t="s">
        <v>937</v>
      </c>
      <c r="U204" s="5" t="s">
        <v>1420</v>
      </c>
      <c r="V204" s="170">
        <f>VLOOKUP(K204,'Stock statement'!$C$3:$D$382,2,0)</f>
        <v>214767</v>
      </c>
    </row>
    <row r="205" spans="1:22">
      <c r="A205" s="5">
        <v>204</v>
      </c>
      <c r="B205" s="5" t="s">
        <v>928</v>
      </c>
      <c r="C205" s="5" t="s">
        <v>1418</v>
      </c>
      <c r="D205" s="178">
        <v>44917</v>
      </c>
      <c r="E205" s="5" t="s">
        <v>930</v>
      </c>
      <c r="F205" s="5" t="s">
        <v>1419</v>
      </c>
      <c r="G205" s="178">
        <v>44918</v>
      </c>
      <c r="H205" s="5" t="s">
        <v>1133</v>
      </c>
      <c r="I205" s="5" t="s">
        <v>949</v>
      </c>
      <c r="J205" s="5" t="s">
        <v>934</v>
      </c>
      <c r="K205" s="5">
        <v>214768</v>
      </c>
      <c r="L205" s="5" t="s">
        <v>459</v>
      </c>
      <c r="M205" s="5">
        <v>12800</v>
      </c>
      <c r="N205" s="5" t="s">
        <v>995</v>
      </c>
      <c r="O205" s="5">
        <v>10.029999999999999</v>
      </c>
      <c r="P205" s="5">
        <f t="shared" si="9"/>
        <v>128383.99999999999</v>
      </c>
      <c r="Q205" s="192"/>
      <c r="R205" s="5">
        <f t="shared" si="10"/>
        <v>128383.99999999999</v>
      </c>
      <c r="S205" s="5">
        <f t="shared" si="11"/>
        <v>10.029999999999999</v>
      </c>
      <c r="T205" s="5" t="s">
        <v>937</v>
      </c>
      <c r="U205" s="5" t="s">
        <v>1420</v>
      </c>
      <c r="V205" s="170">
        <f>VLOOKUP(K205,'Stock statement'!$C$3:$D$382,2,0)</f>
        <v>214768</v>
      </c>
    </row>
    <row r="206" spans="1:22">
      <c r="A206" s="5">
        <v>205</v>
      </c>
      <c r="B206" s="5" t="s">
        <v>928</v>
      </c>
      <c r="C206" s="5" t="s">
        <v>1418</v>
      </c>
      <c r="D206" s="178">
        <v>44917</v>
      </c>
      <c r="E206" s="5" t="s">
        <v>930</v>
      </c>
      <c r="F206" s="5" t="s">
        <v>1419</v>
      </c>
      <c r="G206" s="178">
        <v>44918</v>
      </c>
      <c r="H206" s="5" t="s">
        <v>1133</v>
      </c>
      <c r="I206" s="5" t="s">
        <v>949</v>
      </c>
      <c r="J206" s="5" t="s">
        <v>934</v>
      </c>
      <c r="K206" s="5">
        <v>214979</v>
      </c>
      <c r="L206" s="5" t="s">
        <v>528</v>
      </c>
      <c r="M206" s="5">
        <v>670</v>
      </c>
      <c r="N206" s="5" t="s">
        <v>995</v>
      </c>
      <c r="O206" s="5">
        <v>43.38</v>
      </c>
      <c r="P206" s="5">
        <f t="shared" si="9"/>
        <v>29064.600000000002</v>
      </c>
      <c r="Q206" s="192"/>
      <c r="R206" s="5">
        <f t="shared" si="10"/>
        <v>29064.600000000002</v>
      </c>
      <c r="S206" s="5">
        <f t="shared" si="11"/>
        <v>43.38</v>
      </c>
      <c r="T206" s="5" t="s">
        <v>937</v>
      </c>
      <c r="U206" s="5" t="s">
        <v>1420</v>
      </c>
      <c r="V206" s="170">
        <f>VLOOKUP(K206,'Stock statement'!$C$3:$D$382,2,0)</f>
        <v>214979</v>
      </c>
    </row>
    <row r="207" spans="1:22">
      <c r="A207" s="5">
        <v>206</v>
      </c>
      <c r="B207" s="5" t="s">
        <v>928</v>
      </c>
      <c r="C207" s="5" t="s">
        <v>1421</v>
      </c>
      <c r="D207" s="178">
        <v>44918</v>
      </c>
      <c r="E207" s="5" t="s">
        <v>930</v>
      </c>
      <c r="F207" s="5" t="s">
        <v>1422</v>
      </c>
      <c r="G207" s="178">
        <v>44918</v>
      </c>
      <c r="H207" s="5" t="s">
        <v>968</v>
      </c>
      <c r="I207" s="5" t="s">
        <v>933</v>
      </c>
      <c r="J207" s="5" t="s">
        <v>934</v>
      </c>
      <c r="K207" s="5">
        <v>110978</v>
      </c>
      <c r="L207" s="5" t="s">
        <v>368</v>
      </c>
      <c r="M207" s="5">
        <v>400</v>
      </c>
      <c r="N207" s="5" t="s">
        <v>951</v>
      </c>
      <c r="O207" s="5">
        <v>160</v>
      </c>
      <c r="P207" s="5">
        <f t="shared" si="9"/>
        <v>64000</v>
      </c>
      <c r="Q207" s="192"/>
      <c r="R207" s="5">
        <f t="shared" si="10"/>
        <v>64000</v>
      </c>
      <c r="S207" s="5">
        <f t="shared" si="11"/>
        <v>160</v>
      </c>
      <c r="T207" s="5" t="s">
        <v>937</v>
      </c>
      <c r="U207" s="5" t="s">
        <v>969</v>
      </c>
      <c r="V207" s="170" t="str">
        <f>VLOOKUP(K207,'Stock statement'!$C$3:$D$382,2,0)</f>
        <v>C5</v>
      </c>
    </row>
    <row r="208" spans="1:22">
      <c r="A208" s="5">
        <v>207</v>
      </c>
      <c r="B208" s="5" t="s">
        <v>928</v>
      </c>
      <c r="C208" s="5" t="s">
        <v>1421</v>
      </c>
      <c r="D208" s="178">
        <v>44918</v>
      </c>
      <c r="E208" s="5" t="s">
        <v>930</v>
      </c>
      <c r="F208" s="5" t="s">
        <v>1422</v>
      </c>
      <c r="G208" s="178">
        <v>44918</v>
      </c>
      <c r="H208" s="5" t="s">
        <v>968</v>
      </c>
      <c r="I208" s="5" t="s">
        <v>933</v>
      </c>
      <c r="J208" s="5" t="s">
        <v>934</v>
      </c>
      <c r="K208" s="5">
        <v>111233</v>
      </c>
      <c r="L208" s="5" t="s">
        <v>578</v>
      </c>
      <c r="M208" s="5">
        <v>5000</v>
      </c>
      <c r="N208" s="5" t="s">
        <v>951</v>
      </c>
      <c r="O208" s="5">
        <v>220</v>
      </c>
      <c r="P208" s="5">
        <f t="shared" si="9"/>
        <v>1100000</v>
      </c>
      <c r="Q208" s="192"/>
      <c r="R208" s="5">
        <f t="shared" si="10"/>
        <v>1100000</v>
      </c>
      <c r="S208" s="5">
        <f t="shared" si="11"/>
        <v>220</v>
      </c>
      <c r="T208" s="5" t="s">
        <v>937</v>
      </c>
      <c r="U208" s="5" t="s">
        <v>1423</v>
      </c>
      <c r="V208" s="170" t="str">
        <f>VLOOKUP(K208,'Stock statement'!$C$3:$D$382,2,0)</f>
        <v>C4</v>
      </c>
    </row>
    <row r="209" spans="1:22">
      <c r="A209" s="5">
        <v>208</v>
      </c>
      <c r="B209" s="5" t="s">
        <v>928</v>
      </c>
      <c r="C209" s="5" t="s">
        <v>1421</v>
      </c>
      <c r="D209" s="178">
        <v>44918</v>
      </c>
      <c r="E209" s="5" t="s">
        <v>930</v>
      </c>
      <c r="F209" s="5" t="s">
        <v>1422</v>
      </c>
      <c r="G209" s="178">
        <v>44918</v>
      </c>
      <c r="H209" s="5" t="s">
        <v>968</v>
      </c>
      <c r="I209" s="5" t="s">
        <v>933</v>
      </c>
      <c r="J209" s="5" t="s">
        <v>934</v>
      </c>
      <c r="K209" s="5">
        <v>110978</v>
      </c>
      <c r="L209" s="5" t="s">
        <v>368</v>
      </c>
      <c r="M209" s="5">
        <v>600</v>
      </c>
      <c r="N209" s="5" t="s">
        <v>951</v>
      </c>
      <c r="O209" s="5">
        <v>160</v>
      </c>
      <c r="P209" s="5">
        <f t="shared" si="9"/>
        <v>96000</v>
      </c>
      <c r="Q209" s="192"/>
      <c r="R209" s="5">
        <f t="shared" si="10"/>
        <v>96000</v>
      </c>
      <c r="S209" s="5">
        <f t="shared" si="11"/>
        <v>160</v>
      </c>
      <c r="T209" s="5" t="s">
        <v>937</v>
      </c>
      <c r="U209" s="5" t="s">
        <v>1423</v>
      </c>
      <c r="V209" s="170" t="str">
        <f>VLOOKUP(K209,'Stock statement'!$C$3:$D$382,2,0)</f>
        <v>C5</v>
      </c>
    </row>
    <row r="210" spans="1:22">
      <c r="A210" s="5">
        <v>209</v>
      </c>
      <c r="B210" s="5" t="s">
        <v>928</v>
      </c>
      <c r="C210" s="5" t="s">
        <v>1424</v>
      </c>
      <c r="D210" s="178">
        <v>44918</v>
      </c>
      <c r="E210" s="5" t="s">
        <v>930</v>
      </c>
      <c r="F210" s="5" t="s">
        <v>1425</v>
      </c>
      <c r="G210" s="178">
        <v>44918</v>
      </c>
      <c r="H210" s="5" t="s">
        <v>942</v>
      </c>
      <c r="I210" s="5" t="s">
        <v>933</v>
      </c>
      <c r="J210" s="5" t="s">
        <v>934</v>
      </c>
      <c r="K210" s="5">
        <v>110001</v>
      </c>
      <c r="L210" s="5" t="s">
        <v>935</v>
      </c>
      <c r="M210" s="5">
        <v>23500</v>
      </c>
      <c r="N210" s="5" t="s">
        <v>936</v>
      </c>
      <c r="O210" s="5">
        <v>0.34</v>
      </c>
      <c r="P210" s="5">
        <f t="shared" si="9"/>
        <v>7990.0000000000009</v>
      </c>
      <c r="Q210" s="192"/>
      <c r="R210" s="5">
        <f t="shared" si="10"/>
        <v>7990.0000000000009</v>
      </c>
      <c r="S210" s="5">
        <f t="shared" si="11"/>
        <v>0.34</v>
      </c>
      <c r="T210" s="5" t="s">
        <v>937</v>
      </c>
      <c r="U210" s="5" t="s">
        <v>943</v>
      </c>
      <c r="V210" s="170" t="str">
        <f>VLOOKUP(K210,'Stock statement'!$C$3:$D$382,2,0)</f>
        <v>C16</v>
      </c>
    </row>
    <row r="211" spans="1:22">
      <c r="A211" s="5">
        <v>210</v>
      </c>
      <c r="B211" s="5" t="s">
        <v>928</v>
      </c>
      <c r="C211" s="5" t="s">
        <v>1426</v>
      </c>
      <c r="D211" s="178">
        <v>44918</v>
      </c>
      <c r="E211" s="5" t="s">
        <v>930</v>
      </c>
      <c r="F211" s="5" t="s">
        <v>1427</v>
      </c>
      <c r="G211" s="178">
        <v>44918</v>
      </c>
      <c r="H211" s="5" t="s">
        <v>942</v>
      </c>
      <c r="I211" s="5" t="s">
        <v>933</v>
      </c>
      <c r="J211" s="5" t="s">
        <v>934</v>
      </c>
      <c r="K211" s="5">
        <v>110001</v>
      </c>
      <c r="L211" s="5" t="s">
        <v>935</v>
      </c>
      <c r="M211" s="5">
        <v>23500</v>
      </c>
      <c r="N211" s="5" t="s">
        <v>936</v>
      </c>
      <c r="O211" s="5">
        <v>0.34</v>
      </c>
      <c r="P211" s="5">
        <f t="shared" si="9"/>
        <v>7990.0000000000009</v>
      </c>
      <c r="Q211" s="192"/>
      <c r="R211" s="5">
        <f t="shared" si="10"/>
        <v>7990.0000000000009</v>
      </c>
      <c r="S211" s="5">
        <f t="shared" si="11"/>
        <v>0.34</v>
      </c>
      <c r="T211" s="5" t="s">
        <v>937</v>
      </c>
      <c r="U211" s="5" t="s">
        <v>943</v>
      </c>
      <c r="V211" s="170" t="str">
        <f>VLOOKUP(K211,'Stock statement'!$C$3:$D$382,2,0)</f>
        <v>C16</v>
      </c>
    </row>
    <row r="212" spans="1:22">
      <c r="A212" s="5">
        <v>211</v>
      </c>
      <c r="B212" s="5" t="s">
        <v>928</v>
      </c>
      <c r="C212" s="5" t="s">
        <v>1428</v>
      </c>
      <c r="D212" s="178">
        <v>44918</v>
      </c>
      <c r="E212" s="5" t="s">
        <v>930</v>
      </c>
      <c r="F212" s="5" t="s">
        <v>1429</v>
      </c>
      <c r="G212" s="178">
        <v>44918</v>
      </c>
      <c r="H212" s="5" t="s">
        <v>942</v>
      </c>
      <c r="I212" s="5" t="s">
        <v>933</v>
      </c>
      <c r="J212" s="5" t="s">
        <v>934</v>
      </c>
      <c r="K212" s="5">
        <v>110001</v>
      </c>
      <c r="L212" s="5" t="s">
        <v>935</v>
      </c>
      <c r="M212" s="5">
        <v>23900</v>
      </c>
      <c r="N212" s="5" t="s">
        <v>936</v>
      </c>
      <c r="O212" s="5">
        <v>0.34</v>
      </c>
      <c r="P212" s="5">
        <f t="shared" si="9"/>
        <v>8126.0000000000009</v>
      </c>
      <c r="Q212" s="192"/>
      <c r="R212" s="5">
        <f t="shared" si="10"/>
        <v>8126.0000000000009</v>
      </c>
      <c r="S212" s="5">
        <f t="shared" si="11"/>
        <v>0.34</v>
      </c>
      <c r="T212" s="5" t="s">
        <v>937</v>
      </c>
      <c r="U212" s="5" t="s">
        <v>943</v>
      </c>
      <c r="V212" s="170" t="str">
        <f>VLOOKUP(K212,'Stock statement'!$C$3:$D$382,2,0)</f>
        <v>C16</v>
      </c>
    </row>
    <row r="213" spans="1:22">
      <c r="A213" s="5">
        <v>212</v>
      </c>
      <c r="B213" s="5" t="s">
        <v>928</v>
      </c>
      <c r="C213" s="5" t="s">
        <v>1430</v>
      </c>
      <c r="D213" s="178">
        <v>44917</v>
      </c>
      <c r="E213" s="5" t="s">
        <v>930</v>
      </c>
      <c r="F213" s="5" t="s">
        <v>1431</v>
      </c>
      <c r="G213" s="178">
        <v>44919</v>
      </c>
      <c r="H213" s="5" t="s">
        <v>1035</v>
      </c>
      <c r="I213" s="5" t="s">
        <v>949</v>
      </c>
      <c r="J213" s="5" t="s">
        <v>934</v>
      </c>
      <c r="K213" s="5">
        <v>214767</v>
      </c>
      <c r="L213" s="5" t="s">
        <v>458</v>
      </c>
      <c r="M213" s="5">
        <v>2980</v>
      </c>
      <c r="N213" s="5" t="s">
        <v>995</v>
      </c>
      <c r="O213" s="5">
        <v>36.700000000000003</v>
      </c>
      <c r="P213" s="5">
        <f t="shared" si="9"/>
        <v>109366.00000000001</v>
      </c>
      <c r="Q213" s="192"/>
      <c r="R213" s="5">
        <f t="shared" si="10"/>
        <v>109366.00000000001</v>
      </c>
      <c r="S213" s="5">
        <f t="shared" si="11"/>
        <v>36.700000000000003</v>
      </c>
      <c r="T213" s="5" t="s">
        <v>937</v>
      </c>
      <c r="U213" s="5" t="s">
        <v>1432</v>
      </c>
      <c r="V213" s="170">
        <f>VLOOKUP(K213,'Stock statement'!$C$3:$D$382,2,0)</f>
        <v>214767</v>
      </c>
    </row>
    <row r="214" spans="1:22">
      <c r="A214" s="5">
        <v>213</v>
      </c>
      <c r="B214" s="5" t="s">
        <v>928</v>
      </c>
      <c r="C214" s="5" t="s">
        <v>1430</v>
      </c>
      <c r="D214" s="178">
        <v>44917</v>
      </c>
      <c r="E214" s="5" t="s">
        <v>930</v>
      </c>
      <c r="F214" s="5" t="s">
        <v>1431</v>
      </c>
      <c r="G214" s="178">
        <v>44919</v>
      </c>
      <c r="H214" s="5" t="s">
        <v>1035</v>
      </c>
      <c r="I214" s="5" t="s">
        <v>949</v>
      </c>
      <c r="J214" s="5" t="s">
        <v>934</v>
      </c>
      <c r="K214" s="5">
        <v>214768</v>
      </c>
      <c r="L214" s="5" t="s">
        <v>459</v>
      </c>
      <c r="M214" s="5">
        <v>11880</v>
      </c>
      <c r="N214" s="5" t="s">
        <v>995</v>
      </c>
      <c r="O214" s="5">
        <v>10.53</v>
      </c>
      <c r="P214" s="5">
        <f t="shared" si="9"/>
        <v>125096.4</v>
      </c>
      <c r="Q214" s="192"/>
      <c r="R214" s="5">
        <f t="shared" si="10"/>
        <v>125096.4</v>
      </c>
      <c r="S214" s="5">
        <f t="shared" si="11"/>
        <v>10.53</v>
      </c>
      <c r="T214" s="5" t="s">
        <v>937</v>
      </c>
      <c r="U214" s="5" t="s">
        <v>1432</v>
      </c>
      <c r="V214" s="170">
        <f>VLOOKUP(K214,'Stock statement'!$C$3:$D$382,2,0)</f>
        <v>214768</v>
      </c>
    </row>
    <row r="215" spans="1:22">
      <c r="A215" s="5">
        <v>214</v>
      </c>
      <c r="B215" s="5" t="s">
        <v>928</v>
      </c>
      <c r="C215" s="5" t="s">
        <v>1433</v>
      </c>
      <c r="D215" s="178">
        <v>44918</v>
      </c>
      <c r="E215" s="5" t="s">
        <v>930</v>
      </c>
      <c r="F215" s="5" t="s">
        <v>1434</v>
      </c>
      <c r="G215" s="178">
        <v>44919</v>
      </c>
      <c r="H215" s="5" t="s">
        <v>1035</v>
      </c>
      <c r="I215" s="5" t="s">
        <v>949</v>
      </c>
      <c r="J215" s="5" t="s">
        <v>934</v>
      </c>
      <c r="K215" s="5">
        <v>214978</v>
      </c>
      <c r="L215" s="5" t="s">
        <v>902</v>
      </c>
      <c r="M215" s="5">
        <v>12080</v>
      </c>
      <c r="N215" s="5" t="s">
        <v>995</v>
      </c>
      <c r="O215" s="5">
        <v>10.53</v>
      </c>
      <c r="P215" s="5">
        <f t="shared" si="9"/>
        <v>127202.4</v>
      </c>
      <c r="Q215" s="192"/>
      <c r="R215" s="5">
        <f t="shared" si="10"/>
        <v>127202.4</v>
      </c>
      <c r="S215" s="5">
        <f t="shared" si="11"/>
        <v>10.53</v>
      </c>
      <c r="T215" s="5" t="s">
        <v>937</v>
      </c>
      <c r="U215" s="5" t="s">
        <v>1432</v>
      </c>
      <c r="V215" s="170">
        <f>VLOOKUP(K215,'Stock statement'!$C$3:$D$382,2,0)</f>
        <v>214978</v>
      </c>
    </row>
    <row r="216" spans="1:22">
      <c r="A216" s="5">
        <v>215</v>
      </c>
      <c r="B216" s="5" t="s">
        <v>928</v>
      </c>
      <c r="C216" s="5" t="s">
        <v>1433</v>
      </c>
      <c r="D216" s="178">
        <v>44918</v>
      </c>
      <c r="E216" s="5" t="s">
        <v>930</v>
      </c>
      <c r="F216" s="5" t="s">
        <v>1434</v>
      </c>
      <c r="G216" s="178">
        <v>44919</v>
      </c>
      <c r="H216" s="5" t="s">
        <v>1035</v>
      </c>
      <c r="I216" s="5" t="s">
        <v>949</v>
      </c>
      <c r="J216" s="5" t="s">
        <v>934</v>
      </c>
      <c r="K216" s="5">
        <v>214977</v>
      </c>
      <c r="L216" s="5" t="s">
        <v>901</v>
      </c>
      <c r="M216" s="5">
        <v>3020</v>
      </c>
      <c r="N216" s="5" t="s">
        <v>995</v>
      </c>
      <c r="O216" s="5">
        <v>36.700000000000003</v>
      </c>
      <c r="P216" s="5">
        <f t="shared" ref="P216:P279" si="12">+M216*O216</f>
        <v>110834.00000000001</v>
      </c>
      <c r="Q216" s="192"/>
      <c r="R216" s="5">
        <f t="shared" si="10"/>
        <v>110834.00000000001</v>
      </c>
      <c r="S216" s="5">
        <f t="shared" si="11"/>
        <v>36.700000000000003</v>
      </c>
      <c r="T216" s="5" t="s">
        <v>937</v>
      </c>
      <c r="U216" s="5" t="s">
        <v>1432</v>
      </c>
      <c r="V216" s="170">
        <f>VLOOKUP(K216,'Stock statement'!$C$3:$D$382,2,0)</f>
        <v>214977</v>
      </c>
    </row>
    <row r="217" spans="1:22">
      <c r="A217" s="5">
        <v>216</v>
      </c>
      <c r="B217" s="5" t="s">
        <v>928</v>
      </c>
      <c r="C217" s="5" t="s">
        <v>1435</v>
      </c>
      <c r="D217" s="178">
        <v>44918</v>
      </c>
      <c r="E217" s="5" t="s">
        <v>930</v>
      </c>
      <c r="F217" s="5" t="s">
        <v>1436</v>
      </c>
      <c r="G217" s="178">
        <v>44919</v>
      </c>
      <c r="H217" s="5" t="s">
        <v>988</v>
      </c>
      <c r="I217" s="5" t="s">
        <v>949</v>
      </c>
      <c r="J217" s="5" t="s">
        <v>934</v>
      </c>
      <c r="K217" s="5">
        <v>214255</v>
      </c>
      <c r="L217" s="5" t="s">
        <v>950</v>
      </c>
      <c r="M217" s="5">
        <v>1166</v>
      </c>
      <c r="N217" s="5" t="s">
        <v>951</v>
      </c>
      <c r="O217" s="5">
        <v>239.21</v>
      </c>
      <c r="P217" s="5">
        <f t="shared" si="12"/>
        <v>278918.86</v>
      </c>
      <c r="Q217" s="192"/>
      <c r="R217" s="5">
        <f t="shared" si="10"/>
        <v>278918.86</v>
      </c>
      <c r="S217" s="5">
        <f t="shared" si="11"/>
        <v>239.20999999999998</v>
      </c>
      <c r="T217" s="5" t="s">
        <v>937</v>
      </c>
      <c r="U217" s="5" t="s">
        <v>1241</v>
      </c>
      <c r="V217" s="170">
        <f>VLOOKUP(K217,'Stock statement'!$C$3:$D$382,2,0)</f>
        <v>214255</v>
      </c>
    </row>
    <row r="218" spans="1:22">
      <c r="A218" s="5">
        <v>217</v>
      </c>
      <c r="B218" s="5" t="s">
        <v>928</v>
      </c>
      <c r="C218" s="5" t="s">
        <v>1437</v>
      </c>
      <c r="D218" s="178">
        <v>44918</v>
      </c>
      <c r="E218" s="5" t="s">
        <v>930</v>
      </c>
      <c r="F218" s="5" t="s">
        <v>1438</v>
      </c>
      <c r="G218" s="178">
        <v>44919</v>
      </c>
      <c r="H218" s="5" t="s">
        <v>988</v>
      </c>
      <c r="I218" s="5" t="s">
        <v>949</v>
      </c>
      <c r="J218" s="5" t="s">
        <v>934</v>
      </c>
      <c r="K218" s="5">
        <v>214990</v>
      </c>
      <c r="L218" s="5" t="s">
        <v>1439</v>
      </c>
      <c r="M218" s="5">
        <v>3636</v>
      </c>
      <c r="N218" s="5" t="s">
        <v>951</v>
      </c>
      <c r="O218" s="5">
        <v>239.21</v>
      </c>
      <c r="P218" s="5">
        <f t="shared" si="12"/>
        <v>869767.56</v>
      </c>
      <c r="Q218" s="192"/>
      <c r="R218" s="5">
        <f t="shared" si="10"/>
        <v>869767.56</v>
      </c>
      <c r="S218" s="5">
        <f t="shared" si="11"/>
        <v>239.21</v>
      </c>
      <c r="T218" s="5" t="s">
        <v>937</v>
      </c>
      <c r="U218" s="5" t="s">
        <v>989</v>
      </c>
      <c r="V218" s="170">
        <f>VLOOKUP(K218,'Stock statement'!$C$3:$D$382,2,0)</f>
        <v>214990</v>
      </c>
    </row>
    <row r="219" spans="1:22">
      <c r="A219" s="5">
        <v>218</v>
      </c>
      <c r="B219" s="5" t="s">
        <v>928</v>
      </c>
      <c r="C219" s="5" t="s">
        <v>1440</v>
      </c>
      <c r="D219" s="178">
        <v>44918</v>
      </c>
      <c r="E219" s="5" t="s">
        <v>930</v>
      </c>
      <c r="F219" s="5" t="s">
        <v>1441</v>
      </c>
      <c r="G219" s="178">
        <v>44919</v>
      </c>
      <c r="H219" s="5" t="s">
        <v>948</v>
      </c>
      <c r="I219" s="5" t="s">
        <v>949</v>
      </c>
      <c r="J219" s="5" t="s">
        <v>934</v>
      </c>
      <c r="K219" s="5">
        <v>214686</v>
      </c>
      <c r="L219" s="5" t="s">
        <v>955</v>
      </c>
      <c r="M219" s="5">
        <v>1231.8</v>
      </c>
      <c r="N219" s="5" t="s">
        <v>951</v>
      </c>
      <c r="O219" s="5">
        <v>205</v>
      </c>
      <c r="P219" s="5">
        <f t="shared" si="12"/>
        <v>252519</v>
      </c>
      <c r="Q219" s="192"/>
      <c r="R219" s="5">
        <f t="shared" si="10"/>
        <v>252519</v>
      </c>
      <c r="S219" s="5">
        <f t="shared" si="11"/>
        <v>205</v>
      </c>
      <c r="T219" s="5" t="s">
        <v>937</v>
      </c>
      <c r="U219" s="5" t="s">
        <v>1442</v>
      </c>
      <c r="V219" s="170">
        <f>VLOOKUP(K219,'Stock statement'!$C$3:$D$382,2,0)</f>
        <v>214686</v>
      </c>
    </row>
    <row r="220" spans="1:22">
      <c r="A220" s="5">
        <v>219</v>
      </c>
      <c r="B220" s="5" t="s">
        <v>928</v>
      </c>
      <c r="C220" s="5" t="s">
        <v>1443</v>
      </c>
      <c r="D220" s="178">
        <v>44918</v>
      </c>
      <c r="E220" s="5" t="s">
        <v>930</v>
      </c>
      <c r="F220" s="5" t="s">
        <v>1444</v>
      </c>
      <c r="G220" s="178">
        <v>44919</v>
      </c>
      <c r="H220" s="5" t="s">
        <v>948</v>
      </c>
      <c r="I220" s="5" t="s">
        <v>949</v>
      </c>
      <c r="J220" s="5" t="s">
        <v>934</v>
      </c>
      <c r="K220" s="5">
        <v>214686</v>
      </c>
      <c r="L220" s="5" t="s">
        <v>955</v>
      </c>
      <c r="M220" s="5">
        <v>1825</v>
      </c>
      <c r="N220" s="5" t="s">
        <v>951</v>
      </c>
      <c r="O220" s="5">
        <v>205</v>
      </c>
      <c r="P220" s="5">
        <f t="shared" si="12"/>
        <v>374125</v>
      </c>
      <c r="Q220" s="192"/>
      <c r="R220" s="5">
        <f t="shared" si="10"/>
        <v>374125</v>
      </c>
      <c r="S220" s="5">
        <f t="shared" si="11"/>
        <v>205</v>
      </c>
      <c r="T220" s="5" t="s">
        <v>937</v>
      </c>
      <c r="U220" s="5" t="s">
        <v>952</v>
      </c>
      <c r="V220" s="170">
        <f>VLOOKUP(K220,'Stock statement'!$C$3:$D$382,2,0)</f>
        <v>214686</v>
      </c>
    </row>
    <row r="221" spans="1:22">
      <c r="A221" s="5">
        <v>220</v>
      </c>
      <c r="B221" s="5" t="s">
        <v>928</v>
      </c>
      <c r="C221" s="5" t="s">
        <v>1443</v>
      </c>
      <c r="D221" s="178">
        <v>44918</v>
      </c>
      <c r="E221" s="5" t="s">
        <v>930</v>
      </c>
      <c r="F221" s="5" t="s">
        <v>1444</v>
      </c>
      <c r="G221" s="178">
        <v>44919</v>
      </c>
      <c r="H221" s="5" t="s">
        <v>948</v>
      </c>
      <c r="I221" s="5" t="s">
        <v>949</v>
      </c>
      <c r="J221" s="5" t="s">
        <v>934</v>
      </c>
      <c r="K221" s="5">
        <v>214686</v>
      </c>
      <c r="L221" s="5" t="s">
        <v>955</v>
      </c>
      <c r="M221" s="5">
        <v>1177</v>
      </c>
      <c r="N221" s="5" t="s">
        <v>951</v>
      </c>
      <c r="O221" s="5">
        <v>205</v>
      </c>
      <c r="P221" s="5">
        <f t="shared" si="12"/>
        <v>241285</v>
      </c>
      <c r="Q221" s="192"/>
      <c r="R221" s="5">
        <f t="shared" si="10"/>
        <v>241285</v>
      </c>
      <c r="S221" s="5">
        <f t="shared" si="11"/>
        <v>205</v>
      </c>
      <c r="T221" s="5" t="s">
        <v>937</v>
      </c>
      <c r="U221" s="5" t="s">
        <v>1442</v>
      </c>
      <c r="V221" s="170">
        <f>VLOOKUP(K221,'Stock statement'!$C$3:$D$382,2,0)</f>
        <v>214686</v>
      </c>
    </row>
    <row r="222" spans="1:22">
      <c r="A222" s="5">
        <v>221</v>
      </c>
      <c r="B222" s="5" t="s">
        <v>928</v>
      </c>
      <c r="C222" s="5" t="s">
        <v>1445</v>
      </c>
      <c r="D222" s="178">
        <v>44919</v>
      </c>
      <c r="E222" s="5" t="s">
        <v>930</v>
      </c>
      <c r="F222" s="5" t="s">
        <v>1446</v>
      </c>
      <c r="G222" s="178">
        <v>44919</v>
      </c>
      <c r="H222" s="5" t="s">
        <v>994</v>
      </c>
      <c r="I222" s="5" t="s">
        <v>949</v>
      </c>
      <c r="J222" s="5" t="s">
        <v>934</v>
      </c>
      <c r="K222" s="5">
        <v>214961</v>
      </c>
      <c r="L222" s="5" t="s">
        <v>896</v>
      </c>
      <c r="M222" s="5">
        <v>4600</v>
      </c>
      <c r="N222" s="5" t="s">
        <v>995</v>
      </c>
      <c r="O222" s="5">
        <v>30.12</v>
      </c>
      <c r="P222" s="5">
        <f t="shared" si="12"/>
        <v>138552</v>
      </c>
      <c r="Q222" s="192"/>
      <c r="R222" s="5">
        <f t="shared" si="10"/>
        <v>138552</v>
      </c>
      <c r="S222" s="5">
        <f t="shared" si="11"/>
        <v>30.12</v>
      </c>
      <c r="T222" s="5" t="s">
        <v>937</v>
      </c>
      <c r="U222" s="5" t="s">
        <v>1447</v>
      </c>
      <c r="V222" s="170">
        <f>VLOOKUP(K222,'Stock statement'!$C$3:$D$382,2,0)</f>
        <v>214961</v>
      </c>
    </row>
    <row r="223" spans="1:22">
      <c r="A223" s="5">
        <v>222</v>
      </c>
      <c r="B223" s="5" t="s">
        <v>928</v>
      </c>
      <c r="C223" s="5" t="s">
        <v>1445</v>
      </c>
      <c r="D223" s="178">
        <v>44919</v>
      </c>
      <c r="E223" s="5" t="s">
        <v>930</v>
      </c>
      <c r="F223" s="5" t="s">
        <v>1446</v>
      </c>
      <c r="G223" s="178">
        <v>44919</v>
      </c>
      <c r="H223" s="5" t="s">
        <v>994</v>
      </c>
      <c r="I223" s="5" t="s">
        <v>949</v>
      </c>
      <c r="J223" s="5" t="s">
        <v>934</v>
      </c>
      <c r="K223" s="5">
        <v>214962</v>
      </c>
      <c r="L223" s="5" t="s">
        <v>897</v>
      </c>
      <c r="M223" s="5">
        <v>9200</v>
      </c>
      <c r="N223" s="5" t="s">
        <v>995</v>
      </c>
      <c r="O223" s="5">
        <v>14.3</v>
      </c>
      <c r="P223" s="5">
        <f t="shared" si="12"/>
        <v>131560</v>
      </c>
      <c r="Q223" s="192"/>
      <c r="R223" s="5">
        <f t="shared" si="10"/>
        <v>131560</v>
      </c>
      <c r="S223" s="5">
        <f t="shared" si="11"/>
        <v>14.3</v>
      </c>
      <c r="T223" s="5" t="s">
        <v>937</v>
      </c>
      <c r="U223" s="5" t="s">
        <v>1447</v>
      </c>
      <c r="V223" s="170">
        <f>VLOOKUP(K223,'Stock statement'!$C$3:$D$382,2,0)</f>
        <v>214962</v>
      </c>
    </row>
    <row r="224" spans="1:22">
      <c r="A224" s="5">
        <v>223</v>
      </c>
      <c r="B224" s="5" t="s">
        <v>928</v>
      </c>
      <c r="C224" s="5" t="s">
        <v>1448</v>
      </c>
      <c r="D224" s="178">
        <v>44914</v>
      </c>
      <c r="E224" s="5" t="s">
        <v>930</v>
      </c>
      <c r="F224" s="5" t="s">
        <v>1449</v>
      </c>
      <c r="G224" s="178">
        <v>44919</v>
      </c>
      <c r="H224" s="5" t="s">
        <v>963</v>
      </c>
      <c r="I224" s="5" t="s">
        <v>933</v>
      </c>
      <c r="J224" s="5" t="s">
        <v>934</v>
      </c>
      <c r="K224" s="5">
        <v>111232</v>
      </c>
      <c r="L224" s="5" t="s">
        <v>964</v>
      </c>
      <c r="M224" s="5">
        <v>29660</v>
      </c>
      <c r="N224" s="5" t="s">
        <v>951</v>
      </c>
      <c r="O224" s="5">
        <v>86.5</v>
      </c>
      <c r="P224" s="5">
        <f t="shared" si="12"/>
        <v>2565590</v>
      </c>
      <c r="Q224" s="192">
        <v>173333</v>
      </c>
      <c r="R224" s="5">
        <f t="shared" si="10"/>
        <v>2738923</v>
      </c>
      <c r="S224" s="5">
        <f t="shared" si="11"/>
        <v>92.343998651382336</v>
      </c>
      <c r="T224" s="5" t="s">
        <v>937</v>
      </c>
      <c r="U224" s="5" t="s">
        <v>1168</v>
      </c>
      <c r="V224" s="170" t="str">
        <f>VLOOKUP(K224,'Stock statement'!$C$3:$D$382,2,0)</f>
        <v>C25</v>
      </c>
    </row>
    <row r="225" spans="1:22">
      <c r="A225" s="5">
        <v>224</v>
      </c>
      <c r="B225" s="5" t="s">
        <v>928</v>
      </c>
      <c r="C225" s="5" t="s">
        <v>1450</v>
      </c>
      <c r="D225" s="178">
        <v>44919</v>
      </c>
      <c r="E225" s="5" t="s">
        <v>930</v>
      </c>
      <c r="F225" s="5" t="s">
        <v>1451</v>
      </c>
      <c r="G225" s="178">
        <v>44919</v>
      </c>
      <c r="H225" s="5" t="s">
        <v>942</v>
      </c>
      <c r="I225" s="5" t="s">
        <v>933</v>
      </c>
      <c r="J225" s="5" t="s">
        <v>934</v>
      </c>
      <c r="K225" s="5">
        <v>110001</v>
      </c>
      <c r="L225" s="5" t="s">
        <v>935</v>
      </c>
      <c r="M225" s="5">
        <v>23900</v>
      </c>
      <c r="N225" s="5" t="s">
        <v>936</v>
      </c>
      <c r="O225" s="5">
        <v>0.34</v>
      </c>
      <c r="P225" s="5">
        <f t="shared" si="12"/>
        <v>8126.0000000000009</v>
      </c>
      <c r="Q225" s="192"/>
      <c r="R225" s="5">
        <f t="shared" si="10"/>
        <v>8126.0000000000009</v>
      </c>
      <c r="S225" s="5">
        <f t="shared" si="11"/>
        <v>0.34</v>
      </c>
      <c r="T225" s="5" t="s">
        <v>937</v>
      </c>
      <c r="U225" s="5" t="s">
        <v>943</v>
      </c>
      <c r="V225" s="170" t="str">
        <f>VLOOKUP(K225,'Stock statement'!$C$3:$D$382,2,0)</f>
        <v>C16</v>
      </c>
    </row>
    <row r="226" spans="1:22">
      <c r="A226" s="5">
        <v>225</v>
      </c>
      <c r="B226" s="5" t="s">
        <v>928</v>
      </c>
      <c r="C226" s="5" t="s">
        <v>1452</v>
      </c>
      <c r="D226" s="178">
        <v>44919</v>
      </c>
      <c r="E226" s="5" t="s">
        <v>930</v>
      </c>
      <c r="F226" s="5" t="s">
        <v>1453</v>
      </c>
      <c r="G226" s="178">
        <v>44919</v>
      </c>
      <c r="H226" s="5" t="s">
        <v>942</v>
      </c>
      <c r="I226" s="5" t="s">
        <v>933</v>
      </c>
      <c r="J226" s="5" t="s">
        <v>934</v>
      </c>
      <c r="K226" s="5">
        <v>110001</v>
      </c>
      <c r="L226" s="5" t="s">
        <v>935</v>
      </c>
      <c r="M226" s="5">
        <v>23700</v>
      </c>
      <c r="N226" s="5" t="s">
        <v>936</v>
      </c>
      <c r="O226" s="5">
        <v>0.34</v>
      </c>
      <c r="P226" s="5">
        <f t="shared" si="12"/>
        <v>8058.0000000000009</v>
      </c>
      <c r="Q226" s="192"/>
      <c r="R226" s="5">
        <f t="shared" si="10"/>
        <v>8058.0000000000009</v>
      </c>
      <c r="S226" s="5">
        <f t="shared" si="11"/>
        <v>0.34</v>
      </c>
      <c r="T226" s="5" t="s">
        <v>937</v>
      </c>
      <c r="U226" s="5" t="s">
        <v>943</v>
      </c>
      <c r="V226" s="170" t="str">
        <f>VLOOKUP(K226,'Stock statement'!$C$3:$D$382,2,0)</f>
        <v>C16</v>
      </c>
    </row>
    <row r="227" spans="1:22">
      <c r="A227" s="5">
        <v>226</v>
      </c>
      <c r="B227" s="5" t="s">
        <v>928</v>
      </c>
      <c r="C227" s="5" t="s">
        <v>1454</v>
      </c>
      <c r="D227" s="178">
        <v>44919</v>
      </c>
      <c r="E227" s="5" t="s">
        <v>930</v>
      </c>
      <c r="F227" s="5" t="s">
        <v>1455</v>
      </c>
      <c r="G227" s="178">
        <v>44919</v>
      </c>
      <c r="H227" s="5" t="s">
        <v>942</v>
      </c>
      <c r="I227" s="5" t="s">
        <v>933</v>
      </c>
      <c r="J227" s="5" t="s">
        <v>934</v>
      </c>
      <c r="K227" s="5">
        <v>110001</v>
      </c>
      <c r="L227" s="5" t="s">
        <v>935</v>
      </c>
      <c r="M227" s="5">
        <v>24200</v>
      </c>
      <c r="N227" s="5" t="s">
        <v>936</v>
      </c>
      <c r="O227" s="5">
        <v>0.34</v>
      </c>
      <c r="P227" s="5">
        <f t="shared" si="12"/>
        <v>8228</v>
      </c>
      <c r="Q227" s="192"/>
      <c r="R227" s="5">
        <f t="shared" si="10"/>
        <v>8228</v>
      </c>
      <c r="S227" s="5">
        <f t="shared" si="11"/>
        <v>0.34</v>
      </c>
      <c r="T227" s="5" t="s">
        <v>937</v>
      </c>
      <c r="U227" s="5" t="s">
        <v>943</v>
      </c>
      <c r="V227" s="170" t="str">
        <f>VLOOKUP(K227,'Stock statement'!$C$3:$D$382,2,0)</f>
        <v>C16</v>
      </c>
    </row>
    <row r="228" spans="1:22">
      <c r="A228" s="5">
        <v>227</v>
      </c>
      <c r="B228" s="5" t="s">
        <v>928</v>
      </c>
      <c r="C228" s="5" t="s">
        <v>1456</v>
      </c>
      <c r="D228" s="178">
        <v>44919</v>
      </c>
      <c r="E228" s="5" t="s">
        <v>930</v>
      </c>
      <c r="F228" s="5" t="s">
        <v>1457</v>
      </c>
      <c r="G228" s="178">
        <v>44919</v>
      </c>
      <c r="H228" s="5" t="s">
        <v>942</v>
      </c>
      <c r="I228" s="5" t="s">
        <v>933</v>
      </c>
      <c r="J228" s="5" t="s">
        <v>934</v>
      </c>
      <c r="K228" s="5">
        <v>110001</v>
      </c>
      <c r="L228" s="5" t="s">
        <v>935</v>
      </c>
      <c r="M228" s="5">
        <v>24300</v>
      </c>
      <c r="N228" s="5" t="s">
        <v>936</v>
      </c>
      <c r="O228" s="5">
        <v>0.34</v>
      </c>
      <c r="P228" s="5">
        <f t="shared" si="12"/>
        <v>8262</v>
      </c>
      <c r="Q228" s="192"/>
      <c r="R228" s="5">
        <f t="shared" si="10"/>
        <v>8262</v>
      </c>
      <c r="S228" s="5">
        <f t="shared" si="11"/>
        <v>0.34</v>
      </c>
      <c r="T228" s="5" t="s">
        <v>937</v>
      </c>
      <c r="U228" s="5" t="s">
        <v>943</v>
      </c>
      <c r="V228" s="170" t="str">
        <f>VLOOKUP(K228,'Stock statement'!$C$3:$D$382,2,0)</f>
        <v>C16</v>
      </c>
    </row>
    <row r="229" spans="1:22">
      <c r="A229" s="5">
        <v>228</v>
      </c>
      <c r="B229" s="5" t="s">
        <v>928</v>
      </c>
      <c r="C229" s="5" t="s">
        <v>1458</v>
      </c>
      <c r="D229" s="178">
        <v>44920</v>
      </c>
      <c r="E229" s="5" t="s">
        <v>930</v>
      </c>
      <c r="F229" s="5" t="s">
        <v>1459</v>
      </c>
      <c r="G229" s="178">
        <v>44921</v>
      </c>
      <c r="H229" s="5" t="s">
        <v>1035</v>
      </c>
      <c r="I229" s="5" t="s">
        <v>949</v>
      </c>
      <c r="J229" s="5" t="s">
        <v>934</v>
      </c>
      <c r="K229" s="5">
        <v>214083</v>
      </c>
      <c r="L229" s="5" t="s">
        <v>831</v>
      </c>
      <c r="M229" s="5">
        <v>2000</v>
      </c>
      <c r="N229" s="5" t="s">
        <v>995</v>
      </c>
      <c r="O229" s="5">
        <v>36.700000000000003</v>
      </c>
      <c r="P229" s="5">
        <f t="shared" si="12"/>
        <v>73400</v>
      </c>
      <c r="Q229" s="192"/>
      <c r="R229" s="5">
        <f t="shared" si="10"/>
        <v>73400</v>
      </c>
      <c r="S229" s="5">
        <f t="shared" si="11"/>
        <v>36.700000000000003</v>
      </c>
      <c r="T229" s="5" t="s">
        <v>937</v>
      </c>
      <c r="U229" s="5" t="s">
        <v>1460</v>
      </c>
      <c r="V229" s="170">
        <f>VLOOKUP(K229,'Stock statement'!$C$3:$D$382,2,0)</f>
        <v>214083</v>
      </c>
    </row>
    <row r="230" spans="1:22">
      <c r="A230" s="5">
        <v>229</v>
      </c>
      <c r="B230" s="5" t="s">
        <v>928</v>
      </c>
      <c r="C230" s="5" t="s">
        <v>1458</v>
      </c>
      <c r="D230" s="178">
        <v>44920</v>
      </c>
      <c r="E230" s="5" t="s">
        <v>930</v>
      </c>
      <c r="F230" s="5" t="s">
        <v>1459</v>
      </c>
      <c r="G230" s="178">
        <v>44921</v>
      </c>
      <c r="H230" s="5" t="s">
        <v>1035</v>
      </c>
      <c r="I230" s="5" t="s">
        <v>949</v>
      </c>
      <c r="J230" s="5" t="s">
        <v>934</v>
      </c>
      <c r="K230" s="5">
        <v>214082</v>
      </c>
      <c r="L230" s="5" t="s">
        <v>830</v>
      </c>
      <c r="M230" s="5">
        <v>8000</v>
      </c>
      <c r="N230" s="5" t="s">
        <v>995</v>
      </c>
      <c r="O230" s="5">
        <v>10.53</v>
      </c>
      <c r="P230" s="5">
        <f t="shared" si="12"/>
        <v>84240</v>
      </c>
      <c r="Q230" s="192"/>
      <c r="R230" s="5">
        <f t="shared" si="10"/>
        <v>84240</v>
      </c>
      <c r="S230" s="5">
        <f t="shared" si="11"/>
        <v>10.53</v>
      </c>
      <c r="T230" s="5" t="s">
        <v>937</v>
      </c>
      <c r="U230" s="5" t="s">
        <v>1460</v>
      </c>
      <c r="V230" s="170">
        <f>VLOOKUP(K230,'Stock statement'!$C$3:$D$382,2,0)</f>
        <v>214082</v>
      </c>
    </row>
    <row r="231" spans="1:22">
      <c r="A231" s="5">
        <v>230</v>
      </c>
      <c r="B231" s="5" t="s">
        <v>928</v>
      </c>
      <c r="C231" s="5" t="s">
        <v>1458</v>
      </c>
      <c r="D231" s="178">
        <v>44920</v>
      </c>
      <c r="E231" s="5" t="s">
        <v>930</v>
      </c>
      <c r="F231" s="5" t="s">
        <v>1459</v>
      </c>
      <c r="G231" s="178">
        <v>44921</v>
      </c>
      <c r="H231" s="5" t="s">
        <v>1035</v>
      </c>
      <c r="I231" s="5" t="s">
        <v>949</v>
      </c>
      <c r="J231" s="5" t="s">
        <v>934</v>
      </c>
      <c r="K231" s="5">
        <v>214977</v>
      </c>
      <c r="L231" s="5" t="s">
        <v>901</v>
      </c>
      <c r="M231" s="5">
        <v>955</v>
      </c>
      <c r="N231" s="5" t="s">
        <v>995</v>
      </c>
      <c r="O231" s="5">
        <v>36.700000000000003</v>
      </c>
      <c r="P231" s="5">
        <f t="shared" si="12"/>
        <v>35048.5</v>
      </c>
      <c r="Q231" s="192"/>
      <c r="R231" s="5">
        <f t="shared" si="10"/>
        <v>35048.5</v>
      </c>
      <c r="S231" s="5">
        <f t="shared" si="11"/>
        <v>36.700000000000003</v>
      </c>
      <c r="T231" s="5" t="s">
        <v>937</v>
      </c>
      <c r="U231" s="5" t="s">
        <v>1460</v>
      </c>
      <c r="V231" s="170">
        <f>VLOOKUP(K231,'Stock statement'!$C$3:$D$382,2,0)</f>
        <v>214977</v>
      </c>
    </row>
    <row r="232" spans="1:22">
      <c r="A232" s="5">
        <v>231</v>
      </c>
      <c r="B232" s="5" t="s">
        <v>928</v>
      </c>
      <c r="C232" s="5" t="s">
        <v>1458</v>
      </c>
      <c r="D232" s="178">
        <v>44920</v>
      </c>
      <c r="E232" s="5" t="s">
        <v>930</v>
      </c>
      <c r="F232" s="5" t="s">
        <v>1459</v>
      </c>
      <c r="G232" s="178">
        <v>44921</v>
      </c>
      <c r="H232" s="5" t="s">
        <v>1035</v>
      </c>
      <c r="I232" s="5" t="s">
        <v>949</v>
      </c>
      <c r="J232" s="5" t="s">
        <v>934</v>
      </c>
      <c r="K232" s="5">
        <v>214978</v>
      </c>
      <c r="L232" s="5" t="s">
        <v>902</v>
      </c>
      <c r="M232" s="5">
        <v>3820</v>
      </c>
      <c r="N232" s="5" t="s">
        <v>995</v>
      </c>
      <c r="O232" s="5">
        <v>10.53</v>
      </c>
      <c r="P232" s="5">
        <f t="shared" si="12"/>
        <v>40224.6</v>
      </c>
      <c r="Q232" s="192"/>
      <c r="R232" s="5">
        <f t="shared" si="10"/>
        <v>40224.6</v>
      </c>
      <c r="S232" s="5">
        <f t="shared" si="11"/>
        <v>10.53</v>
      </c>
      <c r="T232" s="5" t="s">
        <v>937</v>
      </c>
      <c r="U232" s="5" t="s">
        <v>1460</v>
      </c>
      <c r="V232" s="170">
        <f>VLOOKUP(K232,'Stock statement'!$C$3:$D$382,2,0)</f>
        <v>214978</v>
      </c>
    </row>
    <row r="233" spans="1:22">
      <c r="A233" s="5">
        <v>232</v>
      </c>
      <c r="B233" s="5" t="s">
        <v>928</v>
      </c>
      <c r="C233" s="5" t="s">
        <v>1461</v>
      </c>
      <c r="D233" s="178">
        <v>44921</v>
      </c>
      <c r="E233" s="5" t="s">
        <v>930</v>
      </c>
      <c r="F233" s="5" t="s">
        <v>1462</v>
      </c>
      <c r="G233" s="178">
        <v>44921</v>
      </c>
      <c r="H233" s="5" t="s">
        <v>1119</v>
      </c>
      <c r="I233" s="5" t="s">
        <v>933</v>
      </c>
      <c r="J233" s="5" t="s">
        <v>934</v>
      </c>
      <c r="K233" s="5">
        <v>111232</v>
      </c>
      <c r="L233" s="5" t="s">
        <v>964</v>
      </c>
      <c r="M233" s="5">
        <v>24570</v>
      </c>
      <c r="N233" s="5" t="s">
        <v>951</v>
      </c>
      <c r="O233" s="5">
        <v>88.74</v>
      </c>
      <c r="P233" s="5">
        <f t="shared" si="12"/>
        <v>2180341.7999999998</v>
      </c>
      <c r="Q233" s="192"/>
      <c r="R233" s="5">
        <f t="shared" si="10"/>
        <v>2180341.7999999998</v>
      </c>
      <c r="S233" s="5">
        <f t="shared" si="11"/>
        <v>88.74</v>
      </c>
      <c r="T233" s="5" t="s">
        <v>937</v>
      </c>
      <c r="U233" s="5" t="s">
        <v>1463</v>
      </c>
      <c r="V233" s="170" t="str">
        <f>VLOOKUP(K233,'Stock statement'!$C$3:$D$382,2,0)</f>
        <v>C25</v>
      </c>
    </row>
    <row r="234" spans="1:22">
      <c r="A234" s="5">
        <v>233</v>
      </c>
      <c r="B234" s="5" t="s">
        <v>928</v>
      </c>
      <c r="C234" s="5" t="s">
        <v>1464</v>
      </c>
      <c r="D234" s="178">
        <v>44921</v>
      </c>
      <c r="E234" s="5" t="s">
        <v>930</v>
      </c>
      <c r="F234" s="5" t="s">
        <v>1465</v>
      </c>
      <c r="G234" s="178">
        <v>44921</v>
      </c>
      <c r="H234" s="5" t="s">
        <v>1178</v>
      </c>
      <c r="I234" s="5" t="s">
        <v>933</v>
      </c>
      <c r="J234" s="5" t="s">
        <v>934</v>
      </c>
      <c r="K234" s="5">
        <v>110001</v>
      </c>
      <c r="L234" s="5" t="s">
        <v>935</v>
      </c>
      <c r="M234" s="5">
        <v>21400</v>
      </c>
      <c r="N234" s="5" t="s">
        <v>936</v>
      </c>
      <c r="O234" s="5">
        <v>0.34</v>
      </c>
      <c r="P234" s="5">
        <f t="shared" si="12"/>
        <v>7276.0000000000009</v>
      </c>
      <c r="Q234" s="192"/>
      <c r="R234" s="5">
        <f t="shared" si="10"/>
        <v>7276.0000000000009</v>
      </c>
      <c r="S234" s="5">
        <f t="shared" si="11"/>
        <v>0.34</v>
      </c>
      <c r="T234" s="5" t="s">
        <v>937</v>
      </c>
      <c r="U234" s="5" t="s">
        <v>1179</v>
      </c>
      <c r="V234" s="170" t="str">
        <f>VLOOKUP(K234,'Stock statement'!$C$3:$D$382,2,0)</f>
        <v>C16</v>
      </c>
    </row>
    <row r="235" spans="1:22">
      <c r="A235" s="5">
        <v>234</v>
      </c>
      <c r="B235" s="5" t="s">
        <v>928</v>
      </c>
      <c r="C235" s="5" t="s">
        <v>1466</v>
      </c>
      <c r="D235" s="178">
        <v>44921</v>
      </c>
      <c r="E235" s="5" t="s">
        <v>930</v>
      </c>
      <c r="F235" s="5" t="s">
        <v>1467</v>
      </c>
      <c r="G235" s="178">
        <v>44921</v>
      </c>
      <c r="H235" s="5" t="s">
        <v>932</v>
      </c>
      <c r="I235" s="5" t="s">
        <v>933</v>
      </c>
      <c r="J235" s="5" t="s">
        <v>934</v>
      </c>
      <c r="K235" s="5">
        <v>110001</v>
      </c>
      <c r="L235" s="5" t="s">
        <v>935</v>
      </c>
      <c r="M235" s="5">
        <v>34500</v>
      </c>
      <c r="N235" s="5" t="s">
        <v>936</v>
      </c>
      <c r="O235" s="5">
        <v>0.34</v>
      </c>
      <c r="P235" s="5">
        <f t="shared" si="12"/>
        <v>11730</v>
      </c>
      <c r="Q235" s="192"/>
      <c r="R235" s="5">
        <f t="shared" si="10"/>
        <v>11730</v>
      </c>
      <c r="S235" s="5">
        <f t="shared" si="11"/>
        <v>0.34</v>
      </c>
      <c r="T235" s="5" t="s">
        <v>937</v>
      </c>
      <c r="U235" s="5" t="s">
        <v>938</v>
      </c>
      <c r="V235" s="170" t="str">
        <f>VLOOKUP(K235,'Stock statement'!$C$3:$D$382,2,0)</f>
        <v>C16</v>
      </c>
    </row>
    <row r="236" spans="1:22">
      <c r="A236" s="5">
        <v>235</v>
      </c>
      <c r="B236" s="5" t="s">
        <v>928</v>
      </c>
      <c r="C236" s="5" t="s">
        <v>1468</v>
      </c>
      <c r="D236" s="178">
        <v>44922</v>
      </c>
      <c r="E236" s="5" t="s">
        <v>930</v>
      </c>
      <c r="F236" s="5" t="s">
        <v>1469</v>
      </c>
      <c r="G236" s="178">
        <v>44922</v>
      </c>
      <c r="H236" s="5" t="s">
        <v>932</v>
      </c>
      <c r="I236" s="5" t="s">
        <v>933</v>
      </c>
      <c r="J236" s="5" t="s">
        <v>934</v>
      </c>
      <c r="K236" s="5">
        <v>110001</v>
      </c>
      <c r="L236" s="5" t="s">
        <v>935</v>
      </c>
      <c r="M236" s="5">
        <v>34500</v>
      </c>
      <c r="N236" s="5" t="s">
        <v>936</v>
      </c>
      <c r="O236" s="5">
        <v>0.34</v>
      </c>
      <c r="P236" s="5">
        <f t="shared" si="12"/>
        <v>11730</v>
      </c>
      <c r="Q236" s="192"/>
      <c r="R236" s="5">
        <f t="shared" si="10"/>
        <v>11730</v>
      </c>
      <c r="S236" s="5">
        <f t="shared" si="11"/>
        <v>0.34</v>
      </c>
      <c r="T236" s="5" t="s">
        <v>937</v>
      </c>
      <c r="U236" s="5" t="s">
        <v>938</v>
      </c>
      <c r="V236" s="170" t="str">
        <f>VLOOKUP(K236,'Stock statement'!$C$3:$D$382,2,0)</f>
        <v>C16</v>
      </c>
    </row>
    <row r="237" spans="1:22">
      <c r="A237" s="5">
        <v>236</v>
      </c>
      <c r="B237" s="5" t="s">
        <v>928</v>
      </c>
      <c r="C237" s="5" t="s">
        <v>1470</v>
      </c>
      <c r="D237" s="178">
        <v>44921</v>
      </c>
      <c r="E237" s="5" t="s">
        <v>930</v>
      </c>
      <c r="F237" s="5" t="s">
        <v>1471</v>
      </c>
      <c r="G237" s="178">
        <v>44922</v>
      </c>
      <c r="H237" s="5" t="s">
        <v>1114</v>
      </c>
      <c r="I237" s="5" t="s">
        <v>933</v>
      </c>
      <c r="J237" s="5" t="s">
        <v>934</v>
      </c>
      <c r="K237" s="5">
        <v>110020</v>
      </c>
      <c r="L237" s="5" t="s">
        <v>1115</v>
      </c>
      <c r="M237" s="5">
        <v>5000</v>
      </c>
      <c r="N237" s="5" t="s">
        <v>951</v>
      </c>
      <c r="O237" s="5">
        <v>145.86000000000001</v>
      </c>
      <c r="P237" s="5">
        <f t="shared" si="12"/>
        <v>729300.00000000012</v>
      </c>
      <c r="Q237" s="192">
        <v>9000</v>
      </c>
      <c r="R237" s="5">
        <f t="shared" si="10"/>
        <v>738300.00000000012</v>
      </c>
      <c r="S237" s="5">
        <f t="shared" si="11"/>
        <v>147.66000000000003</v>
      </c>
      <c r="T237" s="5" t="s">
        <v>937</v>
      </c>
      <c r="U237" s="5" t="s">
        <v>1361</v>
      </c>
      <c r="V237" s="170" t="str">
        <f>VLOOKUP(K237,'Stock statement'!$C$3:$D$382,2,0)</f>
        <v>C14</v>
      </c>
    </row>
    <row r="238" spans="1:22">
      <c r="A238" s="5">
        <v>237</v>
      </c>
      <c r="B238" s="5" t="s">
        <v>928</v>
      </c>
      <c r="C238" s="5" t="s">
        <v>1472</v>
      </c>
      <c r="D238" s="178">
        <v>44918</v>
      </c>
      <c r="E238" s="5" t="s">
        <v>930</v>
      </c>
      <c r="F238" s="5" t="s">
        <v>1473</v>
      </c>
      <c r="G238" s="178">
        <v>44922</v>
      </c>
      <c r="H238" s="5" t="s">
        <v>1073</v>
      </c>
      <c r="I238" s="5" t="s">
        <v>933</v>
      </c>
      <c r="J238" s="5" t="s">
        <v>934</v>
      </c>
      <c r="K238" s="5">
        <v>111253</v>
      </c>
      <c r="L238" s="5" t="s">
        <v>1074</v>
      </c>
      <c r="M238" s="5">
        <v>1000</v>
      </c>
      <c r="N238" s="5" t="s">
        <v>951</v>
      </c>
      <c r="O238" s="5">
        <v>882</v>
      </c>
      <c r="P238" s="5">
        <f t="shared" si="12"/>
        <v>882000</v>
      </c>
      <c r="Q238" s="192">
        <v>8500</v>
      </c>
      <c r="R238" s="5">
        <f t="shared" si="10"/>
        <v>890500</v>
      </c>
      <c r="S238" s="5">
        <f t="shared" si="11"/>
        <v>890.5</v>
      </c>
      <c r="T238" s="5" t="s">
        <v>937</v>
      </c>
      <c r="U238" s="5" t="s">
        <v>1288</v>
      </c>
      <c r="V238" s="170" t="str">
        <f>VLOOKUP(K238,'Stock statement'!$C$3:$D$382,2,0)</f>
        <v>C7</v>
      </c>
    </row>
    <row r="239" spans="1:22">
      <c r="A239" s="5">
        <v>238</v>
      </c>
      <c r="B239" s="5" t="s">
        <v>928</v>
      </c>
      <c r="C239" s="5" t="s">
        <v>1474</v>
      </c>
      <c r="D239" s="178">
        <v>44916</v>
      </c>
      <c r="E239" s="5" t="s">
        <v>930</v>
      </c>
      <c r="F239" s="5" t="s">
        <v>1475</v>
      </c>
      <c r="G239" s="178">
        <v>44922</v>
      </c>
      <c r="H239" s="5" t="s">
        <v>1476</v>
      </c>
      <c r="I239" s="5" t="s">
        <v>933</v>
      </c>
      <c r="J239" s="5" t="s">
        <v>934</v>
      </c>
      <c r="K239" s="5">
        <v>110053</v>
      </c>
      <c r="L239" s="5" t="s">
        <v>1477</v>
      </c>
      <c r="M239" s="5">
        <v>500</v>
      </c>
      <c r="N239" s="5" t="s">
        <v>951</v>
      </c>
      <c r="O239" s="5">
        <v>813</v>
      </c>
      <c r="P239" s="5">
        <f t="shared" si="12"/>
        <v>406500</v>
      </c>
      <c r="Q239" s="192">
        <v>4000</v>
      </c>
      <c r="R239" s="5">
        <f t="shared" si="10"/>
        <v>410500</v>
      </c>
      <c r="S239" s="5">
        <f t="shared" si="11"/>
        <v>821</v>
      </c>
      <c r="T239" s="5" t="s">
        <v>937</v>
      </c>
      <c r="U239" s="5" t="s">
        <v>1478</v>
      </c>
      <c r="V239" s="170" t="str">
        <f>VLOOKUP(K239,'Stock statement'!$C$3:$D$382,2,0)</f>
        <v>C30</v>
      </c>
    </row>
    <row r="240" spans="1:22">
      <c r="A240" s="5">
        <v>239</v>
      </c>
      <c r="B240" s="5" t="s">
        <v>928</v>
      </c>
      <c r="C240" s="5" t="s">
        <v>1479</v>
      </c>
      <c r="D240" s="178">
        <v>44918</v>
      </c>
      <c r="E240" s="5" t="s">
        <v>930</v>
      </c>
      <c r="F240" s="5" t="s">
        <v>1480</v>
      </c>
      <c r="G240" s="178">
        <v>44922</v>
      </c>
      <c r="H240" s="5" t="s">
        <v>1088</v>
      </c>
      <c r="I240" s="5" t="s">
        <v>933</v>
      </c>
      <c r="J240" s="5" t="s">
        <v>934</v>
      </c>
      <c r="K240" s="5">
        <v>110873</v>
      </c>
      <c r="L240" s="5" t="s">
        <v>443</v>
      </c>
      <c r="M240" s="5">
        <v>1500</v>
      </c>
      <c r="N240" s="5" t="s">
        <v>951</v>
      </c>
      <c r="O240" s="5">
        <v>165</v>
      </c>
      <c r="P240" s="5">
        <f t="shared" si="12"/>
        <v>247500</v>
      </c>
      <c r="Q240" s="192">
        <v>15000</v>
      </c>
      <c r="R240" s="5">
        <f t="shared" si="10"/>
        <v>262500</v>
      </c>
      <c r="S240" s="5">
        <f t="shared" si="11"/>
        <v>175</v>
      </c>
      <c r="T240" s="5" t="s">
        <v>937</v>
      </c>
      <c r="U240" s="5" t="s">
        <v>1481</v>
      </c>
      <c r="V240" s="170" t="str">
        <f>VLOOKUP(K240,'Stock statement'!$C$3:$D$382,2,0)</f>
        <v>C18</v>
      </c>
    </row>
    <row r="241" spans="1:22">
      <c r="A241" s="5">
        <v>240</v>
      </c>
      <c r="B241" s="5" t="s">
        <v>928</v>
      </c>
      <c r="C241" s="5" t="s">
        <v>1482</v>
      </c>
      <c r="D241" s="178">
        <v>44918</v>
      </c>
      <c r="E241" s="5" t="s">
        <v>930</v>
      </c>
      <c r="F241" s="5" t="s">
        <v>1483</v>
      </c>
      <c r="G241" s="178">
        <v>44922</v>
      </c>
      <c r="H241" s="5" t="s">
        <v>1484</v>
      </c>
      <c r="I241" s="5" t="s">
        <v>933</v>
      </c>
      <c r="J241" s="5" t="s">
        <v>934</v>
      </c>
      <c r="K241" s="5">
        <v>115071</v>
      </c>
      <c r="L241" s="5" t="s">
        <v>311</v>
      </c>
      <c r="M241" s="5">
        <v>200</v>
      </c>
      <c r="N241" s="5" t="s">
        <v>951</v>
      </c>
      <c r="O241" s="5">
        <v>185</v>
      </c>
      <c r="P241" s="5">
        <f t="shared" si="12"/>
        <v>37000</v>
      </c>
      <c r="Q241" s="192">
        <v>2000</v>
      </c>
      <c r="R241" s="5">
        <f t="shared" si="10"/>
        <v>39000</v>
      </c>
      <c r="S241" s="5">
        <f t="shared" si="11"/>
        <v>195</v>
      </c>
      <c r="T241" s="5" t="s">
        <v>937</v>
      </c>
      <c r="U241" s="5" t="s">
        <v>1485</v>
      </c>
      <c r="V241" s="170">
        <f>VLOOKUP(K241,'Stock statement'!$C$3:$D$382,2,0)</f>
        <v>115071</v>
      </c>
    </row>
    <row r="242" spans="1:22">
      <c r="A242" s="5">
        <v>241</v>
      </c>
      <c r="B242" s="5" t="s">
        <v>928</v>
      </c>
      <c r="C242" s="5" t="s">
        <v>1486</v>
      </c>
      <c r="D242" s="178">
        <v>44922</v>
      </c>
      <c r="E242" s="5" t="s">
        <v>930</v>
      </c>
      <c r="F242" s="5" t="s">
        <v>1487</v>
      </c>
      <c r="G242" s="178">
        <v>44922</v>
      </c>
      <c r="H242" s="5" t="s">
        <v>994</v>
      </c>
      <c r="I242" s="5" t="s">
        <v>949</v>
      </c>
      <c r="J242" s="5" t="s">
        <v>934</v>
      </c>
      <c r="K242" s="5">
        <v>215015</v>
      </c>
      <c r="L242" s="5" t="s">
        <v>905</v>
      </c>
      <c r="M242" s="5">
        <v>2000</v>
      </c>
      <c r="N242" s="5" t="s">
        <v>995</v>
      </c>
      <c r="O242" s="5">
        <v>40.69</v>
      </c>
      <c r="P242" s="5">
        <f t="shared" si="12"/>
        <v>81380</v>
      </c>
      <c r="Q242" s="192"/>
      <c r="R242" s="5">
        <f t="shared" si="10"/>
        <v>81380</v>
      </c>
      <c r="S242" s="5">
        <f t="shared" si="11"/>
        <v>40.69</v>
      </c>
      <c r="T242" s="5" t="s">
        <v>937</v>
      </c>
      <c r="U242" s="5" t="s">
        <v>1299</v>
      </c>
      <c r="V242" s="170">
        <f>VLOOKUP(K242,'Stock statement'!$C$3:$D$382,2,0)</f>
        <v>215015</v>
      </c>
    </row>
    <row r="243" spans="1:22">
      <c r="A243" s="5">
        <v>242</v>
      </c>
      <c r="B243" s="5" t="s">
        <v>928</v>
      </c>
      <c r="C243" s="5" t="s">
        <v>1488</v>
      </c>
      <c r="D243" s="178">
        <v>44921</v>
      </c>
      <c r="E243" s="5" t="s">
        <v>930</v>
      </c>
      <c r="F243" s="5" t="s">
        <v>1489</v>
      </c>
      <c r="G243" s="178">
        <v>44922</v>
      </c>
      <c r="H243" s="5" t="s">
        <v>948</v>
      </c>
      <c r="I243" s="5" t="s">
        <v>949</v>
      </c>
      <c r="J243" s="5" t="s">
        <v>934</v>
      </c>
      <c r="K243" s="5">
        <v>214255</v>
      </c>
      <c r="L243" s="5" t="s">
        <v>1490</v>
      </c>
      <c r="M243" s="5">
        <v>5218.5</v>
      </c>
      <c r="N243" s="5" t="s">
        <v>951</v>
      </c>
      <c r="O243" s="5">
        <v>245</v>
      </c>
      <c r="P243" s="5">
        <f t="shared" si="12"/>
        <v>1278532.5</v>
      </c>
      <c r="Q243" s="192"/>
      <c r="R243" s="5">
        <f t="shared" si="10"/>
        <v>1278532.5</v>
      </c>
      <c r="S243" s="5">
        <f t="shared" si="11"/>
        <v>245</v>
      </c>
      <c r="T243" s="5" t="s">
        <v>937</v>
      </c>
      <c r="U243" s="5" t="s">
        <v>1442</v>
      </c>
      <c r="V243" s="170">
        <f>VLOOKUP(K243,'Stock statement'!$C$3:$D$382,2,0)</f>
        <v>214255</v>
      </c>
    </row>
    <row r="244" spans="1:22">
      <c r="A244" s="5">
        <v>243</v>
      </c>
      <c r="B244" s="5" t="s">
        <v>928</v>
      </c>
      <c r="C244" s="5" t="s">
        <v>1491</v>
      </c>
      <c r="D244" s="178">
        <v>44922</v>
      </c>
      <c r="E244" s="5" t="s">
        <v>930</v>
      </c>
      <c r="F244" s="5" t="s">
        <v>1492</v>
      </c>
      <c r="G244" s="178">
        <v>44922</v>
      </c>
      <c r="H244" s="5" t="s">
        <v>1039</v>
      </c>
      <c r="I244" s="5" t="s">
        <v>933</v>
      </c>
      <c r="J244" s="5" t="s">
        <v>934</v>
      </c>
      <c r="K244" s="5">
        <v>110814</v>
      </c>
      <c r="L244" s="5" t="s">
        <v>1493</v>
      </c>
      <c r="M244" s="5">
        <v>630</v>
      </c>
      <c r="N244" s="5" t="s">
        <v>951</v>
      </c>
      <c r="O244" s="5">
        <v>45</v>
      </c>
      <c r="P244" s="5">
        <f t="shared" si="12"/>
        <v>28350</v>
      </c>
      <c r="Q244" s="192">
        <v>1200</v>
      </c>
      <c r="R244" s="5">
        <f t="shared" si="10"/>
        <v>29550</v>
      </c>
      <c r="S244" s="5">
        <f t="shared" si="11"/>
        <v>46.904761904761905</v>
      </c>
      <c r="T244" s="5" t="s">
        <v>937</v>
      </c>
      <c r="U244" s="5" t="s">
        <v>1494</v>
      </c>
      <c r="V244" s="170" t="str">
        <f>VLOOKUP(K244,'Stock statement'!$C$3:$D$382,2,0)</f>
        <v>C20</v>
      </c>
    </row>
    <row r="245" spans="1:22">
      <c r="A245" s="5">
        <v>244</v>
      </c>
      <c r="B245" s="5" t="s">
        <v>928</v>
      </c>
      <c r="C245" s="5" t="s">
        <v>1495</v>
      </c>
      <c r="D245" s="178">
        <v>44922</v>
      </c>
      <c r="E245" s="5" t="s">
        <v>930</v>
      </c>
      <c r="F245" s="5" t="s">
        <v>1496</v>
      </c>
      <c r="G245" s="178">
        <v>44922</v>
      </c>
      <c r="H245" s="5" t="s">
        <v>932</v>
      </c>
      <c r="I245" s="5" t="s">
        <v>933</v>
      </c>
      <c r="J245" s="5" t="s">
        <v>934</v>
      </c>
      <c r="K245" s="5">
        <v>110001</v>
      </c>
      <c r="L245" s="5" t="s">
        <v>935</v>
      </c>
      <c r="M245" s="5">
        <v>32900</v>
      </c>
      <c r="N245" s="5" t="s">
        <v>936</v>
      </c>
      <c r="O245" s="5">
        <v>0.34</v>
      </c>
      <c r="P245" s="5">
        <f t="shared" si="12"/>
        <v>11186</v>
      </c>
      <c r="Q245" s="192"/>
      <c r="R245" s="5">
        <f t="shared" si="10"/>
        <v>11186</v>
      </c>
      <c r="S245" s="5">
        <f t="shared" si="11"/>
        <v>0.34</v>
      </c>
      <c r="T245" s="5" t="s">
        <v>937</v>
      </c>
      <c r="U245" s="5" t="s">
        <v>1497</v>
      </c>
      <c r="V245" s="170" t="str">
        <f>VLOOKUP(K245,'Stock statement'!$C$3:$D$382,2,0)</f>
        <v>C16</v>
      </c>
    </row>
    <row r="246" spans="1:22">
      <c r="A246" s="5">
        <v>245</v>
      </c>
      <c r="B246" s="5" t="s">
        <v>928</v>
      </c>
      <c r="C246" s="5" t="s">
        <v>1498</v>
      </c>
      <c r="D246" s="178">
        <v>44922</v>
      </c>
      <c r="E246" s="5" t="s">
        <v>930</v>
      </c>
      <c r="F246" s="5" t="s">
        <v>1499</v>
      </c>
      <c r="G246" s="178">
        <v>44922</v>
      </c>
      <c r="H246" s="5" t="s">
        <v>932</v>
      </c>
      <c r="I246" s="5" t="s">
        <v>933</v>
      </c>
      <c r="J246" s="5" t="s">
        <v>934</v>
      </c>
      <c r="K246" s="5">
        <v>110001</v>
      </c>
      <c r="L246" s="5" t="s">
        <v>935</v>
      </c>
      <c r="M246" s="5">
        <v>34500</v>
      </c>
      <c r="N246" s="5" t="s">
        <v>936</v>
      </c>
      <c r="O246" s="5">
        <v>0.34</v>
      </c>
      <c r="P246" s="5">
        <f t="shared" si="12"/>
        <v>11730</v>
      </c>
      <c r="Q246" s="192"/>
      <c r="R246" s="5">
        <f t="shared" si="10"/>
        <v>11730</v>
      </c>
      <c r="S246" s="5">
        <f t="shared" si="11"/>
        <v>0.34</v>
      </c>
      <c r="T246" s="5" t="s">
        <v>937</v>
      </c>
      <c r="U246" s="5" t="s">
        <v>1500</v>
      </c>
      <c r="V246" s="170" t="str">
        <f>VLOOKUP(K246,'Stock statement'!$C$3:$D$382,2,0)</f>
        <v>C16</v>
      </c>
    </row>
    <row r="247" spans="1:22">
      <c r="A247" s="5">
        <v>246</v>
      </c>
      <c r="B247" s="5" t="s">
        <v>928</v>
      </c>
      <c r="C247" s="5" t="s">
        <v>1501</v>
      </c>
      <c r="D247" s="178">
        <v>44916</v>
      </c>
      <c r="E247" s="5" t="s">
        <v>930</v>
      </c>
      <c r="F247" s="5" t="s">
        <v>1502</v>
      </c>
      <c r="G247" s="178">
        <v>44922</v>
      </c>
      <c r="H247" s="5" t="s">
        <v>1503</v>
      </c>
      <c r="I247" s="5" t="s">
        <v>949</v>
      </c>
      <c r="J247" s="5" t="s">
        <v>934</v>
      </c>
      <c r="K247" s="5">
        <v>214305</v>
      </c>
      <c r="L247" s="5" t="s">
        <v>416</v>
      </c>
      <c r="M247" s="5">
        <v>115200</v>
      </c>
      <c r="N247" s="5" t="s">
        <v>995</v>
      </c>
      <c r="O247" s="5">
        <v>0.5</v>
      </c>
      <c r="P247" s="5">
        <f t="shared" si="12"/>
        <v>57600</v>
      </c>
      <c r="Q247" s="192"/>
      <c r="R247" s="5">
        <f t="shared" si="10"/>
        <v>57600</v>
      </c>
      <c r="S247" s="5">
        <f t="shared" si="11"/>
        <v>0.5</v>
      </c>
      <c r="T247" s="5" t="s">
        <v>937</v>
      </c>
      <c r="U247" s="5" t="s">
        <v>1504</v>
      </c>
      <c r="V247" s="170">
        <f>VLOOKUP(K247,'Stock statement'!$C$3:$D$382,2,0)</f>
        <v>214305</v>
      </c>
    </row>
    <row r="248" spans="1:22">
      <c r="A248" s="5">
        <v>247</v>
      </c>
      <c r="B248" s="5" t="s">
        <v>928</v>
      </c>
      <c r="C248" s="5" t="s">
        <v>1505</v>
      </c>
      <c r="D248" s="178">
        <v>44923</v>
      </c>
      <c r="E248" s="5" t="s">
        <v>930</v>
      </c>
      <c r="F248" s="5" t="s">
        <v>1506</v>
      </c>
      <c r="G248" s="178">
        <v>44923</v>
      </c>
      <c r="H248" s="5" t="s">
        <v>994</v>
      </c>
      <c r="I248" s="5" t="s">
        <v>949</v>
      </c>
      <c r="J248" s="5" t="s">
        <v>934</v>
      </c>
      <c r="K248" s="5">
        <v>214961</v>
      </c>
      <c r="L248" s="5" t="s">
        <v>896</v>
      </c>
      <c r="M248" s="5">
        <v>2000</v>
      </c>
      <c r="N248" s="5" t="s">
        <v>995</v>
      </c>
      <c r="O248" s="5">
        <v>30.12</v>
      </c>
      <c r="P248" s="5">
        <f t="shared" si="12"/>
        <v>60240</v>
      </c>
      <c r="Q248" s="192"/>
      <c r="R248" s="5">
        <f t="shared" si="10"/>
        <v>60240</v>
      </c>
      <c r="S248" s="5">
        <f t="shared" si="11"/>
        <v>30.12</v>
      </c>
      <c r="T248" s="5" t="s">
        <v>937</v>
      </c>
      <c r="U248" s="5" t="s">
        <v>1447</v>
      </c>
      <c r="V248" s="170">
        <f>VLOOKUP(K248,'Stock statement'!$C$3:$D$382,2,0)</f>
        <v>214961</v>
      </c>
    </row>
    <row r="249" spans="1:22">
      <c r="A249" s="5">
        <v>248</v>
      </c>
      <c r="B249" s="5" t="s">
        <v>928</v>
      </c>
      <c r="C249" s="5" t="s">
        <v>1505</v>
      </c>
      <c r="D249" s="178">
        <v>44923</v>
      </c>
      <c r="E249" s="5" t="s">
        <v>930</v>
      </c>
      <c r="F249" s="5" t="s">
        <v>1506</v>
      </c>
      <c r="G249" s="178">
        <v>44923</v>
      </c>
      <c r="H249" s="5" t="s">
        <v>994</v>
      </c>
      <c r="I249" s="5" t="s">
        <v>949</v>
      </c>
      <c r="J249" s="5" t="s">
        <v>934</v>
      </c>
      <c r="K249" s="5">
        <v>214962</v>
      </c>
      <c r="L249" s="5" t="s">
        <v>897</v>
      </c>
      <c r="M249" s="5">
        <v>4000</v>
      </c>
      <c r="N249" s="5" t="s">
        <v>995</v>
      </c>
      <c r="O249" s="5">
        <v>14.3</v>
      </c>
      <c r="P249" s="5">
        <f t="shared" si="12"/>
        <v>57200</v>
      </c>
      <c r="Q249" s="192"/>
      <c r="R249" s="5">
        <f t="shared" si="10"/>
        <v>57200</v>
      </c>
      <c r="S249" s="5">
        <f t="shared" si="11"/>
        <v>14.3</v>
      </c>
      <c r="T249" s="5" t="s">
        <v>937</v>
      </c>
      <c r="U249" s="5" t="s">
        <v>1447</v>
      </c>
      <c r="V249" s="170">
        <f>VLOOKUP(K249,'Stock statement'!$C$3:$D$382,2,0)</f>
        <v>214962</v>
      </c>
    </row>
    <row r="250" spans="1:22">
      <c r="A250" s="5">
        <v>249</v>
      </c>
      <c r="B250" s="5" t="s">
        <v>928</v>
      </c>
      <c r="C250" s="5" t="s">
        <v>1507</v>
      </c>
      <c r="D250" s="178">
        <v>44917</v>
      </c>
      <c r="E250" s="5" t="s">
        <v>930</v>
      </c>
      <c r="F250" s="5" t="s">
        <v>1508</v>
      </c>
      <c r="G250" s="178">
        <v>44923</v>
      </c>
      <c r="H250" s="5" t="s">
        <v>963</v>
      </c>
      <c r="I250" s="5" t="s">
        <v>933</v>
      </c>
      <c r="J250" s="5" t="s">
        <v>934</v>
      </c>
      <c r="K250" s="5">
        <v>111232</v>
      </c>
      <c r="L250" s="5" t="s">
        <v>964</v>
      </c>
      <c r="M250" s="5">
        <v>31210</v>
      </c>
      <c r="N250" s="5" t="s">
        <v>951</v>
      </c>
      <c r="O250" s="5">
        <v>86.5</v>
      </c>
      <c r="P250" s="5">
        <f t="shared" si="12"/>
        <v>2699665</v>
      </c>
      <c r="Q250" s="192">
        <v>182391.2</v>
      </c>
      <c r="R250" s="5">
        <f t="shared" si="10"/>
        <v>2882056.2</v>
      </c>
      <c r="S250" s="5">
        <f t="shared" si="11"/>
        <v>92.343998718359501</v>
      </c>
      <c r="T250" s="5" t="s">
        <v>937</v>
      </c>
      <c r="U250" s="5" t="s">
        <v>1168</v>
      </c>
      <c r="V250" s="170" t="str">
        <f>VLOOKUP(K250,'Stock statement'!$C$3:$D$382,2,0)</f>
        <v>C25</v>
      </c>
    </row>
    <row r="251" spans="1:22">
      <c r="A251" s="5">
        <v>250</v>
      </c>
      <c r="B251" s="5" t="s">
        <v>928</v>
      </c>
      <c r="C251" s="5" t="s">
        <v>1509</v>
      </c>
      <c r="D251" s="178">
        <v>44923</v>
      </c>
      <c r="E251" s="5" t="s">
        <v>930</v>
      </c>
      <c r="F251" s="5" t="s">
        <v>1510</v>
      </c>
      <c r="G251" s="178">
        <v>44923</v>
      </c>
      <c r="H251" s="5" t="s">
        <v>932</v>
      </c>
      <c r="I251" s="5" t="s">
        <v>933</v>
      </c>
      <c r="J251" s="5" t="s">
        <v>934</v>
      </c>
      <c r="K251" s="5">
        <v>110001</v>
      </c>
      <c r="L251" s="5" t="s">
        <v>935</v>
      </c>
      <c r="M251" s="5">
        <v>35300</v>
      </c>
      <c r="N251" s="5" t="s">
        <v>936</v>
      </c>
      <c r="O251" s="5">
        <v>0.34</v>
      </c>
      <c r="P251" s="5">
        <f t="shared" si="12"/>
        <v>12002</v>
      </c>
      <c r="Q251" s="192"/>
      <c r="R251" s="5">
        <f t="shared" si="10"/>
        <v>12002</v>
      </c>
      <c r="S251" s="5">
        <f t="shared" si="11"/>
        <v>0.34</v>
      </c>
      <c r="T251" s="5" t="s">
        <v>937</v>
      </c>
      <c r="U251" s="5" t="s">
        <v>1511</v>
      </c>
      <c r="V251" s="170" t="str">
        <f>VLOOKUP(K251,'Stock statement'!$C$3:$D$382,2,0)</f>
        <v>C16</v>
      </c>
    </row>
    <row r="252" spans="1:22">
      <c r="A252" s="5">
        <v>251</v>
      </c>
      <c r="B252" s="5" t="s">
        <v>928</v>
      </c>
      <c r="C252" s="5" t="s">
        <v>1512</v>
      </c>
      <c r="D252" s="178">
        <v>44923</v>
      </c>
      <c r="E252" s="5" t="s">
        <v>930</v>
      </c>
      <c r="F252" s="5" t="s">
        <v>1513</v>
      </c>
      <c r="G252" s="178">
        <v>44923</v>
      </c>
      <c r="H252" s="5" t="s">
        <v>932</v>
      </c>
      <c r="I252" s="5" t="s">
        <v>933</v>
      </c>
      <c r="J252" s="5" t="s">
        <v>934</v>
      </c>
      <c r="K252" s="5">
        <v>110001</v>
      </c>
      <c r="L252" s="5" t="s">
        <v>935</v>
      </c>
      <c r="M252" s="5">
        <v>23500</v>
      </c>
      <c r="N252" s="5" t="s">
        <v>936</v>
      </c>
      <c r="O252" s="5">
        <v>0.34</v>
      </c>
      <c r="P252" s="5">
        <f t="shared" si="12"/>
        <v>7990.0000000000009</v>
      </c>
      <c r="Q252" s="192"/>
      <c r="R252" s="5">
        <f t="shared" si="10"/>
        <v>7990.0000000000009</v>
      </c>
      <c r="S252" s="5">
        <f t="shared" si="11"/>
        <v>0.34</v>
      </c>
      <c r="T252" s="5" t="s">
        <v>937</v>
      </c>
      <c r="U252" s="5" t="s">
        <v>1514</v>
      </c>
      <c r="V252" s="170" t="str">
        <f>VLOOKUP(K252,'Stock statement'!$C$3:$D$382,2,0)</f>
        <v>C16</v>
      </c>
    </row>
    <row r="253" spans="1:22">
      <c r="A253" s="5">
        <v>252</v>
      </c>
      <c r="B253" s="5" t="s">
        <v>928</v>
      </c>
      <c r="C253" s="5" t="s">
        <v>1515</v>
      </c>
      <c r="D253" s="178">
        <v>44923</v>
      </c>
      <c r="E253" s="5" t="s">
        <v>930</v>
      </c>
      <c r="F253" s="5" t="s">
        <v>1516</v>
      </c>
      <c r="G253" s="178">
        <v>44923</v>
      </c>
      <c r="H253" s="5" t="s">
        <v>948</v>
      </c>
      <c r="I253" s="5" t="s">
        <v>949</v>
      </c>
      <c r="J253" s="5" t="s">
        <v>934</v>
      </c>
      <c r="K253" s="5">
        <v>214990</v>
      </c>
      <c r="L253" s="5" t="s">
        <v>904</v>
      </c>
      <c r="M253" s="5">
        <v>2378.5</v>
      </c>
      <c r="N253" s="5" t="s">
        <v>951</v>
      </c>
      <c r="O253" s="5">
        <v>234</v>
      </c>
      <c r="P253" s="5">
        <f t="shared" si="12"/>
        <v>556569</v>
      </c>
      <c r="Q253" s="192"/>
      <c r="R253" s="5">
        <f t="shared" si="10"/>
        <v>556569</v>
      </c>
      <c r="S253" s="5">
        <f t="shared" si="11"/>
        <v>234</v>
      </c>
      <c r="T253" s="5" t="s">
        <v>937</v>
      </c>
      <c r="U253" s="5" t="s">
        <v>952</v>
      </c>
      <c r="V253" s="170">
        <f>VLOOKUP(K253,'Stock statement'!$C$3:$D$382,2,0)</f>
        <v>214990</v>
      </c>
    </row>
    <row r="254" spans="1:22">
      <c r="A254" s="5">
        <v>253</v>
      </c>
      <c r="B254" s="5" t="s">
        <v>928</v>
      </c>
      <c r="C254" s="5" t="s">
        <v>1517</v>
      </c>
      <c r="D254" s="178">
        <v>44923</v>
      </c>
      <c r="E254" s="5" t="s">
        <v>930</v>
      </c>
      <c r="F254" s="5" t="s">
        <v>1518</v>
      </c>
      <c r="G254" s="178">
        <v>44923</v>
      </c>
      <c r="H254" s="5" t="s">
        <v>948</v>
      </c>
      <c r="I254" s="5" t="s">
        <v>949</v>
      </c>
      <c r="J254" s="5" t="s">
        <v>934</v>
      </c>
      <c r="K254" s="5">
        <v>214255</v>
      </c>
      <c r="L254" s="5" t="s">
        <v>1490</v>
      </c>
      <c r="M254" s="5">
        <v>4020.25</v>
      </c>
      <c r="N254" s="5" t="s">
        <v>951</v>
      </c>
      <c r="O254" s="5">
        <v>245</v>
      </c>
      <c r="P254" s="5">
        <f t="shared" si="12"/>
        <v>984961.25</v>
      </c>
      <c r="Q254" s="192"/>
      <c r="R254" s="5">
        <f t="shared" si="10"/>
        <v>984961.25</v>
      </c>
      <c r="S254" s="5">
        <f t="shared" si="11"/>
        <v>245</v>
      </c>
      <c r="T254" s="5" t="s">
        <v>937</v>
      </c>
      <c r="U254" s="5" t="s">
        <v>1442</v>
      </c>
      <c r="V254" s="170">
        <f>VLOOKUP(K254,'Stock statement'!$C$3:$D$382,2,0)</f>
        <v>214255</v>
      </c>
    </row>
    <row r="255" spans="1:22">
      <c r="A255" s="5">
        <v>254</v>
      </c>
      <c r="B255" s="5" t="s">
        <v>928</v>
      </c>
      <c r="C255" s="5" t="s">
        <v>1519</v>
      </c>
      <c r="D255" s="178">
        <v>44923</v>
      </c>
      <c r="E255" s="5" t="s">
        <v>930</v>
      </c>
      <c r="F255" s="5" t="s">
        <v>1520</v>
      </c>
      <c r="G255" s="178">
        <v>44923</v>
      </c>
      <c r="H255" s="5" t="s">
        <v>932</v>
      </c>
      <c r="I255" s="5" t="s">
        <v>933</v>
      </c>
      <c r="J255" s="5" t="s">
        <v>934</v>
      </c>
      <c r="K255" s="5">
        <v>110001</v>
      </c>
      <c r="L255" s="5" t="s">
        <v>935</v>
      </c>
      <c r="M255" s="5">
        <v>10300</v>
      </c>
      <c r="N255" s="5" t="s">
        <v>936</v>
      </c>
      <c r="O255" s="5">
        <v>0.34</v>
      </c>
      <c r="P255" s="5">
        <f t="shared" si="12"/>
        <v>3502.0000000000005</v>
      </c>
      <c r="Q255" s="192"/>
      <c r="R255" s="5">
        <f t="shared" si="10"/>
        <v>3502.0000000000005</v>
      </c>
      <c r="S255" s="5">
        <f t="shared" si="11"/>
        <v>0.34</v>
      </c>
      <c r="T255" s="5" t="s">
        <v>937</v>
      </c>
      <c r="U255" s="5" t="s">
        <v>1521</v>
      </c>
      <c r="V255" s="170" t="str">
        <f>VLOOKUP(K255,'Stock statement'!$C$3:$D$382,2,0)</f>
        <v>C16</v>
      </c>
    </row>
    <row r="256" spans="1:22">
      <c r="A256" s="5">
        <v>255</v>
      </c>
      <c r="B256" s="5" t="s">
        <v>928</v>
      </c>
      <c r="C256" s="5" t="s">
        <v>1522</v>
      </c>
      <c r="D256" s="178">
        <v>44923</v>
      </c>
      <c r="E256" s="5" t="s">
        <v>930</v>
      </c>
      <c r="F256" s="5" t="s">
        <v>1523</v>
      </c>
      <c r="G256" s="178">
        <v>44923</v>
      </c>
      <c r="H256" s="5" t="s">
        <v>994</v>
      </c>
      <c r="I256" s="5" t="s">
        <v>949</v>
      </c>
      <c r="J256" s="5" t="s">
        <v>934</v>
      </c>
      <c r="K256" s="5">
        <v>214959</v>
      </c>
      <c r="L256" s="5" t="s">
        <v>1524</v>
      </c>
      <c r="M256" s="5">
        <v>2090</v>
      </c>
      <c r="N256" s="5" t="s">
        <v>995</v>
      </c>
      <c r="O256" s="5">
        <v>41.01</v>
      </c>
      <c r="P256" s="5">
        <f t="shared" si="12"/>
        <v>85710.9</v>
      </c>
      <c r="Q256" s="192"/>
      <c r="R256" s="5">
        <f t="shared" si="10"/>
        <v>85710.9</v>
      </c>
      <c r="S256" s="5">
        <f t="shared" si="11"/>
        <v>41.01</v>
      </c>
      <c r="T256" s="5" t="s">
        <v>937</v>
      </c>
      <c r="U256" s="5" t="s">
        <v>1447</v>
      </c>
      <c r="V256" s="170">
        <f>VLOOKUP(K256,'Stock statement'!$C$3:$D$382,2,0)</f>
        <v>214959</v>
      </c>
    </row>
    <row r="257" spans="1:22">
      <c r="A257" s="5">
        <v>256</v>
      </c>
      <c r="B257" s="5" t="s">
        <v>928</v>
      </c>
      <c r="C257" s="5" t="s">
        <v>1525</v>
      </c>
      <c r="D257" s="178">
        <v>44923</v>
      </c>
      <c r="E257" s="5" t="s">
        <v>930</v>
      </c>
      <c r="F257" s="5" t="s">
        <v>1526</v>
      </c>
      <c r="G257" s="178">
        <v>44923</v>
      </c>
      <c r="H257" s="5" t="s">
        <v>994</v>
      </c>
      <c r="I257" s="5" t="s">
        <v>949</v>
      </c>
      <c r="J257" s="5" t="s">
        <v>934</v>
      </c>
      <c r="K257" s="5">
        <v>215015</v>
      </c>
      <c r="L257" s="5" t="s">
        <v>905</v>
      </c>
      <c r="M257" s="5">
        <v>2574</v>
      </c>
      <c r="N257" s="5" t="s">
        <v>995</v>
      </c>
      <c r="O257" s="5">
        <v>40.69</v>
      </c>
      <c r="P257" s="5">
        <f t="shared" si="12"/>
        <v>104736.06</v>
      </c>
      <c r="Q257" s="192"/>
      <c r="R257" s="5">
        <f t="shared" si="10"/>
        <v>104736.06</v>
      </c>
      <c r="S257" s="5">
        <f t="shared" si="11"/>
        <v>40.69</v>
      </c>
      <c r="T257" s="5" t="s">
        <v>937</v>
      </c>
      <c r="U257" s="5" t="s">
        <v>1299</v>
      </c>
      <c r="V257" s="170">
        <f>VLOOKUP(K257,'Stock statement'!$C$3:$D$382,2,0)</f>
        <v>215015</v>
      </c>
    </row>
    <row r="258" spans="1:22">
      <c r="A258" s="5">
        <v>257</v>
      </c>
      <c r="B258" s="5" t="s">
        <v>928</v>
      </c>
      <c r="C258" s="5" t="s">
        <v>1525</v>
      </c>
      <c r="D258" s="178">
        <v>44923</v>
      </c>
      <c r="E258" s="5" t="s">
        <v>930</v>
      </c>
      <c r="F258" s="5" t="s">
        <v>1527</v>
      </c>
      <c r="G258" s="178">
        <v>44923</v>
      </c>
      <c r="H258" s="5" t="s">
        <v>994</v>
      </c>
      <c r="I258" s="5" t="s">
        <v>949</v>
      </c>
      <c r="J258" s="5" t="s">
        <v>934</v>
      </c>
      <c r="K258" s="5">
        <v>215015</v>
      </c>
      <c r="L258" s="5" t="s">
        <v>1356</v>
      </c>
      <c r="M258" s="5">
        <v>346</v>
      </c>
      <c r="N258" s="5" t="s">
        <v>995</v>
      </c>
      <c r="O258" s="5">
        <v>40.69</v>
      </c>
      <c r="P258" s="5">
        <f t="shared" si="12"/>
        <v>14078.74</v>
      </c>
      <c r="Q258" s="192"/>
      <c r="R258" s="5">
        <f t="shared" ref="R258:R289" si="13">+P258+Q258</f>
        <v>14078.74</v>
      </c>
      <c r="S258" s="5">
        <f t="shared" ref="S258:S289" si="14">+R258/M258</f>
        <v>40.69</v>
      </c>
      <c r="T258" s="5" t="s">
        <v>937</v>
      </c>
      <c r="U258" s="5" t="s">
        <v>1528</v>
      </c>
      <c r="V258" s="170">
        <f>VLOOKUP(K258,'Stock statement'!$C$3:$D$382,2,0)</f>
        <v>215015</v>
      </c>
    </row>
    <row r="259" spans="1:22">
      <c r="A259" s="5">
        <v>258</v>
      </c>
      <c r="B259" s="5" t="s">
        <v>928</v>
      </c>
      <c r="C259" s="5" t="s">
        <v>1529</v>
      </c>
      <c r="D259" s="178">
        <v>44923</v>
      </c>
      <c r="E259" s="5" t="s">
        <v>930</v>
      </c>
      <c r="F259" s="5" t="s">
        <v>1530</v>
      </c>
      <c r="G259" s="178">
        <v>44924</v>
      </c>
      <c r="H259" s="5" t="s">
        <v>948</v>
      </c>
      <c r="I259" s="5" t="s">
        <v>949</v>
      </c>
      <c r="J259" s="5" t="s">
        <v>934</v>
      </c>
      <c r="K259" s="5">
        <v>214686</v>
      </c>
      <c r="L259" s="5" t="s">
        <v>955</v>
      </c>
      <c r="M259" s="5">
        <v>4111.8</v>
      </c>
      <c r="N259" s="5" t="s">
        <v>951</v>
      </c>
      <c r="O259" s="5">
        <v>205</v>
      </c>
      <c r="P259" s="5">
        <f t="shared" si="12"/>
        <v>842919</v>
      </c>
      <c r="Q259" s="192"/>
      <c r="R259" s="5">
        <f t="shared" si="13"/>
        <v>842919</v>
      </c>
      <c r="S259" s="5">
        <f t="shared" si="14"/>
        <v>205</v>
      </c>
      <c r="T259" s="5" t="s">
        <v>937</v>
      </c>
      <c r="U259" s="5" t="s">
        <v>1442</v>
      </c>
      <c r="V259" s="170">
        <f>VLOOKUP(K259,'Stock statement'!$C$3:$D$382,2,0)</f>
        <v>214686</v>
      </c>
    </row>
    <row r="260" spans="1:22">
      <c r="A260" s="5">
        <v>259</v>
      </c>
      <c r="B260" s="5" t="s">
        <v>928</v>
      </c>
      <c r="C260" s="5" t="s">
        <v>1531</v>
      </c>
      <c r="D260" s="178">
        <v>44923</v>
      </c>
      <c r="E260" s="5" t="s">
        <v>930</v>
      </c>
      <c r="F260" s="5" t="s">
        <v>1532</v>
      </c>
      <c r="G260" s="178">
        <v>44924</v>
      </c>
      <c r="H260" s="5" t="s">
        <v>994</v>
      </c>
      <c r="I260" s="5" t="s">
        <v>949</v>
      </c>
      <c r="J260" s="5" t="s">
        <v>934</v>
      </c>
      <c r="K260" s="5">
        <v>214961</v>
      </c>
      <c r="L260" s="5" t="s">
        <v>896</v>
      </c>
      <c r="M260" s="5">
        <v>4680</v>
      </c>
      <c r="N260" s="5" t="s">
        <v>995</v>
      </c>
      <c r="O260" s="5">
        <v>30.12</v>
      </c>
      <c r="P260" s="5">
        <f t="shared" si="12"/>
        <v>140961.60000000001</v>
      </c>
      <c r="Q260" s="192"/>
      <c r="R260" s="5">
        <f t="shared" si="13"/>
        <v>140961.60000000001</v>
      </c>
      <c r="S260" s="5">
        <f t="shared" si="14"/>
        <v>30.12</v>
      </c>
      <c r="T260" s="5" t="s">
        <v>937</v>
      </c>
      <c r="U260" s="5" t="s">
        <v>1447</v>
      </c>
      <c r="V260" s="170">
        <f>VLOOKUP(K260,'Stock statement'!$C$3:$D$382,2,0)</f>
        <v>214961</v>
      </c>
    </row>
    <row r="261" spans="1:22">
      <c r="A261" s="5">
        <v>260</v>
      </c>
      <c r="B261" s="5" t="s">
        <v>928</v>
      </c>
      <c r="C261" s="5" t="s">
        <v>1531</v>
      </c>
      <c r="D261" s="178">
        <v>44923</v>
      </c>
      <c r="E261" s="5" t="s">
        <v>930</v>
      </c>
      <c r="F261" s="5" t="s">
        <v>1532</v>
      </c>
      <c r="G261" s="178">
        <v>44924</v>
      </c>
      <c r="H261" s="5" t="s">
        <v>994</v>
      </c>
      <c r="I261" s="5" t="s">
        <v>949</v>
      </c>
      <c r="J261" s="5" t="s">
        <v>934</v>
      </c>
      <c r="K261" s="5">
        <v>214962</v>
      </c>
      <c r="L261" s="5" t="s">
        <v>897</v>
      </c>
      <c r="M261" s="5">
        <v>9375</v>
      </c>
      <c r="N261" s="5" t="s">
        <v>995</v>
      </c>
      <c r="O261" s="5">
        <v>14.3</v>
      </c>
      <c r="P261" s="5">
        <f t="shared" si="12"/>
        <v>134062.5</v>
      </c>
      <c r="Q261" s="192"/>
      <c r="R261" s="5">
        <f t="shared" si="13"/>
        <v>134062.5</v>
      </c>
      <c r="S261" s="5">
        <f t="shared" si="14"/>
        <v>14.3</v>
      </c>
      <c r="T261" s="5" t="s">
        <v>937</v>
      </c>
      <c r="U261" s="5" t="s">
        <v>1447</v>
      </c>
      <c r="V261" s="170">
        <f>VLOOKUP(K261,'Stock statement'!$C$3:$D$382,2,0)</f>
        <v>214962</v>
      </c>
    </row>
    <row r="262" spans="1:22">
      <c r="A262" s="5">
        <v>261</v>
      </c>
      <c r="B262" s="5" t="s">
        <v>928</v>
      </c>
      <c r="C262" s="5" t="s">
        <v>1533</v>
      </c>
      <c r="D262" s="178">
        <v>44923</v>
      </c>
      <c r="E262" s="5" t="s">
        <v>930</v>
      </c>
      <c r="F262" s="5" t="s">
        <v>1534</v>
      </c>
      <c r="G262" s="178">
        <v>44924</v>
      </c>
      <c r="H262" s="5" t="s">
        <v>1119</v>
      </c>
      <c r="I262" s="5" t="s">
        <v>933</v>
      </c>
      <c r="J262" s="5" t="s">
        <v>934</v>
      </c>
      <c r="K262" s="5">
        <v>111232</v>
      </c>
      <c r="L262" s="5" t="s">
        <v>964</v>
      </c>
      <c r="M262" s="5">
        <v>24430</v>
      </c>
      <c r="N262" s="5" t="s">
        <v>951</v>
      </c>
      <c r="O262" s="5">
        <v>88.74</v>
      </c>
      <c r="P262" s="5">
        <f t="shared" si="12"/>
        <v>2167918.1999999997</v>
      </c>
      <c r="Q262" s="192"/>
      <c r="R262" s="5">
        <f t="shared" si="13"/>
        <v>2167918.1999999997</v>
      </c>
      <c r="S262" s="5">
        <f t="shared" si="14"/>
        <v>88.74</v>
      </c>
      <c r="T262" s="5" t="s">
        <v>937</v>
      </c>
      <c r="U262" s="5" t="s">
        <v>1463</v>
      </c>
      <c r="V262" s="170" t="str">
        <f>VLOOKUP(K262,'Stock statement'!$C$3:$D$382,2,0)</f>
        <v>C25</v>
      </c>
    </row>
    <row r="263" spans="1:22">
      <c r="A263" s="5">
        <v>262</v>
      </c>
      <c r="B263" s="5" t="s">
        <v>928</v>
      </c>
      <c r="C263" s="5" t="s">
        <v>1535</v>
      </c>
      <c r="D263" s="178">
        <v>44923</v>
      </c>
      <c r="E263" s="5" t="s">
        <v>930</v>
      </c>
      <c r="F263" s="5" t="s">
        <v>1536</v>
      </c>
      <c r="G263" s="178">
        <v>44924</v>
      </c>
      <c r="H263" s="5" t="s">
        <v>1066</v>
      </c>
      <c r="I263" s="5" t="s">
        <v>949</v>
      </c>
      <c r="J263" s="5" t="s">
        <v>934</v>
      </c>
      <c r="K263" s="5">
        <v>215015</v>
      </c>
      <c r="L263" s="5" t="s">
        <v>1356</v>
      </c>
      <c r="M263" s="5">
        <v>3080</v>
      </c>
      <c r="N263" s="5" t="s">
        <v>995</v>
      </c>
      <c r="O263" s="5">
        <v>40.69</v>
      </c>
      <c r="P263" s="5">
        <f t="shared" si="12"/>
        <v>125325.2</v>
      </c>
      <c r="Q263" s="192"/>
      <c r="R263" s="5">
        <f t="shared" si="13"/>
        <v>125325.2</v>
      </c>
      <c r="S263" s="5">
        <f t="shared" si="14"/>
        <v>40.69</v>
      </c>
      <c r="T263" s="5" t="s">
        <v>937</v>
      </c>
      <c r="U263" s="5" t="s">
        <v>1327</v>
      </c>
      <c r="V263" s="170">
        <f>VLOOKUP(K263,'Stock statement'!$C$3:$D$382,2,0)</f>
        <v>215015</v>
      </c>
    </row>
    <row r="264" spans="1:22">
      <c r="A264" s="5">
        <v>263</v>
      </c>
      <c r="B264" s="5" t="s">
        <v>928</v>
      </c>
      <c r="C264" s="5" t="s">
        <v>1535</v>
      </c>
      <c r="D264" s="178">
        <v>44923</v>
      </c>
      <c r="E264" s="5" t="s">
        <v>930</v>
      </c>
      <c r="F264" s="5" t="s">
        <v>1536</v>
      </c>
      <c r="G264" s="178">
        <v>44924</v>
      </c>
      <c r="H264" s="5" t="s">
        <v>1066</v>
      </c>
      <c r="I264" s="5" t="s">
        <v>949</v>
      </c>
      <c r="J264" s="5" t="s">
        <v>934</v>
      </c>
      <c r="K264" s="5">
        <v>215007</v>
      </c>
      <c r="L264" s="5" t="s">
        <v>907</v>
      </c>
      <c r="M264" s="5">
        <v>1042</v>
      </c>
      <c r="N264" s="5" t="s">
        <v>995</v>
      </c>
      <c r="O264" s="5">
        <v>40.69</v>
      </c>
      <c r="P264" s="5">
        <f t="shared" si="12"/>
        <v>42398.979999999996</v>
      </c>
      <c r="Q264" s="192"/>
      <c r="R264" s="5">
        <f t="shared" si="13"/>
        <v>42398.979999999996</v>
      </c>
      <c r="S264" s="5">
        <f t="shared" si="14"/>
        <v>40.69</v>
      </c>
      <c r="T264" s="5" t="s">
        <v>937</v>
      </c>
      <c r="U264" s="5" t="s">
        <v>1327</v>
      </c>
      <c r="V264" s="170">
        <f>VLOOKUP(K264,'Stock statement'!$C$3:$D$382,2,0)</f>
        <v>215007</v>
      </c>
    </row>
    <row r="265" spans="1:22">
      <c r="A265" s="5">
        <v>264</v>
      </c>
      <c r="B265" s="5" t="s">
        <v>928</v>
      </c>
      <c r="C265" s="5" t="s">
        <v>1537</v>
      </c>
      <c r="D265" s="178">
        <v>44924</v>
      </c>
      <c r="E265" s="5" t="s">
        <v>930</v>
      </c>
      <c r="F265" s="5" t="s">
        <v>1538</v>
      </c>
      <c r="G265" s="178">
        <v>44924</v>
      </c>
      <c r="H265" s="5" t="s">
        <v>942</v>
      </c>
      <c r="I265" s="5" t="s">
        <v>933</v>
      </c>
      <c r="J265" s="5" t="s">
        <v>934</v>
      </c>
      <c r="K265" s="5">
        <v>110001</v>
      </c>
      <c r="L265" s="5" t="s">
        <v>935</v>
      </c>
      <c r="M265" s="5">
        <v>24000</v>
      </c>
      <c r="N265" s="5" t="s">
        <v>936</v>
      </c>
      <c r="O265" s="5">
        <v>0.34</v>
      </c>
      <c r="P265" s="5">
        <f t="shared" si="12"/>
        <v>8160.0000000000009</v>
      </c>
      <c r="Q265" s="192"/>
      <c r="R265" s="5">
        <f t="shared" si="13"/>
        <v>8160.0000000000009</v>
      </c>
      <c r="S265" s="5">
        <f t="shared" si="14"/>
        <v>0.34</v>
      </c>
      <c r="T265" s="5" t="s">
        <v>937</v>
      </c>
      <c r="U265" s="5" t="s">
        <v>1539</v>
      </c>
      <c r="V265" s="170" t="str">
        <f>VLOOKUP(K265,'Stock statement'!$C$3:$D$382,2,0)</f>
        <v>C16</v>
      </c>
    </row>
    <row r="266" spans="1:22">
      <c r="A266" s="5">
        <v>265</v>
      </c>
      <c r="B266" s="5" t="s">
        <v>928</v>
      </c>
      <c r="C266" s="5" t="s">
        <v>1540</v>
      </c>
      <c r="D266" s="178">
        <v>44924</v>
      </c>
      <c r="E266" s="5" t="s">
        <v>930</v>
      </c>
      <c r="F266" s="5" t="s">
        <v>1541</v>
      </c>
      <c r="G266" s="178">
        <v>44925</v>
      </c>
      <c r="H266" s="5" t="s">
        <v>1542</v>
      </c>
      <c r="I266" s="5" t="s">
        <v>949</v>
      </c>
      <c r="J266" s="5" t="s">
        <v>934</v>
      </c>
      <c r="K266" s="5">
        <v>214255</v>
      </c>
      <c r="L266" s="5" t="s">
        <v>950</v>
      </c>
      <c r="M266" s="5">
        <v>855.18</v>
      </c>
      <c r="N266" s="5" t="s">
        <v>951</v>
      </c>
      <c r="O266" s="5">
        <v>210</v>
      </c>
      <c r="P266" s="5">
        <f t="shared" si="12"/>
        <v>179587.8</v>
      </c>
      <c r="Q266" s="192"/>
      <c r="R266" s="5">
        <f t="shared" si="13"/>
        <v>179587.8</v>
      </c>
      <c r="S266" s="5">
        <f t="shared" si="14"/>
        <v>210</v>
      </c>
      <c r="T266" s="5" t="s">
        <v>937</v>
      </c>
      <c r="U266" s="5" t="s">
        <v>1543</v>
      </c>
      <c r="V266" s="170">
        <f>VLOOKUP(K266,'Stock statement'!$C$3:$D$382,2,0)</f>
        <v>214255</v>
      </c>
    </row>
    <row r="267" spans="1:22">
      <c r="A267" s="5">
        <v>266</v>
      </c>
      <c r="B267" s="5" t="s">
        <v>928</v>
      </c>
      <c r="C267" s="5" t="s">
        <v>1544</v>
      </c>
      <c r="D267" s="178">
        <v>44924</v>
      </c>
      <c r="E267" s="5" t="s">
        <v>930</v>
      </c>
      <c r="F267" s="5" t="s">
        <v>1545</v>
      </c>
      <c r="G267" s="178">
        <v>44924</v>
      </c>
      <c r="H267" s="5" t="s">
        <v>942</v>
      </c>
      <c r="I267" s="5" t="s">
        <v>933</v>
      </c>
      <c r="J267" s="5" t="s">
        <v>934</v>
      </c>
      <c r="K267" s="5">
        <v>110001</v>
      </c>
      <c r="L267" s="5" t="s">
        <v>935</v>
      </c>
      <c r="M267" s="5">
        <v>23900</v>
      </c>
      <c r="N267" s="5" t="s">
        <v>936</v>
      </c>
      <c r="O267" s="5">
        <v>0.34</v>
      </c>
      <c r="P267" s="5">
        <f t="shared" si="12"/>
        <v>8126.0000000000009</v>
      </c>
      <c r="Q267" s="192"/>
      <c r="R267" s="5">
        <f t="shared" si="13"/>
        <v>8126.0000000000009</v>
      </c>
      <c r="S267" s="5">
        <f t="shared" si="14"/>
        <v>0.34</v>
      </c>
      <c r="T267" s="5" t="s">
        <v>937</v>
      </c>
      <c r="U267" s="5" t="s">
        <v>1546</v>
      </c>
      <c r="V267" s="170" t="str">
        <f>VLOOKUP(K267,'Stock statement'!$C$3:$D$382,2,0)</f>
        <v>C16</v>
      </c>
    </row>
    <row r="268" spans="1:22">
      <c r="A268" s="5">
        <v>267</v>
      </c>
      <c r="B268" s="5" t="s">
        <v>928</v>
      </c>
      <c r="C268" s="5" t="s">
        <v>1547</v>
      </c>
      <c r="D268" s="178">
        <v>44924</v>
      </c>
      <c r="E268" s="5" t="s">
        <v>930</v>
      </c>
      <c r="F268" s="5" t="s">
        <v>1548</v>
      </c>
      <c r="G268" s="178">
        <v>44925</v>
      </c>
      <c r="H268" s="5" t="s">
        <v>1035</v>
      </c>
      <c r="I268" s="5" t="s">
        <v>949</v>
      </c>
      <c r="J268" s="5" t="s">
        <v>934</v>
      </c>
      <c r="K268" s="5">
        <v>214961</v>
      </c>
      <c r="L268" s="5" t="s">
        <v>896</v>
      </c>
      <c r="M268" s="5">
        <v>4980</v>
      </c>
      <c r="N268" s="5" t="s">
        <v>995</v>
      </c>
      <c r="O268" s="5">
        <v>28.78</v>
      </c>
      <c r="P268" s="5">
        <f t="shared" si="12"/>
        <v>143324.4</v>
      </c>
      <c r="Q268" s="192"/>
      <c r="R268" s="5">
        <f t="shared" si="13"/>
        <v>143324.4</v>
      </c>
      <c r="S268" s="5">
        <f t="shared" si="14"/>
        <v>28.779999999999998</v>
      </c>
      <c r="T268" s="5" t="s">
        <v>937</v>
      </c>
      <c r="U268" s="5" t="s">
        <v>1549</v>
      </c>
      <c r="V268" s="170">
        <f>VLOOKUP(K268,'Stock statement'!$C$3:$D$382,2,0)</f>
        <v>214961</v>
      </c>
    </row>
    <row r="269" spans="1:22">
      <c r="A269" s="5">
        <v>268</v>
      </c>
      <c r="B269" s="5" t="s">
        <v>928</v>
      </c>
      <c r="C269" s="5" t="s">
        <v>1547</v>
      </c>
      <c r="D269" s="178">
        <v>44924</v>
      </c>
      <c r="E269" s="5" t="s">
        <v>930</v>
      </c>
      <c r="F269" s="5" t="s">
        <v>1548</v>
      </c>
      <c r="G269" s="178">
        <v>44925</v>
      </c>
      <c r="H269" s="5" t="s">
        <v>1035</v>
      </c>
      <c r="I269" s="5" t="s">
        <v>949</v>
      </c>
      <c r="J269" s="5" t="s">
        <v>934</v>
      </c>
      <c r="K269" s="5">
        <v>214962</v>
      </c>
      <c r="L269" s="5" t="s">
        <v>897</v>
      </c>
      <c r="M269" s="5">
        <v>9960</v>
      </c>
      <c r="N269" s="5" t="s">
        <v>995</v>
      </c>
      <c r="O269" s="5">
        <v>12.81</v>
      </c>
      <c r="P269" s="5">
        <f t="shared" si="12"/>
        <v>127587.6</v>
      </c>
      <c r="Q269" s="192"/>
      <c r="R269" s="5">
        <f t="shared" si="13"/>
        <v>127587.6</v>
      </c>
      <c r="S269" s="5">
        <f t="shared" si="14"/>
        <v>12.81</v>
      </c>
      <c r="T269" s="5" t="s">
        <v>937</v>
      </c>
      <c r="U269" s="5" t="s">
        <v>1549</v>
      </c>
      <c r="V269" s="170">
        <f>VLOOKUP(K269,'Stock statement'!$C$3:$D$382,2,0)</f>
        <v>214962</v>
      </c>
    </row>
    <row r="270" spans="1:22">
      <c r="A270" s="5">
        <v>269</v>
      </c>
      <c r="B270" s="5" t="s">
        <v>928</v>
      </c>
      <c r="C270" s="5" t="s">
        <v>1550</v>
      </c>
      <c r="D270" s="178">
        <v>44924</v>
      </c>
      <c r="E270" s="5" t="s">
        <v>930</v>
      </c>
      <c r="F270" s="5" t="s">
        <v>1551</v>
      </c>
      <c r="G270" s="178">
        <v>44924</v>
      </c>
      <c r="H270" s="5" t="s">
        <v>942</v>
      </c>
      <c r="I270" s="5" t="s">
        <v>933</v>
      </c>
      <c r="J270" s="5" t="s">
        <v>934</v>
      </c>
      <c r="K270" s="5">
        <v>110001</v>
      </c>
      <c r="L270" s="5" t="s">
        <v>935</v>
      </c>
      <c r="M270" s="5">
        <v>23900</v>
      </c>
      <c r="N270" s="5" t="s">
        <v>936</v>
      </c>
      <c r="O270" s="5">
        <v>0.34</v>
      </c>
      <c r="P270" s="5">
        <f t="shared" si="12"/>
        <v>8126.0000000000009</v>
      </c>
      <c r="Q270" s="192"/>
      <c r="R270" s="5">
        <f t="shared" si="13"/>
        <v>8126.0000000000009</v>
      </c>
      <c r="S270" s="5">
        <f t="shared" si="14"/>
        <v>0.34</v>
      </c>
      <c r="T270" s="5" t="s">
        <v>937</v>
      </c>
      <c r="U270" s="5" t="s">
        <v>1552</v>
      </c>
      <c r="V270" s="170" t="str">
        <f>VLOOKUP(K270,'Stock statement'!$C$3:$D$382,2,0)</f>
        <v>C16</v>
      </c>
    </row>
    <row r="271" spans="1:22">
      <c r="A271" s="5">
        <v>270</v>
      </c>
      <c r="B271" s="5" t="s">
        <v>928</v>
      </c>
      <c r="C271" s="5" t="s">
        <v>1553</v>
      </c>
      <c r="D271" s="178">
        <v>44924</v>
      </c>
      <c r="E271" s="5" t="s">
        <v>930</v>
      </c>
      <c r="F271" s="5" t="s">
        <v>1554</v>
      </c>
      <c r="G271" s="178">
        <v>44925</v>
      </c>
      <c r="H271" s="5" t="s">
        <v>1066</v>
      </c>
      <c r="I271" s="5" t="s">
        <v>949</v>
      </c>
      <c r="J271" s="5" t="s">
        <v>934</v>
      </c>
      <c r="K271" s="5">
        <v>215015</v>
      </c>
      <c r="L271" s="5" t="s">
        <v>1356</v>
      </c>
      <c r="M271" s="5">
        <v>2147</v>
      </c>
      <c r="N271" s="5" t="s">
        <v>995</v>
      </c>
      <c r="O271" s="5">
        <v>40.69</v>
      </c>
      <c r="P271" s="5">
        <f t="shared" si="12"/>
        <v>87361.43</v>
      </c>
      <c r="Q271" s="192"/>
      <c r="R271" s="5">
        <f t="shared" si="13"/>
        <v>87361.43</v>
      </c>
      <c r="S271" s="5">
        <f t="shared" si="14"/>
        <v>40.69</v>
      </c>
      <c r="T271" s="5" t="s">
        <v>937</v>
      </c>
      <c r="U271" s="5" t="s">
        <v>1327</v>
      </c>
      <c r="V271" s="170">
        <f>VLOOKUP(K271,'Stock statement'!$C$3:$D$382,2,0)</f>
        <v>215015</v>
      </c>
    </row>
    <row r="272" spans="1:22">
      <c r="A272" s="5">
        <v>271</v>
      </c>
      <c r="B272" s="5" t="s">
        <v>928</v>
      </c>
      <c r="C272" s="5" t="s">
        <v>1553</v>
      </c>
      <c r="D272" s="178">
        <v>44924</v>
      </c>
      <c r="E272" s="5" t="s">
        <v>930</v>
      </c>
      <c r="F272" s="5" t="s">
        <v>1554</v>
      </c>
      <c r="G272" s="178">
        <v>44925</v>
      </c>
      <c r="H272" s="5" t="s">
        <v>1066</v>
      </c>
      <c r="I272" s="5" t="s">
        <v>949</v>
      </c>
      <c r="J272" s="5" t="s">
        <v>934</v>
      </c>
      <c r="K272" s="5">
        <v>215015</v>
      </c>
      <c r="L272" s="5" t="s">
        <v>905</v>
      </c>
      <c r="M272" s="5">
        <v>1898</v>
      </c>
      <c r="N272" s="5" t="s">
        <v>995</v>
      </c>
      <c r="O272" s="5">
        <v>40.69</v>
      </c>
      <c r="P272" s="5">
        <f t="shared" si="12"/>
        <v>77229.62</v>
      </c>
      <c r="Q272" s="192"/>
      <c r="R272" s="5">
        <f t="shared" si="13"/>
        <v>77229.62</v>
      </c>
      <c r="S272" s="5">
        <f t="shared" si="14"/>
        <v>40.69</v>
      </c>
      <c r="T272" s="5" t="s">
        <v>937</v>
      </c>
      <c r="U272" s="5" t="s">
        <v>1555</v>
      </c>
      <c r="V272" s="170">
        <f>VLOOKUP(K272,'Stock statement'!$C$3:$D$382,2,0)</f>
        <v>215015</v>
      </c>
    </row>
    <row r="273" spans="1:22">
      <c r="A273" s="5">
        <v>272</v>
      </c>
      <c r="B273" s="5" t="s">
        <v>928</v>
      </c>
      <c r="C273" s="5" t="s">
        <v>1556</v>
      </c>
      <c r="D273" s="178">
        <v>44925</v>
      </c>
      <c r="E273" s="5" t="s">
        <v>930</v>
      </c>
      <c r="F273" s="5" t="s">
        <v>1557</v>
      </c>
      <c r="G273" s="178">
        <v>44925</v>
      </c>
      <c r="H273" s="5" t="s">
        <v>968</v>
      </c>
      <c r="I273" s="5" t="s">
        <v>933</v>
      </c>
      <c r="J273" s="5" t="s">
        <v>934</v>
      </c>
      <c r="K273" s="5">
        <v>111233</v>
      </c>
      <c r="L273" s="5" t="s">
        <v>578</v>
      </c>
      <c r="M273" s="5">
        <v>5000</v>
      </c>
      <c r="N273" s="5" t="s">
        <v>951</v>
      </c>
      <c r="O273" s="5">
        <v>220</v>
      </c>
      <c r="P273" s="5">
        <f t="shared" si="12"/>
        <v>1100000</v>
      </c>
      <c r="Q273" s="192"/>
      <c r="R273" s="5">
        <f t="shared" si="13"/>
        <v>1100000</v>
      </c>
      <c r="S273" s="5">
        <f t="shared" si="14"/>
        <v>220</v>
      </c>
      <c r="T273" s="5" t="s">
        <v>937</v>
      </c>
      <c r="U273" s="5" t="s">
        <v>1423</v>
      </c>
      <c r="V273" s="170" t="str">
        <f>VLOOKUP(K273,'Stock statement'!$C$3:$D$382,2,0)</f>
        <v>C4</v>
      </c>
    </row>
    <row r="274" spans="1:22">
      <c r="A274" s="5">
        <v>273</v>
      </c>
      <c r="B274" s="5" t="s">
        <v>928</v>
      </c>
      <c r="C274" s="5" t="s">
        <v>1556</v>
      </c>
      <c r="D274" s="178">
        <v>44925</v>
      </c>
      <c r="E274" s="5" t="s">
        <v>930</v>
      </c>
      <c r="F274" s="5" t="s">
        <v>1557</v>
      </c>
      <c r="G274" s="178">
        <v>44925</v>
      </c>
      <c r="H274" s="5" t="s">
        <v>968</v>
      </c>
      <c r="I274" s="5" t="s">
        <v>933</v>
      </c>
      <c r="J274" s="5" t="s">
        <v>934</v>
      </c>
      <c r="K274" s="5">
        <v>110978</v>
      </c>
      <c r="L274" s="5" t="s">
        <v>368</v>
      </c>
      <c r="M274" s="5">
        <v>1000</v>
      </c>
      <c r="N274" s="5" t="s">
        <v>951</v>
      </c>
      <c r="O274" s="5">
        <v>160</v>
      </c>
      <c r="P274" s="5">
        <f t="shared" si="12"/>
        <v>160000</v>
      </c>
      <c r="Q274" s="192"/>
      <c r="R274" s="5">
        <f t="shared" si="13"/>
        <v>160000</v>
      </c>
      <c r="S274" s="5">
        <f t="shared" si="14"/>
        <v>160</v>
      </c>
      <c r="T274" s="5" t="s">
        <v>937</v>
      </c>
      <c r="U274" s="5" t="s">
        <v>1423</v>
      </c>
      <c r="V274" s="170" t="str">
        <f>VLOOKUP(K274,'Stock statement'!$C$3:$D$382,2,0)</f>
        <v>C5</v>
      </c>
    </row>
    <row r="275" spans="1:22">
      <c r="A275" s="5">
        <v>274</v>
      </c>
      <c r="B275" s="5" t="s">
        <v>928</v>
      </c>
      <c r="C275" s="5" t="s">
        <v>1558</v>
      </c>
      <c r="D275" s="178">
        <v>44916</v>
      </c>
      <c r="E275" s="5" t="s">
        <v>930</v>
      </c>
      <c r="F275" s="5" t="s">
        <v>1559</v>
      </c>
      <c r="G275" s="178">
        <v>44925</v>
      </c>
      <c r="H275" s="5" t="s">
        <v>1560</v>
      </c>
      <c r="I275" s="5" t="s">
        <v>933</v>
      </c>
      <c r="J275" s="5" t="s">
        <v>934</v>
      </c>
      <c r="K275" s="5">
        <v>110022</v>
      </c>
      <c r="L275" s="5" t="s">
        <v>1561</v>
      </c>
      <c r="M275" s="5">
        <v>1000</v>
      </c>
      <c r="N275" s="5" t="s">
        <v>951</v>
      </c>
      <c r="O275" s="5">
        <v>330</v>
      </c>
      <c r="P275" s="5">
        <f t="shared" si="12"/>
        <v>330000</v>
      </c>
      <c r="Q275" s="192">
        <v>9000</v>
      </c>
      <c r="R275" s="5">
        <f t="shared" si="13"/>
        <v>339000</v>
      </c>
      <c r="S275" s="5">
        <f t="shared" si="14"/>
        <v>339</v>
      </c>
      <c r="T275" s="5" t="s">
        <v>937</v>
      </c>
      <c r="U275" s="5" t="s">
        <v>1562</v>
      </c>
      <c r="V275" s="170" t="str">
        <f>VLOOKUP(K275,'Stock statement'!$C$3:$D$382,2,0)</f>
        <v>C17</v>
      </c>
    </row>
    <row r="276" spans="1:22">
      <c r="A276" s="5">
        <v>275</v>
      </c>
      <c r="B276" s="5" t="s">
        <v>928</v>
      </c>
      <c r="C276" s="5" t="s">
        <v>1563</v>
      </c>
      <c r="D276" s="178">
        <v>44921</v>
      </c>
      <c r="E276" s="5" t="s">
        <v>930</v>
      </c>
      <c r="F276" s="5" t="s">
        <v>1564</v>
      </c>
      <c r="G276" s="178">
        <v>44925</v>
      </c>
      <c r="H276" s="5" t="s">
        <v>1005</v>
      </c>
      <c r="I276" s="5" t="s">
        <v>933</v>
      </c>
      <c r="J276" s="5" t="s">
        <v>934</v>
      </c>
      <c r="K276" s="5">
        <v>110852</v>
      </c>
      <c r="L276" s="5" t="s">
        <v>418</v>
      </c>
      <c r="M276" s="5">
        <v>1500</v>
      </c>
      <c r="N276" s="5" t="s">
        <v>951</v>
      </c>
      <c r="O276" s="5">
        <v>120</v>
      </c>
      <c r="P276" s="5">
        <f t="shared" si="12"/>
        <v>180000</v>
      </c>
      <c r="Q276" s="192">
        <v>12000</v>
      </c>
      <c r="R276" s="5">
        <f t="shared" si="13"/>
        <v>192000</v>
      </c>
      <c r="S276" s="5">
        <f t="shared" si="14"/>
        <v>128</v>
      </c>
      <c r="T276" s="5" t="s">
        <v>937</v>
      </c>
      <c r="U276" s="5" t="s">
        <v>1565</v>
      </c>
      <c r="V276" s="170" t="str">
        <f>VLOOKUP(K276,'Stock statement'!$C$3:$D$382,2,0)</f>
        <v>C26</v>
      </c>
    </row>
    <row r="277" spans="1:22">
      <c r="A277" s="5">
        <v>276</v>
      </c>
      <c r="B277" s="5" t="s">
        <v>928</v>
      </c>
      <c r="C277" s="5" t="s">
        <v>1566</v>
      </c>
      <c r="D277" s="178">
        <v>44919</v>
      </c>
      <c r="E277" s="5" t="s">
        <v>930</v>
      </c>
      <c r="F277" s="5" t="s">
        <v>1567</v>
      </c>
      <c r="G277" s="178">
        <v>44925</v>
      </c>
      <c r="H277" s="5" t="s">
        <v>1283</v>
      </c>
      <c r="I277" s="5" t="s">
        <v>933</v>
      </c>
      <c r="J277" s="5" t="s">
        <v>934</v>
      </c>
      <c r="K277" s="5">
        <v>110017</v>
      </c>
      <c r="L277" s="5" t="s">
        <v>1284</v>
      </c>
      <c r="M277" s="5">
        <v>1000</v>
      </c>
      <c r="N277" s="5" t="s">
        <v>951</v>
      </c>
      <c r="O277" s="5">
        <v>755</v>
      </c>
      <c r="P277" s="5">
        <f t="shared" si="12"/>
        <v>755000</v>
      </c>
      <c r="Q277" s="192">
        <v>8000</v>
      </c>
      <c r="R277" s="5">
        <f t="shared" si="13"/>
        <v>763000</v>
      </c>
      <c r="S277" s="5">
        <f t="shared" si="14"/>
        <v>763</v>
      </c>
      <c r="T277" s="5" t="s">
        <v>937</v>
      </c>
      <c r="U277" s="5" t="s">
        <v>1285</v>
      </c>
      <c r="V277" s="170" t="str">
        <f>VLOOKUP(K277,'Stock statement'!$C$3:$D$382,2,0)</f>
        <v>C9</v>
      </c>
    </row>
    <row r="278" spans="1:22">
      <c r="A278" s="5">
        <v>277</v>
      </c>
      <c r="B278" s="5" t="s">
        <v>928</v>
      </c>
      <c r="C278" s="5" t="s">
        <v>1568</v>
      </c>
      <c r="D278" s="178">
        <v>44925</v>
      </c>
      <c r="E278" s="5" t="s">
        <v>930</v>
      </c>
      <c r="F278" s="5" t="s">
        <v>1569</v>
      </c>
      <c r="G278" s="178">
        <v>44925</v>
      </c>
      <c r="H278" s="5" t="s">
        <v>942</v>
      </c>
      <c r="I278" s="5" t="s">
        <v>933</v>
      </c>
      <c r="J278" s="5" t="s">
        <v>934</v>
      </c>
      <c r="K278" s="5">
        <v>110001</v>
      </c>
      <c r="L278" s="5" t="s">
        <v>935</v>
      </c>
      <c r="M278" s="5">
        <v>23900</v>
      </c>
      <c r="N278" s="5" t="s">
        <v>936</v>
      </c>
      <c r="O278" s="5">
        <v>0.34</v>
      </c>
      <c r="P278" s="5">
        <f t="shared" si="12"/>
        <v>8126.0000000000009</v>
      </c>
      <c r="Q278" s="192"/>
      <c r="R278" s="5">
        <f t="shared" si="13"/>
        <v>8126.0000000000009</v>
      </c>
      <c r="S278" s="5">
        <f t="shared" si="14"/>
        <v>0.34</v>
      </c>
      <c r="T278" s="5" t="s">
        <v>937</v>
      </c>
      <c r="U278" s="5" t="s">
        <v>1570</v>
      </c>
      <c r="V278" s="170" t="str">
        <f>VLOOKUP(K278,'Stock statement'!$C$3:$D$382,2,0)</f>
        <v>C16</v>
      </c>
    </row>
    <row r="279" spans="1:22">
      <c r="A279" s="5">
        <v>278</v>
      </c>
      <c r="B279" s="5" t="s">
        <v>928</v>
      </c>
      <c r="C279" s="5" t="s">
        <v>1571</v>
      </c>
      <c r="D279" s="178">
        <v>44925</v>
      </c>
      <c r="E279" s="5" t="s">
        <v>930</v>
      </c>
      <c r="F279" s="5" t="s">
        <v>1572</v>
      </c>
      <c r="G279" s="178">
        <v>44925</v>
      </c>
      <c r="H279" s="5" t="s">
        <v>942</v>
      </c>
      <c r="I279" s="5" t="s">
        <v>933</v>
      </c>
      <c r="J279" s="5" t="s">
        <v>934</v>
      </c>
      <c r="K279" s="5">
        <v>110001</v>
      </c>
      <c r="L279" s="5" t="s">
        <v>935</v>
      </c>
      <c r="M279" s="5">
        <v>24100</v>
      </c>
      <c r="N279" s="5" t="s">
        <v>936</v>
      </c>
      <c r="O279" s="5">
        <v>0.34</v>
      </c>
      <c r="P279" s="5">
        <f t="shared" si="12"/>
        <v>8194</v>
      </c>
      <c r="Q279" s="192"/>
      <c r="R279" s="5">
        <f t="shared" si="13"/>
        <v>8194</v>
      </c>
      <c r="S279" s="5">
        <f t="shared" si="14"/>
        <v>0.34</v>
      </c>
      <c r="T279" s="5" t="s">
        <v>937</v>
      </c>
      <c r="U279" s="5" t="s">
        <v>1573</v>
      </c>
      <c r="V279" s="170" t="str">
        <f>VLOOKUP(K279,'Stock statement'!$C$3:$D$382,2,0)</f>
        <v>C16</v>
      </c>
    </row>
    <row r="280" spans="1:22">
      <c r="A280" s="5">
        <v>279</v>
      </c>
      <c r="B280" s="5" t="s">
        <v>928</v>
      </c>
      <c r="C280" s="5" t="s">
        <v>1574</v>
      </c>
      <c r="D280" s="178">
        <v>44925</v>
      </c>
      <c r="E280" s="5" t="s">
        <v>930</v>
      </c>
      <c r="F280" s="5" t="s">
        <v>1575</v>
      </c>
      <c r="G280" s="178">
        <v>44925</v>
      </c>
      <c r="H280" s="5" t="s">
        <v>994</v>
      </c>
      <c r="I280" s="5" t="s">
        <v>949</v>
      </c>
      <c r="J280" s="5" t="s">
        <v>934</v>
      </c>
      <c r="K280" s="5">
        <v>214959</v>
      </c>
      <c r="L280" s="5" t="s">
        <v>1524</v>
      </c>
      <c r="M280" s="5">
        <v>4190</v>
      </c>
      <c r="N280" s="5" t="s">
        <v>995</v>
      </c>
      <c r="O280" s="5">
        <v>41.01</v>
      </c>
      <c r="P280" s="5">
        <f t="shared" ref="P280:P289" si="15">+M280*O280</f>
        <v>171831.9</v>
      </c>
      <c r="Q280" s="192"/>
      <c r="R280" s="5">
        <f t="shared" si="13"/>
        <v>171831.9</v>
      </c>
      <c r="S280" s="5">
        <f t="shared" si="14"/>
        <v>41.01</v>
      </c>
      <c r="T280" s="5" t="s">
        <v>937</v>
      </c>
      <c r="U280" s="5" t="s">
        <v>1447</v>
      </c>
      <c r="V280" s="170">
        <f>VLOOKUP(K280,'Stock statement'!$C$3:$D$382,2,0)</f>
        <v>214959</v>
      </c>
    </row>
    <row r="281" spans="1:22">
      <c r="A281" s="5">
        <v>280</v>
      </c>
      <c r="B281" s="5" t="s">
        <v>928</v>
      </c>
      <c r="C281" s="5" t="s">
        <v>1576</v>
      </c>
      <c r="D281" s="178">
        <v>44924</v>
      </c>
      <c r="E281" s="5" t="s">
        <v>930</v>
      </c>
      <c r="F281" s="5" t="s">
        <v>1577</v>
      </c>
      <c r="G281" s="178">
        <v>44925</v>
      </c>
      <c r="H281" s="5" t="s">
        <v>948</v>
      </c>
      <c r="I281" s="5" t="s">
        <v>949</v>
      </c>
      <c r="J281" s="5" t="s">
        <v>934</v>
      </c>
      <c r="K281" s="5">
        <v>214686</v>
      </c>
      <c r="L281" s="5" t="s">
        <v>955</v>
      </c>
      <c r="M281" s="5">
        <v>1146.8</v>
      </c>
      <c r="N281" s="5" t="s">
        <v>951</v>
      </c>
      <c r="O281" s="5">
        <v>205</v>
      </c>
      <c r="P281" s="5">
        <f t="shared" si="15"/>
        <v>235094</v>
      </c>
      <c r="Q281" s="192"/>
      <c r="R281" s="5">
        <f t="shared" si="13"/>
        <v>235094</v>
      </c>
      <c r="S281" s="5">
        <f t="shared" si="14"/>
        <v>205</v>
      </c>
      <c r="T281" s="5" t="s">
        <v>937</v>
      </c>
      <c r="U281" s="5" t="s">
        <v>1442</v>
      </c>
      <c r="V281" s="170">
        <f>VLOOKUP(K281,'Stock statement'!$C$3:$D$382,2,0)</f>
        <v>214686</v>
      </c>
    </row>
    <row r="282" spans="1:22">
      <c r="A282" s="5">
        <v>281</v>
      </c>
      <c r="B282" s="5" t="s">
        <v>928</v>
      </c>
      <c r="C282" s="5" t="s">
        <v>1576</v>
      </c>
      <c r="D282" s="178">
        <v>44924</v>
      </c>
      <c r="E282" s="5" t="s">
        <v>930</v>
      </c>
      <c r="F282" s="5" t="s">
        <v>1577</v>
      </c>
      <c r="G282" s="178">
        <v>44925</v>
      </c>
      <c r="H282" s="5" t="s">
        <v>948</v>
      </c>
      <c r="I282" s="5" t="s">
        <v>949</v>
      </c>
      <c r="J282" s="5" t="s">
        <v>934</v>
      </c>
      <c r="K282" s="5">
        <v>214258</v>
      </c>
      <c r="L282" s="5" t="s">
        <v>1578</v>
      </c>
      <c r="M282" s="5">
        <v>2697</v>
      </c>
      <c r="N282" s="5" t="s">
        <v>951</v>
      </c>
      <c r="O282" s="5">
        <v>245</v>
      </c>
      <c r="P282" s="5">
        <f t="shared" si="15"/>
        <v>660765</v>
      </c>
      <c r="Q282" s="192"/>
      <c r="R282" s="5">
        <f t="shared" si="13"/>
        <v>660765</v>
      </c>
      <c r="S282" s="5">
        <f t="shared" si="14"/>
        <v>245</v>
      </c>
      <c r="T282" s="5" t="s">
        <v>937</v>
      </c>
      <c r="U282" s="5" t="s">
        <v>1442</v>
      </c>
      <c r="V282" s="170">
        <f>VLOOKUP(K282,'Stock statement'!$C$3:$D$382,2,0)</f>
        <v>214258</v>
      </c>
    </row>
    <row r="283" spans="1:22">
      <c r="A283" s="5">
        <v>282</v>
      </c>
      <c r="B283" s="5" t="s">
        <v>928</v>
      </c>
      <c r="C283" s="5" t="s">
        <v>1579</v>
      </c>
      <c r="D283" s="178">
        <v>44926</v>
      </c>
      <c r="E283" s="5" t="s">
        <v>930</v>
      </c>
      <c r="F283" s="5" t="s">
        <v>1580</v>
      </c>
      <c r="G283" s="178">
        <v>44926</v>
      </c>
      <c r="H283" s="5" t="s">
        <v>1066</v>
      </c>
      <c r="I283" s="5" t="s">
        <v>949</v>
      </c>
      <c r="J283" s="5" t="s">
        <v>934</v>
      </c>
      <c r="K283" s="5">
        <v>214768</v>
      </c>
      <c r="L283" s="5" t="s">
        <v>459</v>
      </c>
      <c r="M283" s="5">
        <v>4590</v>
      </c>
      <c r="N283" s="5" t="s">
        <v>995</v>
      </c>
      <c r="O283" s="5">
        <v>11.43</v>
      </c>
      <c r="P283" s="5">
        <f t="shared" si="15"/>
        <v>52463.7</v>
      </c>
      <c r="Q283" s="192"/>
      <c r="R283" s="5">
        <f t="shared" si="13"/>
        <v>52463.7</v>
      </c>
      <c r="S283" s="5">
        <f t="shared" si="14"/>
        <v>11.43</v>
      </c>
      <c r="T283" s="5" t="s">
        <v>937</v>
      </c>
      <c r="U283" s="5" t="s">
        <v>1327</v>
      </c>
      <c r="V283" s="170">
        <f>VLOOKUP(K283,'Stock statement'!$C$3:$D$382,2,0)</f>
        <v>214768</v>
      </c>
    </row>
    <row r="284" spans="1:22">
      <c r="A284" s="5">
        <v>283</v>
      </c>
      <c r="B284" s="5" t="s">
        <v>928</v>
      </c>
      <c r="C284" s="5" t="s">
        <v>1581</v>
      </c>
      <c r="D284" s="178">
        <v>44925</v>
      </c>
      <c r="E284" s="5" t="s">
        <v>930</v>
      </c>
      <c r="F284" s="5" t="s">
        <v>1582</v>
      </c>
      <c r="G284" s="178">
        <v>44926</v>
      </c>
      <c r="H284" s="5" t="s">
        <v>1066</v>
      </c>
      <c r="I284" s="5" t="s">
        <v>949</v>
      </c>
      <c r="J284" s="5" t="s">
        <v>934</v>
      </c>
      <c r="K284" s="5">
        <v>214767</v>
      </c>
      <c r="L284" s="5" t="s">
        <v>458</v>
      </c>
      <c r="M284" s="5">
        <v>3880</v>
      </c>
      <c r="N284" s="5" t="s">
        <v>995</v>
      </c>
      <c r="O284" s="5">
        <v>38.25</v>
      </c>
      <c r="P284" s="5">
        <f t="shared" si="15"/>
        <v>148410</v>
      </c>
      <c r="Q284" s="192"/>
      <c r="R284" s="5">
        <f t="shared" si="13"/>
        <v>148410</v>
      </c>
      <c r="S284" s="5">
        <f t="shared" si="14"/>
        <v>38.25</v>
      </c>
      <c r="T284" s="5" t="s">
        <v>937</v>
      </c>
      <c r="U284" s="5" t="s">
        <v>1327</v>
      </c>
      <c r="V284" s="170">
        <f>VLOOKUP(K284,'Stock statement'!$C$3:$D$382,2,0)</f>
        <v>214767</v>
      </c>
    </row>
    <row r="285" spans="1:22">
      <c r="A285" s="5">
        <v>284</v>
      </c>
      <c r="B285" s="5" t="s">
        <v>928</v>
      </c>
      <c r="C285" s="5" t="s">
        <v>1581</v>
      </c>
      <c r="D285" s="178">
        <v>44925</v>
      </c>
      <c r="E285" s="5" t="s">
        <v>930</v>
      </c>
      <c r="F285" s="5" t="s">
        <v>1582</v>
      </c>
      <c r="G285" s="178">
        <v>44926</v>
      </c>
      <c r="H285" s="5" t="s">
        <v>1066</v>
      </c>
      <c r="I285" s="5" t="s">
        <v>949</v>
      </c>
      <c r="J285" s="5" t="s">
        <v>934</v>
      </c>
      <c r="K285" s="5">
        <v>214768</v>
      </c>
      <c r="L285" s="5" t="s">
        <v>459</v>
      </c>
      <c r="M285" s="5">
        <v>11120</v>
      </c>
      <c r="N285" s="5" t="s">
        <v>995</v>
      </c>
      <c r="O285" s="5">
        <v>11.43</v>
      </c>
      <c r="P285" s="5">
        <f t="shared" si="15"/>
        <v>127101.59999999999</v>
      </c>
      <c r="Q285" s="192"/>
      <c r="R285" s="5">
        <f t="shared" si="13"/>
        <v>127101.59999999999</v>
      </c>
      <c r="S285" s="5">
        <f t="shared" si="14"/>
        <v>11.43</v>
      </c>
      <c r="T285" s="5" t="s">
        <v>937</v>
      </c>
      <c r="U285" s="5" t="s">
        <v>1327</v>
      </c>
      <c r="V285" s="170">
        <f>VLOOKUP(K285,'Stock statement'!$C$3:$D$382,2,0)</f>
        <v>214768</v>
      </c>
    </row>
    <row r="286" spans="1:22">
      <c r="A286" s="5">
        <v>285</v>
      </c>
      <c r="B286" s="5" t="s">
        <v>928</v>
      </c>
      <c r="C286" s="5" t="s">
        <v>1583</v>
      </c>
      <c r="D286" s="178">
        <v>44926</v>
      </c>
      <c r="E286" s="5" t="s">
        <v>930</v>
      </c>
      <c r="F286" s="5" t="s">
        <v>1584</v>
      </c>
      <c r="G286" s="178">
        <v>44926</v>
      </c>
      <c r="H286" s="5" t="s">
        <v>1039</v>
      </c>
      <c r="I286" s="5" t="s">
        <v>933</v>
      </c>
      <c r="J286" s="5" t="s">
        <v>934</v>
      </c>
      <c r="K286" s="5">
        <v>110814</v>
      </c>
      <c r="L286" s="5" t="s">
        <v>1493</v>
      </c>
      <c r="M286" s="5">
        <v>630</v>
      </c>
      <c r="N286" s="5" t="s">
        <v>951</v>
      </c>
      <c r="O286" s="5">
        <v>45</v>
      </c>
      <c r="P286" s="5">
        <f t="shared" si="15"/>
        <v>28350</v>
      </c>
      <c r="Q286" s="192">
        <v>1200</v>
      </c>
      <c r="R286" s="5">
        <f t="shared" si="13"/>
        <v>29550</v>
      </c>
      <c r="S286" s="5">
        <f t="shared" si="14"/>
        <v>46.904761904761905</v>
      </c>
      <c r="T286" s="5" t="s">
        <v>937</v>
      </c>
      <c r="U286" s="5" t="s">
        <v>1494</v>
      </c>
      <c r="V286" s="170" t="str">
        <f>VLOOKUP(K286,'Stock statement'!$C$3:$D$382,2,0)</f>
        <v>C20</v>
      </c>
    </row>
    <row r="287" spans="1:22">
      <c r="A287" s="5">
        <v>286</v>
      </c>
      <c r="B287" s="5" t="s">
        <v>928</v>
      </c>
      <c r="C287" s="5" t="s">
        <v>1585</v>
      </c>
      <c r="D287" s="178">
        <v>44926</v>
      </c>
      <c r="E287" s="5" t="s">
        <v>930</v>
      </c>
      <c r="F287" s="5" t="s">
        <v>1586</v>
      </c>
      <c r="G287" s="178">
        <v>44926</v>
      </c>
      <c r="H287" s="5" t="s">
        <v>942</v>
      </c>
      <c r="I287" s="5" t="s">
        <v>933</v>
      </c>
      <c r="J287" s="5" t="s">
        <v>934</v>
      </c>
      <c r="K287" s="5">
        <v>110001</v>
      </c>
      <c r="L287" s="5" t="s">
        <v>935</v>
      </c>
      <c r="M287" s="5">
        <v>24100</v>
      </c>
      <c r="N287" s="5" t="s">
        <v>936</v>
      </c>
      <c r="O287" s="5">
        <v>0.34</v>
      </c>
      <c r="P287" s="5">
        <f t="shared" si="15"/>
        <v>8194</v>
      </c>
      <c r="Q287" s="192"/>
      <c r="R287" s="5">
        <f t="shared" si="13"/>
        <v>8194</v>
      </c>
      <c r="S287" s="5">
        <f t="shared" si="14"/>
        <v>0.34</v>
      </c>
      <c r="T287" s="5" t="s">
        <v>937</v>
      </c>
      <c r="U287" s="5" t="s">
        <v>1587</v>
      </c>
      <c r="V287" s="170" t="str">
        <f>VLOOKUP(K287,'Stock statement'!$C$3:$D$382,2,0)</f>
        <v>C16</v>
      </c>
    </row>
    <row r="288" spans="1:22">
      <c r="A288" s="5">
        <v>287</v>
      </c>
      <c r="B288" s="5" t="s">
        <v>928</v>
      </c>
      <c r="C288" s="5" t="s">
        <v>1588</v>
      </c>
      <c r="D288" s="178">
        <v>44926</v>
      </c>
      <c r="E288" s="5" t="s">
        <v>930</v>
      </c>
      <c r="F288" s="5" t="s">
        <v>1589</v>
      </c>
      <c r="G288" s="178">
        <v>44926</v>
      </c>
      <c r="H288" s="5" t="s">
        <v>942</v>
      </c>
      <c r="I288" s="5" t="s">
        <v>933</v>
      </c>
      <c r="J288" s="5" t="s">
        <v>934</v>
      </c>
      <c r="K288" s="5">
        <v>110001</v>
      </c>
      <c r="L288" s="5" t="s">
        <v>935</v>
      </c>
      <c r="M288" s="5">
        <v>24800</v>
      </c>
      <c r="N288" s="5" t="s">
        <v>936</v>
      </c>
      <c r="O288" s="5">
        <v>0.34</v>
      </c>
      <c r="P288" s="5">
        <f t="shared" si="15"/>
        <v>8432</v>
      </c>
      <c r="Q288" s="192"/>
      <c r="R288" s="5">
        <f t="shared" si="13"/>
        <v>8432</v>
      </c>
      <c r="S288" s="5">
        <f t="shared" si="14"/>
        <v>0.34</v>
      </c>
      <c r="T288" s="5" t="s">
        <v>937</v>
      </c>
      <c r="U288" s="5" t="s">
        <v>1590</v>
      </c>
      <c r="V288" s="170" t="str">
        <f>VLOOKUP(K288,'Stock statement'!$C$3:$D$382,2,0)</f>
        <v>C16</v>
      </c>
    </row>
    <row r="289" spans="1:22">
      <c r="A289" s="5">
        <v>288</v>
      </c>
      <c r="B289" s="5" t="s">
        <v>928</v>
      </c>
      <c r="C289" s="5" t="s">
        <v>1591</v>
      </c>
      <c r="D289" s="178">
        <v>44924</v>
      </c>
      <c r="E289" s="5" t="s">
        <v>930</v>
      </c>
      <c r="F289" s="5" t="s">
        <v>1592</v>
      </c>
      <c r="G289" s="178">
        <v>44925</v>
      </c>
      <c r="H289" s="5" t="s">
        <v>948</v>
      </c>
      <c r="I289" s="5" t="s">
        <v>949</v>
      </c>
      <c r="J289" s="5" t="s">
        <v>934</v>
      </c>
      <c r="K289" s="5">
        <v>215014</v>
      </c>
      <c r="L289" s="5" t="s">
        <v>908</v>
      </c>
      <c r="M289" s="5">
        <v>883.25</v>
      </c>
      <c r="N289" s="5" t="s">
        <v>995</v>
      </c>
      <c r="O289" s="5">
        <v>245</v>
      </c>
      <c r="P289" s="5">
        <f t="shared" si="15"/>
        <v>216396.25</v>
      </c>
      <c r="Q289" s="192"/>
      <c r="R289" s="5">
        <f t="shared" si="13"/>
        <v>216396.25</v>
      </c>
      <c r="S289" s="5">
        <f t="shared" si="14"/>
        <v>245</v>
      </c>
      <c r="T289" s="5" t="s">
        <v>937</v>
      </c>
      <c r="U289" s="5" t="s">
        <v>1593</v>
      </c>
      <c r="V289" s="170">
        <f>VLOOKUP(K289,'Stock statement'!$C$3:$D$382,2,0)</f>
        <v>215014</v>
      </c>
    </row>
    <row r="290" spans="1:22">
      <c r="M290">
        <f>SUM(M2:M289)</f>
        <v>3066397.4459999991</v>
      </c>
      <c r="R290">
        <f>SUM(R2:R289)</f>
        <v>90196849.170000017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11"/>
  <sheetViews>
    <sheetView workbookViewId="0">
      <selection activeCell="C8" sqref="C8"/>
    </sheetView>
  </sheetViews>
  <sheetFormatPr defaultRowHeight="14.45"/>
  <cols>
    <col min="1" max="1" width="14.28515625" bestFit="1" customWidth="1"/>
    <col min="2" max="2" width="44" bestFit="1" customWidth="1"/>
    <col min="3" max="3" width="64.85546875" bestFit="1" customWidth="1"/>
  </cols>
  <sheetData>
    <row r="1" spans="1:3">
      <c r="A1" s="147" t="s">
        <v>1594</v>
      </c>
      <c r="B1" s="147" t="s">
        <v>1595</v>
      </c>
      <c r="C1" s="147" t="s">
        <v>1596</v>
      </c>
    </row>
    <row r="2" spans="1:3" ht="19.899999999999999" customHeight="1">
      <c r="A2" s="148" t="s">
        <v>12</v>
      </c>
      <c r="B2" s="149" t="s">
        <v>13</v>
      </c>
      <c r="C2" s="22" t="s">
        <v>1597</v>
      </c>
    </row>
    <row r="3" spans="1:3" ht="19.899999999999999" customHeight="1">
      <c r="A3" s="150" t="s">
        <v>38</v>
      </c>
      <c r="B3" s="10" t="s">
        <v>39</v>
      </c>
      <c r="C3" s="22" t="s">
        <v>1598</v>
      </c>
    </row>
    <row r="4" spans="1:3" ht="19.899999999999999" customHeight="1">
      <c r="A4" s="148" t="s">
        <v>12</v>
      </c>
      <c r="B4" s="149" t="s">
        <v>13</v>
      </c>
      <c r="C4" s="22" t="s">
        <v>1599</v>
      </c>
    </row>
    <row r="5" spans="1:3" ht="19.899999999999999" customHeight="1">
      <c r="A5" s="151" t="s">
        <v>78</v>
      </c>
      <c r="B5" s="151" t="s">
        <v>16</v>
      </c>
      <c r="C5" s="22" t="s">
        <v>1600</v>
      </c>
    </row>
    <row r="6" spans="1:3" ht="19.899999999999999" customHeight="1">
      <c r="A6" s="151" t="s">
        <v>78</v>
      </c>
      <c r="B6" s="151" t="s">
        <v>16</v>
      </c>
      <c r="C6" s="22" t="s">
        <v>1601</v>
      </c>
    </row>
    <row r="7" spans="1:3" ht="19.899999999999999" customHeight="1">
      <c r="A7" s="141" t="s">
        <v>12</v>
      </c>
      <c r="B7" s="146" t="s">
        <v>13</v>
      </c>
      <c r="C7" s="22" t="s">
        <v>1602</v>
      </c>
    </row>
    <row r="8" spans="1:3" ht="19.899999999999999" customHeight="1">
      <c r="A8" s="141" t="s">
        <v>12</v>
      </c>
      <c r="B8" s="146" t="s">
        <v>13</v>
      </c>
      <c r="C8" s="22" t="s">
        <v>1603</v>
      </c>
    </row>
    <row r="9" spans="1:3" ht="19.899999999999999" customHeight="1"/>
    <row r="10" spans="1:3" ht="19.899999999999999" customHeight="1"/>
    <row r="11" spans="1:3" ht="19.899999999999999" customHeight="1"/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67"/>
  <sheetViews>
    <sheetView zoomScale="115" zoomScaleNormal="115" workbookViewId="0">
      <pane ySplit="1" topLeftCell="A94" activePane="bottomLeft" state="frozen"/>
      <selection pane="bottomLeft" activeCell="A10" sqref="A10"/>
    </sheetView>
  </sheetViews>
  <sheetFormatPr defaultRowHeight="14.45"/>
  <cols>
    <col min="1" max="1" width="13" customWidth="1"/>
    <col min="2" max="2" width="11.140625" bestFit="1" customWidth="1"/>
    <col min="4" max="5" width="12" customWidth="1"/>
    <col min="6" max="6" width="16.140625" bestFit="1" customWidth="1"/>
    <col min="7" max="7" width="12.28515625" customWidth="1"/>
    <col min="8" max="8" width="41.28515625" customWidth="1"/>
    <col min="9" max="9" width="13.7109375" bestFit="1" customWidth="1"/>
    <col min="10" max="10" width="49.28515625" bestFit="1" customWidth="1"/>
    <col min="15" max="15" width="12" bestFit="1" customWidth="1"/>
    <col min="17" max="17" width="12" bestFit="1" customWidth="1"/>
    <col min="20" max="21" width="11.5703125" customWidth="1"/>
  </cols>
  <sheetData>
    <row r="1" spans="1:22" ht="30.75" customHeight="1">
      <c r="A1" s="1" t="s">
        <v>1604</v>
      </c>
      <c r="B1" s="1" t="s">
        <v>1605</v>
      </c>
      <c r="C1" s="1" t="s">
        <v>1606</v>
      </c>
      <c r="D1" s="1" t="s">
        <v>1607</v>
      </c>
      <c r="E1" s="1" t="s">
        <v>1608</v>
      </c>
      <c r="F1" s="1" t="s">
        <v>1609</v>
      </c>
      <c r="G1" s="1" t="s">
        <v>1610</v>
      </c>
      <c r="H1" s="1" t="s">
        <v>1611</v>
      </c>
      <c r="I1" s="1" t="s">
        <v>1612</v>
      </c>
      <c r="J1" s="1" t="s">
        <v>4</v>
      </c>
      <c r="K1" s="1" t="s">
        <v>1613</v>
      </c>
      <c r="L1" s="1" t="s">
        <v>920</v>
      </c>
      <c r="M1" s="1" t="s">
        <v>1614</v>
      </c>
      <c r="N1" s="1" t="s">
        <v>576</v>
      </c>
      <c r="O1" s="2" t="s">
        <v>1615</v>
      </c>
      <c r="P1" s="2" t="s">
        <v>1616</v>
      </c>
      <c r="Q1" s="2" t="s">
        <v>1617</v>
      </c>
      <c r="R1" s="2" t="s">
        <v>1618</v>
      </c>
      <c r="S1" s="2" t="s">
        <v>1619</v>
      </c>
      <c r="T1" s="2" t="s">
        <v>1620</v>
      </c>
      <c r="U1" s="2" t="s">
        <v>1621</v>
      </c>
    </row>
    <row r="2" spans="1:22">
      <c r="A2" s="153" t="s">
        <v>1622</v>
      </c>
      <c r="B2" s="153" t="s">
        <v>1623</v>
      </c>
      <c r="C2" s="64" t="s">
        <v>934</v>
      </c>
      <c r="D2" s="153" t="s">
        <v>1624</v>
      </c>
      <c r="E2" s="153" t="s">
        <v>1625</v>
      </c>
      <c r="F2" s="65" t="s">
        <v>1626</v>
      </c>
      <c r="G2" s="153" t="s">
        <v>1627</v>
      </c>
      <c r="H2" s="153" t="s">
        <v>1628</v>
      </c>
      <c r="I2" s="154" t="s">
        <v>108</v>
      </c>
      <c r="J2" s="153" t="s">
        <v>109</v>
      </c>
      <c r="K2" s="153" t="s">
        <v>1629</v>
      </c>
      <c r="L2" s="66" t="s">
        <v>1630</v>
      </c>
      <c r="M2" s="153">
        <v>873</v>
      </c>
      <c r="N2" s="67">
        <v>957.97</v>
      </c>
      <c r="O2" s="153">
        <v>836307.81</v>
      </c>
      <c r="P2" s="68"/>
      <c r="Q2" s="153">
        <v>836307.81</v>
      </c>
      <c r="R2" s="153">
        <v>0</v>
      </c>
      <c r="S2" s="153">
        <v>0</v>
      </c>
      <c r="T2" s="153">
        <v>150535.41</v>
      </c>
      <c r="U2" s="153">
        <f t="shared" ref="U2" si="0">Q2+R2+S2+T2</f>
        <v>986843.22000000009</v>
      </c>
      <c r="V2" t="str">
        <f>VLOOKUP(I2,Abstract!$E$4:$F$62,2,0)</f>
        <v>KARTHIKA DAM SHIELD SH 3G 23% EX 4800PCS MRP Rs.0.50</v>
      </c>
    </row>
    <row r="3" spans="1:22">
      <c r="A3" s="153" t="s">
        <v>1631</v>
      </c>
      <c r="B3" s="153" t="s">
        <v>1623</v>
      </c>
      <c r="C3" s="64" t="s">
        <v>934</v>
      </c>
      <c r="D3" s="153" t="s">
        <v>1632</v>
      </c>
      <c r="E3" s="153" t="s">
        <v>1633</v>
      </c>
      <c r="F3" s="65" t="s">
        <v>1626</v>
      </c>
      <c r="G3" s="153" t="s">
        <v>1634</v>
      </c>
      <c r="H3" s="153" t="s">
        <v>1635</v>
      </c>
      <c r="I3" s="154" t="s">
        <v>104</v>
      </c>
      <c r="J3" s="153" t="s">
        <v>105</v>
      </c>
      <c r="K3" s="153" t="s">
        <v>1629</v>
      </c>
      <c r="L3" s="66" t="s">
        <v>1630</v>
      </c>
      <c r="M3" s="153">
        <v>1008</v>
      </c>
      <c r="N3" s="67">
        <v>768.24</v>
      </c>
      <c r="O3" s="153">
        <v>774385.92</v>
      </c>
      <c r="P3" s="68"/>
      <c r="Q3" s="153">
        <v>774385.92</v>
      </c>
      <c r="R3" s="153">
        <v>0</v>
      </c>
      <c r="S3" s="153">
        <v>0</v>
      </c>
      <c r="T3" s="153">
        <v>139389.47</v>
      </c>
      <c r="U3" s="153">
        <f t="shared" ref="U3:U66" si="1">Q3+R3+S3+T3</f>
        <v>913775.39</v>
      </c>
      <c r="V3" t="str">
        <f>VLOOKUP(I3,Abstract!$E$4:$F$62,2,0)</f>
        <v>CHIK BLK 4M 50% E 1920P W C1RE BLK 80P F MRP Rs.1.00</v>
      </c>
    </row>
    <row r="4" spans="1:22">
      <c r="A4" s="153" t="s">
        <v>1631</v>
      </c>
      <c r="B4" s="153" t="s">
        <v>1623</v>
      </c>
      <c r="C4" s="64" t="s">
        <v>934</v>
      </c>
      <c r="D4" s="153" t="s">
        <v>1632</v>
      </c>
      <c r="E4" s="153" t="s">
        <v>1633</v>
      </c>
      <c r="F4" s="65" t="s">
        <v>1626</v>
      </c>
      <c r="G4" s="153" t="s">
        <v>1634</v>
      </c>
      <c r="H4" s="153" t="s">
        <v>1635</v>
      </c>
      <c r="I4" s="154" t="s">
        <v>20</v>
      </c>
      <c r="J4" s="153" t="s">
        <v>1636</v>
      </c>
      <c r="K4" s="153" t="s">
        <v>1629</v>
      </c>
      <c r="L4" s="66" t="s">
        <v>1630</v>
      </c>
      <c r="M4" s="153">
        <v>378</v>
      </c>
      <c r="N4" s="67">
        <v>728.3</v>
      </c>
      <c r="O4" s="153">
        <v>275297.40000000002</v>
      </c>
      <c r="P4" s="68"/>
      <c r="Q4" s="153">
        <v>275297.40000000002</v>
      </c>
      <c r="R4" s="153">
        <v>0</v>
      </c>
      <c r="S4" s="153">
        <v>0</v>
      </c>
      <c r="T4" s="153">
        <v>49553.53</v>
      </c>
      <c r="U4" s="153">
        <f t="shared" si="1"/>
        <v>324850.93000000005</v>
      </c>
      <c r="V4" t="str">
        <f>VLOOKUP(I4,Abstract!$E$4:$F$62,2,0)</f>
        <v>Karthika Hairfall Shield 5.4ml 10% Extra(43W*70mm L)</v>
      </c>
    </row>
    <row r="5" spans="1:22">
      <c r="A5" s="153" t="s">
        <v>1637</v>
      </c>
      <c r="B5" s="153" t="s">
        <v>1623</v>
      </c>
      <c r="C5" s="64" t="s">
        <v>934</v>
      </c>
      <c r="D5" s="153" t="s">
        <v>1638</v>
      </c>
      <c r="E5" s="153" t="s">
        <v>1639</v>
      </c>
      <c r="F5" s="65" t="s">
        <v>1626</v>
      </c>
      <c r="G5" s="153" t="s">
        <v>1627</v>
      </c>
      <c r="H5" s="153" t="s">
        <v>1628</v>
      </c>
      <c r="I5" s="154" t="s">
        <v>90</v>
      </c>
      <c r="J5" s="153" t="s">
        <v>91</v>
      </c>
      <c r="K5" s="153" t="s">
        <v>1629</v>
      </c>
      <c r="L5" s="66" t="s">
        <v>1630</v>
      </c>
      <c r="M5" s="153">
        <v>390</v>
      </c>
      <c r="N5" s="67">
        <v>937.09</v>
      </c>
      <c r="O5" s="153">
        <v>365465.1</v>
      </c>
      <c r="P5" s="68"/>
      <c r="Q5" s="153">
        <v>365465.1</v>
      </c>
      <c r="R5" s="153">
        <v>0</v>
      </c>
      <c r="S5" s="153">
        <v>0</v>
      </c>
      <c r="T5" s="153">
        <v>65783.72</v>
      </c>
      <c r="U5" s="153">
        <f t="shared" si="1"/>
        <v>431248.81999999995</v>
      </c>
      <c r="V5" t="str">
        <f>VLOOKUP(I5,Abstract!$E$4:$F$62,2,0)</f>
        <v>CHIK BLK HFP PROSOL 3G 23%EX 4800PC RL22 MRP RS.0.50</v>
      </c>
    </row>
    <row r="6" spans="1:22">
      <c r="A6" s="153" t="s">
        <v>1637</v>
      </c>
      <c r="B6" s="153" t="s">
        <v>1623</v>
      </c>
      <c r="C6" s="64" t="s">
        <v>934</v>
      </c>
      <c r="D6" s="153" t="s">
        <v>1638</v>
      </c>
      <c r="E6" s="153" t="s">
        <v>1639</v>
      </c>
      <c r="F6" s="65" t="s">
        <v>1626</v>
      </c>
      <c r="G6" s="153" t="s">
        <v>1627</v>
      </c>
      <c r="H6" s="153" t="s">
        <v>1628</v>
      </c>
      <c r="I6" s="154" t="s">
        <v>88</v>
      </c>
      <c r="J6" s="153" t="s">
        <v>89</v>
      </c>
      <c r="K6" s="153" t="s">
        <v>1629</v>
      </c>
      <c r="L6" s="66" t="s">
        <v>1630</v>
      </c>
      <c r="M6" s="153">
        <v>325</v>
      </c>
      <c r="N6" s="67">
        <v>936.79</v>
      </c>
      <c r="O6" s="153">
        <v>304456.75</v>
      </c>
      <c r="P6" s="68"/>
      <c r="Q6" s="153">
        <v>304456.75</v>
      </c>
      <c r="R6" s="153">
        <v>0</v>
      </c>
      <c r="S6" s="153">
        <v>0</v>
      </c>
      <c r="T6" s="153">
        <v>54802.22</v>
      </c>
      <c r="U6" s="153">
        <f t="shared" si="1"/>
        <v>359258.97</v>
      </c>
      <c r="V6" t="str">
        <f>VLOOKUP(I6,Abstract!$E$4:$F$62,2,0)</f>
        <v>CHIK JAS HFP PROSOL 3G23% EX 4800PC 22RL MRP RS.0.50</v>
      </c>
    </row>
    <row r="7" spans="1:22">
      <c r="A7" s="153" t="s">
        <v>1637</v>
      </c>
      <c r="B7" s="153" t="s">
        <v>1623</v>
      </c>
      <c r="C7" s="64" t="s">
        <v>934</v>
      </c>
      <c r="D7" s="153" t="s">
        <v>1638</v>
      </c>
      <c r="E7" s="153" t="s">
        <v>1639</v>
      </c>
      <c r="F7" s="65" t="s">
        <v>1626</v>
      </c>
      <c r="G7" s="153" t="s">
        <v>1627</v>
      </c>
      <c r="H7" s="153" t="s">
        <v>1628</v>
      </c>
      <c r="I7" s="154" t="s">
        <v>104</v>
      </c>
      <c r="J7" s="153" t="s">
        <v>105</v>
      </c>
      <c r="K7" s="153" t="s">
        <v>1629</v>
      </c>
      <c r="L7" s="66" t="s">
        <v>1630</v>
      </c>
      <c r="M7" s="153">
        <v>224</v>
      </c>
      <c r="N7" s="67">
        <v>768.24</v>
      </c>
      <c r="O7" s="153">
        <v>172085.76000000001</v>
      </c>
      <c r="P7" s="68"/>
      <c r="Q7" s="153">
        <v>172085.76000000001</v>
      </c>
      <c r="R7" s="153">
        <v>0</v>
      </c>
      <c r="S7" s="153">
        <v>0</v>
      </c>
      <c r="T7" s="153">
        <v>30975.439999999999</v>
      </c>
      <c r="U7" s="153">
        <f t="shared" si="1"/>
        <v>203061.2</v>
      </c>
      <c r="V7" t="str">
        <f>VLOOKUP(I7,Abstract!$E$4:$F$62,2,0)</f>
        <v>CHIK BLK 4M 50% E 1920P W C1RE BLK 80P F MRP Rs.1.00</v>
      </c>
    </row>
    <row r="8" spans="1:22">
      <c r="A8" s="153" t="s">
        <v>1640</v>
      </c>
      <c r="B8" s="153" t="s">
        <v>1641</v>
      </c>
      <c r="C8" s="64" t="s">
        <v>934</v>
      </c>
      <c r="D8" s="153" t="s">
        <v>1101</v>
      </c>
      <c r="E8" s="153" t="s">
        <v>1642</v>
      </c>
      <c r="F8" s="65" t="s">
        <v>1643</v>
      </c>
      <c r="G8" s="153" t="s">
        <v>1644</v>
      </c>
      <c r="H8" s="153" t="s">
        <v>1645</v>
      </c>
      <c r="I8" s="154" t="s">
        <v>94</v>
      </c>
      <c r="J8" s="153" t="s">
        <v>1646</v>
      </c>
      <c r="K8" s="153" t="s">
        <v>1629</v>
      </c>
      <c r="L8" s="66" t="s">
        <v>1630</v>
      </c>
      <c r="M8" s="153">
        <v>1102</v>
      </c>
      <c r="N8" s="67">
        <v>730.67</v>
      </c>
      <c r="O8" s="153">
        <v>805198.34</v>
      </c>
      <c r="P8" s="68"/>
      <c r="Q8" s="153">
        <v>805198.34</v>
      </c>
      <c r="R8" s="153">
        <v>72467.850000000006</v>
      </c>
      <c r="S8" s="153">
        <v>72467.850000000006</v>
      </c>
      <c r="T8" s="153">
        <v>0</v>
      </c>
      <c r="U8" s="153">
        <f t="shared" si="1"/>
        <v>950134.03999999992</v>
      </c>
      <c r="V8" t="str">
        <f>VLOOKUP(I8,Abstract!$E$4:$F$62,2,0)</f>
        <v>CHIK EGG HFP SH 4ML+2ML EX 1920PC 22RL</v>
      </c>
    </row>
    <row r="9" spans="1:22">
      <c r="A9" s="153" t="s">
        <v>1647</v>
      </c>
      <c r="B9" s="153" t="s">
        <v>1641</v>
      </c>
      <c r="C9" s="64" t="s">
        <v>934</v>
      </c>
      <c r="D9" s="153" t="s">
        <v>1648</v>
      </c>
      <c r="E9" s="153" t="s">
        <v>1649</v>
      </c>
      <c r="F9" s="65" t="s">
        <v>1643</v>
      </c>
      <c r="G9" s="153" t="s">
        <v>1650</v>
      </c>
      <c r="H9" s="153" t="s">
        <v>1651</v>
      </c>
      <c r="I9" s="154" t="s">
        <v>104</v>
      </c>
      <c r="J9" s="153" t="s">
        <v>105</v>
      </c>
      <c r="K9" s="153" t="s">
        <v>1629</v>
      </c>
      <c r="L9" s="66" t="s">
        <v>1630</v>
      </c>
      <c r="M9" s="153">
        <v>1120</v>
      </c>
      <c r="N9" s="67">
        <v>768.24</v>
      </c>
      <c r="O9" s="153">
        <v>860428.80000000005</v>
      </c>
      <c r="P9" s="68"/>
      <c r="Q9" s="153">
        <v>860428.80000000005</v>
      </c>
      <c r="R9" s="153">
        <v>0</v>
      </c>
      <c r="S9" s="153">
        <v>0</v>
      </c>
      <c r="T9" s="153">
        <v>154877.18</v>
      </c>
      <c r="U9" s="153">
        <f t="shared" si="1"/>
        <v>1015305.98</v>
      </c>
      <c r="V9" t="str">
        <f>VLOOKUP(I9,Abstract!$E$4:$F$62,2,0)</f>
        <v>CHIK BLK 4M 50% E 1920P W C1RE BLK 80P F MRP Rs.1.00</v>
      </c>
    </row>
    <row r="10" spans="1:22">
      <c r="A10" s="153" t="s">
        <v>1652</v>
      </c>
      <c r="B10" s="153" t="s">
        <v>1641</v>
      </c>
      <c r="C10" s="64" t="s">
        <v>934</v>
      </c>
      <c r="D10" s="153" t="s">
        <v>1653</v>
      </c>
      <c r="E10" s="153" t="s">
        <v>1654</v>
      </c>
      <c r="F10" s="65" t="s">
        <v>1643</v>
      </c>
      <c r="G10" s="153" t="s">
        <v>1644</v>
      </c>
      <c r="H10" s="153" t="s">
        <v>1645</v>
      </c>
      <c r="I10" s="154" t="s">
        <v>90</v>
      </c>
      <c r="J10" s="153" t="s">
        <v>91</v>
      </c>
      <c r="K10" s="153" t="s">
        <v>1629</v>
      </c>
      <c r="L10" s="66" t="s">
        <v>1630</v>
      </c>
      <c r="M10" s="153">
        <v>252</v>
      </c>
      <c r="N10" s="67">
        <v>937.09</v>
      </c>
      <c r="O10" s="153">
        <v>236146.68</v>
      </c>
      <c r="P10" s="68"/>
      <c r="Q10" s="153">
        <v>236146.68</v>
      </c>
      <c r="R10" s="153">
        <v>21253.200000000001</v>
      </c>
      <c r="S10" s="153">
        <v>21253.200000000001</v>
      </c>
      <c r="T10" s="153">
        <v>0</v>
      </c>
      <c r="U10" s="153">
        <f t="shared" si="1"/>
        <v>278653.08</v>
      </c>
      <c r="V10" t="str">
        <f>VLOOKUP(I10,Abstract!$E$4:$F$62,2,0)</f>
        <v>CHIK BLK HFP PROSOL 3G 23%EX 4800PC RL22 MRP RS.0.50</v>
      </c>
    </row>
    <row r="11" spans="1:22">
      <c r="A11" s="153" t="s">
        <v>1652</v>
      </c>
      <c r="B11" s="153" t="s">
        <v>1641</v>
      </c>
      <c r="C11" s="64" t="s">
        <v>934</v>
      </c>
      <c r="D11" s="153" t="s">
        <v>1653</v>
      </c>
      <c r="E11" s="153" t="s">
        <v>1654</v>
      </c>
      <c r="F11" s="65" t="s">
        <v>1643</v>
      </c>
      <c r="G11" s="153" t="s">
        <v>1644</v>
      </c>
      <c r="H11" s="153" t="s">
        <v>1645</v>
      </c>
      <c r="I11" s="154" t="s">
        <v>36</v>
      </c>
      <c r="J11" s="153" t="s">
        <v>1655</v>
      </c>
      <c r="K11" s="153" t="s">
        <v>1629</v>
      </c>
      <c r="L11" s="66" t="s">
        <v>1630</v>
      </c>
      <c r="M11" s="153">
        <v>135</v>
      </c>
      <c r="N11" s="67">
        <v>801.07</v>
      </c>
      <c r="O11" s="153">
        <v>108144.45</v>
      </c>
      <c r="P11" s="68"/>
      <c r="Q11" s="153">
        <v>108144.45</v>
      </c>
      <c r="R11" s="153">
        <v>9733</v>
      </c>
      <c r="S11" s="153">
        <v>9733</v>
      </c>
      <c r="T11" s="153">
        <v>0</v>
      </c>
      <c r="U11" s="153">
        <f t="shared" si="1"/>
        <v>127610.45</v>
      </c>
      <c r="V11" t="str">
        <f>VLOOKUP(I11,Abstract!$E$4:$F$62,2,0)</f>
        <v>KARTHIKA CURRY LEAF SH 5.4M10% 1920 PCS</v>
      </c>
    </row>
    <row r="12" spans="1:22">
      <c r="A12" s="153" t="s">
        <v>1652</v>
      </c>
      <c r="B12" s="153" t="s">
        <v>1641</v>
      </c>
      <c r="C12" s="64" t="s">
        <v>934</v>
      </c>
      <c r="D12" s="153" t="s">
        <v>1653</v>
      </c>
      <c r="E12" s="153" t="s">
        <v>1654</v>
      </c>
      <c r="F12" s="65" t="s">
        <v>1643</v>
      </c>
      <c r="G12" s="153" t="s">
        <v>1644</v>
      </c>
      <c r="H12" s="153" t="s">
        <v>1645</v>
      </c>
      <c r="I12" s="154" t="s">
        <v>42</v>
      </c>
      <c r="J12" s="153" t="s">
        <v>1656</v>
      </c>
      <c r="K12" s="153" t="s">
        <v>1629</v>
      </c>
      <c r="L12" s="66" t="s">
        <v>1630</v>
      </c>
      <c r="M12" s="153">
        <v>90</v>
      </c>
      <c r="N12" s="67">
        <v>739.15</v>
      </c>
      <c r="O12" s="153">
        <v>66523.5</v>
      </c>
      <c r="P12" s="68"/>
      <c r="Q12" s="153">
        <v>66523.5</v>
      </c>
      <c r="R12" s="153">
        <v>5987.12</v>
      </c>
      <c r="S12" s="153">
        <v>5987.12</v>
      </c>
      <c r="T12" s="153">
        <v>0</v>
      </c>
      <c r="U12" s="153">
        <f t="shared" si="1"/>
        <v>78497.739999999991</v>
      </c>
      <c r="V12" t="str">
        <f>VLOOKUP(I12,Abstract!$E$4:$F$62,2,0)</f>
        <v xml:space="preserve">KARTHIKA DRYNESS SHEILD SH 5.4 10% EX 1920P </v>
      </c>
    </row>
    <row r="13" spans="1:22">
      <c r="A13" s="153" t="s">
        <v>1657</v>
      </c>
      <c r="B13" s="153" t="s">
        <v>1641</v>
      </c>
      <c r="C13" s="64" t="s">
        <v>934</v>
      </c>
      <c r="D13" s="153" t="s">
        <v>1345</v>
      </c>
      <c r="E13" s="153" t="s">
        <v>1658</v>
      </c>
      <c r="F13" s="65" t="s">
        <v>1643</v>
      </c>
      <c r="G13" s="153" t="s">
        <v>1650</v>
      </c>
      <c r="H13" s="153" t="s">
        <v>1651</v>
      </c>
      <c r="I13" s="154" t="s">
        <v>20</v>
      </c>
      <c r="J13" s="153" t="s">
        <v>1636</v>
      </c>
      <c r="K13" s="153" t="s">
        <v>1629</v>
      </c>
      <c r="L13" s="66" t="s">
        <v>1630</v>
      </c>
      <c r="M13" s="153">
        <v>1268</v>
      </c>
      <c r="N13" s="67">
        <v>728.3</v>
      </c>
      <c r="O13" s="153">
        <v>923484.4</v>
      </c>
      <c r="P13" s="68"/>
      <c r="Q13" s="153">
        <v>923484.4</v>
      </c>
      <c r="R13" s="153">
        <v>0</v>
      </c>
      <c r="S13" s="153">
        <v>0</v>
      </c>
      <c r="T13" s="153">
        <v>166227.19</v>
      </c>
      <c r="U13" s="153">
        <f t="shared" si="1"/>
        <v>1089711.5900000001</v>
      </c>
      <c r="V13" t="str">
        <f>VLOOKUP(I13,Abstract!$E$4:$F$62,2,0)</f>
        <v>Karthika Hairfall Shield 5.4ml 10% Extra(43W*70mm L)</v>
      </c>
    </row>
    <row r="14" spans="1:22">
      <c r="A14" s="153" t="s">
        <v>1659</v>
      </c>
      <c r="B14" s="153" t="s">
        <v>1641</v>
      </c>
      <c r="C14" s="64" t="s">
        <v>934</v>
      </c>
      <c r="D14" s="153" t="s">
        <v>1660</v>
      </c>
      <c r="E14" s="153" t="s">
        <v>1661</v>
      </c>
      <c r="F14" s="65" t="s">
        <v>1643</v>
      </c>
      <c r="G14" s="153" t="s">
        <v>1650</v>
      </c>
      <c r="H14" s="153" t="s">
        <v>1651</v>
      </c>
      <c r="I14" s="154" t="s">
        <v>104</v>
      </c>
      <c r="J14" s="153" t="s">
        <v>105</v>
      </c>
      <c r="K14" s="153" t="s">
        <v>1629</v>
      </c>
      <c r="L14" s="66" t="s">
        <v>1630</v>
      </c>
      <c r="M14" s="153">
        <v>1078</v>
      </c>
      <c r="N14" s="67">
        <v>768.24</v>
      </c>
      <c r="O14" s="153">
        <v>828162.72</v>
      </c>
      <c r="P14" s="68"/>
      <c r="Q14" s="153">
        <v>828162.72</v>
      </c>
      <c r="R14" s="153">
        <v>0</v>
      </c>
      <c r="S14" s="153">
        <v>0</v>
      </c>
      <c r="T14" s="153">
        <v>149069.29</v>
      </c>
      <c r="U14" s="153">
        <f t="shared" si="1"/>
        <v>977232.01</v>
      </c>
      <c r="V14" t="str">
        <f>VLOOKUP(I14,Abstract!$E$4:$F$62,2,0)</f>
        <v>CHIK BLK 4M 50% E 1920P W C1RE BLK 80P F MRP Rs.1.00</v>
      </c>
    </row>
    <row r="15" spans="1:22">
      <c r="A15" s="153" t="s">
        <v>1659</v>
      </c>
      <c r="B15" s="153" t="s">
        <v>1641</v>
      </c>
      <c r="C15" s="64" t="s">
        <v>934</v>
      </c>
      <c r="D15" s="153" t="s">
        <v>1660</v>
      </c>
      <c r="E15" s="153" t="s">
        <v>1661</v>
      </c>
      <c r="F15" s="65" t="s">
        <v>1643</v>
      </c>
      <c r="G15" s="153" t="s">
        <v>1650</v>
      </c>
      <c r="H15" s="153" t="s">
        <v>1651</v>
      </c>
      <c r="I15" s="154" t="s">
        <v>22</v>
      </c>
      <c r="J15" s="153" t="s">
        <v>1662</v>
      </c>
      <c r="K15" s="153" t="s">
        <v>1629</v>
      </c>
      <c r="L15" s="66" t="s">
        <v>1630</v>
      </c>
      <c r="M15" s="153">
        <v>40</v>
      </c>
      <c r="N15" s="67">
        <v>871.81</v>
      </c>
      <c r="O15" s="153">
        <v>34872.400000000001</v>
      </c>
      <c r="P15" s="68"/>
      <c r="Q15" s="153">
        <v>34872.400000000001</v>
      </c>
      <c r="R15" s="153">
        <v>0</v>
      </c>
      <c r="S15" s="153">
        <v>0</v>
      </c>
      <c r="T15" s="153">
        <v>6277.03</v>
      </c>
      <c r="U15" s="153">
        <f t="shared" si="1"/>
        <v>41149.43</v>
      </c>
      <c r="V15" t="str">
        <f>VLOOKUP(I15,Abstract!$E$4:$F$62,2,0)</f>
        <v>KARTHIKA HAIRFALLSHIELD 35ML 144P PETJAR</v>
      </c>
    </row>
    <row r="16" spans="1:22">
      <c r="A16" s="153" t="s">
        <v>1663</v>
      </c>
      <c r="B16" s="153" t="s">
        <v>1664</v>
      </c>
      <c r="C16" s="64" t="s">
        <v>934</v>
      </c>
      <c r="D16" s="153" t="s">
        <v>1665</v>
      </c>
      <c r="E16" s="153" t="s">
        <v>1666</v>
      </c>
      <c r="F16" s="65" t="s">
        <v>1667</v>
      </c>
      <c r="G16" s="153" t="s">
        <v>1650</v>
      </c>
      <c r="H16" s="153" t="s">
        <v>1651</v>
      </c>
      <c r="I16" s="154" t="s">
        <v>104</v>
      </c>
      <c r="J16" s="153" t="s">
        <v>105</v>
      </c>
      <c r="K16" s="153" t="s">
        <v>1629</v>
      </c>
      <c r="L16" s="66" t="s">
        <v>1630</v>
      </c>
      <c r="M16" s="153">
        <v>1120</v>
      </c>
      <c r="N16" s="67">
        <v>768.24</v>
      </c>
      <c r="O16" s="153">
        <v>860428.80000000005</v>
      </c>
      <c r="P16" s="68"/>
      <c r="Q16" s="153">
        <v>860428.80000000005</v>
      </c>
      <c r="R16" s="153">
        <v>0</v>
      </c>
      <c r="S16" s="153">
        <v>0</v>
      </c>
      <c r="T16" s="153">
        <v>154877.18</v>
      </c>
      <c r="U16" s="153">
        <f t="shared" si="1"/>
        <v>1015305.98</v>
      </c>
      <c r="V16" t="str">
        <f>VLOOKUP(I16,Abstract!$E$4:$F$62,2,0)</f>
        <v>CHIK BLK 4M 50% E 1920P W C1RE BLK 80P F MRP Rs.1.00</v>
      </c>
    </row>
    <row r="17" spans="1:22">
      <c r="A17" s="153" t="s">
        <v>1668</v>
      </c>
      <c r="B17" s="153" t="s">
        <v>1664</v>
      </c>
      <c r="C17" s="64" t="s">
        <v>934</v>
      </c>
      <c r="D17" s="153" t="s">
        <v>1669</v>
      </c>
      <c r="E17" s="153" t="s">
        <v>1670</v>
      </c>
      <c r="F17" s="65" t="s">
        <v>1667</v>
      </c>
      <c r="G17" s="153" t="s">
        <v>1627</v>
      </c>
      <c r="H17" s="153" t="s">
        <v>1628</v>
      </c>
      <c r="I17" s="154" t="s">
        <v>90</v>
      </c>
      <c r="J17" s="153" t="s">
        <v>91</v>
      </c>
      <c r="K17" s="153" t="s">
        <v>1629</v>
      </c>
      <c r="L17" s="66" t="s">
        <v>1630</v>
      </c>
      <c r="M17" s="153">
        <v>444</v>
      </c>
      <c r="N17" s="67">
        <v>937.09</v>
      </c>
      <c r="O17" s="153">
        <v>416067.96</v>
      </c>
      <c r="P17" s="68"/>
      <c r="Q17" s="153">
        <v>416067.96</v>
      </c>
      <c r="R17" s="153">
        <v>0</v>
      </c>
      <c r="S17" s="153">
        <v>0</v>
      </c>
      <c r="T17" s="153">
        <v>74892.23</v>
      </c>
      <c r="U17" s="153">
        <f t="shared" si="1"/>
        <v>490960.19</v>
      </c>
      <c r="V17" t="str">
        <f>VLOOKUP(I17,Abstract!$E$4:$F$62,2,0)</f>
        <v>CHIK BLK HFP PROSOL 3G 23%EX 4800PC RL22 MRP RS.0.50</v>
      </c>
    </row>
    <row r="18" spans="1:22">
      <c r="A18" s="153" t="s">
        <v>1668</v>
      </c>
      <c r="B18" s="153" t="s">
        <v>1664</v>
      </c>
      <c r="C18" s="64" t="s">
        <v>934</v>
      </c>
      <c r="D18" s="153" t="s">
        <v>1669</v>
      </c>
      <c r="E18" s="153" t="s">
        <v>1670</v>
      </c>
      <c r="F18" s="65" t="s">
        <v>1667</v>
      </c>
      <c r="G18" s="153" t="s">
        <v>1627</v>
      </c>
      <c r="H18" s="153" t="s">
        <v>1628</v>
      </c>
      <c r="I18" s="154" t="s">
        <v>104</v>
      </c>
      <c r="J18" s="153" t="s">
        <v>105</v>
      </c>
      <c r="K18" s="153" t="s">
        <v>1629</v>
      </c>
      <c r="L18" s="66" t="s">
        <v>1630</v>
      </c>
      <c r="M18" s="153">
        <v>448</v>
      </c>
      <c r="N18" s="67">
        <v>768.24</v>
      </c>
      <c r="O18" s="153">
        <v>344171.52000000002</v>
      </c>
      <c r="P18" s="68"/>
      <c r="Q18" s="153">
        <v>344171.52000000002</v>
      </c>
      <c r="R18" s="153">
        <v>0</v>
      </c>
      <c r="S18" s="153">
        <v>0</v>
      </c>
      <c r="T18" s="153">
        <v>61950.87</v>
      </c>
      <c r="U18" s="153">
        <f t="shared" si="1"/>
        <v>406122.39</v>
      </c>
      <c r="V18" t="str">
        <f>VLOOKUP(I18,Abstract!$E$4:$F$62,2,0)</f>
        <v>CHIK BLK 4M 50% E 1920P W C1RE BLK 80P F MRP Rs.1.00</v>
      </c>
    </row>
    <row r="19" spans="1:22">
      <c r="A19" s="153" t="s">
        <v>1671</v>
      </c>
      <c r="B19" s="153" t="s">
        <v>1664</v>
      </c>
      <c r="C19" s="64" t="s">
        <v>934</v>
      </c>
      <c r="D19" s="153" t="s">
        <v>1672</v>
      </c>
      <c r="E19" s="153" t="s">
        <v>1673</v>
      </c>
      <c r="F19" s="65" t="s">
        <v>1667</v>
      </c>
      <c r="G19" s="153" t="s">
        <v>1650</v>
      </c>
      <c r="H19" s="153" t="s">
        <v>1651</v>
      </c>
      <c r="I19" s="154" t="s">
        <v>90</v>
      </c>
      <c r="J19" s="153" t="s">
        <v>91</v>
      </c>
      <c r="K19" s="153" t="s">
        <v>1629</v>
      </c>
      <c r="L19" s="66" t="s">
        <v>1630</v>
      </c>
      <c r="M19" s="153">
        <v>180</v>
      </c>
      <c r="N19" s="67">
        <v>937.09</v>
      </c>
      <c r="O19" s="153">
        <v>168676.2</v>
      </c>
      <c r="P19" s="68"/>
      <c r="Q19" s="153">
        <v>168676.2</v>
      </c>
      <c r="R19" s="153">
        <v>0</v>
      </c>
      <c r="S19" s="153">
        <v>0</v>
      </c>
      <c r="T19" s="153">
        <v>30361.72</v>
      </c>
      <c r="U19" s="153">
        <f t="shared" si="1"/>
        <v>199037.92</v>
      </c>
      <c r="V19" t="str">
        <f>VLOOKUP(I19,Abstract!$E$4:$F$62,2,0)</f>
        <v>CHIK BLK HFP PROSOL 3G 23%EX 4800PC RL22 MRP RS.0.50</v>
      </c>
    </row>
    <row r="20" spans="1:22">
      <c r="A20" s="153" t="s">
        <v>1671</v>
      </c>
      <c r="B20" s="153" t="s">
        <v>1664</v>
      </c>
      <c r="C20" s="64" t="s">
        <v>934</v>
      </c>
      <c r="D20" s="153" t="s">
        <v>1672</v>
      </c>
      <c r="E20" s="153" t="s">
        <v>1673</v>
      </c>
      <c r="F20" s="65" t="s">
        <v>1667</v>
      </c>
      <c r="G20" s="153" t="s">
        <v>1650</v>
      </c>
      <c r="H20" s="153" t="s">
        <v>1651</v>
      </c>
      <c r="I20" s="154" t="s">
        <v>94</v>
      </c>
      <c r="J20" s="153" t="s">
        <v>1646</v>
      </c>
      <c r="K20" s="153" t="s">
        <v>1629</v>
      </c>
      <c r="L20" s="66" t="s">
        <v>1630</v>
      </c>
      <c r="M20" s="153">
        <v>308</v>
      </c>
      <c r="N20" s="67">
        <v>730.67</v>
      </c>
      <c r="O20" s="153">
        <v>225046.36</v>
      </c>
      <c r="P20" s="68"/>
      <c r="Q20" s="153">
        <v>225046.36</v>
      </c>
      <c r="R20" s="153">
        <v>0</v>
      </c>
      <c r="S20" s="153">
        <v>0</v>
      </c>
      <c r="T20" s="153">
        <v>40508.339999999997</v>
      </c>
      <c r="U20" s="153">
        <f t="shared" si="1"/>
        <v>265554.69999999995</v>
      </c>
      <c r="V20" t="str">
        <f>VLOOKUP(I20,Abstract!$E$4:$F$62,2,0)</f>
        <v>CHIK EGG HFP SH 4ML+2ML EX 1920PC 22RL</v>
      </c>
    </row>
    <row r="21" spans="1:22">
      <c r="A21" s="153" t="s">
        <v>1671</v>
      </c>
      <c r="B21" s="153" t="s">
        <v>1664</v>
      </c>
      <c r="C21" s="64" t="s">
        <v>934</v>
      </c>
      <c r="D21" s="153" t="s">
        <v>1672</v>
      </c>
      <c r="E21" s="153" t="s">
        <v>1673</v>
      </c>
      <c r="F21" s="65" t="s">
        <v>1667</v>
      </c>
      <c r="G21" s="153" t="s">
        <v>1650</v>
      </c>
      <c r="H21" s="153" t="s">
        <v>1651</v>
      </c>
      <c r="I21" s="154" t="s">
        <v>20</v>
      </c>
      <c r="J21" s="153" t="s">
        <v>1636</v>
      </c>
      <c r="K21" s="153" t="s">
        <v>1629</v>
      </c>
      <c r="L21" s="66" t="s">
        <v>1630</v>
      </c>
      <c r="M21" s="153">
        <v>600</v>
      </c>
      <c r="N21" s="67">
        <v>728.3</v>
      </c>
      <c r="O21" s="153">
        <v>436980</v>
      </c>
      <c r="P21" s="68"/>
      <c r="Q21" s="153">
        <v>436980</v>
      </c>
      <c r="R21" s="153">
        <v>0</v>
      </c>
      <c r="S21" s="153">
        <v>0</v>
      </c>
      <c r="T21" s="153">
        <v>78656.399999999994</v>
      </c>
      <c r="U21" s="153">
        <f t="shared" si="1"/>
        <v>515636.4</v>
      </c>
      <c r="V21" t="str">
        <f>VLOOKUP(I21,Abstract!$E$4:$F$62,2,0)</f>
        <v>Karthika Hairfall Shield 5.4ml 10% Extra(43W*70mm L)</v>
      </c>
    </row>
    <row r="22" spans="1:22">
      <c r="A22" s="153" t="s">
        <v>1674</v>
      </c>
      <c r="B22" s="153" t="s">
        <v>1664</v>
      </c>
      <c r="C22" s="64" t="s">
        <v>934</v>
      </c>
      <c r="D22" s="153" t="s">
        <v>1675</v>
      </c>
      <c r="E22" s="153" t="s">
        <v>1676</v>
      </c>
      <c r="F22" s="65" t="s">
        <v>1667</v>
      </c>
      <c r="G22" s="153" t="s">
        <v>1634</v>
      </c>
      <c r="H22" s="153" t="s">
        <v>1635</v>
      </c>
      <c r="I22" s="154" t="s">
        <v>88</v>
      </c>
      <c r="J22" s="153" t="s">
        <v>89</v>
      </c>
      <c r="K22" s="153" t="s">
        <v>1629</v>
      </c>
      <c r="L22" s="66" t="s">
        <v>1630</v>
      </c>
      <c r="M22" s="153">
        <v>216</v>
      </c>
      <c r="N22" s="67">
        <v>936.79</v>
      </c>
      <c r="O22" s="153">
        <v>202346.64</v>
      </c>
      <c r="P22" s="68"/>
      <c r="Q22" s="153">
        <v>202346.64</v>
      </c>
      <c r="R22" s="153">
        <v>0</v>
      </c>
      <c r="S22" s="153">
        <v>0</v>
      </c>
      <c r="T22" s="153">
        <v>36422.400000000001</v>
      </c>
      <c r="U22" s="153">
        <f t="shared" si="1"/>
        <v>238769.04</v>
      </c>
      <c r="V22" t="str">
        <f>VLOOKUP(I22,Abstract!$E$4:$F$62,2,0)</f>
        <v>CHIK JAS HFP PROSOL 3G23% EX 4800PC 22RL MRP RS.0.50</v>
      </c>
    </row>
    <row r="23" spans="1:22">
      <c r="A23" s="153" t="s">
        <v>1674</v>
      </c>
      <c r="B23" s="153" t="s">
        <v>1664</v>
      </c>
      <c r="C23" s="64" t="s">
        <v>934</v>
      </c>
      <c r="D23" s="153" t="s">
        <v>1675</v>
      </c>
      <c r="E23" s="153" t="s">
        <v>1676</v>
      </c>
      <c r="F23" s="65" t="s">
        <v>1667</v>
      </c>
      <c r="G23" s="153" t="s">
        <v>1634</v>
      </c>
      <c r="H23" s="153" t="s">
        <v>1635</v>
      </c>
      <c r="I23" s="154" t="s">
        <v>104</v>
      </c>
      <c r="J23" s="153" t="s">
        <v>105</v>
      </c>
      <c r="K23" s="153" t="s">
        <v>1629</v>
      </c>
      <c r="L23" s="66" t="s">
        <v>1630</v>
      </c>
      <c r="M23" s="153">
        <v>644</v>
      </c>
      <c r="N23" s="67">
        <v>768.24</v>
      </c>
      <c r="O23" s="153">
        <v>494746.56</v>
      </c>
      <c r="P23" s="68"/>
      <c r="Q23" s="153">
        <v>494746.56</v>
      </c>
      <c r="R23" s="153">
        <v>0</v>
      </c>
      <c r="S23" s="153">
        <v>0</v>
      </c>
      <c r="T23" s="153">
        <v>89054.38</v>
      </c>
      <c r="U23" s="153">
        <f t="shared" si="1"/>
        <v>583800.93999999994</v>
      </c>
      <c r="V23" t="str">
        <f>VLOOKUP(I23,Abstract!$E$4:$F$62,2,0)</f>
        <v>CHIK BLK 4M 50% E 1920P W C1RE BLK 80P F MRP Rs.1.00</v>
      </c>
    </row>
    <row r="24" spans="1:22">
      <c r="A24" s="153" t="s">
        <v>1674</v>
      </c>
      <c r="B24" s="153" t="s">
        <v>1664</v>
      </c>
      <c r="C24" s="64" t="s">
        <v>934</v>
      </c>
      <c r="D24" s="153" t="s">
        <v>1675</v>
      </c>
      <c r="E24" s="153" t="s">
        <v>1676</v>
      </c>
      <c r="F24" s="65" t="s">
        <v>1667</v>
      </c>
      <c r="G24" s="153" t="s">
        <v>1634</v>
      </c>
      <c r="H24" s="153" t="s">
        <v>1635</v>
      </c>
      <c r="I24" s="154" t="s">
        <v>94</v>
      </c>
      <c r="J24" s="153" t="s">
        <v>1646</v>
      </c>
      <c r="K24" s="153" t="s">
        <v>1629</v>
      </c>
      <c r="L24" s="66" t="s">
        <v>1630</v>
      </c>
      <c r="M24" s="153">
        <v>224</v>
      </c>
      <c r="N24" s="67">
        <v>730.67</v>
      </c>
      <c r="O24" s="153">
        <v>163670.07999999999</v>
      </c>
      <c r="P24" s="68"/>
      <c r="Q24" s="153">
        <v>163670.07999999999</v>
      </c>
      <c r="R24" s="153">
        <v>0</v>
      </c>
      <c r="S24" s="153">
        <v>0</v>
      </c>
      <c r="T24" s="153">
        <v>29460.61</v>
      </c>
      <c r="U24" s="153">
        <f t="shared" si="1"/>
        <v>193130.69</v>
      </c>
      <c r="V24" t="str">
        <f>VLOOKUP(I24,Abstract!$E$4:$F$62,2,0)</f>
        <v>CHIK EGG HFP SH 4ML+2ML EX 1920PC 22RL</v>
      </c>
    </row>
    <row r="25" spans="1:22">
      <c r="A25" s="153" t="s">
        <v>1677</v>
      </c>
      <c r="B25" s="153" t="s">
        <v>1678</v>
      </c>
      <c r="C25" s="64" t="s">
        <v>934</v>
      </c>
      <c r="D25" s="153" t="s">
        <v>1679</v>
      </c>
      <c r="E25" s="153" t="s">
        <v>1680</v>
      </c>
      <c r="F25" s="65" t="s">
        <v>1681</v>
      </c>
      <c r="G25" s="153" t="s">
        <v>1644</v>
      </c>
      <c r="H25" s="153" t="s">
        <v>1645</v>
      </c>
      <c r="I25" s="154" t="s">
        <v>104</v>
      </c>
      <c r="J25" s="153" t="s">
        <v>105</v>
      </c>
      <c r="K25" s="153" t="s">
        <v>1629</v>
      </c>
      <c r="L25" s="66" t="s">
        <v>1630</v>
      </c>
      <c r="M25" s="153">
        <v>1102</v>
      </c>
      <c r="N25" s="67">
        <v>768.24</v>
      </c>
      <c r="O25" s="153">
        <v>846600.48</v>
      </c>
      <c r="P25" s="68"/>
      <c r="Q25" s="153">
        <v>846600.48</v>
      </c>
      <c r="R25" s="153">
        <v>76194.039999999994</v>
      </c>
      <c r="S25" s="153">
        <v>76194.039999999994</v>
      </c>
      <c r="T25" s="153">
        <v>0</v>
      </c>
      <c r="U25" s="153">
        <f t="shared" si="1"/>
        <v>998988.56</v>
      </c>
      <c r="V25" t="str">
        <f>VLOOKUP(I25,Abstract!$E$4:$F$62,2,0)</f>
        <v>CHIK BLK 4M 50% E 1920P W C1RE BLK 80P F MRP Rs.1.00</v>
      </c>
    </row>
    <row r="26" spans="1:22">
      <c r="A26" s="153" t="s">
        <v>1682</v>
      </c>
      <c r="B26" s="153" t="s">
        <v>1678</v>
      </c>
      <c r="C26" s="64" t="s">
        <v>934</v>
      </c>
      <c r="D26" s="153" t="s">
        <v>1683</v>
      </c>
      <c r="E26" s="153" t="s">
        <v>1684</v>
      </c>
      <c r="F26" s="65" t="s">
        <v>1681</v>
      </c>
      <c r="G26" s="153" t="s">
        <v>1644</v>
      </c>
      <c r="H26" s="153" t="s">
        <v>1645</v>
      </c>
      <c r="I26" s="154" t="s">
        <v>104</v>
      </c>
      <c r="J26" s="153" t="s">
        <v>105</v>
      </c>
      <c r="K26" s="153" t="s">
        <v>1629</v>
      </c>
      <c r="L26" s="66" t="s">
        <v>1630</v>
      </c>
      <c r="M26" s="153">
        <v>720</v>
      </c>
      <c r="N26" s="67">
        <v>768.24</v>
      </c>
      <c r="O26" s="153">
        <v>553132.80000000005</v>
      </c>
      <c r="P26" s="68"/>
      <c r="Q26" s="153">
        <v>553132.80000000005</v>
      </c>
      <c r="R26" s="153">
        <v>49781.95</v>
      </c>
      <c r="S26" s="153">
        <v>49781.95</v>
      </c>
      <c r="T26" s="153">
        <v>0</v>
      </c>
      <c r="U26" s="153">
        <f t="shared" si="1"/>
        <v>652696.69999999995</v>
      </c>
      <c r="V26" t="str">
        <f>VLOOKUP(I26,Abstract!$E$4:$F$62,2,0)</f>
        <v>CHIK BLK 4M 50% E 1920P W C1RE BLK 80P F MRP Rs.1.00</v>
      </c>
    </row>
    <row r="27" spans="1:22">
      <c r="A27" s="153" t="s">
        <v>1685</v>
      </c>
      <c r="B27" s="153" t="s">
        <v>1678</v>
      </c>
      <c r="C27" s="64" t="s">
        <v>934</v>
      </c>
      <c r="D27" s="153" t="s">
        <v>960</v>
      </c>
      <c r="E27" s="153" t="s">
        <v>1686</v>
      </c>
      <c r="F27" s="65" t="s">
        <v>1681</v>
      </c>
      <c r="G27" s="153" t="s">
        <v>1650</v>
      </c>
      <c r="H27" s="153" t="s">
        <v>1651</v>
      </c>
      <c r="I27" s="154" t="s">
        <v>76</v>
      </c>
      <c r="J27" s="153" t="s">
        <v>77</v>
      </c>
      <c r="K27" s="153" t="s">
        <v>1629</v>
      </c>
      <c r="L27" s="66" t="s">
        <v>1630</v>
      </c>
      <c r="M27" s="153">
        <v>167</v>
      </c>
      <c r="N27" s="67">
        <v>728.69</v>
      </c>
      <c r="O27" s="153">
        <v>121691.23</v>
      </c>
      <c r="P27" s="68"/>
      <c r="Q27" s="153">
        <v>121691.23</v>
      </c>
      <c r="R27" s="153">
        <v>0</v>
      </c>
      <c r="S27" s="153">
        <v>0</v>
      </c>
      <c r="T27" s="153">
        <v>21904.42</v>
      </c>
      <c r="U27" s="153">
        <f t="shared" si="1"/>
        <v>143595.65</v>
      </c>
      <c r="V27" t="str">
        <f>VLOOKUP(I27,Abstract!$E$4:$F$62,2,0)</f>
        <v>CHIK BLK PROSOLTHK&amp;GLY4M+2M 1920P 22NF MRP RS.1.00</v>
      </c>
    </row>
    <row r="28" spans="1:22">
      <c r="A28" s="153" t="s">
        <v>1685</v>
      </c>
      <c r="B28" s="153" t="s">
        <v>1678</v>
      </c>
      <c r="C28" s="64" t="s">
        <v>934</v>
      </c>
      <c r="D28" s="153" t="s">
        <v>960</v>
      </c>
      <c r="E28" s="153" t="s">
        <v>1686</v>
      </c>
      <c r="F28" s="65" t="s">
        <v>1681</v>
      </c>
      <c r="G28" s="153" t="s">
        <v>1650</v>
      </c>
      <c r="H28" s="153" t="s">
        <v>1651</v>
      </c>
      <c r="I28" s="154" t="s">
        <v>104</v>
      </c>
      <c r="J28" s="153" t="s">
        <v>105</v>
      </c>
      <c r="K28" s="153" t="s">
        <v>1629</v>
      </c>
      <c r="L28" s="66" t="s">
        <v>1630</v>
      </c>
      <c r="M28" s="153">
        <v>1017</v>
      </c>
      <c r="N28" s="67">
        <v>768.24</v>
      </c>
      <c r="O28" s="153">
        <v>781300.08</v>
      </c>
      <c r="P28" s="68"/>
      <c r="Q28" s="153">
        <v>781300.08</v>
      </c>
      <c r="R28" s="153">
        <v>0</v>
      </c>
      <c r="S28" s="153">
        <v>0</v>
      </c>
      <c r="T28" s="153">
        <v>140634.01</v>
      </c>
      <c r="U28" s="153">
        <f t="shared" si="1"/>
        <v>921934.09</v>
      </c>
      <c r="V28" t="str">
        <f>VLOOKUP(I28,Abstract!$E$4:$F$62,2,0)</f>
        <v>CHIK BLK 4M 50% E 1920P W C1RE BLK 80P F MRP Rs.1.00</v>
      </c>
    </row>
    <row r="29" spans="1:22">
      <c r="A29" s="153" t="s">
        <v>1687</v>
      </c>
      <c r="B29" s="153" t="s">
        <v>1678</v>
      </c>
      <c r="C29" s="64" t="s">
        <v>934</v>
      </c>
      <c r="D29" s="153" t="s">
        <v>1688</v>
      </c>
      <c r="E29" s="153" t="s">
        <v>1689</v>
      </c>
      <c r="F29" s="65" t="s">
        <v>1681</v>
      </c>
      <c r="G29" s="153" t="s">
        <v>1650</v>
      </c>
      <c r="H29" s="153" t="s">
        <v>1651</v>
      </c>
      <c r="I29" s="154" t="s">
        <v>104</v>
      </c>
      <c r="J29" s="153" t="s">
        <v>105</v>
      </c>
      <c r="K29" s="153" t="s">
        <v>1629</v>
      </c>
      <c r="L29" s="66" t="s">
        <v>1630</v>
      </c>
      <c r="M29" s="153">
        <v>1120</v>
      </c>
      <c r="N29" s="67">
        <v>768.24</v>
      </c>
      <c r="O29" s="153">
        <v>860428.80000000005</v>
      </c>
      <c r="P29" s="68"/>
      <c r="Q29" s="153">
        <v>860428.80000000005</v>
      </c>
      <c r="R29" s="153">
        <v>0</v>
      </c>
      <c r="S29" s="153">
        <v>0</v>
      </c>
      <c r="T29" s="153">
        <v>154877.18</v>
      </c>
      <c r="U29" s="153">
        <f t="shared" si="1"/>
        <v>1015305.98</v>
      </c>
      <c r="V29" t="str">
        <f>VLOOKUP(I29,Abstract!$E$4:$F$62,2,0)</f>
        <v>CHIK BLK 4M 50% E 1920P W C1RE BLK 80P F MRP Rs.1.00</v>
      </c>
    </row>
    <row r="30" spans="1:22">
      <c r="A30" s="153" t="s">
        <v>1690</v>
      </c>
      <c r="B30" s="153" t="s">
        <v>1678</v>
      </c>
      <c r="C30" s="64" t="s">
        <v>934</v>
      </c>
      <c r="D30" s="153" t="s">
        <v>1691</v>
      </c>
      <c r="E30" s="153" t="s">
        <v>1692</v>
      </c>
      <c r="F30" s="65" t="s">
        <v>1681</v>
      </c>
      <c r="G30" s="153" t="s">
        <v>1644</v>
      </c>
      <c r="H30" s="153" t="s">
        <v>1645</v>
      </c>
      <c r="I30" s="154" t="s">
        <v>82</v>
      </c>
      <c r="J30" s="153" t="s">
        <v>83</v>
      </c>
      <c r="K30" s="153" t="s">
        <v>1629</v>
      </c>
      <c r="L30" s="66" t="s">
        <v>1630</v>
      </c>
      <c r="M30" s="153">
        <v>720</v>
      </c>
      <c r="N30" s="67">
        <v>714.24</v>
      </c>
      <c r="O30" s="153">
        <v>514252.79999999999</v>
      </c>
      <c r="P30" s="68"/>
      <c r="Q30" s="153">
        <v>514252.79999999999</v>
      </c>
      <c r="R30" s="153">
        <v>46282.75</v>
      </c>
      <c r="S30" s="153">
        <v>46282.75</v>
      </c>
      <c r="T30" s="153">
        <v>0</v>
      </c>
      <c r="U30" s="153">
        <f t="shared" si="1"/>
        <v>606818.30000000005</v>
      </c>
      <c r="V30" t="str">
        <f>VLOOKUP(I30,Abstract!$E$4:$F$62,2,0)</f>
        <v>CHIK JAS PROSOL SOYA 4M+2ML EX1920P 22RL MRP RS.1.00</v>
      </c>
    </row>
    <row r="31" spans="1:22">
      <c r="A31" s="153" t="s">
        <v>1693</v>
      </c>
      <c r="B31" s="153" t="s">
        <v>1678</v>
      </c>
      <c r="C31" s="64" t="s">
        <v>934</v>
      </c>
      <c r="D31" s="153" t="s">
        <v>1694</v>
      </c>
      <c r="E31" s="153" t="s">
        <v>1695</v>
      </c>
      <c r="F31" s="65" t="s">
        <v>1681</v>
      </c>
      <c r="G31" s="153" t="s">
        <v>1634</v>
      </c>
      <c r="H31" s="153" t="s">
        <v>1635</v>
      </c>
      <c r="I31" s="154" t="s">
        <v>90</v>
      </c>
      <c r="J31" s="153" t="s">
        <v>91</v>
      </c>
      <c r="K31" s="153" t="s">
        <v>1629</v>
      </c>
      <c r="L31" s="66" t="s">
        <v>1630</v>
      </c>
      <c r="M31" s="153">
        <v>726</v>
      </c>
      <c r="N31" s="67">
        <v>937.09</v>
      </c>
      <c r="O31" s="153">
        <v>680327.34</v>
      </c>
      <c r="P31" s="68"/>
      <c r="Q31" s="153">
        <v>680327.34</v>
      </c>
      <c r="R31" s="153">
        <v>0</v>
      </c>
      <c r="S31" s="153">
        <v>0</v>
      </c>
      <c r="T31" s="153">
        <v>122458.92</v>
      </c>
      <c r="U31" s="153">
        <f t="shared" si="1"/>
        <v>802786.26</v>
      </c>
      <c r="V31" t="str">
        <f>VLOOKUP(I31,Abstract!$E$4:$F$62,2,0)</f>
        <v>CHIK BLK HFP PROSOL 3G 23%EX 4800PC RL22 MRP RS.0.50</v>
      </c>
    </row>
    <row r="32" spans="1:22">
      <c r="A32" s="153" t="s">
        <v>1696</v>
      </c>
      <c r="B32" s="153" t="s">
        <v>1697</v>
      </c>
      <c r="C32" s="64" t="s">
        <v>934</v>
      </c>
      <c r="D32" s="153" t="s">
        <v>1698</v>
      </c>
      <c r="E32" s="153" t="s">
        <v>1699</v>
      </c>
      <c r="F32" s="65" t="s">
        <v>1700</v>
      </c>
      <c r="G32" s="153" t="s">
        <v>1644</v>
      </c>
      <c r="H32" s="153" t="s">
        <v>1645</v>
      </c>
      <c r="I32" s="154" t="s">
        <v>104</v>
      </c>
      <c r="J32" s="153" t="s">
        <v>105</v>
      </c>
      <c r="K32" s="153" t="s">
        <v>1629</v>
      </c>
      <c r="L32" s="66" t="s">
        <v>1630</v>
      </c>
      <c r="M32" s="153">
        <v>290</v>
      </c>
      <c r="N32" s="67">
        <v>768.24</v>
      </c>
      <c r="O32" s="153">
        <v>222789.6</v>
      </c>
      <c r="P32" s="68"/>
      <c r="Q32" s="153">
        <v>222789.6</v>
      </c>
      <c r="R32" s="153">
        <v>20051.060000000001</v>
      </c>
      <c r="S32" s="153">
        <v>20051.060000000001</v>
      </c>
      <c r="T32" s="153">
        <v>0</v>
      </c>
      <c r="U32" s="153">
        <f t="shared" si="1"/>
        <v>262891.72000000003</v>
      </c>
      <c r="V32" t="str">
        <f>VLOOKUP(I32,Abstract!$E$4:$F$62,2,0)</f>
        <v>CHIK BLK 4M 50% E 1920P W C1RE BLK 80P F MRP Rs.1.00</v>
      </c>
    </row>
    <row r="33" spans="1:22">
      <c r="A33" s="153" t="s">
        <v>1696</v>
      </c>
      <c r="B33" s="153" t="s">
        <v>1697</v>
      </c>
      <c r="C33" s="64" t="s">
        <v>934</v>
      </c>
      <c r="D33" s="153" t="s">
        <v>1698</v>
      </c>
      <c r="E33" s="153" t="s">
        <v>1699</v>
      </c>
      <c r="F33" s="65" t="s">
        <v>1700</v>
      </c>
      <c r="G33" s="153" t="s">
        <v>1644</v>
      </c>
      <c r="H33" s="153" t="s">
        <v>1645</v>
      </c>
      <c r="I33" s="154" t="s">
        <v>82</v>
      </c>
      <c r="J33" s="153" t="s">
        <v>83</v>
      </c>
      <c r="K33" s="153" t="s">
        <v>1629</v>
      </c>
      <c r="L33" s="66" t="s">
        <v>1630</v>
      </c>
      <c r="M33" s="153">
        <v>812</v>
      </c>
      <c r="N33" s="67">
        <v>714.24</v>
      </c>
      <c r="O33" s="153">
        <v>579962.88</v>
      </c>
      <c r="P33" s="68"/>
      <c r="Q33" s="153">
        <v>579962.88</v>
      </c>
      <c r="R33" s="153">
        <v>52196.66</v>
      </c>
      <c r="S33" s="153">
        <v>52196.66</v>
      </c>
      <c r="T33" s="153">
        <v>0</v>
      </c>
      <c r="U33" s="153">
        <f t="shared" si="1"/>
        <v>684356.20000000007</v>
      </c>
      <c r="V33" t="str">
        <f>VLOOKUP(I33,Abstract!$E$4:$F$62,2,0)</f>
        <v>CHIK JAS PROSOL SOYA 4M+2ML EX1920P 22RL MRP RS.1.00</v>
      </c>
    </row>
    <row r="34" spans="1:22">
      <c r="A34" s="153" t="s">
        <v>1701</v>
      </c>
      <c r="B34" s="153" t="s">
        <v>1697</v>
      </c>
      <c r="C34" s="64" t="s">
        <v>934</v>
      </c>
      <c r="D34" s="153" t="s">
        <v>1702</v>
      </c>
      <c r="E34" s="153" t="s">
        <v>1703</v>
      </c>
      <c r="F34" s="65" t="s">
        <v>1700</v>
      </c>
      <c r="G34" s="153" t="s">
        <v>1650</v>
      </c>
      <c r="H34" s="153" t="s">
        <v>1651</v>
      </c>
      <c r="I34" s="154" t="s">
        <v>104</v>
      </c>
      <c r="J34" s="153" t="s">
        <v>105</v>
      </c>
      <c r="K34" s="153" t="s">
        <v>1629</v>
      </c>
      <c r="L34" s="66" t="s">
        <v>1630</v>
      </c>
      <c r="M34" s="153">
        <v>1120</v>
      </c>
      <c r="N34" s="67">
        <v>768.24</v>
      </c>
      <c r="O34" s="153">
        <v>860428.80000000005</v>
      </c>
      <c r="P34" s="68"/>
      <c r="Q34" s="153">
        <v>860428.80000000005</v>
      </c>
      <c r="R34" s="153">
        <v>0</v>
      </c>
      <c r="S34" s="153">
        <v>0</v>
      </c>
      <c r="T34" s="153">
        <v>154877.18</v>
      </c>
      <c r="U34" s="153">
        <f t="shared" si="1"/>
        <v>1015305.98</v>
      </c>
      <c r="V34" t="str">
        <f>VLOOKUP(I34,Abstract!$E$4:$F$62,2,0)</f>
        <v>CHIK BLK 4M 50% E 1920P W C1RE BLK 80P F MRP Rs.1.00</v>
      </c>
    </row>
    <row r="35" spans="1:22">
      <c r="A35" s="153" t="s">
        <v>1704</v>
      </c>
      <c r="B35" s="153" t="s">
        <v>1697</v>
      </c>
      <c r="C35" s="64" t="s">
        <v>934</v>
      </c>
      <c r="D35" s="153" t="s">
        <v>1705</v>
      </c>
      <c r="E35" s="153" t="s">
        <v>1706</v>
      </c>
      <c r="F35" s="65" t="s">
        <v>1700</v>
      </c>
      <c r="G35" s="153" t="s">
        <v>1627</v>
      </c>
      <c r="H35" s="153" t="s">
        <v>1628</v>
      </c>
      <c r="I35" s="154" t="s">
        <v>106</v>
      </c>
      <c r="J35" s="153" t="s">
        <v>107</v>
      </c>
      <c r="K35" s="153" t="s">
        <v>1629</v>
      </c>
      <c r="L35" s="66" t="s">
        <v>1630</v>
      </c>
      <c r="M35" s="153">
        <v>526</v>
      </c>
      <c r="N35" s="67">
        <v>783.99</v>
      </c>
      <c r="O35" s="153">
        <v>412378.74</v>
      </c>
      <c r="P35" s="68"/>
      <c r="Q35" s="153">
        <v>412378.74</v>
      </c>
      <c r="R35" s="153">
        <v>0</v>
      </c>
      <c r="S35" s="153">
        <v>0</v>
      </c>
      <c r="T35" s="153">
        <v>74228.17</v>
      </c>
      <c r="U35" s="153">
        <f t="shared" si="1"/>
        <v>486606.91</v>
      </c>
      <c r="V35" t="str">
        <f>VLOOKUP(I35,Abstract!$E$4:$F$62,2,0)</f>
        <v>CHIK EGG 4M 20% E 1920P W C 1RE E 80P F MRP Rs.1.00</v>
      </c>
    </row>
    <row r="36" spans="1:22">
      <c r="A36" s="153" t="s">
        <v>1704</v>
      </c>
      <c r="B36" s="153" t="s">
        <v>1697</v>
      </c>
      <c r="C36" s="64" t="s">
        <v>934</v>
      </c>
      <c r="D36" s="153" t="s">
        <v>1705</v>
      </c>
      <c r="E36" s="153" t="s">
        <v>1706</v>
      </c>
      <c r="F36" s="65" t="s">
        <v>1700</v>
      </c>
      <c r="G36" s="153" t="s">
        <v>1627</v>
      </c>
      <c r="H36" s="153" t="s">
        <v>1628</v>
      </c>
      <c r="I36" s="154" t="s">
        <v>96</v>
      </c>
      <c r="J36" s="153" t="s">
        <v>97</v>
      </c>
      <c r="K36" s="153" t="s">
        <v>1629</v>
      </c>
      <c r="L36" s="66" t="s">
        <v>1630</v>
      </c>
      <c r="M36" s="153">
        <v>1048</v>
      </c>
      <c r="N36" s="67">
        <v>735.44</v>
      </c>
      <c r="O36" s="153">
        <v>770741.12</v>
      </c>
      <c r="P36" s="68"/>
      <c r="Q36" s="153">
        <v>770741.12</v>
      </c>
      <c r="R36" s="153">
        <v>0</v>
      </c>
      <c r="S36" s="153">
        <v>0</v>
      </c>
      <c r="T36" s="153">
        <v>138733.4</v>
      </c>
      <c r="U36" s="153">
        <f t="shared" si="1"/>
        <v>909474.52</v>
      </c>
      <c r="V36" t="str">
        <f>VLOOKUP(I36,Abstract!$E$4:$F$62,2,0)</f>
        <v>MEERA GOT SNG N HEALTHY SH 5M 20%EX1440P</v>
      </c>
    </row>
    <row r="37" spans="1:22">
      <c r="A37" s="153" t="s">
        <v>1707</v>
      </c>
      <c r="B37" s="153" t="s">
        <v>1697</v>
      </c>
      <c r="C37" s="64" t="s">
        <v>934</v>
      </c>
      <c r="D37" s="153" t="s">
        <v>1708</v>
      </c>
      <c r="E37" s="153" t="s">
        <v>1709</v>
      </c>
      <c r="F37" s="65" t="s">
        <v>1700</v>
      </c>
      <c r="G37" s="153" t="s">
        <v>1634</v>
      </c>
      <c r="H37" s="153" t="s">
        <v>1635</v>
      </c>
      <c r="I37" s="154" t="s">
        <v>106</v>
      </c>
      <c r="J37" s="153" t="s">
        <v>107</v>
      </c>
      <c r="K37" s="153" t="s">
        <v>1629</v>
      </c>
      <c r="L37" s="66" t="s">
        <v>1630</v>
      </c>
      <c r="M37" s="153">
        <v>784</v>
      </c>
      <c r="N37" s="67">
        <v>783.99</v>
      </c>
      <c r="O37" s="153">
        <v>614648.16</v>
      </c>
      <c r="P37" s="68"/>
      <c r="Q37" s="153">
        <v>614648.16</v>
      </c>
      <c r="R37" s="153">
        <v>0</v>
      </c>
      <c r="S37" s="153">
        <v>0</v>
      </c>
      <c r="T37" s="153">
        <v>110636.67</v>
      </c>
      <c r="U37" s="153">
        <f t="shared" si="1"/>
        <v>725284.83000000007</v>
      </c>
      <c r="V37" t="str">
        <f>VLOOKUP(I37,Abstract!$E$4:$F$62,2,0)</f>
        <v>CHIK EGG 4M 20% E 1920P W C 1RE E 80P F MRP Rs.1.00</v>
      </c>
    </row>
    <row r="38" spans="1:22">
      <c r="A38" s="153" t="s">
        <v>1707</v>
      </c>
      <c r="B38" s="153" t="s">
        <v>1697</v>
      </c>
      <c r="C38" s="64" t="s">
        <v>934</v>
      </c>
      <c r="D38" s="153" t="s">
        <v>1708</v>
      </c>
      <c r="E38" s="153" t="s">
        <v>1709</v>
      </c>
      <c r="F38" s="65" t="s">
        <v>1700</v>
      </c>
      <c r="G38" s="153" t="s">
        <v>1634</v>
      </c>
      <c r="H38" s="153" t="s">
        <v>1635</v>
      </c>
      <c r="I38" s="154" t="s">
        <v>108</v>
      </c>
      <c r="J38" s="153" t="s">
        <v>109</v>
      </c>
      <c r="K38" s="153" t="s">
        <v>1629</v>
      </c>
      <c r="L38" s="66" t="s">
        <v>1630</v>
      </c>
      <c r="M38" s="153">
        <v>264</v>
      </c>
      <c r="N38" s="67">
        <v>957.97</v>
      </c>
      <c r="O38" s="153">
        <v>252904.08</v>
      </c>
      <c r="P38" s="68"/>
      <c r="Q38" s="153">
        <v>252904.08</v>
      </c>
      <c r="R38" s="153">
        <v>0</v>
      </c>
      <c r="S38" s="153">
        <v>0</v>
      </c>
      <c r="T38" s="153">
        <v>45522.73</v>
      </c>
      <c r="U38" s="153">
        <f t="shared" si="1"/>
        <v>298426.81</v>
      </c>
      <c r="V38" t="str">
        <f>VLOOKUP(I38,Abstract!$E$4:$F$62,2,0)</f>
        <v>KARTHIKA DAM SHIELD SH 3G 23% EX 4800PCS MRP Rs.0.50</v>
      </c>
    </row>
    <row r="39" spans="1:22">
      <c r="A39" s="153" t="s">
        <v>1710</v>
      </c>
      <c r="B39" s="153" t="s">
        <v>1711</v>
      </c>
      <c r="C39" s="64" t="s">
        <v>934</v>
      </c>
      <c r="D39" s="153" t="s">
        <v>1712</v>
      </c>
      <c r="E39" s="153" t="s">
        <v>1713</v>
      </c>
      <c r="F39" s="65" t="s">
        <v>1714</v>
      </c>
      <c r="G39" s="153" t="s">
        <v>1644</v>
      </c>
      <c r="H39" s="153" t="s">
        <v>1645</v>
      </c>
      <c r="I39" s="154" t="s">
        <v>106</v>
      </c>
      <c r="J39" s="153" t="s">
        <v>107</v>
      </c>
      <c r="K39" s="153" t="s">
        <v>1629</v>
      </c>
      <c r="L39" s="66" t="s">
        <v>1630</v>
      </c>
      <c r="M39" s="153">
        <v>464</v>
      </c>
      <c r="N39" s="67">
        <v>783.99</v>
      </c>
      <c r="O39" s="153">
        <v>363771.36</v>
      </c>
      <c r="P39" s="68"/>
      <c r="Q39" s="153">
        <v>363771.36</v>
      </c>
      <c r="R39" s="153">
        <v>32739.42</v>
      </c>
      <c r="S39" s="153">
        <v>32739.42</v>
      </c>
      <c r="T39" s="153">
        <v>0</v>
      </c>
      <c r="U39" s="153">
        <f t="shared" si="1"/>
        <v>429250.19999999995</v>
      </c>
      <c r="V39" t="str">
        <f>VLOOKUP(I39,Abstract!$E$4:$F$62,2,0)</f>
        <v>CHIK EGG 4M 20% E 1920P W C 1RE E 80P F MRP Rs.1.00</v>
      </c>
    </row>
    <row r="40" spans="1:22">
      <c r="A40" s="153" t="s">
        <v>1710</v>
      </c>
      <c r="B40" s="153" t="s">
        <v>1711</v>
      </c>
      <c r="C40" s="64" t="s">
        <v>934</v>
      </c>
      <c r="D40" s="153" t="s">
        <v>1712</v>
      </c>
      <c r="E40" s="153" t="s">
        <v>1713</v>
      </c>
      <c r="F40" s="65" t="s">
        <v>1714</v>
      </c>
      <c r="G40" s="153" t="s">
        <v>1644</v>
      </c>
      <c r="H40" s="153" t="s">
        <v>1645</v>
      </c>
      <c r="I40" s="154" t="s">
        <v>82</v>
      </c>
      <c r="J40" s="153" t="s">
        <v>83</v>
      </c>
      <c r="K40" s="153" t="s">
        <v>1629</v>
      </c>
      <c r="L40" s="66" t="s">
        <v>1630</v>
      </c>
      <c r="M40" s="153">
        <v>638</v>
      </c>
      <c r="N40" s="67">
        <v>714.24</v>
      </c>
      <c r="O40" s="153">
        <v>455685.12</v>
      </c>
      <c r="P40" s="68"/>
      <c r="Q40" s="153">
        <v>455685.12</v>
      </c>
      <c r="R40" s="153">
        <v>41011.660000000003</v>
      </c>
      <c r="S40" s="153">
        <v>41011.660000000003</v>
      </c>
      <c r="T40" s="153">
        <v>0</v>
      </c>
      <c r="U40" s="153">
        <f t="shared" si="1"/>
        <v>537708.44000000006</v>
      </c>
      <c r="V40" t="str">
        <f>VLOOKUP(I40,Abstract!$E$4:$F$62,2,0)</f>
        <v>CHIK JAS PROSOL SOYA 4M+2ML EX1920P 22RL MRP RS.1.00</v>
      </c>
    </row>
    <row r="41" spans="1:22">
      <c r="A41" s="153" t="s">
        <v>1715</v>
      </c>
      <c r="B41" s="153" t="s">
        <v>1711</v>
      </c>
      <c r="C41" s="64" t="s">
        <v>934</v>
      </c>
      <c r="D41" s="153" t="s">
        <v>1716</v>
      </c>
      <c r="E41" s="153" t="s">
        <v>1717</v>
      </c>
      <c r="F41" s="65" t="s">
        <v>1714</v>
      </c>
      <c r="G41" s="153" t="s">
        <v>1634</v>
      </c>
      <c r="H41" s="153" t="s">
        <v>1635</v>
      </c>
      <c r="I41" s="154" t="s">
        <v>104</v>
      </c>
      <c r="J41" s="153" t="s">
        <v>105</v>
      </c>
      <c r="K41" s="153" t="s">
        <v>1629</v>
      </c>
      <c r="L41" s="66" t="s">
        <v>1630</v>
      </c>
      <c r="M41" s="153">
        <v>686</v>
      </c>
      <c r="N41" s="67">
        <v>768.24</v>
      </c>
      <c r="O41" s="153">
        <v>527012.64</v>
      </c>
      <c r="P41" s="68"/>
      <c r="Q41" s="153">
        <v>527012.64</v>
      </c>
      <c r="R41" s="153">
        <v>0</v>
      </c>
      <c r="S41" s="153">
        <v>0</v>
      </c>
      <c r="T41" s="153">
        <v>94862.28</v>
      </c>
      <c r="U41" s="153">
        <f t="shared" si="1"/>
        <v>621874.92000000004</v>
      </c>
      <c r="V41" t="str">
        <f>VLOOKUP(I41,Abstract!$E$4:$F$62,2,0)</f>
        <v>CHIK BLK 4M 50% E 1920P W C1RE BLK 80P F MRP Rs.1.00</v>
      </c>
    </row>
    <row r="42" spans="1:22">
      <c r="A42" s="153" t="s">
        <v>1715</v>
      </c>
      <c r="B42" s="153" t="s">
        <v>1711</v>
      </c>
      <c r="C42" s="64" t="s">
        <v>934</v>
      </c>
      <c r="D42" s="153" t="s">
        <v>1716</v>
      </c>
      <c r="E42" s="153" t="s">
        <v>1717</v>
      </c>
      <c r="F42" s="65" t="s">
        <v>1714</v>
      </c>
      <c r="G42" s="153" t="s">
        <v>1634</v>
      </c>
      <c r="H42" s="153" t="s">
        <v>1635</v>
      </c>
      <c r="I42" s="154" t="s">
        <v>108</v>
      </c>
      <c r="J42" s="153" t="s">
        <v>109</v>
      </c>
      <c r="K42" s="153" t="s">
        <v>1629</v>
      </c>
      <c r="L42" s="66" t="s">
        <v>1630</v>
      </c>
      <c r="M42" s="153">
        <v>186</v>
      </c>
      <c r="N42" s="67">
        <v>957.97</v>
      </c>
      <c r="O42" s="153">
        <v>178182.42</v>
      </c>
      <c r="P42" s="68"/>
      <c r="Q42" s="153">
        <v>178182.42</v>
      </c>
      <c r="R42" s="153">
        <v>0</v>
      </c>
      <c r="S42" s="153">
        <v>0</v>
      </c>
      <c r="T42" s="153">
        <v>32072.84</v>
      </c>
      <c r="U42" s="153">
        <f t="shared" si="1"/>
        <v>210255.26</v>
      </c>
      <c r="V42" t="str">
        <f>VLOOKUP(I42,Abstract!$E$4:$F$62,2,0)</f>
        <v>KARTHIKA DAM SHIELD SH 3G 23% EX 4800PCS MRP Rs.0.50</v>
      </c>
    </row>
    <row r="43" spans="1:22">
      <c r="A43" s="153" t="s">
        <v>1715</v>
      </c>
      <c r="B43" s="153" t="s">
        <v>1711</v>
      </c>
      <c r="C43" s="64" t="s">
        <v>934</v>
      </c>
      <c r="D43" s="153" t="s">
        <v>1716</v>
      </c>
      <c r="E43" s="153" t="s">
        <v>1717</v>
      </c>
      <c r="F43" s="65" t="s">
        <v>1714</v>
      </c>
      <c r="G43" s="153" t="s">
        <v>1634</v>
      </c>
      <c r="H43" s="153" t="s">
        <v>1635</v>
      </c>
      <c r="I43" s="154" t="s">
        <v>20</v>
      </c>
      <c r="J43" s="153" t="s">
        <v>1636</v>
      </c>
      <c r="K43" s="153" t="s">
        <v>1629</v>
      </c>
      <c r="L43" s="66" t="s">
        <v>1630</v>
      </c>
      <c r="M43" s="153">
        <v>240</v>
      </c>
      <c r="N43" s="67">
        <v>728.3</v>
      </c>
      <c r="O43" s="153">
        <v>174792</v>
      </c>
      <c r="P43" s="68"/>
      <c r="Q43" s="153">
        <v>174792</v>
      </c>
      <c r="R43" s="153">
        <v>0</v>
      </c>
      <c r="S43" s="153">
        <v>0</v>
      </c>
      <c r="T43" s="153">
        <v>31462.560000000001</v>
      </c>
      <c r="U43" s="153">
        <f t="shared" si="1"/>
        <v>206254.56</v>
      </c>
      <c r="V43" t="str">
        <f>VLOOKUP(I43,Abstract!$E$4:$F$62,2,0)</f>
        <v>Karthika Hairfall Shield 5.4ml 10% Extra(43W*70mm L)</v>
      </c>
    </row>
    <row r="44" spans="1:22">
      <c r="A44" s="153" t="s">
        <v>1718</v>
      </c>
      <c r="B44" s="153" t="s">
        <v>1711</v>
      </c>
      <c r="C44" s="64" t="s">
        <v>934</v>
      </c>
      <c r="D44" s="153" t="s">
        <v>1719</v>
      </c>
      <c r="E44" s="153" t="s">
        <v>1720</v>
      </c>
      <c r="F44" s="65" t="s">
        <v>1714</v>
      </c>
      <c r="G44" s="153" t="s">
        <v>1627</v>
      </c>
      <c r="H44" s="153" t="s">
        <v>1628</v>
      </c>
      <c r="I44" s="154" t="s">
        <v>104</v>
      </c>
      <c r="J44" s="153" t="s">
        <v>105</v>
      </c>
      <c r="K44" s="153" t="s">
        <v>1629</v>
      </c>
      <c r="L44" s="66" t="s">
        <v>1630</v>
      </c>
      <c r="M44" s="153">
        <v>336</v>
      </c>
      <c r="N44" s="67">
        <v>768.24</v>
      </c>
      <c r="O44" s="153">
        <v>258128.64000000001</v>
      </c>
      <c r="P44" s="68"/>
      <c r="Q44" s="153">
        <v>258128.64000000001</v>
      </c>
      <c r="R44" s="153">
        <v>0</v>
      </c>
      <c r="S44" s="153">
        <v>0</v>
      </c>
      <c r="T44" s="153">
        <v>46463.16</v>
      </c>
      <c r="U44" s="153">
        <f t="shared" si="1"/>
        <v>304591.80000000005</v>
      </c>
      <c r="V44" t="str">
        <f>VLOOKUP(I44,Abstract!$E$4:$F$62,2,0)</f>
        <v>CHIK BLK 4M 50% E 1920P W C1RE BLK 80P F MRP Rs.1.00</v>
      </c>
    </row>
    <row r="45" spans="1:22">
      <c r="A45" s="153" t="s">
        <v>1718</v>
      </c>
      <c r="B45" s="153" t="s">
        <v>1711</v>
      </c>
      <c r="C45" s="64" t="s">
        <v>934</v>
      </c>
      <c r="D45" s="153" t="s">
        <v>1719</v>
      </c>
      <c r="E45" s="153" t="s">
        <v>1720</v>
      </c>
      <c r="F45" s="65" t="s">
        <v>1714</v>
      </c>
      <c r="G45" s="153" t="s">
        <v>1627</v>
      </c>
      <c r="H45" s="153" t="s">
        <v>1628</v>
      </c>
      <c r="I45" s="154" t="s">
        <v>106</v>
      </c>
      <c r="J45" s="153" t="s">
        <v>107</v>
      </c>
      <c r="K45" s="153" t="s">
        <v>1629</v>
      </c>
      <c r="L45" s="66" t="s">
        <v>1630</v>
      </c>
      <c r="M45" s="153">
        <v>240</v>
      </c>
      <c r="N45" s="67">
        <v>783.99</v>
      </c>
      <c r="O45" s="153">
        <v>188157.6</v>
      </c>
      <c r="P45" s="68"/>
      <c r="Q45" s="153">
        <v>188157.6</v>
      </c>
      <c r="R45" s="153">
        <v>0</v>
      </c>
      <c r="S45" s="153">
        <v>0</v>
      </c>
      <c r="T45" s="153">
        <v>33868.370000000003</v>
      </c>
      <c r="U45" s="153">
        <f t="shared" si="1"/>
        <v>222025.97</v>
      </c>
      <c r="V45" t="str">
        <f>VLOOKUP(I45,Abstract!$E$4:$F$62,2,0)</f>
        <v>CHIK EGG 4M 20% E 1920P W C 1RE E 80P F MRP Rs.1.00</v>
      </c>
    </row>
    <row r="46" spans="1:22">
      <c r="A46" s="153" t="s">
        <v>1718</v>
      </c>
      <c r="B46" s="153" t="s">
        <v>1711</v>
      </c>
      <c r="C46" s="64" t="s">
        <v>934</v>
      </c>
      <c r="D46" s="153" t="s">
        <v>1719</v>
      </c>
      <c r="E46" s="153" t="s">
        <v>1720</v>
      </c>
      <c r="F46" s="65" t="s">
        <v>1714</v>
      </c>
      <c r="G46" s="153" t="s">
        <v>1627</v>
      </c>
      <c r="H46" s="153" t="s">
        <v>1628</v>
      </c>
      <c r="I46" s="154" t="s">
        <v>82</v>
      </c>
      <c r="J46" s="153" t="s">
        <v>83</v>
      </c>
      <c r="K46" s="153" t="s">
        <v>1629</v>
      </c>
      <c r="L46" s="66" t="s">
        <v>1630</v>
      </c>
      <c r="M46" s="153">
        <v>600</v>
      </c>
      <c r="N46" s="67">
        <v>714.24</v>
      </c>
      <c r="O46" s="153">
        <v>428544</v>
      </c>
      <c r="P46" s="68"/>
      <c r="Q46" s="153">
        <v>428544</v>
      </c>
      <c r="R46" s="153">
        <v>0</v>
      </c>
      <c r="S46" s="153">
        <v>0</v>
      </c>
      <c r="T46" s="153">
        <v>77137.919999999998</v>
      </c>
      <c r="U46" s="153">
        <f t="shared" si="1"/>
        <v>505681.91999999998</v>
      </c>
      <c r="V46" t="str">
        <f>VLOOKUP(I46,Abstract!$E$4:$F$62,2,0)</f>
        <v>CHIK JAS PROSOL SOYA 4M+2ML EX1920P 22RL MRP RS.1.00</v>
      </c>
    </row>
    <row r="47" spans="1:22">
      <c r="A47" s="153" t="s">
        <v>1721</v>
      </c>
      <c r="B47" s="153" t="s">
        <v>1722</v>
      </c>
      <c r="C47" s="64" t="s">
        <v>934</v>
      </c>
      <c r="D47" s="153" t="s">
        <v>1723</v>
      </c>
      <c r="E47" s="153" t="s">
        <v>1724</v>
      </c>
      <c r="F47" s="65" t="s">
        <v>1725</v>
      </c>
      <c r="G47" s="153" t="s">
        <v>1650</v>
      </c>
      <c r="H47" s="153" t="s">
        <v>1651</v>
      </c>
      <c r="I47" s="154" t="s">
        <v>104</v>
      </c>
      <c r="J47" s="153" t="s">
        <v>105</v>
      </c>
      <c r="K47" s="153" t="s">
        <v>1629</v>
      </c>
      <c r="L47" s="66" t="s">
        <v>1630</v>
      </c>
      <c r="M47" s="153">
        <v>1120</v>
      </c>
      <c r="N47" s="67">
        <v>768.24</v>
      </c>
      <c r="O47" s="153">
        <v>860428.80000000005</v>
      </c>
      <c r="P47" s="68"/>
      <c r="Q47" s="153">
        <v>860428.80000000005</v>
      </c>
      <c r="R47" s="153">
        <v>0</v>
      </c>
      <c r="S47" s="153">
        <v>0</v>
      </c>
      <c r="T47" s="153">
        <v>154877.18</v>
      </c>
      <c r="U47" s="153">
        <f t="shared" si="1"/>
        <v>1015305.98</v>
      </c>
      <c r="V47" t="str">
        <f>VLOOKUP(I47,Abstract!$E$4:$F$62,2,0)</f>
        <v>CHIK BLK 4M 50% E 1920P W C1RE BLK 80P F MRP Rs.1.00</v>
      </c>
    </row>
    <row r="48" spans="1:22">
      <c r="A48" s="153" t="s">
        <v>1726</v>
      </c>
      <c r="B48" s="153" t="s">
        <v>1722</v>
      </c>
      <c r="C48" s="64" t="s">
        <v>934</v>
      </c>
      <c r="D48" s="153" t="s">
        <v>1727</v>
      </c>
      <c r="E48" s="153" t="s">
        <v>1728</v>
      </c>
      <c r="F48" s="65" t="s">
        <v>1725</v>
      </c>
      <c r="G48" s="153" t="s">
        <v>1650</v>
      </c>
      <c r="H48" s="153" t="s">
        <v>1651</v>
      </c>
      <c r="I48" s="154" t="s">
        <v>90</v>
      </c>
      <c r="J48" s="153" t="s">
        <v>91</v>
      </c>
      <c r="K48" s="153" t="s">
        <v>1629</v>
      </c>
      <c r="L48" s="66" t="s">
        <v>1630</v>
      </c>
      <c r="M48" s="153">
        <v>540</v>
      </c>
      <c r="N48" s="67">
        <v>937.09</v>
      </c>
      <c r="O48" s="153">
        <v>506028.6</v>
      </c>
      <c r="P48" s="68"/>
      <c r="Q48" s="153">
        <v>506028.6</v>
      </c>
      <c r="R48" s="153">
        <v>0</v>
      </c>
      <c r="S48" s="153">
        <v>0</v>
      </c>
      <c r="T48" s="153">
        <v>91085.15</v>
      </c>
      <c r="U48" s="153">
        <f t="shared" si="1"/>
        <v>597113.75</v>
      </c>
      <c r="V48" t="str">
        <f>VLOOKUP(I48,Abstract!$E$4:$F$62,2,0)</f>
        <v>CHIK BLK HFP PROSOL 3G 23%EX 4800PC RL22 MRP RS.0.50</v>
      </c>
    </row>
    <row r="49" spans="1:22">
      <c r="A49" s="153" t="s">
        <v>1726</v>
      </c>
      <c r="B49" s="153" t="s">
        <v>1722</v>
      </c>
      <c r="C49" s="64" t="s">
        <v>934</v>
      </c>
      <c r="D49" s="153" t="s">
        <v>1727</v>
      </c>
      <c r="E49" s="153" t="s">
        <v>1728</v>
      </c>
      <c r="F49" s="65" t="s">
        <v>1725</v>
      </c>
      <c r="G49" s="153" t="s">
        <v>1650</v>
      </c>
      <c r="H49" s="153" t="s">
        <v>1651</v>
      </c>
      <c r="I49" s="154" t="s">
        <v>104</v>
      </c>
      <c r="J49" s="153" t="s">
        <v>105</v>
      </c>
      <c r="K49" s="153" t="s">
        <v>1629</v>
      </c>
      <c r="L49" s="66" t="s">
        <v>1630</v>
      </c>
      <c r="M49" s="153">
        <v>176</v>
      </c>
      <c r="N49" s="67">
        <v>768.24</v>
      </c>
      <c r="O49" s="153">
        <v>135210.23999999999</v>
      </c>
      <c r="P49" s="68"/>
      <c r="Q49" s="153">
        <v>135210.23999999999</v>
      </c>
      <c r="R49" s="153">
        <v>0</v>
      </c>
      <c r="S49" s="153">
        <v>0</v>
      </c>
      <c r="T49" s="153">
        <v>24337.84</v>
      </c>
      <c r="U49" s="153">
        <f t="shared" si="1"/>
        <v>159548.07999999999</v>
      </c>
      <c r="V49" t="str">
        <f>VLOOKUP(I49,Abstract!$E$4:$F$62,2,0)</f>
        <v>CHIK BLK 4M 50% E 1920P W C1RE BLK 80P F MRP Rs.1.00</v>
      </c>
    </row>
    <row r="50" spans="1:22">
      <c r="A50" s="153" t="s">
        <v>1729</v>
      </c>
      <c r="B50" s="153" t="s">
        <v>1722</v>
      </c>
      <c r="C50" s="64" t="s">
        <v>934</v>
      </c>
      <c r="D50" s="153" t="s">
        <v>1730</v>
      </c>
      <c r="E50" s="153" t="s">
        <v>1731</v>
      </c>
      <c r="F50" s="65" t="s">
        <v>1725</v>
      </c>
      <c r="G50" s="153" t="s">
        <v>1634</v>
      </c>
      <c r="H50" s="153" t="s">
        <v>1635</v>
      </c>
      <c r="I50" s="154" t="s">
        <v>90</v>
      </c>
      <c r="J50" s="153" t="s">
        <v>91</v>
      </c>
      <c r="K50" s="153" t="s">
        <v>1629</v>
      </c>
      <c r="L50" s="66" t="s">
        <v>1630</v>
      </c>
      <c r="M50" s="153">
        <v>720</v>
      </c>
      <c r="N50" s="67">
        <v>937.09</v>
      </c>
      <c r="O50" s="153">
        <v>674704.8</v>
      </c>
      <c r="P50" s="68"/>
      <c r="Q50" s="153">
        <v>674704.8</v>
      </c>
      <c r="R50" s="153">
        <v>0</v>
      </c>
      <c r="S50" s="153">
        <v>0</v>
      </c>
      <c r="T50" s="153">
        <v>121446.86</v>
      </c>
      <c r="U50" s="153">
        <f t="shared" si="1"/>
        <v>796151.66</v>
      </c>
      <c r="V50" t="str">
        <f>VLOOKUP(I50,Abstract!$E$4:$F$62,2,0)</f>
        <v>CHIK BLK HFP PROSOL 3G 23%EX 4800PC RL22 MRP RS.0.50</v>
      </c>
    </row>
    <row r="51" spans="1:22">
      <c r="A51" s="153" t="s">
        <v>1732</v>
      </c>
      <c r="B51" s="153" t="s">
        <v>1722</v>
      </c>
      <c r="C51" s="64" t="s">
        <v>934</v>
      </c>
      <c r="D51" s="153" t="s">
        <v>1733</v>
      </c>
      <c r="E51" s="153" t="s">
        <v>1734</v>
      </c>
      <c r="F51" s="65" t="s">
        <v>1725</v>
      </c>
      <c r="G51" s="153" t="s">
        <v>1634</v>
      </c>
      <c r="H51" s="153" t="s">
        <v>1635</v>
      </c>
      <c r="I51" s="154" t="s">
        <v>90</v>
      </c>
      <c r="J51" s="153" t="s">
        <v>91</v>
      </c>
      <c r="K51" s="153" t="s">
        <v>1629</v>
      </c>
      <c r="L51" s="66" t="s">
        <v>1630</v>
      </c>
      <c r="M51" s="153">
        <v>360</v>
      </c>
      <c r="N51" s="67">
        <v>937.09</v>
      </c>
      <c r="O51" s="153">
        <v>337352.4</v>
      </c>
      <c r="P51" s="68"/>
      <c r="Q51" s="153">
        <v>337352.4</v>
      </c>
      <c r="R51" s="153">
        <v>0</v>
      </c>
      <c r="S51" s="153">
        <v>0</v>
      </c>
      <c r="T51" s="153">
        <v>60723.43</v>
      </c>
      <c r="U51" s="153">
        <f t="shared" si="1"/>
        <v>398075.83</v>
      </c>
      <c r="V51" t="str">
        <f>VLOOKUP(I51,Abstract!$E$4:$F$62,2,0)</f>
        <v>CHIK BLK HFP PROSOL 3G 23%EX 4800PC RL22 MRP RS.0.50</v>
      </c>
    </row>
    <row r="52" spans="1:22">
      <c r="A52" s="153" t="s">
        <v>1732</v>
      </c>
      <c r="B52" s="153" t="s">
        <v>1722</v>
      </c>
      <c r="C52" s="64" t="s">
        <v>934</v>
      </c>
      <c r="D52" s="153" t="s">
        <v>1733</v>
      </c>
      <c r="E52" s="153" t="s">
        <v>1734</v>
      </c>
      <c r="F52" s="65" t="s">
        <v>1725</v>
      </c>
      <c r="G52" s="153" t="s">
        <v>1634</v>
      </c>
      <c r="H52" s="153" t="s">
        <v>1635</v>
      </c>
      <c r="I52" s="154" t="s">
        <v>108</v>
      </c>
      <c r="J52" s="153" t="s">
        <v>109</v>
      </c>
      <c r="K52" s="153" t="s">
        <v>1629</v>
      </c>
      <c r="L52" s="66" t="s">
        <v>1630</v>
      </c>
      <c r="M52" s="153">
        <v>360</v>
      </c>
      <c r="N52" s="67">
        <v>957.97</v>
      </c>
      <c r="O52" s="153">
        <v>344869.2</v>
      </c>
      <c r="P52" s="68"/>
      <c r="Q52" s="153">
        <v>344869.2</v>
      </c>
      <c r="R52" s="153">
        <v>0</v>
      </c>
      <c r="S52" s="153">
        <v>0</v>
      </c>
      <c r="T52" s="153">
        <v>62076.46</v>
      </c>
      <c r="U52" s="153">
        <f t="shared" si="1"/>
        <v>406945.66000000003</v>
      </c>
      <c r="V52" t="str">
        <f>VLOOKUP(I52,Abstract!$E$4:$F$62,2,0)</f>
        <v>KARTHIKA DAM SHIELD SH 3G 23% EX 4800PCS MRP Rs.0.50</v>
      </c>
    </row>
    <row r="53" spans="1:22">
      <c r="A53" s="153" t="s">
        <v>1735</v>
      </c>
      <c r="B53" s="153" t="s">
        <v>1722</v>
      </c>
      <c r="C53" s="64" t="s">
        <v>934</v>
      </c>
      <c r="D53" s="153" t="s">
        <v>1736</v>
      </c>
      <c r="E53" s="153" t="s">
        <v>1737</v>
      </c>
      <c r="F53" s="65" t="s">
        <v>1725</v>
      </c>
      <c r="G53" s="153" t="s">
        <v>1627</v>
      </c>
      <c r="H53" s="153" t="s">
        <v>1628</v>
      </c>
      <c r="I53" s="154" t="s">
        <v>108</v>
      </c>
      <c r="J53" s="153" t="s">
        <v>109</v>
      </c>
      <c r="K53" s="153" t="s">
        <v>1629</v>
      </c>
      <c r="L53" s="66" t="s">
        <v>1630</v>
      </c>
      <c r="M53" s="153">
        <v>720</v>
      </c>
      <c r="N53" s="67">
        <v>957.97</v>
      </c>
      <c r="O53" s="153">
        <v>689738.4</v>
      </c>
      <c r="P53" s="68"/>
      <c r="Q53" s="153">
        <v>689738.4</v>
      </c>
      <c r="R53" s="153">
        <v>0</v>
      </c>
      <c r="S53" s="153">
        <v>0</v>
      </c>
      <c r="T53" s="153">
        <v>124152.91</v>
      </c>
      <c r="U53" s="153">
        <f t="shared" si="1"/>
        <v>813891.31</v>
      </c>
      <c r="V53" t="str">
        <f>VLOOKUP(I53,Abstract!$E$4:$F$62,2,0)</f>
        <v>KARTHIKA DAM SHIELD SH 3G 23% EX 4800PCS MRP Rs.0.50</v>
      </c>
    </row>
    <row r="54" spans="1:22">
      <c r="A54" s="153" t="s">
        <v>1738</v>
      </c>
      <c r="B54" s="153" t="s">
        <v>1722</v>
      </c>
      <c r="C54" s="64" t="s">
        <v>934</v>
      </c>
      <c r="D54" s="153" t="s">
        <v>969</v>
      </c>
      <c r="E54" s="153" t="s">
        <v>1739</v>
      </c>
      <c r="F54" s="65" t="s">
        <v>1725</v>
      </c>
      <c r="G54" s="153" t="s">
        <v>1627</v>
      </c>
      <c r="H54" s="153" t="s">
        <v>1628</v>
      </c>
      <c r="I54" s="154" t="s">
        <v>90</v>
      </c>
      <c r="J54" s="153" t="s">
        <v>91</v>
      </c>
      <c r="K54" s="153" t="s">
        <v>1629</v>
      </c>
      <c r="L54" s="66" t="s">
        <v>1630</v>
      </c>
      <c r="M54" s="153">
        <v>720</v>
      </c>
      <c r="N54" s="67">
        <v>937.09</v>
      </c>
      <c r="O54" s="153">
        <v>674704.8</v>
      </c>
      <c r="P54" s="68"/>
      <c r="Q54" s="153">
        <v>674704.8</v>
      </c>
      <c r="R54" s="153">
        <v>0</v>
      </c>
      <c r="S54" s="153">
        <v>0</v>
      </c>
      <c r="T54" s="153">
        <v>121446.86</v>
      </c>
      <c r="U54" s="153">
        <f t="shared" si="1"/>
        <v>796151.66</v>
      </c>
      <c r="V54" t="str">
        <f>VLOOKUP(I54,Abstract!$E$4:$F$62,2,0)</f>
        <v>CHIK BLK HFP PROSOL 3G 23%EX 4800PC RL22 MRP RS.0.50</v>
      </c>
    </row>
    <row r="55" spans="1:22">
      <c r="A55" s="153" t="s">
        <v>1740</v>
      </c>
      <c r="B55" s="153" t="s">
        <v>1741</v>
      </c>
      <c r="C55" s="64" t="s">
        <v>934</v>
      </c>
      <c r="D55" s="153" t="s">
        <v>1742</v>
      </c>
      <c r="E55" s="153" t="s">
        <v>1743</v>
      </c>
      <c r="F55" s="65" t="s">
        <v>1744</v>
      </c>
      <c r="G55" s="153" t="s">
        <v>1650</v>
      </c>
      <c r="H55" s="153" t="s">
        <v>1651</v>
      </c>
      <c r="I55" s="154" t="s">
        <v>104</v>
      </c>
      <c r="J55" s="153" t="s">
        <v>105</v>
      </c>
      <c r="K55" s="153" t="s">
        <v>1629</v>
      </c>
      <c r="L55" s="66" t="s">
        <v>1630</v>
      </c>
      <c r="M55" s="153">
        <v>1016</v>
      </c>
      <c r="N55" s="67">
        <v>768.24</v>
      </c>
      <c r="O55" s="153">
        <v>780531.84</v>
      </c>
      <c r="P55" s="68"/>
      <c r="Q55" s="153">
        <v>780531.84</v>
      </c>
      <c r="R55" s="153">
        <v>0</v>
      </c>
      <c r="S55" s="153">
        <v>0</v>
      </c>
      <c r="T55" s="153">
        <v>140495.73000000001</v>
      </c>
      <c r="U55" s="153">
        <f t="shared" si="1"/>
        <v>921027.57</v>
      </c>
      <c r="V55" t="str">
        <f>VLOOKUP(I55,Abstract!$E$4:$F$62,2,0)</f>
        <v>CHIK BLK 4M 50% E 1920P W C1RE BLK 80P F MRP Rs.1.00</v>
      </c>
    </row>
    <row r="56" spans="1:22">
      <c r="A56" s="153" t="s">
        <v>1740</v>
      </c>
      <c r="B56" s="153" t="s">
        <v>1741</v>
      </c>
      <c r="C56" s="64" t="s">
        <v>934</v>
      </c>
      <c r="D56" s="153" t="s">
        <v>1742</v>
      </c>
      <c r="E56" s="153" t="s">
        <v>1743</v>
      </c>
      <c r="F56" s="65" t="s">
        <v>1744</v>
      </c>
      <c r="G56" s="153" t="s">
        <v>1650</v>
      </c>
      <c r="H56" s="153" t="s">
        <v>1651</v>
      </c>
      <c r="I56" s="154" t="s">
        <v>86</v>
      </c>
      <c r="J56" s="153" t="s">
        <v>87</v>
      </c>
      <c r="K56" s="153" t="s">
        <v>1629</v>
      </c>
      <c r="L56" s="66" t="s">
        <v>1630</v>
      </c>
      <c r="M56" s="153">
        <v>60</v>
      </c>
      <c r="N56" s="67">
        <v>829.62</v>
      </c>
      <c r="O56" s="153">
        <v>49777.2</v>
      </c>
      <c r="P56" s="68"/>
      <c r="Q56" s="153">
        <v>49777.2</v>
      </c>
      <c r="R56" s="153">
        <v>0</v>
      </c>
      <c r="S56" s="153">
        <v>0</v>
      </c>
      <c r="T56" s="153">
        <v>8959.9</v>
      </c>
      <c r="U56" s="153">
        <f t="shared" si="1"/>
        <v>58737.1</v>
      </c>
      <c r="V56" t="str">
        <f>VLOOKUP(I56,Abstract!$E$4:$F$62,2,0)</f>
        <v>KARTHIKA SHAM HAIRFALL SHIELD 650ML 12PC MRP RS 475.00</v>
      </c>
    </row>
    <row r="57" spans="1:22">
      <c r="A57" s="153" t="s">
        <v>1745</v>
      </c>
      <c r="B57" s="153" t="s">
        <v>1741</v>
      </c>
      <c r="C57" s="64" t="s">
        <v>934</v>
      </c>
      <c r="D57" s="153" t="s">
        <v>1746</v>
      </c>
      <c r="E57" s="153" t="s">
        <v>1747</v>
      </c>
      <c r="F57" s="65" t="s">
        <v>1744</v>
      </c>
      <c r="G57" s="153" t="s">
        <v>1644</v>
      </c>
      <c r="H57" s="153" t="s">
        <v>1645</v>
      </c>
      <c r="I57" s="154" t="s">
        <v>106</v>
      </c>
      <c r="J57" s="153" t="s">
        <v>107</v>
      </c>
      <c r="K57" s="153" t="s">
        <v>1629</v>
      </c>
      <c r="L57" s="66" t="s">
        <v>1630</v>
      </c>
      <c r="M57" s="153">
        <v>305</v>
      </c>
      <c r="N57" s="67">
        <v>783.99</v>
      </c>
      <c r="O57" s="153">
        <v>239116.95</v>
      </c>
      <c r="P57" s="68"/>
      <c r="Q57" s="153">
        <v>239116.95</v>
      </c>
      <c r="R57" s="153">
        <v>21520.53</v>
      </c>
      <c r="S57" s="153">
        <v>21520.53</v>
      </c>
      <c r="T57" s="153">
        <v>0</v>
      </c>
      <c r="U57" s="153">
        <f t="shared" si="1"/>
        <v>282158.01</v>
      </c>
      <c r="V57" t="str">
        <f>VLOOKUP(I57,Abstract!$E$4:$F$62,2,0)</f>
        <v>CHIK EGG 4M 20% E 1920P W C 1RE E 80P F MRP Rs.1.00</v>
      </c>
    </row>
    <row r="58" spans="1:22">
      <c r="A58" s="153" t="s">
        <v>1745</v>
      </c>
      <c r="B58" s="153" t="s">
        <v>1741</v>
      </c>
      <c r="C58" s="64" t="s">
        <v>934</v>
      </c>
      <c r="D58" s="153" t="s">
        <v>1746</v>
      </c>
      <c r="E58" s="153" t="s">
        <v>1747</v>
      </c>
      <c r="F58" s="65" t="s">
        <v>1744</v>
      </c>
      <c r="G58" s="153" t="s">
        <v>1644</v>
      </c>
      <c r="H58" s="153" t="s">
        <v>1645</v>
      </c>
      <c r="I58" s="154" t="s">
        <v>122</v>
      </c>
      <c r="J58" s="153" t="s">
        <v>123</v>
      </c>
      <c r="K58" s="153" t="s">
        <v>1629</v>
      </c>
      <c r="L58" s="66" t="s">
        <v>1630</v>
      </c>
      <c r="M58" s="153">
        <v>461</v>
      </c>
      <c r="N58" s="67">
        <v>697.8</v>
      </c>
      <c r="O58" s="153">
        <v>321685.8</v>
      </c>
      <c r="P58" s="68"/>
      <c r="Q58" s="153">
        <v>321685.8</v>
      </c>
      <c r="R58" s="153">
        <v>28951.72</v>
      </c>
      <c r="S58" s="153">
        <v>28951.72</v>
      </c>
      <c r="T58" s="153">
        <v>0</v>
      </c>
      <c r="U58" s="153">
        <f t="shared" si="1"/>
        <v>379589.24</v>
      </c>
      <c r="V58" t="str">
        <f>VLOOKUP(I58,Abstract!$E$4:$F$62,2,0)</f>
        <v>MEERA GOT HFC NON HOLO SH 5M 20%EX1440PC</v>
      </c>
    </row>
    <row r="59" spans="1:22">
      <c r="A59" s="153" t="s">
        <v>1748</v>
      </c>
      <c r="B59" s="153" t="s">
        <v>1741</v>
      </c>
      <c r="C59" s="64" t="s">
        <v>934</v>
      </c>
      <c r="D59" s="153" t="s">
        <v>1749</v>
      </c>
      <c r="E59" s="153" t="s">
        <v>1750</v>
      </c>
      <c r="F59" s="65" t="s">
        <v>1744</v>
      </c>
      <c r="G59" s="153" t="s">
        <v>1644</v>
      </c>
      <c r="H59" s="153" t="s">
        <v>1645</v>
      </c>
      <c r="I59" s="154" t="s">
        <v>104</v>
      </c>
      <c r="J59" s="153" t="s">
        <v>105</v>
      </c>
      <c r="K59" s="153" t="s">
        <v>1629</v>
      </c>
      <c r="L59" s="66" t="s">
        <v>1630</v>
      </c>
      <c r="M59" s="153">
        <v>1044</v>
      </c>
      <c r="N59" s="67">
        <v>768.24</v>
      </c>
      <c r="O59" s="153">
        <v>802042.56</v>
      </c>
      <c r="P59" s="68"/>
      <c r="Q59" s="153">
        <v>802042.56</v>
      </c>
      <c r="R59" s="153">
        <v>72183.83</v>
      </c>
      <c r="S59" s="153">
        <v>72183.83</v>
      </c>
      <c r="T59" s="153">
        <v>0</v>
      </c>
      <c r="U59" s="153">
        <f t="shared" si="1"/>
        <v>946410.22</v>
      </c>
      <c r="V59" t="str">
        <f>VLOOKUP(I59,Abstract!$E$4:$F$62,2,0)</f>
        <v>CHIK BLK 4M 50% E 1920P W C1RE BLK 80P F MRP Rs.1.00</v>
      </c>
    </row>
    <row r="60" spans="1:22">
      <c r="A60" s="153" t="s">
        <v>1748</v>
      </c>
      <c r="B60" s="153" t="s">
        <v>1741</v>
      </c>
      <c r="C60" s="64" t="s">
        <v>934</v>
      </c>
      <c r="D60" s="153" t="s">
        <v>1749</v>
      </c>
      <c r="E60" s="153" t="s">
        <v>1750</v>
      </c>
      <c r="F60" s="65" t="s">
        <v>1744</v>
      </c>
      <c r="G60" s="153" t="s">
        <v>1644</v>
      </c>
      <c r="H60" s="153" t="s">
        <v>1645</v>
      </c>
      <c r="I60" s="154" t="s">
        <v>86</v>
      </c>
      <c r="J60" s="153" t="s">
        <v>87</v>
      </c>
      <c r="K60" s="153" t="s">
        <v>1629</v>
      </c>
      <c r="L60" s="66" t="s">
        <v>1630</v>
      </c>
      <c r="M60" s="153">
        <v>24</v>
      </c>
      <c r="N60" s="67">
        <v>829.62</v>
      </c>
      <c r="O60" s="153">
        <v>19910.88</v>
      </c>
      <c r="P60" s="68"/>
      <c r="Q60" s="153">
        <v>19910.88</v>
      </c>
      <c r="R60" s="153">
        <v>1791.98</v>
      </c>
      <c r="S60" s="153">
        <v>1791.98</v>
      </c>
      <c r="T60" s="153">
        <v>0</v>
      </c>
      <c r="U60" s="153">
        <f t="shared" si="1"/>
        <v>23494.84</v>
      </c>
      <c r="V60" t="str">
        <f>VLOOKUP(I60,Abstract!$E$4:$F$62,2,0)</f>
        <v>KARTHIKA SHAM HAIRFALL SHIELD 650ML 12PC MRP RS 475.00</v>
      </c>
    </row>
    <row r="61" spans="1:22">
      <c r="A61" s="153" t="s">
        <v>1751</v>
      </c>
      <c r="B61" s="153" t="s">
        <v>1741</v>
      </c>
      <c r="C61" s="64" t="s">
        <v>934</v>
      </c>
      <c r="D61" s="153" t="s">
        <v>1075</v>
      </c>
      <c r="E61" s="153" t="s">
        <v>1752</v>
      </c>
      <c r="F61" s="65" t="s">
        <v>1744</v>
      </c>
      <c r="G61" s="153" t="s">
        <v>1627</v>
      </c>
      <c r="H61" s="153" t="s">
        <v>1628</v>
      </c>
      <c r="I61" s="154" t="s">
        <v>90</v>
      </c>
      <c r="J61" s="153" t="s">
        <v>91</v>
      </c>
      <c r="K61" s="153" t="s">
        <v>1629</v>
      </c>
      <c r="L61" s="66" t="s">
        <v>1630</v>
      </c>
      <c r="M61" s="153">
        <v>180</v>
      </c>
      <c r="N61" s="67">
        <v>937.09</v>
      </c>
      <c r="O61" s="153">
        <v>168676.2</v>
      </c>
      <c r="P61" s="68"/>
      <c r="Q61" s="153">
        <v>168676.2</v>
      </c>
      <c r="R61" s="153">
        <v>0</v>
      </c>
      <c r="S61" s="153">
        <v>0</v>
      </c>
      <c r="T61" s="153">
        <v>30361.72</v>
      </c>
      <c r="U61" s="153">
        <f t="shared" si="1"/>
        <v>199037.92</v>
      </c>
      <c r="V61" t="str">
        <f>VLOOKUP(I61,Abstract!$E$4:$F$62,2,0)</f>
        <v>CHIK BLK HFP PROSOL 3G 23%EX 4800PC RL22 MRP RS.0.50</v>
      </c>
    </row>
    <row r="62" spans="1:22">
      <c r="A62" s="153" t="s">
        <v>1751</v>
      </c>
      <c r="B62" s="153" t="s">
        <v>1741</v>
      </c>
      <c r="C62" s="64" t="s">
        <v>934</v>
      </c>
      <c r="D62" s="153" t="s">
        <v>1075</v>
      </c>
      <c r="E62" s="153" t="s">
        <v>1752</v>
      </c>
      <c r="F62" s="65" t="s">
        <v>1744</v>
      </c>
      <c r="G62" s="153" t="s">
        <v>1627</v>
      </c>
      <c r="H62" s="153" t="s">
        <v>1628</v>
      </c>
      <c r="I62" s="154" t="s">
        <v>88</v>
      </c>
      <c r="J62" s="153" t="s">
        <v>89</v>
      </c>
      <c r="K62" s="153" t="s">
        <v>1629</v>
      </c>
      <c r="L62" s="66" t="s">
        <v>1630</v>
      </c>
      <c r="M62" s="153">
        <v>315</v>
      </c>
      <c r="N62" s="67">
        <v>936.79</v>
      </c>
      <c r="O62" s="153">
        <v>295088.84999999998</v>
      </c>
      <c r="P62" s="68"/>
      <c r="Q62" s="153">
        <v>295088.84999999998</v>
      </c>
      <c r="R62" s="153">
        <v>0</v>
      </c>
      <c r="S62" s="153">
        <v>0</v>
      </c>
      <c r="T62" s="153">
        <v>53115.99</v>
      </c>
      <c r="U62" s="153">
        <f t="shared" si="1"/>
        <v>348204.83999999997</v>
      </c>
      <c r="V62" t="str">
        <f>VLOOKUP(I62,Abstract!$E$4:$F$62,2,0)</f>
        <v>CHIK JAS HFP PROSOL 3G23% EX 4800PC 22RL MRP RS.0.50</v>
      </c>
    </row>
    <row r="63" spans="1:22">
      <c r="A63" s="153" t="s">
        <v>1751</v>
      </c>
      <c r="B63" s="153" t="s">
        <v>1741</v>
      </c>
      <c r="C63" s="64" t="s">
        <v>934</v>
      </c>
      <c r="D63" s="153" t="s">
        <v>1075</v>
      </c>
      <c r="E63" s="153" t="s">
        <v>1752</v>
      </c>
      <c r="F63" s="65" t="s">
        <v>1744</v>
      </c>
      <c r="G63" s="153" t="s">
        <v>1627</v>
      </c>
      <c r="H63" s="153" t="s">
        <v>1628</v>
      </c>
      <c r="I63" s="154" t="s">
        <v>108</v>
      </c>
      <c r="J63" s="153" t="s">
        <v>109</v>
      </c>
      <c r="K63" s="153" t="s">
        <v>1629</v>
      </c>
      <c r="L63" s="66" t="s">
        <v>1630</v>
      </c>
      <c r="M63" s="153">
        <v>225</v>
      </c>
      <c r="N63" s="67">
        <v>957.97</v>
      </c>
      <c r="O63" s="153">
        <v>215543.25</v>
      </c>
      <c r="P63" s="68"/>
      <c r="Q63" s="153">
        <v>215543.25</v>
      </c>
      <c r="R63" s="153">
        <v>0</v>
      </c>
      <c r="S63" s="153">
        <v>0</v>
      </c>
      <c r="T63" s="153">
        <v>38797.79</v>
      </c>
      <c r="U63" s="153">
        <f t="shared" si="1"/>
        <v>254341.04</v>
      </c>
      <c r="V63" t="str">
        <f>VLOOKUP(I63,Abstract!$E$4:$F$62,2,0)</f>
        <v>KARTHIKA DAM SHIELD SH 3G 23% EX 4800PCS MRP Rs.0.50</v>
      </c>
    </row>
    <row r="64" spans="1:22">
      <c r="A64" s="153" t="s">
        <v>1753</v>
      </c>
      <c r="B64" s="153" t="s">
        <v>1741</v>
      </c>
      <c r="C64" s="64" t="s">
        <v>934</v>
      </c>
      <c r="D64" s="153" t="s">
        <v>1754</v>
      </c>
      <c r="E64" s="153" t="s">
        <v>1755</v>
      </c>
      <c r="F64" s="65" t="s">
        <v>1744</v>
      </c>
      <c r="G64" s="153" t="s">
        <v>1634</v>
      </c>
      <c r="H64" s="153" t="s">
        <v>1635</v>
      </c>
      <c r="I64" s="154" t="s">
        <v>90</v>
      </c>
      <c r="J64" s="153" t="s">
        <v>91</v>
      </c>
      <c r="K64" s="153" t="s">
        <v>1629</v>
      </c>
      <c r="L64" s="66" t="s">
        <v>1630</v>
      </c>
      <c r="M64" s="153">
        <v>720</v>
      </c>
      <c r="N64" s="67">
        <v>937.09</v>
      </c>
      <c r="O64" s="153">
        <v>674704.8</v>
      </c>
      <c r="P64" s="68"/>
      <c r="Q64" s="153">
        <v>674704.8</v>
      </c>
      <c r="R64" s="153">
        <v>0</v>
      </c>
      <c r="S64" s="153">
        <v>0</v>
      </c>
      <c r="T64" s="153">
        <v>121446.86</v>
      </c>
      <c r="U64" s="153">
        <f t="shared" si="1"/>
        <v>796151.66</v>
      </c>
      <c r="V64" t="str">
        <f>VLOOKUP(I64,Abstract!$E$4:$F$62,2,0)</f>
        <v>CHIK BLK HFP PROSOL 3G 23%EX 4800PC RL22 MRP RS.0.50</v>
      </c>
    </row>
    <row r="65" spans="1:22">
      <c r="A65" s="153" t="s">
        <v>1756</v>
      </c>
      <c r="B65" s="153" t="s">
        <v>1741</v>
      </c>
      <c r="C65" s="64" t="s">
        <v>934</v>
      </c>
      <c r="D65" s="153" t="s">
        <v>1757</v>
      </c>
      <c r="E65" s="153" t="s">
        <v>1758</v>
      </c>
      <c r="F65" s="65" t="s">
        <v>1744</v>
      </c>
      <c r="G65" s="153" t="s">
        <v>1627</v>
      </c>
      <c r="H65" s="153" t="s">
        <v>1628</v>
      </c>
      <c r="I65" s="154" t="s">
        <v>90</v>
      </c>
      <c r="J65" s="153" t="s">
        <v>91</v>
      </c>
      <c r="K65" s="153" t="s">
        <v>1629</v>
      </c>
      <c r="L65" s="66" t="s">
        <v>1630</v>
      </c>
      <c r="M65" s="153">
        <v>450</v>
      </c>
      <c r="N65" s="67">
        <v>937.09</v>
      </c>
      <c r="O65" s="153">
        <v>421690.5</v>
      </c>
      <c r="P65" s="68"/>
      <c r="Q65" s="153">
        <v>421690.5</v>
      </c>
      <c r="R65" s="153">
        <v>0</v>
      </c>
      <c r="S65" s="153">
        <v>0</v>
      </c>
      <c r="T65" s="153">
        <v>75904.289999999994</v>
      </c>
      <c r="U65" s="153">
        <f t="shared" si="1"/>
        <v>497594.79</v>
      </c>
      <c r="V65" t="str">
        <f>VLOOKUP(I65,Abstract!$E$4:$F$62,2,0)</f>
        <v>CHIK BLK HFP PROSOL 3G 23%EX 4800PC RL22 MRP RS.0.50</v>
      </c>
    </row>
    <row r="66" spans="1:22">
      <c r="A66" s="153" t="s">
        <v>1756</v>
      </c>
      <c r="B66" s="153" t="s">
        <v>1741</v>
      </c>
      <c r="C66" s="64" t="s">
        <v>934</v>
      </c>
      <c r="D66" s="153" t="s">
        <v>1757</v>
      </c>
      <c r="E66" s="153" t="s">
        <v>1758</v>
      </c>
      <c r="F66" s="65" t="s">
        <v>1744</v>
      </c>
      <c r="G66" s="153" t="s">
        <v>1627</v>
      </c>
      <c r="H66" s="153" t="s">
        <v>1628</v>
      </c>
      <c r="I66" s="154" t="s">
        <v>18</v>
      </c>
      <c r="J66" s="153" t="s">
        <v>1759</v>
      </c>
      <c r="K66" s="153" t="s">
        <v>1629</v>
      </c>
      <c r="L66" s="66" t="s">
        <v>1630</v>
      </c>
      <c r="M66" s="153">
        <v>450</v>
      </c>
      <c r="N66" s="67">
        <v>728.52</v>
      </c>
      <c r="O66" s="153">
        <v>327834</v>
      </c>
      <c r="P66" s="68"/>
      <c r="Q66" s="153">
        <v>327834</v>
      </c>
      <c r="R66" s="153">
        <v>0</v>
      </c>
      <c r="S66" s="153">
        <v>0</v>
      </c>
      <c r="T66" s="153">
        <v>59010.12</v>
      </c>
      <c r="U66" s="153">
        <f t="shared" si="1"/>
        <v>386844.12</v>
      </c>
      <c r="V66" t="str">
        <f>VLOOKUP(I66,Abstract!$E$4:$F$62,2,0)</f>
        <v>Karthika Damage Shield 5.4ml 10% Extra(43W*70mm L)</v>
      </c>
    </row>
    <row r="67" spans="1:22">
      <c r="A67" s="153" t="s">
        <v>1760</v>
      </c>
      <c r="B67" s="153" t="s">
        <v>1741</v>
      </c>
      <c r="C67" s="64" t="s">
        <v>934</v>
      </c>
      <c r="D67" s="153" t="s">
        <v>1018</v>
      </c>
      <c r="E67" s="153" t="s">
        <v>1761</v>
      </c>
      <c r="F67" s="65" t="s">
        <v>1744</v>
      </c>
      <c r="G67" s="153" t="s">
        <v>1634</v>
      </c>
      <c r="H67" s="153" t="s">
        <v>1635</v>
      </c>
      <c r="I67" s="154" t="s">
        <v>88</v>
      </c>
      <c r="J67" s="153" t="s">
        <v>89</v>
      </c>
      <c r="K67" s="153" t="s">
        <v>1629</v>
      </c>
      <c r="L67" s="66" t="s">
        <v>1630</v>
      </c>
      <c r="M67" s="153">
        <v>135</v>
      </c>
      <c r="N67" s="67">
        <v>936.79</v>
      </c>
      <c r="O67" s="153">
        <v>126466.65</v>
      </c>
      <c r="P67" s="68"/>
      <c r="Q67" s="153">
        <v>126466.65</v>
      </c>
      <c r="R67" s="153">
        <v>0</v>
      </c>
      <c r="S67" s="153">
        <v>0</v>
      </c>
      <c r="T67" s="153">
        <v>22764</v>
      </c>
      <c r="U67" s="153">
        <f t="shared" ref="U67:U130" si="2">Q67+R67+S67+T67</f>
        <v>149230.65</v>
      </c>
      <c r="V67" t="str">
        <f>VLOOKUP(I67,Abstract!$E$4:$F$62,2,0)</f>
        <v>CHIK JAS HFP PROSOL 3G23% EX 4800PC 22RL MRP RS.0.50</v>
      </c>
    </row>
    <row r="68" spans="1:22">
      <c r="A68" s="153" t="s">
        <v>1760</v>
      </c>
      <c r="B68" s="153" t="s">
        <v>1741</v>
      </c>
      <c r="C68" s="64" t="s">
        <v>934</v>
      </c>
      <c r="D68" s="153" t="s">
        <v>1018</v>
      </c>
      <c r="E68" s="153" t="s">
        <v>1761</v>
      </c>
      <c r="F68" s="65" t="s">
        <v>1744</v>
      </c>
      <c r="G68" s="153" t="s">
        <v>1634</v>
      </c>
      <c r="H68" s="153" t="s">
        <v>1635</v>
      </c>
      <c r="I68" s="154" t="s">
        <v>104</v>
      </c>
      <c r="J68" s="153" t="s">
        <v>105</v>
      </c>
      <c r="K68" s="153" t="s">
        <v>1629</v>
      </c>
      <c r="L68" s="66" t="s">
        <v>1630</v>
      </c>
      <c r="M68" s="153">
        <v>540</v>
      </c>
      <c r="N68" s="67">
        <v>768.24</v>
      </c>
      <c r="O68" s="153">
        <v>414849.6</v>
      </c>
      <c r="P68" s="68"/>
      <c r="Q68" s="153">
        <v>414849.6</v>
      </c>
      <c r="R68" s="153">
        <v>0</v>
      </c>
      <c r="S68" s="153">
        <v>0</v>
      </c>
      <c r="T68" s="153">
        <v>74672.929999999993</v>
      </c>
      <c r="U68" s="153">
        <f t="shared" si="2"/>
        <v>489522.52999999997</v>
      </c>
      <c r="V68" t="str">
        <f>VLOOKUP(I68,Abstract!$E$4:$F$62,2,0)</f>
        <v>CHIK BLK 4M 50% E 1920P W C1RE BLK 80P F MRP Rs.1.00</v>
      </c>
    </row>
    <row r="69" spans="1:22">
      <c r="A69" s="153" t="s">
        <v>1760</v>
      </c>
      <c r="B69" s="153" t="s">
        <v>1741</v>
      </c>
      <c r="C69" s="64" t="s">
        <v>934</v>
      </c>
      <c r="D69" s="153" t="s">
        <v>1018</v>
      </c>
      <c r="E69" s="153" t="s">
        <v>1761</v>
      </c>
      <c r="F69" s="65" t="s">
        <v>1744</v>
      </c>
      <c r="G69" s="153" t="s">
        <v>1634</v>
      </c>
      <c r="H69" s="153" t="s">
        <v>1635</v>
      </c>
      <c r="I69" s="154" t="s">
        <v>18</v>
      </c>
      <c r="J69" s="153" t="s">
        <v>1759</v>
      </c>
      <c r="K69" s="153" t="s">
        <v>1629</v>
      </c>
      <c r="L69" s="66" t="s">
        <v>1630</v>
      </c>
      <c r="M69" s="153">
        <v>405</v>
      </c>
      <c r="N69" s="67">
        <v>728.52</v>
      </c>
      <c r="O69" s="153">
        <v>295050.59999999998</v>
      </c>
      <c r="P69" s="68"/>
      <c r="Q69" s="153">
        <v>295050.59999999998</v>
      </c>
      <c r="R69" s="153">
        <v>0</v>
      </c>
      <c r="S69" s="153">
        <v>0</v>
      </c>
      <c r="T69" s="153">
        <v>53109.11</v>
      </c>
      <c r="U69" s="153">
        <f t="shared" si="2"/>
        <v>348159.70999999996</v>
      </c>
      <c r="V69" t="str">
        <f>VLOOKUP(I69,Abstract!$E$4:$F$62,2,0)</f>
        <v>Karthika Damage Shield 5.4ml 10% Extra(43W*70mm L)</v>
      </c>
    </row>
    <row r="70" spans="1:22">
      <c r="A70" s="153" t="s">
        <v>1760</v>
      </c>
      <c r="B70" s="153" t="s">
        <v>1741</v>
      </c>
      <c r="C70" s="64" t="s">
        <v>934</v>
      </c>
      <c r="D70" s="153" t="s">
        <v>1018</v>
      </c>
      <c r="E70" s="153" t="s">
        <v>1761</v>
      </c>
      <c r="F70" s="65" t="s">
        <v>1744</v>
      </c>
      <c r="G70" s="153" t="s">
        <v>1634</v>
      </c>
      <c r="H70" s="153" t="s">
        <v>1635</v>
      </c>
      <c r="I70" s="154" t="s">
        <v>86</v>
      </c>
      <c r="J70" s="153" t="s">
        <v>87</v>
      </c>
      <c r="K70" s="153" t="s">
        <v>1629</v>
      </c>
      <c r="L70" s="66" t="s">
        <v>1630</v>
      </c>
      <c r="M70" s="153">
        <v>20</v>
      </c>
      <c r="N70" s="67">
        <v>829.62</v>
      </c>
      <c r="O70" s="153">
        <v>16592.400000000001</v>
      </c>
      <c r="P70" s="68"/>
      <c r="Q70" s="153">
        <v>16592.400000000001</v>
      </c>
      <c r="R70" s="153">
        <v>0</v>
      </c>
      <c r="S70" s="153">
        <v>0</v>
      </c>
      <c r="T70" s="153">
        <v>2986.63</v>
      </c>
      <c r="U70" s="153">
        <f t="shared" si="2"/>
        <v>19579.030000000002</v>
      </c>
      <c r="V70" t="str">
        <f>VLOOKUP(I70,Abstract!$E$4:$F$62,2,0)</f>
        <v>KARTHIKA SHAM HAIRFALL SHIELD 650ML 12PC MRP RS 475.00</v>
      </c>
    </row>
    <row r="71" spans="1:22">
      <c r="A71" s="153" t="s">
        <v>1762</v>
      </c>
      <c r="B71" s="153" t="s">
        <v>1763</v>
      </c>
      <c r="C71" s="64" t="s">
        <v>934</v>
      </c>
      <c r="D71" s="153" t="s">
        <v>1764</v>
      </c>
      <c r="E71" s="153" t="s">
        <v>1765</v>
      </c>
      <c r="F71" s="65" t="s">
        <v>1766</v>
      </c>
      <c r="G71" s="153" t="s">
        <v>1627</v>
      </c>
      <c r="H71" s="153" t="s">
        <v>1628</v>
      </c>
      <c r="I71" s="154" t="s">
        <v>104</v>
      </c>
      <c r="J71" s="153" t="s">
        <v>105</v>
      </c>
      <c r="K71" s="153" t="s">
        <v>1629</v>
      </c>
      <c r="L71" s="66" t="s">
        <v>1630</v>
      </c>
      <c r="M71" s="153">
        <v>675</v>
      </c>
      <c r="N71" s="67">
        <v>768.24</v>
      </c>
      <c r="O71" s="153">
        <v>518562</v>
      </c>
      <c r="P71" s="68"/>
      <c r="Q71" s="153">
        <v>518562</v>
      </c>
      <c r="R71" s="153">
        <v>0</v>
      </c>
      <c r="S71" s="153">
        <v>0</v>
      </c>
      <c r="T71" s="153">
        <v>93341.16</v>
      </c>
      <c r="U71" s="153">
        <f t="shared" si="2"/>
        <v>611903.16</v>
      </c>
      <c r="V71" t="str">
        <f>VLOOKUP(I71,Abstract!$E$4:$F$62,2,0)</f>
        <v>CHIK BLK 4M 50% E 1920P W C1RE BLK 80P F MRP Rs.1.00</v>
      </c>
    </row>
    <row r="72" spans="1:22">
      <c r="A72" s="153" t="s">
        <v>1762</v>
      </c>
      <c r="B72" s="153" t="s">
        <v>1763</v>
      </c>
      <c r="C72" s="64" t="s">
        <v>934</v>
      </c>
      <c r="D72" s="153" t="s">
        <v>1764</v>
      </c>
      <c r="E72" s="153" t="s">
        <v>1765</v>
      </c>
      <c r="F72" s="65" t="s">
        <v>1766</v>
      </c>
      <c r="G72" s="153" t="s">
        <v>1627</v>
      </c>
      <c r="H72" s="153" t="s">
        <v>1628</v>
      </c>
      <c r="I72" s="154" t="s">
        <v>18</v>
      </c>
      <c r="J72" s="153" t="s">
        <v>1759</v>
      </c>
      <c r="K72" s="153" t="s">
        <v>1629</v>
      </c>
      <c r="L72" s="66" t="s">
        <v>1630</v>
      </c>
      <c r="M72" s="153">
        <v>450</v>
      </c>
      <c r="N72" s="67">
        <v>728.52</v>
      </c>
      <c r="O72" s="153">
        <v>327834</v>
      </c>
      <c r="P72" s="68"/>
      <c r="Q72" s="153">
        <v>327834</v>
      </c>
      <c r="R72" s="153">
        <v>0</v>
      </c>
      <c r="S72" s="153">
        <v>0</v>
      </c>
      <c r="T72" s="153">
        <v>59010.12</v>
      </c>
      <c r="U72" s="153">
        <f t="shared" si="2"/>
        <v>386844.12</v>
      </c>
      <c r="V72" t="str">
        <f>VLOOKUP(I72,Abstract!$E$4:$F$62,2,0)</f>
        <v>Karthika Damage Shield 5.4ml 10% Extra(43W*70mm L)</v>
      </c>
    </row>
    <row r="73" spans="1:22">
      <c r="A73" s="153" t="s">
        <v>1767</v>
      </c>
      <c r="B73" s="153" t="s">
        <v>1763</v>
      </c>
      <c r="C73" s="64" t="s">
        <v>934</v>
      </c>
      <c r="D73" s="153" t="s">
        <v>1768</v>
      </c>
      <c r="E73" s="153" t="s">
        <v>1769</v>
      </c>
      <c r="F73" s="65" t="s">
        <v>1766</v>
      </c>
      <c r="G73" s="153" t="s">
        <v>1644</v>
      </c>
      <c r="H73" s="153" t="s">
        <v>1645</v>
      </c>
      <c r="I73" s="154" t="s">
        <v>90</v>
      </c>
      <c r="J73" s="153" t="s">
        <v>91</v>
      </c>
      <c r="K73" s="153" t="s">
        <v>1629</v>
      </c>
      <c r="L73" s="66" t="s">
        <v>1630</v>
      </c>
      <c r="M73" s="153">
        <v>64</v>
      </c>
      <c r="N73" s="67">
        <v>937.09</v>
      </c>
      <c r="O73" s="153">
        <v>59973.760000000002</v>
      </c>
      <c r="P73" s="68"/>
      <c r="Q73" s="153">
        <v>59973.760000000002</v>
      </c>
      <c r="R73" s="153">
        <v>5397.64</v>
      </c>
      <c r="S73" s="153">
        <v>5397.64</v>
      </c>
      <c r="T73" s="153">
        <v>0</v>
      </c>
      <c r="U73" s="153">
        <f t="shared" si="2"/>
        <v>70769.040000000008</v>
      </c>
      <c r="V73" t="str">
        <f>VLOOKUP(I73,Abstract!$E$4:$F$62,2,0)</f>
        <v>CHIK BLK HFP PROSOL 3G 23%EX 4800PC RL22 MRP RS.0.50</v>
      </c>
    </row>
    <row r="74" spans="1:22">
      <c r="A74" s="153" t="s">
        <v>1767</v>
      </c>
      <c r="B74" s="153" t="s">
        <v>1763</v>
      </c>
      <c r="C74" s="64" t="s">
        <v>934</v>
      </c>
      <c r="D74" s="153" t="s">
        <v>1768</v>
      </c>
      <c r="E74" s="153" t="s">
        <v>1769</v>
      </c>
      <c r="F74" s="65" t="s">
        <v>1766</v>
      </c>
      <c r="G74" s="153" t="s">
        <v>1644</v>
      </c>
      <c r="H74" s="153" t="s">
        <v>1645</v>
      </c>
      <c r="I74" s="154" t="s">
        <v>104</v>
      </c>
      <c r="J74" s="153" t="s">
        <v>105</v>
      </c>
      <c r="K74" s="153" t="s">
        <v>1629</v>
      </c>
      <c r="L74" s="66" t="s">
        <v>1630</v>
      </c>
      <c r="M74" s="153">
        <v>405</v>
      </c>
      <c r="N74" s="67">
        <v>768.24</v>
      </c>
      <c r="O74" s="153">
        <v>311137.2</v>
      </c>
      <c r="P74" s="68"/>
      <c r="Q74" s="153">
        <v>311137.2</v>
      </c>
      <c r="R74" s="153">
        <v>28002.35</v>
      </c>
      <c r="S74" s="153">
        <v>28002.35</v>
      </c>
      <c r="T74" s="153">
        <v>0</v>
      </c>
      <c r="U74" s="153">
        <f t="shared" si="2"/>
        <v>367141.89999999997</v>
      </c>
      <c r="V74" t="str">
        <f>VLOOKUP(I74,Abstract!$E$4:$F$62,2,0)</f>
        <v>CHIK BLK 4M 50% E 1920P W C1RE BLK 80P F MRP Rs.1.00</v>
      </c>
    </row>
    <row r="75" spans="1:22">
      <c r="A75" s="153" t="s">
        <v>1767</v>
      </c>
      <c r="B75" s="153" t="s">
        <v>1763</v>
      </c>
      <c r="C75" s="64" t="s">
        <v>934</v>
      </c>
      <c r="D75" s="153" t="s">
        <v>1768</v>
      </c>
      <c r="E75" s="153" t="s">
        <v>1769</v>
      </c>
      <c r="F75" s="65" t="s">
        <v>1766</v>
      </c>
      <c r="G75" s="153" t="s">
        <v>1644</v>
      </c>
      <c r="H75" s="153" t="s">
        <v>1645</v>
      </c>
      <c r="I75" s="154" t="s">
        <v>78</v>
      </c>
      <c r="J75" s="153" t="s">
        <v>1770</v>
      </c>
      <c r="K75" s="153" t="s">
        <v>1629</v>
      </c>
      <c r="L75" s="66" t="s">
        <v>1630</v>
      </c>
      <c r="M75" s="153">
        <v>100</v>
      </c>
      <c r="N75" s="67">
        <v>988.18</v>
      </c>
      <c r="O75" s="153">
        <v>98818</v>
      </c>
      <c r="P75" s="68"/>
      <c r="Q75" s="153">
        <v>98818</v>
      </c>
      <c r="R75" s="153">
        <v>8893.6200000000008</v>
      </c>
      <c r="S75" s="153">
        <v>8893.6200000000008</v>
      </c>
      <c r="T75" s="153">
        <v>0</v>
      </c>
      <c r="U75" s="153">
        <f t="shared" si="2"/>
        <v>116605.23999999999</v>
      </c>
      <c r="V75" t="str">
        <f>VLOOKUP(I75,Abstract!$E$4:$F$62,2,0)</f>
        <v>CHIK JAS PRO SOL SOYA PRO SH 175ML 48PCS MRP. RS.102.00</v>
      </c>
    </row>
    <row r="76" spans="1:22">
      <c r="A76" s="153" t="s">
        <v>1771</v>
      </c>
      <c r="B76" s="153" t="s">
        <v>1763</v>
      </c>
      <c r="C76" s="64" t="s">
        <v>934</v>
      </c>
      <c r="D76" s="153" t="s">
        <v>1772</v>
      </c>
      <c r="E76" s="153" t="s">
        <v>1773</v>
      </c>
      <c r="F76" s="65" t="s">
        <v>1766</v>
      </c>
      <c r="G76" s="153" t="s">
        <v>1650</v>
      </c>
      <c r="H76" s="153" t="s">
        <v>1651</v>
      </c>
      <c r="I76" s="154" t="s">
        <v>104</v>
      </c>
      <c r="J76" s="153" t="s">
        <v>105</v>
      </c>
      <c r="K76" s="153" t="s">
        <v>1629</v>
      </c>
      <c r="L76" s="66" t="s">
        <v>1630</v>
      </c>
      <c r="M76" s="153">
        <v>336</v>
      </c>
      <c r="N76" s="67">
        <v>768.24</v>
      </c>
      <c r="O76" s="153">
        <v>258128.64000000001</v>
      </c>
      <c r="P76" s="68"/>
      <c r="Q76" s="153">
        <v>258128.64000000001</v>
      </c>
      <c r="R76" s="153">
        <v>0</v>
      </c>
      <c r="S76" s="153">
        <v>0</v>
      </c>
      <c r="T76" s="153">
        <v>46463.16</v>
      </c>
      <c r="U76" s="153">
        <f t="shared" si="2"/>
        <v>304591.80000000005</v>
      </c>
      <c r="V76" t="str">
        <f>VLOOKUP(I76,Abstract!$E$4:$F$62,2,0)</f>
        <v>CHIK BLK 4M 50% E 1920P W C1RE BLK 80P F MRP Rs.1.00</v>
      </c>
    </row>
    <row r="77" spans="1:22">
      <c r="A77" s="153" t="s">
        <v>1771</v>
      </c>
      <c r="B77" s="153" t="s">
        <v>1763</v>
      </c>
      <c r="C77" s="64" t="s">
        <v>934</v>
      </c>
      <c r="D77" s="153" t="s">
        <v>1772</v>
      </c>
      <c r="E77" s="153" t="s">
        <v>1773</v>
      </c>
      <c r="F77" s="65" t="s">
        <v>1766</v>
      </c>
      <c r="G77" s="153" t="s">
        <v>1650</v>
      </c>
      <c r="H77" s="153" t="s">
        <v>1651</v>
      </c>
      <c r="I77" s="154" t="s">
        <v>20</v>
      </c>
      <c r="J77" s="153" t="s">
        <v>1636</v>
      </c>
      <c r="K77" s="153" t="s">
        <v>1629</v>
      </c>
      <c r="L77" s="66" t="s">
        <v>1630</v>
      </c>
      <c r="M77" s="153">
        <v>840</v>
      </c>
      <c r="N77" s="67">
        <v>728.3</v>
      </c>
      <c r="O77" s="153">
        <v>611772</v>
      </c>
      <c r="P77" s="68"/>
      <c r="Q77" s="153">
        <v>611772</v>
      </c>
      <c r="R77" s="153">
        <v>0</v>
      </c>
      <c r="S77" s="153">
        <v>0</v>
      </c>
      <c r="T77" s="153">
        <v>110118.96</v>
      </c>
      <c r="U77" s="153">
        <f t="shared" si="2"/>
        <v>721890.96</v>
      </c>
      <c r="V77" t="str">
        <f>VLOOKUP(I77,Abstract!$E$4:$F$62,2,0)</f>
        <v>Karthika Hairfall Shield 5.4ml 10% Extra(43W*70mm L)</v>
      </c>
    </row>
    <row r="78" spans="1:22">
      <c r="A78" s="153" t="s">
        <v>1774</v>
      </c>
      <c r="B78" s="153" t="s">
        <v>1763</v>
      </c>
      <c r="C78" s="64" t="s">
        <v>934</v>
      </c>
      <c r="D78" s="153" t="s">
        <v>1775</v>
      </c>
      <c r="E78" s="153" t="s">
        <v>1776</v>
      </c>
      <c r="F78" s="65" t="s">
        <v>1766</v>
      </c>
      <c r="G78" s="153" t="s">
        <v>1634</v>
      </c>
      <c r="H78" s="153" t="s">
        <v>1635</v>
      </c>
      <c r="I78" s="154" t="s">
        <v>104</v>
      </c>
      <c r="J78" s="153" t="s">
        <v>105</v>
      </c>
      <c r="K78" s="153" t="s">
        <v>1629</v>
      </c>
      <c r="L78" s="66" t="s">
        <v>1630</v>
      </c>
      <c r="M78" s="153">
        <v>787</v>
      </c>
      <c r="N78" s="67">
        <v>768.24</v>
      </c>
      <c r="O78" s="153">
        <v>604604.88</v>
      </c>
      <c r="P78" s="68"/>
      <c r="Q78" s="153">
        <v>604604.88</v>
      </c>
      <c r="R78" s="153">
        <v>0</v>
      </c>
      <c r="S78" s="153">
        <v>0</v>
      </c>
      <c r="T78" s="153">
        <v>108828.88</v>
      </c>
      <c r="U78" s="153">
        <f t="shared" si="2"/>
        <v>713433.76</v>
      </c>
      <c r="V78" t="str">
        <f>VLOOKUP(I78,Abstract!$E$4:$F$62,2,0)</f>
        <v>CHIK BLK 4M 50% E 1920P W C1RE BLK 80P F MRP Rs.1.00</v>
      </c>
    </row>
    <row r="79" spans="1:22">
      <c r="A79" s="153" t="s">
        <v>1774</v>
      </c>
      <c r="B79" s="153" t="s">
        <v>1763</v>
      </c>
      <c r="C79" s="64" t="s">
        <v>934</v>
      </c>
      <c r="D79" s="153" t="s">
        <v>1775</v>
      </c>
      <c r="E79" s="153" t="s">
        <v>1776</v>
      </c>
      <c r="F79" s="65" t="s">
        <v>1766</v>
      </c>
      <c r="G79" s="153" t="s">
        <v>1634</v>
      </c>
      <c r="H79" s="153" t="s">
        <v>1635</v>
      </c>
      <c r="I79" s="154" t="s">
        <v>18</v>
      </c>
      <c r="J79" s="153" t="s">
        <v>1759</v>
      </c>
      <c r="K79" s="153" t="s">
        <v>1629</v>
      </c>
      <c r="L79" s="66" t="s">
        <v>1630</v>
      </c>
      <c r="M79" s="153">
        <v>383</v>
      </c>
      <c r="N79" s="67">
        <v>728.52</v>
      </c>
      <c r="O79" s="153">
        <v>279023.15999999997</v>
      </c>
      <c r="P79" s="68"/>
      <c r="Q79" s="153">
        <v>279023.15999999997</v>
      </c>
      <c r="R79" s="153">
        <v>0</v>
      </c>
      <c r="S79" s="153">
        <v>0</v>
      </c>
      <c r="T79" s="153">
        <v>50224.17</v>
      </c>
      <c r="U79" s="153">
        <f t="shared" si="2"/>
        <v>329247.32999999996</v>
      </c>
      <c r="V79" t="str">
        <f>VLOOKUP(I79,Abstract!$E$4:$F$62,2,0)</f>
        <v>Karthika Damage Shield 5.4ml 10% Extra(43W*70mm L)</v>
      </c>
    </row>
    <row r="80" spans="1:22">
      <c r="A80" s="153" t="s">
        <v>1777</v>
      </c>
      <c r="B80" s="153" t="s">
        <v>1763</v>
      </c>
      <c r="C80" s="64" t="s">
        <v>934</v>
      </c>
      <c r="D80" s="153" t="s">
        <v>1778</v>
      </c>
      <c r="E80" s="153" t="s">
        <v>1779</v>
      </c>
      <c r="F80" s="65" t="s">
        <v>1766</v>
      </c>
      <c r="G80" s="153" t="s">
        <v>1644</v>
      </c>
      <c r="H80" s="153" t="s">
        <v>1645</v>
      </c>
      <c r="I80" s="154" t="s">
        <v>82</v>
      </c>
      <c r="J80" s="153" t="s">
        <v>83</v>
      </c>
      <c r="K80" s="153" t="s">
        <v>1629</v>
      </c>
      <c r="L80" s="66" t="s">
        <v>1630</v>
      </c>
      <c r="M80" s="153">
        <v>1102</v>
      </c>
      <c r="N80" s="67">
        <v>714.24</v>
      </c>
      <c r="O80" s="153">
        <v>787092.47999999998</v>
      </c>
      <c r="P80" s="68"/>
      <c r="Q80" s="153">
        <v>787092.47999999998</v>
      </c>
      <c r="R80" s="153">
        <v>70838.320000000007</v>
      </c>
      <c r="S80" s="153">
        <v>70838.320000000007</v>
      </c>
      <c r="T80" s="153">
        <v>0</v>
      </c>
      <c r="U80" s="153">
        <f t="shared" si="2"/>
        <v>928769.12000000011</v>
      </c>
      <c r="V80" t="str">
        <f>VLOOKUP(I80,Abstract!$E$4:$F$62,2,0)</f>
        <v>CHIK JAS PROSOL SOYA 4M+2ML EX1920P 22RL MRP RS.1.00</v>
      </c>
    </row>
    <row r="81" spans="1:22">
      <c r="A81" s="153" t="s">
        <v>1780</v>
      </c>
      <c r="B81" s="153" t="s">
        <v>1763</v>
      </c>
      <c r="C81" s="64" t="s">
        <v>934</v>
      </c>
      <c r="D81" s="153" t="s">
        <v>1781</v>
      </c>
      <c r="E81" s="153" t="s">
        <v>1782</v>
      </c>
      <c r="F81" s="65" t="s">
        <v>1766</v>
      </c>
      <c r="G81" s="153" t="s">
        <v>1644</v>
      </c>
      <c r="H81" s="153" t="s">
        <v>1645</v>
      </c>
      <c r="I81" s="154" t="s">
        <v>106</v>
      </c>
      <c r="J81" s="153" t="s">
        <v>107</v>
      </c>
      <c r="K81" s="153" t="s">
        <v>1629</v>
      </c>
      <c r="L81" s="66" t="s">
        <v>1630</v>
      </c>
      <c r="M81" s="153">
        <v>450</v>
      </c>
      <c r="N81" s="67">
        <v>783.99</v>
      </c>
      <c r="O81" s="153">
        <v>352795.5</v>
      </c>
      <c r="P81" s="68"/>
      <c r="Q81" s="153">
        <v>352795.5</v>
      </c>
      <c r="R81" s="153">
        <v>31751.599999999999</v>
      </c>
      <c r="S81" s="153">
        <v>31751.599999999999</v>
      </c>
      <c r="T81" s="153">
        <v>0</v>
      </c>
      <c r="U81" s="153">
        <f t="shared" si="2"/>
        <v>416298.69999999995</v>
      </c>
      <c r="V81" t="str">
        <f>VLOOKUP(I81,Abstract!$E$4:$F$62,2,0)</f>
        <v>CHIK EGG 4M 20% E 1920P W C 1RE E 80P F MRP Rs.1.00</v>
      </c>
    </row>
    <row r="82" spans="1:22">
      <c r="A82" s="153" t="s">
        <v>1780</v>
      </c>
      <c r="B82" s="153" t="s">
        <v>1763</v>
      </c>
      <c r="C82" s="64" t="s">
        <v>934</v>
      </c>
      <c r="D82" s="153" t="s">
        <v>1781</v>
      </c>
      <c r="E82" s="153" t="s">
        <v>1782</v>
      </c>
      <c r="F82" s="65" t="s">
        <v>1766</v>
      </c>
      <c r="G82" s="153" t="s">
        <v>1644</v>
      </c>
      <c r="H82" s="153" t="s">
        <v>1645</v>
      </c>
      <c r="I82" s="154" t="s">
        <v>42</v>
      </c>
      <c r="J82" s="153" t="s">
        <v>1656</v>
      </c>
      <c r="K82" s="153" t="s">
        <v>1629</v>
      </c>
      <c r="L82" s="66" t="s">
        <v>1630</v>
      </c>
      <c r="M82" s="153">
        <v>270</v>
      </c>
      <c r="N82" s="67">
        <v>739.15</v>
      </c>
      <c r="O82" s="153">
        <v>199570.5</v>
      </c>
      <c r="P82" s="68"/>
      <c r="Q82" s="153">
        <v>199570.5</v>
      </c>
      <c r="R82" s="153">
        <v>17961.349999999999</v>
      </c>
      <c r="S82" s="153">
        <v>17961.349999999999</v>
      </c>
      <c r="T82" s="153">
        <v>0</v>
      </c>
      <c r="U82" s="153">
        <f t="shared" si="2"/>
        <v>235493.2</v>
      </c>
      <c r="V82" t="str">
        <f>VLOOKUP(I82,Abstract!$E$4:$F$62,2,0)</f>
        <v xml:space="preserve">KARTHIKA DRYNESS SHEILD SH 5.4 10% EX 1920P </v>
      </c>
    </row>
    <row r="83" spans="1:22">
      <c r="A83" s="153" t="s">
        <v>1783</v>
      </c>
      <c r="B83" s="153" t="s">
        <v>1784</v>
      </c>
      <c r="C83" s="64" t="s">
        <v>934</v>
      </c>
      <c r="D83" s="153" t="s">
        <v>1785</v>
      </c>
      <c r="E83" s="153" t="s">
        <v>1786</v>
      </c>
      <c r="F83" s="65" t="s">
        <v>1787</v>
      </c>
      <c r="G83" s="153" t="s">
        <v>1634</v>
      </c>
      <c r="H83" s="153" t="s">
        <v>1635</v>
      </c>
      <c r="I83" s="154" t="s">
        <v>90</v>
      </c>
      <c r="J83" s="153" t="s">
        <v>91</v>
      </c>
      <c r="K83" s="153" t="s">
        <v>1629</v>
      </c>
      <c r="L83" s="66" t="s">
        <v>1630</v>
      </c>
      <c r="M83" s="153">
        <v>405</v>
      </c>
      <c r="N83" s="67">
        <v>937.09</v>
      </c>
      <c r="O83" s="153">
        <v>379521.45</v>
      </c>
      <c r="P83" s="68"/>
      <c r="Q83" s="153">
        <v>379521.45</v>
      </c>
      <c r="R83" s="153">
        <v>0</v>
      </c>
      <c r="S83" s="153">
        <v>0</v>
      </c>
      <c r="T83" s="153">
        <v>68313.86</v>
      </c>
      <c r="U83" s="153">
        <f t="shared" si="2"/>
        <v>447835.31</v>
      </c>
      <c r="V83" t="str">
        <f>VLOOKUP(I83,Abstract!$E$4:$F$62,2,0)</f>
        <v>CHIK BLK HFP PROSOL 3G 23%EX 4800PC RL22 MRP RS.0.50</v>
      </c>
    </row>
    <row r="84" spans="1:22">
      <c r="A84" s="153" t="s">
        <v>1783</v>
      </c>
      <c r="B84" s="153" t="s">
        <v>1784</v>
      </c>
      <c r="C84" s="64" t="s">
        <v>934</v>
      </c>
      <c r="D84" s="153" t="s">
        <v>1785</v>
      </c>
      <c r="E84" s="153" t="s">
        <v>1786</v>
      </c>
      <c r="F84" s="65" t="s">
        <v>1787</v>
      </c>
      <c r="G84" s="153" t="s">
        <v>1634</v>
      </c>
      <c r="H84" s="153" t="s">
        <v>1635</v>
      </c>
      <c r="I84" s="154" t="s">
        <v>108</v>
      </c>
      <c r="J84" s="153" t="s">
        <v>109</v>
      </c>
      <c r="K84" s="153" t="s">
        <v>1629</v>
      </c>
      <c r="L84" s="66" t="s">
        <v>1630</v>
      </c>
      <c r="M84" s="153">
        <v>315</v>
      </c>
      <c r="N84" s="67">
        <v>957.97</v>
      </c>
      <c r="O84" s="153">
        <v>301760.55</v>
      </c>
      <c r="P84" s="68"/>
      <c r="Q84" s="153">
        <v>301760.55</v>
      </c>
      <c r="R84" s="153">
        <v>0</v>
      </c>
      <c r="S84" s="153">
        <v>0</v>
      </c>
      <c r="T84" s="153">
        <v>54316.9</v>
      </c>
      <c r="U84" s="153">
        <f t="shared" si="2"/>
        <v>356077.45</v>
      </c>
      <c r="V84" t="str">
        <f>VLOOKUP(I84,Abstract!$E$4:$F$62,2,0)</f>
        <v>KARTHIKA DAM SHIELD SH 3G 23% EX 4800PCS MRP Rs.0.50</v>
      </c>
    </row>
    <row r="85" spans="1:22">
      <c r="A85" s="153" t="s">
        <v>1788</v>
      </c>
      <c r="B85" s="153" t="s">
        <v>1784</v>
      </c>
      <c r="C85" s="64" t="s">
        <v>934</v>
      </c>
      <c r="D85" s="153" t="s">
        <v>1789</v>
      </c>
      <c r="E85" s="153" t="s">
        <v>1790</v>
      </c>
      <c r="F85" s="65" t="s">
        <v>1787</v>
      </c>
      <c r="G85" s="153" t="s">
        <v>1627</v>
      </c>
      <c r="H85" s="153" t="s">
        <v>1628</v>
      </c>
      <c r="I85" s="154" t="s">
        <v>90</v>
      </c>
      <c r="J85" s="153" t="s">
        <v>91</v>
      </c>
      <c r="K85" s="153" t="s">
        <v>1629</v>
      </c>
      <c r="L85" s="66" t="s">
        <v>1630</v>
      </c>
      <c r="M85" s="153">
        <v>720</v>
      </c>
      <c r="N85" s="67">
        <v>937.09</v>
      </c>
      <c r="O85" s="153">
        <v>674704.8</v>
      </c>
      <c r="P85" s="68"/>
      <c r="Q85" s="153">
        <v>674704.8</v>
      </c>
      <c r="R85" s="153">
        <v>0</v>
      </c>
      <c r="S85" s="153">
        <v>0</v>
      </c>
      <c r="T85" s="153">
        <v>121446.86</v>
      </c>
      <c r="U85" s="153">
        <f t="shared" si="2"/>
        <v>796151.66</v>
      </c>
      <c r="V85" t="str">
        <f>VLOOKUP(I85,Abstract!$E$4:$F$62,2,0)</f>
        <v>CHIK BLK HFP PROSOL 3G 23%EX 4800PC RL22 MRP RS.0.50</v>
      </c>
    </row>
    <row r="86" spans="1:22">
      <c r="A86" s="153" t="s">
        <v>1791</v>
      </c>
      <c r="B86" s="153" t="s">
        <v>1784</v>
      </c>
      <c r="C86" s="64" t="s">
        <v>934</v>
      </c>
      <c r="D86" s="153" t="s">
        <v>1792</v>
      </c>
      <c r="E86" s="153" t="s">
        <v>1793</v>
      </c>
      <c r="F86" s="65" t="s">
        <v>1787</v>
      </c>
      <c r="G86" s="153" t="s">
        <v>1650</v>
      </c>
      <c r="H86" s="153" t="s">
        <v>1651</v>
      </c>
      <c r="I86" s="154" t="s">
        <v>42</v>
      </c>
      <c r="J86" s="153" t="s">
        <v>1656</v>
      </c>
      <c r="K86" s="153" t="s">
        <v>1629</v>
      </c>
      <c r="L86" s="66" t="s">
        <v>1630</v>
      </c>
      <c r="M86" s="153">
        <v>135</v>
      </c>
      <c r="N86" s="67">
        <v>739.15</v>
      </c>
      <c r="O86" s="153">
        <v>99785.25</v>
      </c>
      <c r="P86" s="68"/>
      <c r="Q86" s="153">
        <v>99785.25</v>
      </c>
      <c r="R86" s="153">
        <v>0</v>
      </c>
      <c r="S86" s="153">
        <v>0</v>
      </c>
      <c r="T86" s="153">
        <v>17961.349999999999</v>
      </c>
      <c r="U86" s="153">
        <f t="shared" si="2"/>
        <v>117746.6</v>
      </c>
      <c r="V86" t="str">
        <f>VLOOKUP(I86,Abstract!$E$4:$F$62,2,0)</f>
        <v xml:space="preserve">KARTHIKA DRYNESS SHEILD SH 5.4 10% EX 1920P </v>
      </c>
    </row>
    <row r="87" spans="1:22">
      <c r="A87" s="153" t="s">
        <v>1791</v>
      </c>
      <c r="B87" s="153" t="s">
        <v>1784</v>
      </c>
      <c r="C87" s="64" t="s">
        <v>934</v>
      </c>
      <c r="D87" s="153" t="s">
        <v>1792</v>
      </c>
      <c r="E87" s="153" t="s">
        <v>1793</v>
      </c>
      <c r="F87" s="65" t="s">
        <v>1787</v>
      </c>
      <c r="G87" s="153" t="s">
        <v>1650</v>
      </c>
      <c r="H87" s="153" t="s">
        <v>1651</v>
      </c>
      <c r="I87" s="154" t="s">
        <v>20</v>
      </c>
      <c r="J87" s="153" t="s">
        <v>1636</v>
      </c>
      <c r="K87" s="153" t="s">
        <v>1629</v>
      </c>
      <c r="L87" s="66" t="s">
        <v>1630</v>
      </c>
      <c r="M87" s="153">
        <v>1035</v>
      </c>
      <c r="N87" s="67">
        <v>728.3</v>
      </c>
      <c r="O87" s="153">
        <v>753790.5</v>
      </c>
      <c r="P87" s="68"/>
      <c r="Q87" s="153">
        <v>753790.5</v>
      </c>
      <c r="R87" s="153">
        <v>0</v>
      </c>
      <c r="S87" s="153">
        <v>0</v>
      </c>
      <c r="T87" s="153">
        <v>135682.29</v>
      </c>
      <c r="U87" s="153">
        <f t="shared" si="2"/>
        <v>889472.79</v>
      </c>
      <c r="V87" t="str">
        <f>VLOOKUP(I87,Abstract!$E$4:$F$62,2,0)</f>
        <v>Karthika Hairfall Shield 5.4ml 10% Extra(43W*70mm L)</v>
      </c>
    </row>
    <row r="88" spans="1:22">
      <c r="A88" s="153" t="s">
        <v>1794</v>
      </c>
      <c r="B88" s="153" t="s">
        <v>1784</v>
      </c>
      <c r="C88" s="64" t="s">
        <v>934</v>
      </c>
      <c r="D88" s="153" t="s">
        <v>1795</v>
      </c>
      <c r="E88" s="153" t="s">
        <v>1796</v>
      </c>
      <c r="F88" s="65" t="s">
        <v>1787</v>
      </c>
      <c r="G88" s="153" t="s">
        <v>1627</v>
      </c>
      <c r="H88" s="153" t="s">
        <v>1628</v>
      </c>
      <c r="I88" s="154" t="s">
        <v>90</v>
      </c>
      <c r="J88" s="153" t="s">
        <v>91</v>
      </c>
      <c r="K88" s="153" t="s">
        <v>1629</v>
      </c>
      <c r="L88" s="66" t="s">
        <v>1630</v>
      </c>
      <c r="M88" s="153">
        <v>495</v>
      </c>
      <c r="N88" s="67">
        <v>937.09</v>
      </c>
      <c r="O88" s="153">
        <v>463859.55</v>
      </c>
      <c r="P88" s="68"/>
      <c r="Q88" s="153">
        <v>463859.55</v>
      </c>
      <c r="R88" s="153">
        <v>0</v>
      </c>
      <c r="S88" s="153">
        <v>0</v>
      </c>
      <c r="T88" s="153">
        <v>83494.720000000001</v>
      </c>
      <c r="U88" s="153">
        <f t="shared" si="2"/>
        <v>547354.27</v>
      </c>
      <c r="V88" t="str">
        <f>VLOOKUP(I88,Abstract!$E$4:$F$62,2,0)</f>
        <v>CHIK BLK HFP PROSOL 3G 23%EX 4800PC RL22 MRP RS.0.50</v>
      </c>
    </row>
    <row r="89" spans="1:22">
      <c r="A89" s="153" t="s">
        <v>1794</v>
      </c>
      <c r="B89" s="153" t="s">
        <v>1784</v>
      </c>
      <c r="C89" s="64" t="s">
        <v>934</v>
      </c>
      <c r="D89" s="153" t="s">
        <v>1795</v>
      </c>
      <c r="E89" s="153" t="s">
        <v>1796</v>
      </c>
      <c r="F89" s="65" t="s">
        <v>1787</v>
      </c>
      <c r="G89" s="153" t="s">
        <v>1627</v>
      </c>
      <c r="H89" s="153" t="s">
        <v>1628</v>
      </c>
      <c r="I89" s="154" t="s">
        <v>108</v>
      </c>
      <c r="J89" s="153" t="s">
        <v>109</v>
      </c>
      <c r="K89" s="153" t="s">
        <v>1629</v>
      </c>
      <c r="L89" s="66" t="s">
        <v>1630</v>
      </c>
      <c r="M89" s="153">
        <v>225</v>
      </c>
      <c r="N89" s="67">
        <v>957.97</v>
      </c>
      <c r="O89" s="153">
        <v>215543.25</v>
      </c>
      <c r="P89" s="68"/>
      <c r="Q89" s="153">
        <v>215543.25</v>
      </c>
      <c r="R89" s="153">
        <v>0</v>
      </c>
      <c r="S89" s="153">
        <v>0</v>
      </c>
      <c r="T89" s="153">
        <v>38797.79</v>
      </c>
      <c r="U89" s="153">
        <f t="shared" si="2"/>
        <v>254341.04</v>
      </c>
      <c r="V89" t="str">
        <f>VLOOKUP(I89,Abstract!$E$4:$F$62,2,0)</f>
        <v>KARTHIKA DAM SHIELD SH 3G 23% EX 4800PCS MRP Rs.0.50</v>
      </c>
    </row>
    <row r="90" spans="1:22">
      <c r="A90" s="153" t="s">
        <v>1797</v>
      </c>
      <c r="B90" s="153" t="s">
        <v>1784</v>
      </c>
      <c r="C90" s="64" t="s">
        <v>934</v>
      </c>
      <c r="D90" s="153" t="s">
        <v>1798</v>
      </c>
      <c r="E90" s="153" t="s">
        <v>1799</v>
      </c>
      <c r="F90" s="65" t="s">
        <v>1787</v>
      </c>
      <c r="G90" s="153" t="s">
        <v>1644</v>
      </c>
      <c r="H90" s="153" t="s">
        <v>1645</v>
      </c>
      <c r="I90" s="154" t="s">
        <v>82</v>
      </c>
      <c r="J90" s="153" t="s">
        <v>83</v>
      </c>
      <c r="K90" s="153" t="s">
        <v>1629</v>
      </c>
      <c r="L90" s="66" t="s">
        <v>1630</v>
      </c>
      <c r="M90" s="153">
        <v>315</v>
      </c>
      <c r="N90" s="67">
        <v>714.24</v>
      </c>
      <c r="O90" s="153">
        <v>224985.60000000001</v>
      </c>
      <c r="P90" s="68"/>
      <c r="Q90" s="153">
        <v>224985.60000000001</v>
      </c>
      <c r="R90" s="153">
        <v>20248.7</v>
      </c>
      <c r="S90" s="153">
        <v>20248.7</v>
      </c>
      <c r="T90" s="153">
        <v>0</v>
      </c>
      <c r="U90" s="153">
        <f t="shared" si="2"/>
        <v>265483</v>
      </c>
      <c r="V90" t="str">
        <f>VLOOKUP(I90,Abstract!$E$4:$F$62,2,0)</f>
        <v>CHIK JAS PROSOL SOYA 4M+2ML EX1920P 22RL MRP RS.1.00</v>
      </c>
    </row>
    <row r="91" spans="1:22">
      <c r="A91" s="153" t="s">
        <v>1797</v>
      </c>
      <c r="B91" s="153" t="s">
        <v>1784</v>
      </c>
      <c r="C91" s="64" t="s">
        <v>934</v>
      </c>
      <c r="D91" s="153" t="s">
        <v>1798</v>
      </c>
      <c r="E91" s="153" t="s">
        <v>1799</v>
      </c>
      <c r="F91" s="65" t="s">
        <v>1787</v>
      </c>
      <c r="G91" s="153" t="s">
        <v>1644</v>
      </c>
      <c r="H91" s="153" t="s">
        <v>1645</v>
      </c>
      <c r="I91" s="154" t="s">
        <v>20</v>
      </c>
      <c r="J91" s="153" t="s">
        <v>1636</v>
      </c>
      <c r="K91" s="153" t="s">
        <v>1629</v>
      </c>
      <c r="L91" s="66" t="s">
        <v>1630</v>
      </c>
      <c r="M91" s="153">
        <v>405</v>
      </c>
      <c r="N91" s="67">
        <v>728.3</v>
      </c>
      <c r="O91" s="153">
        <v>294961.5</v>
      </c>
      <c r="P91" s="68"/>
      <c r="Q91" s="153">
        <v>294961.5</v>
      </c>
      <c r="R91" s="153">
        <v>26546.54</v>
      </c>
      <c r="S91" s="153">
        <v>26546.54</v>
      </c>
      <c r="T91" s="153">
        <v>0</v>
      </c>
      <c r="U91" s="153">
        <f t="shared" si="2"/>
        <v>348054.57999999996</v>
      </c>
      <c r="V91" t="str">
        <f>VLOOKUP(I91,Abstract!$E$4:$F$62,2,0)</f>
        <v>Karthika Hairfall Shield 5.4ml 10% Extra(43W*70mm L)</v>
      </c>
    </row>
    <row r="92" spans="1:22">
      <c r="A92" s="153" t="s">
        <v>1800</v>
      </c>
      <c r="B92" s="153" t="s">
        <v>1784</v>
      </c>
      <c r="C92" s="64" t="s">
        <v>934</v>
      </c>
      <c r="D92" s="153" t="s">
        <v>1801</v>
      </c>
      <c r="E92" s="153" t="s">
        <v>1802</v>
      </c>
      <c r="F92" s="65" t="s">
        <v>1787</v>
      </c>
      <c r="G92" s="153" t="s">
        <v>1644</v>
      </c>
      <c r="H92" s="153" t="s">
        <v>1645</v>
      </c>
      <c r="I92" s="154" t="s">
        <v>104</v>
      </c>
      <c r="J92" s="153" t="s">
        <v>105</v>
      </c>
      <c r="K92" s="153" t="s">
        <v>1629</v>
      </c>
      <c r="L92" s="66" t="s">
        <v>1630</v>
      </c>
      <c r="M92" s="153">
        <v>720</v>
      </c>
      <c r="N92" s="67">
        <v>768.24</v>
      </c>
      <c r="O92" s="153">
        <v>553132.80000000005</v>
      </c>
      <c r="P92" s="68"/>
      <c r="Q92" s="153">
        <v>553132.80000000005</v>
      </c>
      <c r="R92" s="153">
        <v>49781.95</v>
      </c>
      <c r="S92" s="153">
        <v>49781.95</v>
      </c>
      <c r="T92" s="153">
        <v>0</v>
      </c>
      <c r="U92" s="153">
        <f t="shared" si="2"/>
        <v>652696.69999999995</v>
      </c>
      <c r="V92" t="str">
        <f>VLOOKUP(I92,Abstract!$E$4:$F$62,2,0)</f>
        <v>CHIK BLK 4M 50% E 1920P W C1RE BLK 80P F MRP Rs.1.00</v>
      </c>
    </row>
    <row r="93" spans="1:22">
      <c r="A93" s="153" t="s">
        <v>1803</v>
      </c>
      <c r="B93" s="153" t="s">
        <v>1804</v>
      </c>
      <c r="C93" s="64" t="s">
        <v>934</v>
      </c>
      <c r="D93" s="153" t="s">
        <v>1504</v>
      </c>
      <c r="E93" s="153" t="s">
        <v>1805</v>
      </c>
      <c r="F93" s="65" t="s">
        <v>1806</v>
      </c>
      <c r="G93" s="153" t="s">
        <v>1650</v>
      </c>
      <c r="H93" s="153" t="s">
        <v>1651</v>
      </c>
      <c r="I93" s="154" t="s">
        <v>104</v>
      </c>
      <c r="J93" s="153" t="s">
        <v>105</v>
      </c>
      <c r="K93" s="153" t="s">
        <v>1629</v>
      </c>
      <c r="L93" s="66" t="s">
        <v>1630</v>
      </c>
      <c r="M93" s="153">
        <v>832</v>
      </c>
      <c r="N93" s="67">
        <v>768.24</v>
      </c>
      <c r="O93" s="153">
        <v>639175.68000000005</v>
      </c>
      <c r="P93" s="68"/>
      <c r="Q93" s="153">
        <v>639175.68000000005</v>
      </c>
      <c r="R93" s="153">
        <v>0</v>
      </c>
      <c r="S93" s="153">
        <v>0</v>
      </c>
      <c r="T93" s="153">
        <v>115051.62</v>
      </c>
      <c r="U93" s="153">
        <f t="shared" si="2"/>
        <v>754227.3</v>
      </c>
      <c r="V93" t="str">
        <f>VLOOKUP(I93,Abstract!$E$4:$F$62,2,0)</f>
        <v>CHIK BLK 4M 50% E 1920P W C1RE BLK 80P F MRP Rs.1.00</v>
      </c>
    </row>
    <row r="94" spans="1:22">
      <c r="A94" s="153" t="s">
        <v>1803</v>
      </c>
      <c r="B94" s="153" t="s">
        <v>1804</v>
      </c>
      <c r="C94" s="64" t="s">
        <v>934</v>
      </c>
      <c r="D94" s="153" t="s">
        <v>1504</v>
      </c>
      <c r="E94" s="153" t="s">
        <v>1805</v>
      </c>
      <c r="F94" s="65" t="s">
        <v>1806</v>
      </c>
      <c r="G94" s="153" t="s">
        <v>1650</v>
      </c>
      <c r="H94" s="153" t="s">
        <v>1651</v>
      </c>
      <c r="I94" s="154" t="s">
        <v>20</v>
      </c>
      <c r="J94" s="153" t="s">
        <v>1636</v>
      </c>
      <c r="K94" s="153" t="s">
        <v>1629</v>
      </c>
      <c r="L94" s="66" t="s">
        <v>1630</v>
      </c>
      <c r="M94" s="153">
        <v>304</v>
      </c>
      <c r="N94" s="67">
        <v>728.3</v>
      </c>
      <c r="O94" s="153">
        <v>221403.2</v>
      </c>
      <c r="P94" s="68"/>
      <c r="Q94" s="153">
        <v>221403.2</v>
      </c>
      <c r="R94" s="153">
        <v>0</v>
      </c>
      <c r="S94" s="153">
        <v>0</v>
      </c>
      <c r="T94" s="153">
        <v>39852.58</v>
      </c>
      <c r="U94" s="153">
        <f t="shared" si="2"/>
        <v>261255.78000000003</v>
      </c>
      <c r="V94" t="str">
        <f>VLOOKUP(I94,Abstract!$E$4:$F$62,2,0)</f>
        <v>Karthika Hairfall Shield 5.4ml 10% Extra(43W*70mm L)</v>
      </c>
    </row>
    <row r="95" spans="1:22">
      <c r="A95" s="153" t="s">
        <v>1807</v>
      </c>
      <c r="B95" s="153" t="s">
        <v>1804</v>
      </c>
      <c r="C95" s="64" t="s">
        <v>934</v>
      </c>
      <c r="D95" s="153" t="s">
        <v>1808</v>
      </c>
      <c r="E95" s="153" t="s">
        <v>1809</v>
      </c>
      <c r="F95" s="65" t="s">
        <v>1806</v>
      </c>
      <c r="G95" s="153" t="s">
        <v>1644</v>
      </c>
      <c r="H95" s="153" t="s">
        <v>1645</v>
      </c>
      <c r="I95" s="154" t="s">
        <v>106</v>
      </c>
      <c r="J95" s="153" t="s">
        <v>107</v>
      </c>
      <c r="K95" s="153" t="s">
        <v>1629</v>
      </c>
      <c r="L95" s="66" t="s">
        <v>1630</v>
      </c>
      <c r="M95" s="153">
        <v>315</v>
      </c>
      <c r="N95" s="67">
        <v>783.99</v>
      </c>
      <c r="O95" s="153">
        <v>246956.85</v>
      </c>
      <c r="P95" s="68"/>
      <c r="Q95" s="153">
        <v>246956.85</v>
      </c>
      <c r="R95" s="153">
        <v>22226.12</v>
      </c>
      <c r="S95" s="153">
        <v>22226.12</v>
      </c>
      <c r="T95" s="153">
        <v>0</v>
      </c>
      <c r="U95" s="153">
        <f t="shared" si="2"/>
        <v>291409.09000000003</v>
      </c>
      <c r="V95" t="str">
        <f>VLOOKUP(I95,Abstract!$E$4:$F$62,2,0)</f>
        <v>CHIK EGG 4M 20% E 1920P W C 1RE E 80P F MRP Rs.1.00</v>
      </c>
    </row>
    <row r="96" spans="1:22">
      <c r="A96" s="153" t="s">
        <v>1807</v>
      </c>
      <c r="B96" s="153" t="s">
        <v>1804</v>
      </c>
      <c r="C96" s="64" t="s">
        <v>934</v>
      </c>
      <c r="D96" s="153" t="s">
        <v>1808</v>
      </c>
      <c r="E96" s="153" t="s">
        <v>1809</v>
      </c>
      <c r="F96" s="65" t="s">
        <v>1806</v>
      </c>
      <c r="G96" s="153" t="s">
        <v>1644</v>
      </c>
      <c r="H96" s="153" t="s">
        <v>1645</v>
      </c>
      <c r="I96" s="154" t="s">
        <v>36</v>
      </c>
      <c r="J96" s="153" t="s">
        <v>1655</v>
      </c>
      <c r="K96" s="153" t="s">
        <v>1629</v>
      </c>
      <c r="L96" s="66" t="s">
        <v>1630</v>
      </c>
      <c r="M96" s="153">
        <v>360</v>
      </c>
      <c r="N96" s="67">
        <v>801.07</v>
      </c>
      <c r="O96" s="153">
        <v>288385.2</v>
      </c>
      <c r="P96" s="68"/>
      <c r="Q96" s="153">
        <v>288385.2</v>
      </c>
      <c r="R96" s="153">
        <v>25954.67</v>
      </c>
      <c r="S96" s="153">
        <v>25954.67</v>
      </c>
      <c r="T96" s="153">
        <v>0</v>
      </c>
      <c r="U96" s="153">
        <f t="shared" si="2"/>
        <v>340294.54</v>
      </c>
      <c r="V96" t="str">
        <f>VLOOKUP(I96,Abstract!$E$4:$F$62,2,0)</f>
        <v>KARTHIKA CURRY LEAF SH 5.4M10% 1920 PCS</v>
      </c>
    </row>
    <row r="97" spans="1:22">
      <c r="A97" s="153" t="s">
        <v>1807</v>
      </c>
      <c r="B97" s="153" t="s">
        <v>1804</v>
      </c>
      <c r="C97" s="64" t="s">
        <v>934</v>
      </c>
      <c r="D97" s="153" t="s">
        <v>1808</v>
      </c>
      <c r="E97" s="153" t="s">
        <v>1809</v>
      </c>
      <c r="F97" s="65" t="s">
        <v>1806</v>
      </c>
      <c r="G97" s="153" t="s">
        <v>1644</v>
      </c>
      <c r="H97" s="153" t="s">
        <v>1645</v>
      </c>
      <c r="I97" s="154" t="s">
        <v>42</v>
      </c>
      <c r="J97" s="153" t="s">
        <v>1656</v>
      </c>
      <c r="K97" s="153" t="s">
        <v>1629</v>
      </c>
      <c r="L97" s="66" t="s">
        <v>1630</v>
      </c>
      <c r="M97" s="153">
        <v>1</v>
      </c>
      <c r="N97" s="67">
        <v>739.15</v>
      </c>
      <c r="O97" s="153">
        <v>739.15</v>
      </c>
      <c r="P97" s="68"/>
      <c r="Q97" s="153">
        <v>739.15</v>
      </c>
      <c r="R97" s="153">
        <v>66.52</v>
      </c>
      <c r="S97" s="153">
        <v>66.52</v>
      </c>
      <c r="T97" s="153">
        <v>0</v>
      </c>
      <c r="U97" s="153">
        <f t="shared" si="2"/>
        <v>872.18999999999994</v>
      </c>
      <c r="V97" t="str">
        <f>VLOOKUP(I97,Abstract!$E$4:$F$62,2,0)</f>
        <v xml:space="preserve">KARTHIKA DRYNESS SHEILD SH 5.4 10% EX 1920P </v>
      </c>
    </row>
    <row r="98" spans="1:22">
      <c r="A98" s="153" t="s">
        <v>1807</v>
      </c>
      <c r="B98" s="153" t="s">
        <v>1804</v>
      </c>
      <c r="C98" s="64" t="s">
        <v>934</v>
      </c>
      <c r="D98" s="153" t="s">
        <v>1808</v>
      </c>
      <c r="E98" s="153" t="s">
        <v>1809</v>
      </c>
      <c r="F98" s="65" t="s">
        <v>1806</v>
      </c>
      <c r="G98" s="153" t="s">
        <v>1644</v>
      </c>
      <c r="H98" s="153" t="s">
        <v>1645</v>
      </c>
      <c r="I98" s="154" t="s">
        <v>20</v>
      </c>
      <c r="J98" s="153" t="s">
        <v>1636</v>
      </c>
      <c r="K98" s="153" t="s">
        <v>1629</v>
      </c>
      <c r="L98" s="66" t="s">
        <v>1630</v>
      </c>
      <c r="M98" s="153">
        <v>45</v>
      </c>
      <c r="N98" s="67">
        <v>728.3</v>
      </c>
      <c r="O98" s="153">
        <v>32773.5</v>
      </c>
      <c r="P98" s="68"/>
      <c r="Q98" s="153">
        <v>32773.5</v>
      </c>
      <c r="R98" s="153">
        <v>2949.62</v>
      </c>
      <c r="S98" s="153">
        <v>2949.62</v>
      </c>
      <c r="T98" s="153">
        <v>0</v>
      </c>
      <c r="U98" s="153">
        <f t="shared" si="2"/>
        <v>38672.740000000005</v>
      </c>
      <c r="V98" t="str">
        <f>VLOOKUP(I98,Abstract!$E$4:$F$62,2,0)</f>
        <v>Karthika Hairfall Shield 5.4ml 10% Extra(43W*70mm L)</v>
      </c>
    </row>
    <row r="99" spans="1:22">
      <c r="A99" s="153" t="s">
        <v>1810</v>
      </c>
      <c r="B99" s="153" t="s">
        <v>1804</v>
      </c>
      <c r="C99" s="64" t="s">
        <v>934</v>
      </c>
      <c r="D99" s="153" t="s">
        <v>1811</v>
      </c>
      <c r="E99" s="153" t="s">
        <v>1812</v>
      </c>
      <c r="F99" s="65" t="s">
        <v>1806</v>
      </c>
      <c r="G99" s="153" t="s">
        <v>1644</v>
      </c>
      <c r="H99" s="153" t="s">
        <v>1645</v>
      </c>
      <c r="I99" s="154" t="s">
        <v>76</v>
      </c>
      <c r="J99" s="153" t="s">
        <v>77</v>
      </c>
      <c r="K99" s="153" t="s">
        <v>1629</v>
      </c>
      <c r="L99" s="66" t="s">
        <v>1630</v>
      </c>
      <c r="M99" s="153">
        <v>1102</v>
      </c>
      <c r="N99" s="67">
        <v>728.69</v>
      </c>
      <c r="O99" s="153">
        <v>803016.38</v>
      </c>
      <c r="P99" s="68"/>
      <c r="Q99" s="153">
        <v>803016.38</v>
      </c>
      <c r="R99" s="153">
        <v>72271.47</v>
      </c>
      <c r="S99" s="153">
        <v>72271.47</v>
      </c>
      <c r="T99" s="153">
        <v>0</v>
      </c>
      <c r="U99" s="153">
        <f t="shared" si="2"/>
        <v>947559.32</v>
      </c>
      <c r="V99" t="str">
        <f>VLOOKUP(I99,Abstract!$E$4:$F$62,2,0)</f>
        <v>CHIK BLK PROSOLTHK&amp;GLY4M+2M 1920P 22NF MRP RS.1.00</v>
      </c>
    </row>
    <row r="100" spans="1:22">
      <c r="A100" s="153" t="s">
        <v>1813</v>
      </c>
      <c r="B100" s="153" t="s">
        <v>1804</v>
      </c>
      <c r="C100" s="64" t="s">
        <v>934</v>
      </c>
      <c r="D100" s="153" t="s">
        <v>1814</v>
      </c>
      <c r="E100" s="153" t="s">
        <v>1815</v>
      </c>
      <c r="F100" s="65" t="s">
        <v>1806</v>
      </c>
      <c r="G100" s="153" t="s">
        <v>1627</v>
      </c>
      <c r="H100" s="153" t="s">
        <v>1628</v>
      </c>
      <c r="I100" s="154" t="s">
        <v>90</v>
      </c>
      <c r="J100" s="153" t="s">
        <v>91</v>
      </c>
      <c r="K100" s="153" t="s">
        <v>1629</v>
      </c>
      <c r="L100" s="66" t="s">
        <v>1630</v>
      </c>
      <c r="M100" s="153">
        <v>446</v>
      </c>
      <c r="N100" s="67">
        <v>937.09</v>
      </c>
      <c r="O100" s="153">
        <v>417942.14</v>
      </c>
      <c r="P100" s="68"/>
      <c r="Q100" s="153">
        <v>417942.14</v>
      </c>
      <c r="R100" s="153">
        <v>0</v>
      </c>
      <c r="S100" s="153">
        <v>0</v>
      </c>
      <c r="T100" s="153">
        <v>75229.59</v>
      </c>
      <c r="U100" s="153">
        <f t="shared" si="2"/>
        <v>493171.73</v>
      </c>
      <c r="V100" t="str">
        <f>VLOOKUP(I100,Abstract!$E$4:$F$62,2,0)</f>
        <v>CHIK BLK HFP PROSOL 3G 23%EX 4800PC RL22 MRP RS.0.50</v>
      </c>
    </row>
    <row r="101" spans="1:22">
      <c r="A101" s="153" t="s">
        <v>1813</v>
      </c>
      <c r="B101" s="153" t="s">
        <v>1804</v>
      </c>
      <c r="C101" s="64" t="s">
        <v>934</v>
      </c>
      <c r="D101" s="153" t="s">
        <v>1814</v>
      </c>
      <c r="E101" s="153" t="s">
        <v>1815</v>
      </c>
      <c r="F101" s="65" t="s">
        <v>1806</v>
      </c>
      <c r="G101" s="153" t="s">
        <v>1627</v>
      </c>
      <c r="H101" s="153" t="s">
        <v>1628</v>
      </c>
      <c r="I101" s="154" t="s">
        <v>76</v>
      </c>
      <c r="J101" s="153" t="s">
        <v>77</v>
      </c>
      <c r="K101" s="153" t="s">
        <v>1629</v>
      </c>
      <c r="L101" s="66" t="s">
        <v>1630</v>
      </c>
      <c r="M101" s="153">
        <v>672</v>
      </c>
      <c r="N101" s="67">
        <v>728.69</v>
      </c>
      <c r="O101" s="153">
        <v>489679.68</v>
      </c>
      <c r="P101" s="68"/>
      <c r="Q101" s="153">
        <v>489679.68</v>
      </c>
      <c r="R101" s="153">
        <v>0</v>
      </c>
      <c r="S101" s="153">
        <v>0</v>
      </c>
      <c r="T101" s="153">
        <v>88142.34</v>
      </c>
      <c r="U101" s="153">
        <f t="shared" si="2"/>
        <v>577822.02</v>
      </c>
      <c r="V101" t="str">
        <f>VLOOKUP(I101,Abstract!$E$4:$F$62,2,0)</f>
        <v>CHIK BLK PROSOLTHK&amp;GLY4M+2M 1920P 22NF MRP RS.1.00</v>
      </c>
    </row>
    <row r="102" spans="1:22">
      <c r="A102" s="153" t="s">
        <v>1816</v>
      </c>
      <c r="B102" s="153" t="s">
        <v>1817</v>
      </c>
      <c r="C102" s="64" t="s">
        <v>934</v>
      </c>
      <c r="D102" s="153" t="s">
        <v>1818</v>
      </c>
      <c r="E102" s="153" t="s">
        <v>1819</v>
      </c>
      <c r="F102" s="65" t="s">
        <v>1820</v>
      </c>
      <c r="G102" s="153" t="s">
        <v>1650</v>
      </c>
      <c r="H102" s="153" t="s">
        <v>1651</v>
      </c>
      <c r="I102" s="154" t="s">
        <v>76</v>
      </c>
      <c r="J102" s="153" t="s">
        <v>77</v>
      </c>
      <c r="K102" s="153" t="s">
        <v>1629</v>
      </c>
      <c r="L102" s="66" t="s">
        <v>1630</v>
      </c>
      <c r="M102" s="153">
        <v>1344</v>
      </c>
      <c r="N102" s="67">
        <v>728.69</v>
      </c>
      <c r="O102" s="153">
        <v>979359.36</v>
      </c>
      <c r="P102" s="68"/>
      <c r="Q102" s="153">
        <v>979359.36</v>
      </c>
      <c r="R102" s="153">
        <v>0</v>
      </c>
      <c r="S102" s="153">
        <v>0</v>
      </c>
      <c r="T102" s="153">
        <v>176284.68</v>
      </c>
      <c r="U102" s="153">
        <f t="shared" si="2"/>
        <v>1155644.04</v>
      </c>
      <c r="V102" t="str">
        <f>VLOOKUP(I102,Abstract!$E$4:$F$62,2,0)</f>
        <v>CHIK BLK PROSOLTHK&amp;GLY4M+2M 1920P 22NF MRP RS.1.00</v>
      </c>
    </row>
    <row r="103" spans="1:22">
      <c r="A103" s="153" t="s">
        <v>1821</v>
      </c>
      <c r="B103" s="153" t="s">
        <v>1817</v>
      </c>
      <c r="C103" s="64" t="s">
        <v>934</v>
      </c>
      <c r="D103" s="153" t="s">
        <v>1822</v>
      </c>
      <c r="E103" s="153" t="s">
        <v>1823</v>
      </c>
      <c r="F103" s="65" t="s">
        <v>1820</v>
      </c>
      <c r="G103" s="153" t="s">
        <v>1644</v>
      </c>
      <c r="H103" s="153" t="s">
        <v>1645</v>
      </c>
      <c r="I103" s="154" t="s">
        <v>106</v>
      </c>
      <c r="J103" s="153" t="s">
        <v>107</v>
      </c>
      <c r="K103" s="153" t="s">
        <v>1629</v>
      </c>
      <c r="L103" s="66" t="s">
        <v>1630</v>
      </c>
      <c r="M103" s="153">
        <v>6</v>
      </c>
      <c r="N103" s="67">
        <v>783.99</v>
      </c>
      <c r="O103" s="153">
        <v>4703.9399999999996</v>
      </c>
      <c r="P103" s="68"/>
      <c r="Q103" s="153">
        <v>4703.9399999999996</v>
      </c>
      <c r="R103" s="153">
        <v>423.35</v>
      </c>
      <c r="S103" s="153">
        <v>423.35</v>
      </c>
      <c r="T103" s="153">
        <v>0</v>
      </c>
      <c r="U103" s="153">
        <f t="shared" si="2"/>
        <v>5550.64</v>
      </c>
      <c r="V103" t="str">
        <f>VLOOKUP(I103,Abstract!$E$4:$F$62,2,0)</f>
        <v>CHIK EGG 4M 20% E 1920P W C 1RE E 80P F MRP Rs.1.00</v>
      </c>
    </row>
    <row r="104" spans="1:22">
      <c r="A104" s="153" t="s">
        <v>1821</v>
      </c>
      <c r="B104" s="153" t="s">
        <v>1817</v>
      </c>
      <c r="C104" s="64" t="s">
        <v>934</v>
      </c>
      <c r="D104" s="153" t="s">
        <v>1822</v>
      </c>
      <c r="E104" s="153" t="s">
        <v>1823</v>
      </c>
      <c r="F104" s="65" t="s">
        <v>1820</v>
      </c>
      <c r="G104" s="153" t="s">
        <v>1644</v>
      </c>
      <c r="H104" s="153" t="s">
        <v>1645</v>
      </c>
      <c r="I104" s="154" t="s">
        <v>20</v>
      </c>
      <c r="J104" s="153" t="s">
        <v>1636</v>
      </c>
      <c r="K104" s="153" t="s">
        <v>1629</v>
      </c>
      <c r="L104" s="66" t="s">
        <v>1630</v>
      </c>
      <c r="M104" s="153">
        <v>720</v>
      </c>
      <c r="N104" s="67">
        <v>728.3</v>
      </c>
      <c r="O104" s="153">
        <v>524376</v>
      </c>
      <c r="P104" s="68"/>
      <c r="Q104" s="153">
        <v>524376</v>
      </c>
      <c r="R104" s="153">
        <v>47193.84</v>
      </c>
      <c r="S104" s="153">
        <v>47193.84</v>
      </c>
      <c r="T104" s="153">
        <v>0</v>
      </c>
      <c r="U104" s="153">
        <f t="shared" si="2"/>
        <v>618763.67999999993</v>
      </c>
      <c r="V104" t="str">
        <f>VLOOKUP(I104,Abstract!$E$4:$F$62,2,0)</f>
        <v>Karthika Hairfall Shield 5.4ml 10% Extra(43W*70mm L)</v>
      </c>
    </row>
    <row r="105" spans="1:22">
      <c r="A105" s="153" t="s">
        <v>1824</v>
      </c>
      <c r="B105" s="153" t="s">
        <v>1817</v>
      </c>
      <c r="C105" s="64" t="s">
        <v>934</v>
      </c>
      <c r="D105" s="153" t="s">
        <v>1825</v>
      </c>
      <c r="E105" s="153" t="s">
        <v>1826</v>
      </c>
      <c r="F105" s="65" t="s">
        <v>1820</v>
      </c>
      <c r="G105" s="153" t="s">
        <v>1634</v>
      </c>
      <c r="H105" s="153" t="s">
        <v>1635</v>
      </c>
      <c r="I105" s="154" t="s">
        <v>76</v>
      </c>
      <c r="J105" s="153" t="s">
        <v>77</v>
      </c>
      <c r="K105" s="153" t="s">
        <v>1629</v>
      </c>
      <c r="L105" s="66" t="s">
        <v>1630</v>
      </c>
      <c r="M105" s="153">
        <v>1232</v>
      </c>
      <c r="N105" s="67">
        <v>728.69</v>
      </c>
      <c r="O105" s="153">
        <v>897746.08</v>
      </c>
      <c r="P105" s="68"/>
      <c r="Q105" s="153">
        <v>897746.08</v>
      </c>
      <c r="R105" s="153">
        <v>0</v>
      </c>
      <c r="S105" s="153">
        <v>0</v>
      </c>
      <c r="T105" s="153">
        <v>161594.29</v>
      </c>
      <c r="U105" s="153">
        <f t="shared" si="2"/>
        <v>1059340.3699999999</v>
      </c>
      <c r="V105" t="str">
        <f>VLOOKUP(I105,Abstract!$E$4:$F$62,2,0)</f>
        <v>CHIK BLK PROSOLTHK&amp;GLY4M+2M 1920P 22NF MRP RS.1.00</v>
      </c>
    </row>
    <row r="106" spans="1:22">
      <c r="A106" s="153" t="s">
        <v>1827</v>
      </c>
      <c r="B106" s="153" t="s">
        <v>1817</v>
      </c>
      <c r="C106" s="64" t="s">
        <v>934</v>
      </c>
      <c r="D106" s="153" t="s">
        <v>1828</v>
      </c>
      <c r="E106" s="153" t="s">
        <v>1829</v>
      </c>
      <c r="F106" s="65" t="s">
        <v>1820</v>
      </c>
      <c r="G106" s="153" t="s">
        <v>1627</v>
      </c>
      <c r="H106" s="153" t="s">
        <v>1628</v>
      </c>
      <c r="I106" s="154" t="s">
        <v>90</v>
      </c>
      <c r="J106" s="153" t="s">
        <v>91</v>
      </c>
      <c r="K106" s="153" t="s">
        <v>1629</v>
      </c>
      <c r="L106" s="66" t="s">
        <v>1630</v>
      </c>
      <c r="M106" s="153">
        <v>585</v>
      </c>
      <c r="N106" s="67">
        <v>937.09</v>
      </c>
      <c r="O106" s="153">
        <v>548197.65</v>
      </c>
      <c r="P106" s="68"/>
      <c r="Q106" s="153">
        <v>548197.65</v>
      </c>
      <c r="R106" s="153">
        <v>0</v>
      </c>
      <c r="S106" s="153">
        <v>0</v>
      </c>
      <c r="T106" s="153">
        <v>98675.58</v>
      </c>
      <c r="U106" s="153">
        <f t="shared" si="2"/>
        <v>646873.23</v>
      </c>
      <c r="V106" t="str">
        <f>VLOOKUP(I106,Abstract!$E$4:$F$62,2,0)</f>
        <v>CHIK BLK HFP PROSOL 3G 23%EX 4800PC RL22 MRP RS.0.50</v>
      </c>
    </row>
    <row r="107" spans="1:22">
      <c r="A107" s="153" t="s">
        <v>1827</v>
      </c>
      <c r="B107" s="153" t="s">
        <v>1817</v>
      </c>
      <c r="C107" s="64" t="s">
        <v>934</v>
      </c>
      <c r="D107" s="153" t="s">
        <v>1828</v>
      </c>
      <c r="E107" s="153" t="s">
        <v>1829</v>
      </c>
      <c r="F107" s="65" t="s">
        <v>1820</v>
      </c>
      <c r="G107" s="153" t="s">
        <v>1627</v>
      </c>
      <c r="H107" s="153" t="s">
        <v>1628</v>
      </c>
      <c r="I107" s="154" t="s">
        <v>110</v>
      </c>
      <c r="J107" s="153" t="s">
        <v>111</v>
      </c>
      <c r="K107" s="153" t="s">
        <v>1629</v>
      </c>
      <c r="L107" s="66" t="s">
        <v>1630</v>
      </c>
      <c r="M107" s="153">
        <v>294</v>
      </c>
      <c r="N107" s="67">
        <v>886.25</v>
      </c>
      <c r="O107" s="153">
        <v>260557.5</v>
      </c>
      <c r="P107" s="68"/>
      <c r="Q107" s="153">
        <v>260557.5</v>
      </c>
      <c r="R107" s="153">
        <v>0</v>
      </c>
      <c r="S107" s="153">
        <v>0</v>
      </c>
      <c r="T107" s="153">
        <v>46900.35</v>
      </c>
      <c r="U107" s="153">
        <f t="shared" si="2"/>
        <v>307457.84999999998</v>
      </c>
      <c r="V107" t="str">
        <f>VLOOKUP(I107,Abstract!$E$4:$F$62,2,0)</f>
        <v>KARTHIKA DAMAGESH 5.4M10%1920P+480P B4G1  MRP RS. 1.00</v>
      </c>
    </row>
    <row r="108" spans="1:22">
      <c r="A108" s="153" t="s">
        <v>1830</v>
      </c>
      <c r="B108" s="153" t="s">
        <v>1817</v>
      </c>
      <c r="C108" s="64" t="s">
        <v>934</v>
      </c>
      <c r="D108" s="153" t="s">
        <v>1831</v>
      </c>
      <c r="E108" s="153" t="s">
        <v>1832</v>
      </c>
      <c r="F108" s="65" t="s">
        <v>1820</v>
      </c>
      <c r="G108" s="153" t="s">
        <v>1634</v>
      </c>
      <c r="H108" s="153" t="s">
        <v>1635</v>
      </c>
      <c r="I108" s="154" t="s">
        <v>90</v>
      </c>
      <c r="J108" s="153" t="s">
        <v>91</v>
      </c>
      <c r="K108" s="153" t="s">
        <v>1629</v>
      </c>
      <c r="L108" s="66" t="s">
        <v>1630</v>
      </c>
      <c r="M108" s="153">
        <v>390</v>
      </c>
      <c r="N108" s="67">
        <v>937.09</v>
      </c>
      <c r="O108" s="153">
        <v>365465.1</v>
      </c>
      <c r="P108" s="68"/>
      <c r="Q108" s="153">
        <v>365465.1</v>
      </c>
      <c r="R108" s="153">
        <v>0</v>
      </c>
      <c r="S108" s="153">
        <v>0</v>
      </c>
      <c r="T108" s="153">
        <v>65783.72</v>
      </c>
      <c r="U108" s="153">
        <f t="shared" si="2"/>
        <v>431248.81999999995</v>
      </c>
      <c r="V108" t="str">
        <f>VLOOKUP(I108,Abstract!$E$4:$F$62,2,0)</f>
        <v>CHIK BLK HFP PROSOL 3G 23%EX 4800PC RL22 MRP RS.0.50</v>
      </c>
    </row>
    <row r="109" spans="1:22">
      <c r="A109" s="153" t="s">
        <v>1830</v>
      </c>
      <c r="B109" s="153" t="s">
        <v>1817</v>
      </c>
      <c r="C109" s="64" t="s">
        <v>934</v>
      </c>
      <c r="D109" s="153" t="s">
        <v>1831</v>
      </c>
      <c r="E109" s="153" t="s">
        <v>1832</v>
      </c>
      <c r="F109" s="65" t="s">
        <v>1820</v>
      </c>
      <c r="G109" s="153" t="s">
        <v>1634</v>
      </c>
      <c r="H109" s="153" t="s">
        <v>1635</v>
      </c>
      <c r="I109" s="154" t="s">
        <v>108</v>
      </c>
      <c r="J109" s="153" t="s">
        <v>109</v>
      </c>
      <c r="K109" s="153" t="s">
        <v>1629</v>
      </c>
      <c r="L109" s="66" t="s">
        <v>1630</v>
      </c>
      <c r="M109" s="153">
        <v>455</v>
      </c>
      <c r="N109" s="67">
        <v>957.97</v>
      </c>
      <c r="O109" s="153">
        <v>435876.35</v>
      </c>
      <c r="P109" s="68"/>
      <c r="Q109" s="153">
        <v>435876.35</v>
      </c>
      <c r="R109" s="153">
        <v>0</v>
      </c>
      <c r="S109" s="153">
        <v>0</v>
      </c>
      <c r="T109" s="153">
        <v>78457.740000000005</v>
      </c>
      <c r="U109" s="153">
        <f t="shared" si="2"/>
        <v>514334.08999999997</v>
      </c>
      <c r="V109" t="str">
        <f>VLOOKUP(I109,Abstract!$E$4:$F$62,2,0)</f>
        <v>KARTHIKA DAM SHIELD SH 3G 23% EX 4800PCS MRP Rs.0.50</v>
      </c>
    </row>
    <row r="110" spans="1:22">
      <c r="A110" s="153" t="s">
        <v>1833</v>
      </c>
      <c r="B110" s="153" t="s">
        <v>1817</v>
      </c>
      <c r="C110" s="64" t="s">
        <v>934</v>
      </c>
      <c r="D110" s="153" t="s">
        <v>1377</v>
      </c>
      <c r="E110" s="153" t="s">
        <v>1834</v>
      </c>
      <c r="F110" s="65" t="s">
        <v>1820</v>
      </c>
      <c r="G110" s="153" t="s">
        <v>1634</v>
      </c>
      <c r="H110" s="153" t="s">
        <v>1635</v>
      </c>
      <c r="I110" s="154" t="s">
        <v>76</v>
      </c>
      <c r="J110" s="153" t="s">
        <v>77</v>
      </c>
      <c r="K110" s="153" t="s">
        <v>1629</v>
      </c>
      <c r="L110" s="66" t="s">
        <v>1630</v>
      </c>
      <c r="M110" s="153">
        <v>896</v>
      </c>
      <c r="N110" s="67">
        <v>728.69</v>
      </c>
      <c r="O110" s="153">
        <v>652906.23999999999</v>
      </c>
      <c r="P110" s="68"/>
      <c r="Q110" s="153">
        <v>652906.23999999999</v>
      </c>
      <c r="R110" s="153">
        <v>0</v>
      </c>
      <c r="S110" s="153">
        <v>0</v>
      </c>
      <c r="T110" s="153">
        <v>117523.12</v>
      </c>
      <c r="U110" s="153">
        <f t="shared" si="2"/>
        <v>770429.36</v>
      </c>
      <c r="V110" t="str">
        <f>VLOOKUP(I110,Abstract!$E$4:$F$62,2,0)</f>
        <v>CHIK BLK PROSOLTHK&amp;GLY4M+2M 1920P 22NF MRP RS.1.00</v>
      </c>
    </row>
    <row r="111" spans="1:22">
      <c r="A111" s="153" t="s">
        <v>1833</v>
      </c>
      <c r="B111" s="153" t="s">
        <v>1817</v>
      </c>
      <c r="C111" s="64" t="s">
        <v>934</v>
      </c>
      <c r="D111" s="153" t="s">
        <v>1377</v>
      </c>
      <c r="E111" s="153" t="s">
        <v>1834</v>
      </c>
      <c r="F111" s="65" t="s">
        <v>1820</v>
      </c>
      <c r="G111" s="153" t="s">
        <v>1634</v>
      </c>
      <c r="H111" s="153" t="s">
        <v>1635</v>
      </c>
      <c r="I111" s="154" t="s">
        <v>110</v>
      </c>
      <c r="J111" s="153" t="s">
        <v>111</v>
      </c>
      <c r="K111" s="153" t="s">
        <v>1629</v>
      </c>
      <c r="L111" s="66" t="s">
        <v>1630</v>
      </c>
      <c r="M111" s="153">
        <v>392</v>
      </c>
      <c r="N111" s="67">
        <v>886.25</v>
      </c>
      <c r="O111" s="153">
        <v>347410</v>
      </c>
      <c r="P111" s="68"/>
      <c r="Q111" s="153">
        <v>347410</v>
      </c>
      <c r="R111" s="153">
        <v>0</v>
      </c>
      <c r="S111" s="153">
        <v>0</v>
      </c>
      <c r="T111" s="153">
        <v>62533.8</v>
      </c>
      <c r="U111" s="153">
        <f t="shared" si="2"/>
        <v>409943.8</v>
      </c>
      <c r="V111" t="str">
        <f>VLOOKUP(I111,Abstract!$E$4:$F$62,2,0)</f>
        <v>KARTHIKA DAMAGESH 5.4M10%1920P+480P B4G1  MRP RS. 1.00</v>
      </c>
    </row>
    <row r="112" spans="1:22">
      <c r="A112" s="153" t="s">
        <v>1835</v>
      </c>
      <c r="B112" s="153" t="s">
        <v>1817</v>
      </c>
      <c r="C112" s="64" t="s">
        <v>934</v>
      </c>
      <c r="D112" s="153" t="s">
        <v>1836</v>
      </c>
      <c r="E112" s="153" t="s">
        <v>1837</v>
      </c>
      <c r="F112" s="65" t="s">
        <v>1820</v>
      </c>
      <c r="G112" s="153" t="s">
        <v>1644</v>
      </c>
      <c r="H112" s="153" t="s">
        <v>1645</v>
      </c>
      <c r="I112" s="154" t="s">
        <v>94</v>
      </c>
      <c r="J112" s="153" t="s">
        <v>1646</v>
      </c>
      <c r="K112" s="153" t="s">
        <v>1629</v>
      </c>
      <c r="L112" s="66" t="s">
        <v>1630</v>
      </c>
      <c r="M112" s="153">
        <v>406</v>
      </c>
      <c r="N112" s="67">
        <v>730.67</v>
      </c>
      <c r="O112" s="153">
        <v>296652.02</v>
      </c>
      <c r="P112" s="68"/>
      <c r="Q112" s="153">
        <v>296652.02</v>
      </c>
      <c r="R112" s="153">
        <v>26698.68</v>
      </c>
      <c r="S112" s="153">
        <v>26698.68</v>
      </c>
      <c r="T112" s="153">
        <v>0</v>
      </c>
      <c r="U112" s="153">
        <f t="shared" si="2"/>
        <v>350049.38</v>
      </c>
      <c r="V112" t="str">
        <f>VLOOKUP(I112,Abstract!$E$4:$F$62,2,0)</f>
        <v>CHIK EGG HFP SH 4ML+2ML EX 1920PC 22RL</v>
      </c>
    </row>
    <row r="113" spans="1:22">
      <c r="A113" s="153" t="s">
        <v>1835</v>
      </c>
      <c r="B113" s="153" t="s">
        <v>1817</v>
      </c>
      <c r="C113" s="64" t="s">
        <v>934</v>
      </c>
      <c r="D113" s="153" t="s">
        <v>1836</v>
      </c>
      <c r="E113" s="153" t="s">
        <v>1837</v>
      </c>
      <c r="F113" s="65" t="s">
        <v>1820</v>
      </c>
      <c r="G113" s="153" t="s">
        <v>1644</v>
      </c>
      <c r="H113" s="153" t="s">
        <v>1645</v>
      </c>
      <c r="I113" s="154" t="s">
        <v>20</v>
      </c>
      <c r="J113" s="153" t="s">
        <v>1636</v>
      </c>
      <c r="K113" s="153" t="s">
        <v>1629</v>
      </c>
      <c r="L113" s="66" t="s">
        <v>1630</v>
      </c>
      <c r="M113" s="153">
        <v>696</v>
      </c>
      <c r="N113" s="67">
        <v>728.3</v>
      </c>
      <c r="O113" s="153">
        <v>506896.8</v>
      </c>
      <c r="P113" s="68"/>
      <c r="Q113" s="153">
        <v>506896.8</v>
      </c>
      <c r="R113" s="153">
        <v>45620.71</v>
      </c>
      <c r="S113" s="153">
        <v>45620.71</v>
      </c>
      <c r="T113" s="153">
        <v>0</v>
      </c>
      <c r="U113" s="153">
        <f t="shared" si="2"/>
        <v>598138.22</v>
      </c>
      <c r="V113" t="str">
        <f>VLOOKUP(I113,Abstract!$E$4:$F$62,2,0)</f>
        <v>Karthika Hairfall Shield 5.4ml 10% Extra(43W*70mm L)</v>
      </c>
    </row>
    <row r="114" spans="1:22">
      <c r="A114" s="153" t="s">
        <v>1838</v>
      </c>
      <c r="B114" s="153" t="s">
        <v>1839</v>
      </c>
      <c r="C114" s="64" t="s">
        <v>934</v>
      </c>
      <c r="D114" s="153" t="s">
        <v>1840</v>
      </c>
      <c r="E114" s="153" t="s">
        <v>1841</v>
      </c>
      <c r="F114" s="65" t="s">
        <v>1842</v>
      </c>
      <c r="G114" s="153" t="s">
        <v>1627</v>
      </c>
      <c r="H114" s="153" t="s">
        <v>1628</v>
      </c>
      <c r="I114" s="154" t="s">
        <v>90</v>
      </c>
      <c r="J114" s="153" t="s">
        <v>91</v>
      </c>
      <c r="K114" s="153" t="s">
        <v>1629</v>
      </c>
      <c r="L114" s="66" t="s">
        <v>1630</v>
      </c>
      <c r="M114" s="153">
        <v>144</v>
      </c>
      <c r="N114" s="67">
        <v>937.09</v>
      </c>
      <c r="O114" s="153">
        <v>134940.96</v>
      </c>
      <c r="P114" s="68"/>
      <c r="Q114" s="153">
        <v>134940.96</v>
      </c>
      <c r="R114" s="153">
        <v>0</v>
      </c>
      <c r="S114" s="153">
        <v>0</v>
      </c>
      <c r="T114" s="153">
        <v>24289.37</v>
      </c>
      <c r="U114" s="153">
        <f t="shared" si="2"/>
        <v>159230.32999999999</v>
      </c>
      <c r="V114" t="str">
        <f>VLOOKUP(I114,Abstract!$E$4:$F$62,2,0)</f>
        <v>CHIK BLK HFP PROSOL 3G 23%EX 4800PC RL22 MRP RS.0.50</v>
      </c>
    </row>
    <row r="115" spans="1:22">
      <c r="A115" s="153" t="s">
        <v>1838</v>
      </c>
      <c r="B115" s="153" t="s">
        <v>1839</v>
      </c>
      <c r="C115" s="64" t="s">
        <v>934</v>
      </c>
      <c r="D115" s="153" t="s">
        <v>1840</v>
      </c>
      <c r="E115" s="153" t="s">
        <v>1841</v>
      </c>
      <c r="F115" s="65" t="s">
        <v>1842</v>
      </c>
      <c r="G115" s="153" t="s">
        <v>1627</v>
      </c>
      <c r="H115" s="153" t="s">
        <v>1628</v>
      </c>
      <c r="I115" s="154" t="s">
        <v>110</v>
      </c>
      <c r="J115" s="153" t="s">
        <v>111</v>
      </c>
      <c r="K115" s="153" t="s">
        <v>1629</v>
      </c>
      <c r="L115" s="66" t="s">
        <v>1630</v>
      </c>
      <c r="M115" s="153">
        <v>980</v>
      </c>
      <c r="N115" s="67">
        <v>886.25</v>
      </c>
      <c r="O115" s="153">
        <v>868525</v>
      </c>
      <c r="P115" s="68"/>
      <c r="Q115" s="153">
        <v>868525</v>
      </c>
      <c r="R115" s="153">
        <v>0</v>
      </c>
      <c r="S115" s="153">
        <v>0</v>
      </c>
      <c r="T115" s="153">
        <v>156334.5</v>
      </c>
      <c r="U115" s="153">
        <f t="shared" si="2"/>
        <v>1024859.5</v>
      </c>
      <c r="V115" t="str">
        <f>VLOOKUP(I115,Abstract!$E$4:$F$62,2,0)</f>
        <v>KARTHIKA DAMAGESH 5.4M10%1920P+480P B4G1  MRP RS. 1.00</v>
      </c>
    </row>
    <row r="116" spans="1:22">
      <c r="A116" s="153" t="s">
        <v>1843</v>
      </c>
      <c r="B116" s="153" t="s">
        <v>1839</v>
      </c>
      <c r="C116" s="64" t="s">
        <v>934</v>
      </c>
      <c r="D116" s="153" t="s">
        <v>1844</v>
      </c>
      <c r="E116" s="153" t="s">
        <v>1845</v>
      </c>
      <c r="F116" s="65" t="s">
        <v>1842</v>
      </c>
      <c r="G116" s="153" t="s">
        <v>1650</v>
      </c>
      <c r="H116" s="153" t="s">
        <v>1651</v>
      </c>
      <c r="I116" s="154" t="s">
        <v>90</v>
      </c>
      <c r="J116" s="153" t="s">
        <v>91</v>
      </c>
      <c r="K116" s="153" t="s">
        <v>1629</v>
      </c>
      <c r="L116" s="66" t="s">
        <v>1630</v>
      </c>
      <c r="M116" s="153">
        <v>360</v>
      </c>
      <c r="N116" s="67">
        <v>937.09</v>
      </c>
      <c r="O116" s="153">
        <v>337352.4</v>
      </c>
      <c r="P116" s="68"/>
      <c r="Q116" s="153">
        <v>337352.4</v>
      </c>
      <c r="R116" s="153">
        <v>0</v>
      </c>
      <c r="S116" s="153">
        <v>0</v>
      </c>
      <c r="T116" s="153">
        <v>60723.43</v>
      </c>
      <c r="U116" s="153">
        <f t="shared" si="2"/>
        <v>398075.83</v>
      </c>
      <c r="V116" t="str">
        <f>VLOOKUP(I116,Abstract!$E$4:$F$62,2,0)</f>
        <v>CHIK BLK HFP PROSOL 3G 23%EX 4800PC RL22 MRP RS.0.50</v>
      </c>
    </row>
    <row r="117" spans="1:22">
      <c r="A117" s="153" t="s">
        <v>1843</v>
      </c>
      <c r="B117" s="153" t="s">
        <v>1839</v>
      </c>
      <c r="C117" s="64" t="s">
        <v>934</v>
      </c>
      <c r="D117" s="153" t="s">
        <v>1844</v>
      </c>
      <c r="E117" s="153" t="s">
        <v>1845</v>
      </c>
      <c r="F117" s="65" t="s">
        <v>1842</v>
      </c>
      <c r="G117" s="153" t="s">
        <v>1650</v>
      </c>
      <c r="H117" s="153" t="s">
        <v>1651</v>
      </c>
      <c r="I117" s="154" t="s">
        <v>76</v>
      </c>
      <c r="J117" s="153" t="s">
        <v>77</v>
      </c>
      <c r="K117" s="153" t="s">
        <v>1629</v>
      </c>
      <c r="L117" s="66" t="s">
        <v>1630</v>
      </c>
      <c r="M117" s="153">
        <v>512</v>
      </c>
      <c r="N117" s="67">
        <v>728.69</v>
      </c>
      <c r="O117" s="153">
        <v>373089.28000000003</v>
      </c>
      <c r="P117" s="68"/>
      <c r="Q117" s="153">
        <v>373089.28000000003</v>
      </c>
      <c r="R117" s="153">
        <v>0</v>
      </c>
      <c r="S117" s="153">
        <v>0</v>
      </c>
      <c r="T117" s="153">
        <v>67156.070000000007</v>
      </c>
      <c r="U117" s="153">
        <f t="shared" si="2"/>
        <v>440245.35000000003</v>
      </c>
      <c r="V117" t="str">
        <f>VLOOKUP(I117,Abstract!$E$4:$F$62,2,0)</f>
        <v>CHIK BLK PROSOLTHK&amp;GLY4M+2M 1920P 22NF MRP RS.1.00</v>
      </c>
    </row>
    <row r="118" spans="1:22">
      <c r="A118" s="153" t="s">
        <v>1846</v>
      </c>
      <c r="B118" s="153" t="s">
        <v>1839</v>
      </c>
      <c r="C118" s="64" t="s">
        <v>934</v>
      </c>
      <c r="D118" s="153" t="s">
        <v>1847</v>
      </c>
      <c r="E118" s="153" t="s">
        <v>1848</v>
      </c>
      <c r="F118" s="65" t="s">
        <v>1842</v>
      </c>
      <c r="G118" s="153" t="s">
        <v>1650</v>
      </c>
      <c r="H118" s="153" t="s">
        <v>1651</v>
      </c>
      <c r="I118" s="154" t="s">
        <v>76</v>
      </c>
      <c r="J118" s="153" t="s">
        <v>77</v>
      </c>
      <c r="K118" s="153" t="s">
        <v>1629</v>
      </c>
      <c r="L118" s="66" t="s">
        <v>1630</v>
      </c>
      <c r="M118" s="153">
        <v>1120</v>
      </c>
      <c r="N118" s="67">
        <v>728.69</v>
      </c>
      <c r="O118" s="153">
        <v>816132.8</v>
      </c>
      <c r="P118" s="68"/>
      <c r="Q118" s="153">
        <v>816132.8</v>
      </c>
      <c r="R118" s="153">
        <v>0</v>
      </c>
      <c r="S118" s="153">
        <v>0</v>
      </c>
      <c r="T118" s="153">
        <v>146903.9</v>
      </c>
      <c r="U118" s="153">
        <f t="shared" si="2"/>
        <v>963036.70000000007</v>
      </c>
      <c r="V118" t="str">
        <f>VLOOKUP(I118,Abstract!$E$4:$F$62,2,0)</f>
        <v>CHIK BLK PROSOLTHK&amp;GLY4M+2M 1920P 22NF MRP RS.1.00</v>
      </c>
    </row>
    <row r="119" spans="1:22">
      <c r="A119" s="153" t="s">
        <v>1849</v>
      </c>
      <c r="B119" s="153" t="s">
        <v>1839</v>
      </c>
      <c r="C119" s="64" t="s">
        <v>934</v>
      </c>
      <c r="D119" s="153" t="s">
        <v>1850</v>
      </c>
      <c r="E119" s="153" t="s">
        <v>1851</v>
      </c>
      <c r="F119" s="65" t="s">
        <v>1842</v>
      </c>
      <c r="G119" s="153" t="s">
        <v>1644</v>
      </c>
      <c r="H119" s="153" t="s">
        <v>1645</v>
      </c>
      <c r="I119" s="154" t="s">
        <v>76</v>
      </c>
      <c r="J119" s="153" t="s">
        <v>77</v>
      </c>
      <c r="K119" s="153" t="s">
        <v>1629</v>
      </c>
      <c r="L119" s="66" t="s">
        <v>1630</v>
      </c>
      <c r="M119" s="153">
        <v>88</v>
      </c>
      <c r="N119" s="67">
        <v>728.69</v>
      </c>
      <c r="O119" s="153">
        <v>64124.72</v>
      </c>
      <c r="P119" s="68"/>
      <c r="Q119" s="153">
        <v>64124.72</v>
      </c>
      <c r="R119" s="153">
        <v>5771.22</v>
      </c>
      <c r="S119" s="153">
        <v>5771.22</v>
      </c>
      <c r="T119" s="153">
        <v>0</v>
      </c>
      <c r="U119" s="153">
        <f t="shared" si="2"/>
        <v>75667.16</v>
      </c>
      <c r="V119" t="str">
        <f>VLOOKUP(I119,Abstract!$E$4:$F$62,2,0)</f>
        <v>CHIK BLK PROSOLTHK&amp;GLY4M+2M 1920P 22NF MRP RS.1.00</v>
      </c>
    </row>
    <row r="120" spans="1:22">
      <c r="A120" s="153" t="s">
        <v>1849</v>
      </c>
      <c r="B120" s="153" t="s">
        <v>1839</v>
      </c>
      <c r="C120" s="64" t="s">
        <v>934</v>
      </c>
      <c r="D120" s="153" t="s">
        <v>1850</v>
      </c>
      <c r="E120" s="153" t="s">
        <v>1851</v>
      </c>
      <c r="F120" s="65" t="s">
        <v>1842</v>
      </c>
      <c r="G120" s="153" t="s">
        <v>1644</v>
      </c>
      <c r="H120" s="153" t="s">
        <v>1645</v>
      </c>
      <c r="I120" s="154" t="s">
        <v>94</v>
      </c>
      <c r="J120" s="153" t="s">
        <v>1646</v>
      </c>
      <c r="K120" s="153" t="s">
        <v>1629</v>
      </c>
      <c r="L120" s="66" t="s">
        <v>1630</v>
      </c>
      <c r="M120" s="153">
        <v>431</v>
      </c>
      <c r="N120" s="67">
        <v>730.67</v>
      </c>
      <c r="O120" s="153">
        <v>314918.77</v>
      </c>
      <c r="P120" s="68"/>
      <c r="Q120" s="153">
        <v>314918.77</v>
      </c>
      <c r="R120" s="153">
        <v>28342.69</v>
      </c>
      <c r="S120" s="153">
        <v>28342.69</v>
      </c>
      <c r="T120" s="153">
        <v>0</v>
      </c>
      <c r="U120" s="153">
        <f t="shared" si="2"/>
        <v>371604.15</v>
      </c>
      <c r="V120" t="str">
        <f>VLOOKUP(I120,Abstract!$E$4:$F$62,2,0)</f>
        <v>CHIK EGG HFP SH 4ML+2ML EX 1920PC 22RL</v>
      </c>
    </row>
    <row r="121" spans="1:22">
      <c r="A121" s="153" t="s">
        <v>1849</v>
      </c>
      <c r="B121" s="153" t="s">
        <v>1839</v>
      </c>
      <c r="C121" s="64" t="s">
        <v>934</v>
      </c>
      <c r="D121" s="153" t="s">
        <v>1850</v>
      </c>
      <c r="E121" s="153" t="s">
        <v>1851</v>
      </c>
      <c r="F121" s="65" t="s">
        <v>1842</v>
      </c>
      <c r="G121" s="153" t="s">
        <v>1644</v>
      </c>
      <c r="H121" s="153" t="s">
        <v>1645</v>
      </c>
      <c r="I121" s="154" t="s">
        <v>82</v>
      </c>
      <c r="J121" s="153" t="s">
        <v>83</v>
      </c>
      <c r="K121" s="153" t="s">
        <v>1629</v>
      </c>
      <c r="L121" s="66" t="s">
        <v>1630</v>
      </c>
      <c r="M121" s="153">
        <v>191</v>
      </c>
      <c r="N121" s="67">
        <v>714.24</v>
      </c>
      <c r="O121" s="153">
        <v>136419.84</v>
      </c>
      <c r="P121" s="68"/>
      <c r="Q121" s="153">
        <v>136419.84</v>
      </c>
      <c r="R121" s="153">
        <v>12277.79</v>
      </c>
      <c r="S121" s="153">
        <v>12277.79</v>
      </c>
      <c r="T121" s="153">
        <v>0</v>
      </c>
      <c r="U121" s="153">
        <f t="shared" si="2"/>
        <v>160975.42000000001</v>
      </c>
      <c r="V121" t="str">
        <f>VLOOKUP(I121,Abstract!$E$4:$F$62,2,0)</f>
        <v>CHIK JAS PROSOL SOYA 4M+2ML EX1920P 22RL MRP RS.1.00</v>
      </c>
    </row>
    <row r="122" spans="1:22">
      <c r="A122" s="153" t="s">
        <v>1852</v>
      </c>
      <c r="B122" s="153" t="s">
        <v>1853</v>
      </c>
      <c r="C122" s="64" t="s">
        <v>934</v>
      </c>
      <c r="D122" s="153" t="s">
        <v>1854</v>
      </c>
      <c r="E122" s="153" t="s">
        <v>1855</v>
      </c>
      <c r="F122" s="65" t="s">
        <v>1856</v>
      </c>
      <c r="G122" s="153" t="s">
        <v>1627</v>
      </c>
      <c r="H122" s="153" t="s">
        <v>1628</v>
      </c>
      <c r="I122" s="154" t="s">
        <v>90</v>
      </c>
      <c r="J122" s="153" t="s">
        <v>91</v>
      </c>
      <c r="K122" s="153" t="s">
        <v>1629</v>
      </c>
      <c r="L122" s="66" t="s">
        <v>1630</v>
      </c>
      <c r="M122" s="153">
        <v>873</v>
      </c>
      <c r="N122" s="67">
        <v>937.09</v>
      </c>
      <c r="O122" s="153">
        <v>818079.57</v>
      </c>
      <c r="P122" s="68"/>
      <c r="Q122" s="153">
        <v>818079.57</v>
      </c>
      <c r="R122" s="153">
        <v>0</v>
      </c>
      <c r="S122" s="153">
        <v>0</v>
      </c>
      <c r="T122" s="153">
        <v>147254.32</v>
      </c>
      <c r="U122" s="153">
        <f t="shared" si="2"/>
        <v>965333.8899999999</v>
      </c>
      <c r="V122" t="str">
        <f>VLOOKUP(I122,Abstract!$E$4:$F$62,2,0)</f>
        <v>CHIK BLK HFP PROSOL 3G 23%EX 4800PC RL22 MRP RS.0.50</v>
      </c>
    </row>
    <row r="123" spans="1:22">
      <c r="A123" s="153" t="s">
        <v>1857</v>
      </c>
      <c r="B123" s="153" t="s">
        <v>1853</v>
      </c>
      <c r="C123" s="64" t="s">
        <v>934</v>
      </c>
      <c r="D123" s="153" t="s">
        <v>1858</v>
      </c>
      <c r="E123" s="153" t="s">
        <v>1859</v>
      </c>
      <c r="F123" s="65" t="s">
        <v>1856</v>
      </c>
      <c r="G123" s="153" t="s">
        <v>1650</v>
      </c>
      <c r="H123" s="153" t="s">
        <v>1651</v>
      </c>
      <c r="I123" s="154" t="s">
        <v>76</v>
      </c>
      <c r="J123" s="153" t="s">
        <v>77</v>
      </c>
      <c r="K123" s="153" t="s">
        <v>1629</v>
      </c>
      <c r="L123" s="66" t="s">
        <v>1630</v>
      </c>
      <c r="M123" s="153">
        <v>1184</v>
      </c>
      <c r="N123" s="67">
        <v>728.69</v>
      </c>
      <c r="O123" s="153">
        <v>862768.96</v>
      </c>
      <c r="P123" s="68"/>
      <c r="Q123" s="153">
        <v>862768.96</v>
      </c>
      <c r="R123" s="153">
        <v>0</v>
      </c>
      <c r="S123" s="153">
        <v>0</v>
      </c>
      <c r="T123" s="153">
        <v>155298.41</v>
      </c>
      <c r="U123" s="153">
        <f t="shared" si="2"/>
        <v>1018067.37</v>
      </c>
      <c r="V123" t="str">
        <f>VLOOKUP(I123,Abstract!$E$4:$F$62,2,0)</f>
        <v>CHIK BLK PROSOLTHK&amp;GLY4M+2M 1920P 22NF MRP RS.1.00</v>
      </c>
    </row>
    <row r="124" spans="1:22">
      <c r="A124" s="153" t="s">
        <v>1860</v>
      </c>
      <c r="B124" s="153" t="s">
        <v>1853</v>
      </c>
      <c r="C124" s="64" t="s">
        <v>934</v>
      </c>
      <c r="D124" s="153" t="s">
        <v>1497</v>
      </c>
      <c r="E124" s="153" t="s">
        <v>1861</v>
      </c>
      <c r="F124" s="65" t="s">
        <v>1856</v>
      </c>
      <c r="G124" s="153" t="s">
        <v>1627</v>
      </c>
      <c r="H124" s="153" t="s">
        <v>1628</v>
      </c>
      <c r="I124" s="154" t="s">
        <v>108</v>
      </c>
      <c r="J124" s="153" t="s">
        <v>109</v>
      </c>
      <c r="K124" s="153" t="s">
        <v>1629</v>
      </c>
      <c r="L124" s="66" t="s">
        <v>1630</v>
      </c>
      <c r="M124" s="153">
        <v>873</v>
      </c>
      <c r="N124" s="67">
        <v>957.97</v>
      </c>
      <c r="O124" s="153">
        <v>836307.81</v>
      </c>
      <c r="P124" s="68"/>
      <c r="Q124" s="153">
        <v>836307.81</v>
      </c>
      <c r="R124" s="153">
        <v>0</v>
      </c>
      <c r="S124" s="153">
        <v>0</v>
      </c>
      <c r="T124" s="153">
        <v>150535.41</v>
      </c>
      <c r="U124" s="153">
        <f t="shared" si="2"/>
        <v>986843.22000000009</v>
      </c>
      <c r="V124" t="str">
        <f>VLOOKUP(I124,Abstract!$E$4:$F$62,2,0)</f>
        <v>KARTHIKA DAM SHIELD SH 3G 23% EX 4800PCS MRP Rs.0.50</v>
      </c>
    </row>
    <row r="125" spans="1:22">
      <c r="A125" s="153" t="s">
        <v>1862</v>
      </c>
      <c r="B125" s="153" t="s">
        <v>1853</v>
      </c>
      <c r="C125" s="64" t="s">
        <v>934</v>
      </c>
      <c r="D125" s="153" t="s">
        <v>1863</v>
      </c>
      <c r="E125" s="153" t="s">
        <v>1864</v>
      </c>
      <c r="F125" s="65" t="s">
        <v>1856</v>
      </c>
      <c r="G125" s="153" t="s">
        <v>1644</v>
      </c>
      <c r="H125" s="153" t="s">
        <v>1645</v>
      </c>
      <c r="I125" s="154" t="s">
        <v>76</v>
      </c>
      <c r="J125" s="153" t="s">
        <v>77</v>
      </c>
      <c r="K125" s="153" t="s">
        <v>1629</v>
      </c>
      <c r="L125" s="66" t="s">
        <v>1630</v>
      </c>
      <c r="M125" s="153">
        <v>1102</v>
      </c>
      <c r="N125" s="67">
        <v>728.69</v>
      </c>
      <c r="O125" s="153">
        <v>803016.38</v>
      </c>
      <c r="P125" s="68"/>
      <c r="Q125" s="153">
        <v>803016.38</v>
      </c>
      <c r="R125" s="153">
        <v>72271.47</v>
      </c>
      <c r="S125" s="153">
        <v>72271.47</v>
      </c>
      <c r="T125" s="153">
        <v>0</v>
      </c>
      <c r="U125" s="153">
        <f t="shared" si="2"/>
        <v>947559.32</v>
      </c>
      <c r="V125" t="str">
        <f>VLOOKUP(I125,Abstract!$E$4:$F$62,2,0)</f>
        <v>CHIK BLK PROSOLTHK&amp;GLY4M+2M 1920P 22NF MRP RS.1.00</v>
      </c>
    </row>
    <row r="126" spans="1:22">
      <c r="A126" s="153" t="s">
        <v>1865</v>
      </c>
      <c r="B126" s="153" t="s">
        <v>1853</v>
      </c>
      <c r="C126" s="64" t="s">
        <v>934</v>
      </c>
      <c r="D126" s="153" t="s">
        <v>1134</v>
      </c>
      <c r="E126" s="153" t="s">
        <v>1866</v>
      </c>
      <c r="F126" s="65" t="s">
        <v>1856</v>
      </c>
      <c r="G126" s="153" t="s">
        <v>1634</v>
      </c>
      <c r="H126" s="153" t="s">
        <v>1635</v>
      </c>
      <c r="I126" s="154" t="s">
        <v>90</v>
      </c>
      <c r="J126" s="153" t="s">
        <v>91</v>
      </c>
      <c r="K126" s="153" t="s">
        <v>1629</v>
      </c>
      <c r="L126" s="66" t="s">
        <v>1630</v>
      </c>
      <c r="M126" s="153">
        <v>520</v>
      </c>
      <c r="N126" s="67">
        <v>937.09</v>
      </c>
      <c r="O126" s="153">
        <v>487286.8</v>
      </c>
      <c r="P126" s="68"/>
      <c r="Q126" s="153">
        <v>487286.8</v>
      </c>
      <c r="R126" s="153">
        <v>0</v>
      </c>
      <c r="S126" s="153">
        <v>0</v>
      </c>
      <c r="T126" s="153">
        <v>87711.62</v>
      </c>
      <c r="U126" s="153">
        <f t="shared" si="2"/>
        <v>574998.41999999993</v>
      </c>
      <c r="V126" t="str">
        <f>VLOOKUP(I126,Abstract!$E$4:$F$62,2,0)</f>
        <v>CHIK BLK HFP PROSOL 3G 23%EX 4800PC RL22 MRP RS.0.50</v>
      </c>
    </row>
    <row r="127" spans="1:22">
      <c r="A127" s="153" t="s">
        <v>1865</v>
      </c>
      <c r="B127" s="153" t="s">
        <v>1853</v>
      </c>
      <c r="C127" s="64" t="s">
        <v>934</v>
      </c>
      <c r="D127" s="153" t="s">
        <v>1134</v>
      </c>
      <c r="E127" s="153" t="s">
        <v>1866</v>
      </c>
      <c r="F127" s="65" t="s">
        <v>1856</v>
      </c>
      <c r="G127" s="153" t="s">
        <v>1634</v>
      </c>
      <c r="H127" s="153" t="s">
        <v>1635</v>
      </c>
      <c r="I127" s="154" t="s">
        <v>108</v>
      </c>
      <c r="J127" s="153" t="s">
        <v>109</v>
      </c>
      <c r="K127" s="153" t="s">
        <v>1629</v>
      </c>
      <c r="L127" s="66" t="s">
        <v>1630</v>
      </c>
      <c r="M127" s="153">
        <v>353</v>
      </c>
      <c r="N127" s="67">
        <v>957.97</v>
      </c>
      <c r="O127" s="153">
        <v>338163.41</v>
      </c>
      <c r="P127" s="68"/>
      <c r="Q127" s="153">
        <v>338163.41</v>
      </c>
      <c r="R127" s="153">
        <v>0</v>
      </c>
      <c r="S127" s="153">
        <v>0</v>
      </c>
      <c r="T127" s="153">
        <v>60869.41</v>
      </c>
      <c r="U127" s="153">
        <f t="shared" si="2"/>
        <v>399032.81999999995</v>
      </c>
      <c r="V127" t="str">
        <f>VLOOKUP(I127,Abstract!$E$4:$F$62,2,0)</f>
        <v>KARTHIKA DAM SHIELD SH 3G 23% EX 4800PCS MRP Rs.0.50</v>
      </c>
    </row>
    <row r="128" spans="1:22">
      <c r="A128" s="153" t="s">
        <v>1867</v>
      </c>
      <c r="B128" s="153" t="s">
        <v>1853</v>
      </c>
      <c r="C128" s="64" t="s">
        <v>934</v>
      </c>
      <c r="D128" s="153" t="s">
        <v>1868</v>
      </c>
      <c r="E128" s="153" t="s">
        <v>1869</v>
      </c>
      <c r="F128" s="65" t="s">
        <v>1856</v>
      </c>
      <c r="G128" s="153" t="s">
        <v>1644</v>
      </c>
      <c r="H128" s="153" t="s">
        <v>1645</v>
      </c>
      <c r="I128" s="154" t="s">
        <v>90</v>
      </c>
      <c r="J128" s="153" t="s">
        <v>91</v>
      </c>
      <c r="K128" s="153" t="s">
        <v>1629</v>
      </c>
      <c r="L128" s="66" t="s">
        <v>1630</v>
      </c>
      <c r="M128" s="153">
        <v>144</v>
      </c>
      <c r="N128" s="67">
        <v>937.09</v>
      </c>
      <c r="O128" s="153">
        <v>134940.96</v>
      </c>
      <c r="P128" s="68"/>
      <c r="Q128" s="153">
        <v>134940.96</v>
      </c>
      <c r="R128" s="153">
        <v>12144.69</v>
      </c>
      <c r="S128" s="153">
        <v>12144.69</v>
      </c>
      <c r="T128" s="153">
        <v>0</v>
      </c>
      <c r="U128" s="153">
        <f t="shared" si="2"/>
        <v>159230.34</v>
      </c>
      <c r="V128" t="str">
        <f>VLOOKUP(I128,Abstract!$E$4:$F$62,2,0)</f>
        <v>CHIK BLK HFP PROSOL 3G 23%EX 4800PC RL22 MRP RS.0.50</v>
      </c>
    </row>
    <row r="129" spans="1:22">
      <c r="A129" s="153" t="s">
        <v>1867</v>
      </c>
      <c r="B129" s="153" t="s">
        <v>1853</v>
      </c>
      <c r="C129" s="64" t="s">
        <v>934</v>
      </c>
      <c r="D129" s="153" t="s">
        <v>1868</v>
      </c>
      <c r="E129" s="153" t="s">
        <v>1869</v>
      </c>
      <c r="F129" s="65" t="s">
        <v>1856</v>
      </c>
      <c r="G129" s="153" t="s">
        <v>1644</v>
      </c>
      <c r="H129" s="153" t="s">
        <v>1645</v>
      </c>
      <c r="I129" s="154" t="s">
        <v>12</v>
      </c>
      <c r="J129" s="153" t="s">
        <v>1870</v>
      </c>
      <c r="K129" s="153" t="s">
        <v>1629</v>
      </c>
      <c r="L129" s="66" t="s">
        <v>1630</v>
      </c>
      <c r="M129" s="153">
        <v>151</v>
      </c>
      <c r="N129" s="67">
        <v>1161.5999999999999</v>
      </c>
      <c r="O129" s="153">
        <v>175401.60000000001</v>
      </c>
      <c r="P129" s="68"/>
      <c r="Q129" s="153">
        <v>175401.60000000001</v>
      </c>
      <c r="R129" s="153">
        <v>15786.14</v>
      </c>
      <c r="S129" s="153">
        <v>15786.14</v>
      </c>
      <c r="T129" s="153">
        <v>0</v>
      </c>
      <c r="U129" s="153">
        <f t="shared" si="2"/>
        <v>206973.88</v>
      </c>
      <c r="V129" t="str">
        <f>VLOOKUP(I129,Abstract!$E$4:$F$62,2,0)</f>
        <v>CHIK PROT LONG N HEALTHYJASMINE 80ML 72P</v>
      </c>
    </row>
    <row r="130" spans="1:22">
      <c r="A130" s="153" t="s">
        <v>1867</v>
      </c>
      <c r="B130" s="153" t="s">
        <v>1853</v>
      </c>
      <c r="C130" s="64" t="s">
        <v>934</v>
      </c>
      <c r="D130" s="153" t="s">
        <v>1868</v>
      </c>
      <c r="E130" s="153" t="s">
        <v>1869</v>
      </c>
      <c r="F130" s="65" t="s">
        <v>1856</v>
      </c>
      <c r="G130" s="153" t="s">
        <v>1644</v>
      </c>
      <c r="H130" s="153" t="s">
        <v>1645</v>
      </c>
      <c r="I130" s="154" t="s">
        <v>78</v>
      </c>
      <c r="J130" s="153" t="s">
        <v>1770</v>
      </c>
      <c r="K130" s="153" t="s">
        <v>1629</v>
      </c>
      <c r="L130" s="66" t="s">
        <v>1630</v>
      </c>
      <c r="M130" s="153">
        <v>158</v>
      </c>
      <c r="N130" s="67">
        <v>977.2</v>
      </c>
      <c r="O130" s="153">
        <v>154397.6</v>
      </c>
      <c r="P130" s="68"/>
      <c r="Q130" s="153">
        <v>154397.6</v>
      </c>
      <c r="R130" s="153">
        <v>13895.78</v>
      </c>
      <c r="S130" s="153">
        <v>13895.78</v>
      </c>
      <c r="T130" s="153">
        <v>0</v>
      </c>
      <c r="U130" s="153">
        <f t="shared" si="2"/>
        <v>182189.16</v>
      </c>
      <c r="V130" t="str">
        <f>VLOOKUP(I130,Abstract!$E$4:$F$62,2,0)</f>
        <v>CHIK JAS PRO SOL SOYA PRO SH 175ML 48PCS MRP. RS.102.00</v>
      </c>
    </row>
    <row r="131" spans="1:22">
      <c r="A131" s="153" t="s">
        <v>1871</v>
      </c>
      <c r="B131" s="153" t="s">
        <v>1853</v>
      </c>
      <c r="C131" s="64" t="s">
        <v>934</v>
      </c>
      <c r="D131" s="153" t="s">
        <v>1872</v>
      </c>
      <c r="E131" s="153" t="s">
        <v>1873</v>
      </c>
      <c r="F131" s="65" t="s">
        <v>1856</v>
      </c>
      <c r="G131" s="153" t="s">
        <v>1634</v>
      </c>
      <c r="H131" s="153" t="s">
        <v>1635</v>
      </c>
      <c r="I131" s="154" t="s">
        <v>76</v>
      </c>
      <c r="J131" s="153" t="s">
        <v>77</v>
      </c>
      <c r="K131" s="153" t="s">
        <v>1629</v>
      </c>
      <c r="L131" s="66" t="s">
        <v>1630</v>
      </c>
      <c r="M131" s="153">
        <v>588</v>
      </c>
      <c r="N131" s="67">
        <v>728.69</v>
      </c>
      <c r="O131" s="153">
        <v>428469.72</v>
      </c>
      <c r="P131" s="68"/>
      <c r="Q131" s="153">
        <v>428469.72</v>
      </c>
      <c r="R131" s="153">
        <v>0</v>
      </c>
      <c r="S131" s="153">
        <v>0</v>
      </c>
      <c r="T131" s="153">
        <v>77124.55</v>
      </c>
      <c r="U131" s="153">
        <f t="shared" ref="U131:U194" si="3">Q131+R131+S131+T131</f>
        <v>505594.26999999996</v>
      </c>
      <c r="V131" t="str">
        <f>VLOOKUP(I131,Abstract!$E$4:$F$62,2,0)</f>
        <v>CHIK BLK PROSOLTHK&amp;GLY4M+2M 1920P 22NF MRP RS.1.00</v>
      </c>
    </row>
    <row r="132" spans="1:22">
      <c r="A132" s="153" t="s">
        <v>1871</v>
      </c>
      <c r="B132" s="153" t="s">
        <v>1853</v>
      </c>
      <c r="C132" s="64" t="s">
        <v>934</v>
      </c>
      <c r="D132" s="153" t="s">
        <v>1872</v>
      </c>
      <c r="E132" s="153" t="s">
        <v>1873</v>
      </c>
      <c r="F132" s="65" t="s">
        <v>1856</v>
      </c>
      <c r="G132" s="153" t="s">
        <v>1634</v>
      </c>
      <c r="H132" s="153" t="s">
        <v>1635</v>
      </c>
      <c r="I132" s="154" t="s">
        <v>110</v>
      </c>
      <c r="J132" s="153" t="s">
        <v>111</v>
      </c>
      <c r="K132" s="153" t="s">
        <v>1629</v>
      </c>
      <c r="L132" s="66" t="s">
        <v>1630</v>
      </c>
      <c r="M132" s="153">
        <v>504</v>
      </c>
      <c r="N132" s="67">
        <v>886.25</v>
      </c>
      <c r="O132" s="153">
        <v>446670</v>
      </c>
      <c r="P132" s="68"/>
      <c r="Q132" s="153">
        <v>446670</v>
      </c>
      <c r="R132" s="153">
        <v>0</v>
      </c>
      <c r="S132" s="153">
        <v>0</v>
      </c>
      <c r="T132" s="153">
        <v>80400.600000000006</v>
      </c>
      <c r="U132" s="153">
        <f t="shared" si="3"/>
        <v>527070.6</v>
      </c>
      <c r="V132" t="str">
        <f>VLOOKUP(I132,Abstract!$E$4:$F$62,2,0)</f>
        <v>KARTHIKA DAMAGESH 5.4M10%1920P+480P B4G1  MRP RS. 1.00</v>
      </c>
    </row>
    <row r="133" spans="1:22">
      <c r="A133" s="153" t="s">
        <v>1874</v>
      </c>
      <c r="B133" s="153" t="s">
        <v>1853</v>
      </c>
      <c r="C133" s="64" t="s">
        <v>934</v>
      </c>
      <c r="D133" s="153" t="s">
        <v>1875</v>
      </c>
      <c r="E133" s="153" t="s">
        <v>1876</v>
      </c>
      <c r="F133" s="65" t="s">
        <v>1856</v>
      </c>
      <c r="G133" s="153" t="s">
        <v>1627</v>
      </c>
      <c r="H133" s="153" t="s">
        <v>1628</v>
      </c>
      <c r="I133" s="154" t="s">
        <v>88</v>
      </c>
      <c r="J133" s="153" t="s">
        <v>89</v>
      </c>
      <c r="K133" s="153" t="s">
        <v>1629</v>
      </c>
      <c r="L133" s="66" t="s">
        <v>1630</v>
      </c>
      <c r="M133" s="153">
        <v>162</v>
      </c>
      <c r="N133" s="67">
        <v>936.79</v>
      </c>
      <c r="O133" s="153">
        <v>151759.98000000001</v>
      </c>
      <c r="P133" s="68"/>
      <c r="Q133" s="153">
        <v>151759.98000000001</v>
      </c>
      <c r="R133" s="153">
        <v>0</v>
      </c>
      <c r="S133" s="153">
        <v>0</v>
      </c>
      <c r="T133" s="153">
        <v>27316.799999999999</v>
      </c>
      <c r="U133" s="153">
        <f t="shared" si="3"/>
        <v>179076.78</v>
      </c>
      <c r="V133" t="str">
        <f>VLOOKUP(I133,Abstract!$E$4:$F$62,2,0)</f>
        <v>CHIK JAS HFP PROSOL 3G23% EX 4800PC 22RL MRP RS.0.50</v>
      </c>
    </row>
    <row r="134" spans="1:22">
      <c r="A134" s="153" t="s">
        <v>1874</v>
      </c>
      <c r="B134" s="153" t="s">
        <v>1853</v>
      </c>
      <c r="C134" s="64" t="s">
        <v>934</v>
      </c>
      <c r="D134" s="153" t="s">
        <v>1875</v>
      </c>
      <c r="E134" s="153" t="s">
        <v>1876</v>
      </c>
      <c r="F134" s="65" t="s">
        <v>1856</v>
      </c>
      <c r="G134" s="153" t="s">
        <v>1627</v>
      </c>
      <c r="H134" s="153" t="s">
        <v>1628</v>
      </c>
      <c r="I134" s="154" t="s">
        <v>76</v>
      </c>
      <c r="J134" s="153" t="s">
        <v>77</v>
      </c>
      <c r="K134" s="153" t="s">
        <v>1629</v>
      </c>
      <c r="L134" s="66" t="s">
        <v>1630</v>
      </c>
      <c r="M134" s="153">
        <v>448</v>
      </c>
      <c r="N134" s="67">
        <v>728.69</v>
      </c>
      <c r="O134" s="153">
        <v>326453.12</v>
      </c>
      <c r="P134" s="68"/>
      <c r="Q134" s="153">
        <v>326453.12</v>
      </c>
      <c r="R134" s="153">
        <v>0</v>
      </c>
      <c r="S134" s="153">
        <v>0</v>
      </c>
      <c r="T134" s="153">
        <v>58761.56</v>
      </c>
      <c r="U134" s="153">
        <f t="shared" si="3"/>
        <v>385214.68</v>
      </c>
      <c r="V134" t="str">
        <f>VLOOKUP(I134,Abstract!$E$4:$F$62,2,0)</f>
        <v>CHIK BLK PROSOLTHK&amp;GLY4M+2M 1920P 22NF MRP RS.1.00</v>
      </c>
    </row>
    <row r="135" spans="1:22">
      <c r="A135" s="153" t="s">
        <v>1874</v>
      </c>
      <c r="B135" s="153" t="s">
        <v>1853</v>
      </c>
      <c r="C135" s="64" t="s">
        <v>934</v>
      </c>
      <c r="D135" s="153" t="s">
        <v>1875</v>
      </c>
      <c r="E135" s="153" t="s">
        <v>1876</v>
      </c>
      <c r="F135" s="65" t="s">
        <v>1856</v>
      </c>
      <c r="G135" s="153" t="s">
        <v>1627</v>
      </c>
      <c r="H135" s="153" t="s">
        <v>1628</v>
      </c>
      <c r="I135" s="154" t="s">
        <v>110</v>
      </c>
      <c r="J135" s="153" t="s">
        <v>111</v>
      </c>
      <c r="K135" s="153" t="s">
        <v>1629</v>
      </c>
      <c r="L135" s="66" t="s">
        <v>1630</v>
      </c>
      <c r="M135" s="153">
        <v>392</v>
      </c>
      <c r="N135" s="67">
        <v>886.25</v>
      </c>
      <c r="O135" s="153">
        <v>347410</v>
      </c>
      <c r="P135" s="68"/>
      <c r="Q135" s="153">
        <v>347410</v>
      </c>
      <c r="R135" s="153">
        <v>0</v>
      </c>
      <c r="S135" s="153">
        <v>0</v>
      </c>
      <c r="T135" s="153">
        <v>62533.8</v>
      </c>
      <c r="U135" s="153">
        <f t="shared" si="3"/>
        <v>409943.8</v>
      </c>
      <c r="V135" t="str">
        <f>VLOOKUP(I135,Abstract!$E$4:$F$62,2,0)</f>
        <v>KARTHIKA DAMAGESH 5.4M10%1920P+480P B4G1  MRP RS. 1.00</v>
      </c>
    </row>
    <row r="136" spans="1:22">
      <c r="A136" s="153" t="s">
        <v>1877</v>
      </c>
      <c r="B136" s="153" t="s">
        <v>1878</v>
      </c>
      <c r="C136" s="64" t="s">
        <v>934</v>
      </c>
      <c r="D136" s="153" t="s">
        <v>1879</v>
      </c>
      <c r="E136" s="153" t="s">
        <v>1880</v>
      </c>
      <c r="F136" s="65" t="s">
        <v>1881</v>
      </c>
      <c r="G136" s="153" t="s">
        <v>1644</v>
      </c>
      <c r="H136" s="153" t="s">
        <v>1645</v>
      </c>
      <c r="I136" s="154" t="s">
        <v>76</v>
      </c>
      <c r="J136" s="153" t="s">
        <v>77</v>
      </c>
      <c r="K136" s="153" t="s">
        <v>1629</v>
      </c>
      <c r="L136" s="66" t="s">
        <v>1630</v>
      </c>
      <c r="M136" s="153">
        <v>675</v>
      </c>
      <c r="N136" s="67">
        <v>728.69</v>
      </c>
      <c r="O136" s="153">
        <v>491865.75</v>
      </c>
      <c r="P136" s="68"/>
      <c r="Q136" s="153">
        <v>491865.75</v>
      </c>
      <c r="R136" s="153">
        <v>44267.92</v>
      </c>
      <c r="S136" s="153">
        <v>44267.92</v>
      </c>
      <c r="T136" s="153">
        <v>0</v>
      </c>
      <c r="U136" s="153">
        <f t="shared" si="3"/>
        <v>580401.59000000008</v>
      </c>
      <c r="V136" t="str">
        <f>VLOOKUP(I136,Abstract!$E$4:$F$62,2,0)</f>
        <v>CHIK BLK PROSOLTHK&amp;GLY4M+2M 1920P 22NF MRP RS.1.00</v>
      </c>
    </row>
    <row r="137" spans="1:22">
      <c r="A137" s="153" t="s">
        <v>1877</v>
      </c>
      <c r="B137" s="153" t="s">
        <v>1878</v>
      </c>
      <c r="C137" s="64" t="s">
        <v>934</v>
      </c>
      <c r="D137" s="153" t="s">
        <v>1879</v>
      </c>
      <c r="E137" s="153" t="s">
        <v>1880</v>
      </c>
      <c r="F137" s="65" t="s">
        <v>1881</v>
      </c>
      <c r="G137" s="153" t="s">
        <v>1644</v>
      </c>
      <c r="H137" s="153" t="s">
        <v>1645</v>
      </c>
      <c r="I137" s="154" t="s">
        <v>22</v>
      </c>
      <c r="J137" s="153" t="s">
        <v>1662</v>
      </c>
      <c r="K137" s="153" t="s">
        <v>1629</v>
      </c>
      <c r="L137" s="66" t="s">
        <v>1630</v>
      </c>
      <c r="M137" s="153">
        <v>40</v>
      </c>
      <c r="N137" s="67">
        <v>871.81</v>
      </c>
      <c r="O137" s="153">
        <v>34872.400000000001</v>
      </c>
      <c r="P137" s="68"/>
      <c r="Q137" s="153">
        <v>34872.400000000001</v>
      </c>
      <c r="R137" s="153">
        <v>3138.52</v>
      </c>
      <c r="S137" s="153">
        <v>3138.52</v>
      </c>
      <c r="T137" s="153">
        <v>0</v>
      </c>
      <c r="U137" s="153">
        <f t="shared" si="3"/>
        <v>41149.439999999995</v>
      </c>
      <c r="V137" t="str">
        <f>VLOOKUP(I137,Abstract!$E$4:$F$62,2,0)</f>
        <v>KARTHIKA HAIRFALLSHIELD 35ML 144P PETJAR</v>
      </c>
    </row>
    <row r="138" spans="1:22">
      <c r="A138" s="153" t="s">
        <v>1882</v>
      </c>
      <c r="B138" s="153" t="s">
        <v>1878</v>
      </c>
      <c r="C138" s="64" t="s">
        <v>934</v>
      </c>
      <c r="D138" s="153" t="s">
        <v>1175</v>
      </c>
      <c r="E138" s="153" t="s">
        <v>1883</v>
      </c>
      <c r="F138" s="65" t="s">
        <v>1881</v>
      </c>
      <c r="G138" s="153" t="s">
        <v>1627</v>
      </c>
      <c r="H138" s="153" t="s">
        <v>1628</v>
      </c>
      <c r="I138" s="154" t="s">
        <v>76</v>
      </c>
      <c r="J138" s="153" t="s">
        <v>77</v>
      </c>
      <c r="K138" s="153" t="s">
        <v>1629</v>
      </c>
      <c r="L138" s="66" t="s">
        <v>1630</v>
      </c>
      <c r="M138" s="153">
        <v>98</v>
      </c>
      <c r="N138" s="67">
        <v>728.69</v>
      </c>
      <c r="O138" s="153">
        <v>71411.62</v>
      </c>
      <c r="P138" s="68"/>
      <c r="Q138" s="153">
        <v>71411.62</v>
      </c>
      <c r="R138" s="153">
        <v>0</v>
      </c>
      <c r="S138" s="153">
        <v>0</v>
      </c>
      <c r="T138" s="153">
        <v>12854.09</v>
      </c>
      <c r="U138" s="153">
        <f t="shared" si="3"/>
        <v>84265.709999999992</v>
      </c>
      <c r="V138" t="str">
        <f>VLOOKUP(I138,Abstract!$E$4:$F$62,2,0)</f>
        <v>CHIK BLK PROSOLTHK&amp;GLY4M+2M 1920P 22NF MRP RS.1.00</v>
      </c>
    </row>
    <row r="139" spans="1:22">
      <c r="A139" s="153" t="s">
        <v>1882</v>
      </c>
      <c r="B139" s="153" t="s">
        <v>1878</v>
      </c>
      <c r="C139" s="64" t="s">
        <v>934</v>
      </c>
      <c r="D139" s="153" t="s">
        <v>1175</v>
      </c>
      <c r="E139" s="153" t="s">
        <v>1883</v>
      </c>
      <c r="F139" s="65" t="s">
        <v>1881</v>
      </c>
      <c r="G139" s="153" t="s">
        <v>1627</v>
      </c>
      <c r="H139" s="153" t="s">
        <v>1628</v>
      </c>
      <c r="I139" s="154" t="s">
        <v>110</v>
      </c>
      <c r="J139" s="153" t="s">
        <v>111</v>
      </c>
      <c r="K139" s="153" t="s">
        <v>1629</v>
      </c>
      <c r="L139" s="66" t="s">
        <v>1630</v>
      </c>
      <c r="M139" s="153">
        <v>1078</v>
      </c>
      <c r="N139" s="67">
        <v>886.25</v>
      </c>
      <c r="O139" s="153">
        <v>955377.5</v>
      </c>
      <c r="P139" s="68"/>
      <c r="Q139" s="153">
        <v>955377.5</v>
      </c>
      <c r="R139" s="153">
        <v>0</v>
      </c>
      <c r="S139" s="153">
        <v>0</v>
      </c>
      <c r="T139" s="153">
        <v>171967.95</v>
      </c>
      <c r="U139" s="153">
        <f t="shared" si="3"/>
        <v>1127345.45</v>
      </c>
      <c r="V139" t="str">
        <f>VLOOKUP(I139,Abstract!$E$4:$F$62,2,0)</f>
        <v>KARTHIKA DAMAGESH 5.4M10%1920P+480P B4G1  MRP RS. 1.00</v>
      </c>
    </row>
    <row r="140" spans="1:22">
      <c r="A140" s="153" t="s">
        <v>1884</v>
      </c>
      <c r="B140" s="153" t="s">
        <v>1878</v>
      </c>
      <c r="C140" s="64" t="s">
        <v>934</v>
      </c>
      <c r="D140" s="153" t="s">
        <v>1366</v>
      </c>
      <c r="E140" s="153" t="s">
        <v>1885</v>
      </c>
      <c r="F140" s="65" t="s">
        <v>1881</v>
      </c>
      <c r="G140" s="153" t="s">
        <v>1634</v>
      </c>
      <c r="H140" s="153" t="s">
        <v>1635</v>
      </c>
      <c r="I140" s="154" t="s">
        <v>90</v>
      </c>
      <c r="J140" s="153" t="s">
        <v>91</v>
      </c>
      <c r="K140" s="153" t="s">
        <v>1629</v>
      </c>
      <c r="L140" s="66" t="s">
        <v>1630</v>
      </c>
      <c r="M140" s="153">
        <v>300</v>
      </c>
      <c r="N140" s="67">
        <v>937.09</v>
      </c>
      <c r="O140" s="153">
        <v>281127</v>
      </c>
      <c r="P140" s="68"/>
      <c r="Q140" s="153">
        <v>281127</v>
      </c>
      <c r="R140" s="153">
        <v>0</v>
      </c>
      <c r="S140" s="153">
        <v>0</v>
      </c>
      <c r="T140" s="153">
        <v>50602.86</v>
      </c>
      <c r="U140" s="153">
        <f t="shared" si="3"/>
        <v>331729.86</v>
      </c>
      <c r="V140" t="str">
        <f>VLOOKUP(I140,Abstract!$E$4:$F$62,2,0)</f>
        <v>CHIK BLK HFP PROSOL 3G 23%EX 4800PC RL22 MRP RS.0.50</v>
      </c>
    </row>
    <row r="141" spans="1:22">
      <c r="A141" s="153" t="s">
        <v>1884</v>
      </c>
      <c r="B141" s="153" t="s">
        <v>1878</v>
      </c>
      <c r="C141" s="64" t="s">
        <v>934</v>
      </c>
      <c r="D141" s="153" t="s">
        <v>1366</v>
      </c>
      <c r="E141" s="153" t="s">
        <v>1885</v>
      </c>
      <c r="F141" s="65" t="s">
        <v>1881</v>
      </c>
      <c r="G141" s="153" t="s">
        <v>1634</v>
      </c>
      <c r="H141" s="153" t="s">
        <v>1635</v>
      </c>
      <c r="I141" s="154" t="s">
        <v>108</v>
      </c>
      <c r="J141" s="153" t="s">
        <v>109</v>
      </c>
      <c r="K141" s="153" t="s">
        <v>1629</v>
      </c>
      <c r="L141" s="66" t="s">
        <v>1630</v>
      </c>
      <c r="M141" s="153">
        <v>468</v>
      </c>
      <c r="N141" s="67">
        <v>957.97</v>
      </c>
      <c r="O141" s="153">
        <v>448329.96</v>
      </c>
      <c r="P141" s="68"/>
      <c r="Q141" s="153">
        <v>448329.96</v>
      </c>
      <c r="R141" s="153">
        <v>0</v>
      </c>
      <c r="S141" s="153">
        <v>0</v>
      </c>
      <c r="T141" s="153">
        <v>80699.39</v>
      </c>
      <c r="U141" s="153">
        <f t="shared" si="3"/>
        <v>529029.35</v>
      </c>
      <c r="V141" t="str">
        <f>VLOOKUP(I141,Abstract!$E$4:$F$62,2,0)</f>
        <v>KARTHIKA DAM SHIELD SH 3G 23% EX 4800PCS MRP Rs.0.50</v>
      </c>
    </row>
    <row r="142" spans="1:22">
      <c r="A142" s="153" t="s">
        <v>1884</v>
      </c>
      <c r="B142" s="153" t="s">
        <v>1878</v>
      </c>
      <c r="C142" s="64" t="s">
        <v>934</v>
      </c>
      <c r="D142" s="153" t="s">
        <v>1366</v>
      </c>
      <c r="E142" s="153" t="s">
        <v>1885</v>
      </c>
      <c r="F142" s="65" t="s">
        <v>1881</v>
      </c>
      <c r="G142" s="153" t="s">
        <v>1634</v>
      </c>
      <c r="H142" s="153" t="s">
        <v>1635</v>
      </c>
      <c r="I142" s="154" t="s">
        <v>22</v>
      </c>
      <c r="J142" s="153" t="s">
        <v>1662</v>
      </c>
      <c r="K142" s="153" t="s">
        <v>1629</v>
      </c>
      <c r="L142" s="66" t="s">
        <v>1630</v>
      </c>
      <c r="M142" s="153">
        <v>6</v>
      </c>
      <c r="N142" s="67">
        <v>871.81</v>
      </c>
      <c r="O142" s="153">
        <v>5230.8599999999997</v>
      </c>
      <c r="P142" s="68"/>
      <c r="Q142" s="153">
        <v>5230.8599999999997</v>
      </c>
      <c r="R142" s="153">
        <v>0</v>
      </c>
      <c r="S142" s="153">
        <v>0</v>
      </c>
      <c r="T142" s="153">
        <v>941.55</v>
      </c>
      <c r="U142" s="153">
        <f t="shared" si="3"/>
        <v>6172.41</v>
      </c>
      <c r="V142" t="str">
        <f>VLOOKUP(I142,Abstract!$E$4:$F$62,2,0)</f>
        <v>KARTHIKA HAIRFALLSHIELD 35ML 144P PETJAR</v>
      </c>
    </row>
    <row r="143" spans="1:22">
      <c r="A143" s="153" t="s">
        <v>1884</v>
      </c>
      <c r="B143" s="153" t="s">
        <v>1878</v>
      </c>
      <c r="C143" s="64" t="s">
        <v>934</v>
      </c>
      <c r="D143" s="153" t="s">
        <v>1366</v>
      </c>
      <c r="E143" s="153" t="s">
        <v>1885</v>
      </c>
      <c r="F143" s="65" t="s">
        <v>1881</v>
      </c>
      <c r="G143" s="153" t="s">
        <v>1634</v>
      </c>
      <c r="H143" s="153" t="s">
        <v>1635</v>
      </c>
      <c r="I143" s="154" t="s">
        <v>86</v>
      </c>
      <c r="J143" s="153" t="s">
        <v>87</v>
      </c>
      <c r="K143" s="153" t="s">
        <v>1629</v>
      </c>
      <c r="L143" s="66" t="s">
        <v>1630</v>
      </c>
      <c r="M143" s="153">
        <v>15</v>
      </c>
      <c r="N143" s="67">
        <v>829.62</v>
      </c>
      <c r="O143" s="153">
        <v>12444.3</v>
      </c>
      <c r="P143" s="68"/>
      <c r="Q143" s="153">
        <v>12444.3</v>
      </c>
      <c r="R143" s="153">
        <v>0</v>
      </c>
      <c r="S143" s="153">
        <v>0</v>
      </c>
      <c r="T143" s="153">
        <v>2239.9699999999998</v>
      </c>
      <c r="U143" s="153">
        <f t="shared" si="3"/>
        <v>14684.269999999999</v>
      </c>
      <c r="V143" t="str">
        <f>VLOOKUP(I143,Abstract!$E$4:$F$62,2,0)</f>
        <v>KARTHIKA SHAM HAIRFALL SHIELD 650ML 12PC MRP RS 475.00</v>
      </c>
    </row>
    <row r="144" spans="1:22">
      <c r="A144" s="153" t="s">
        <v>1886</v>
      </c>
      <c r="B144" s="153" t="s">
        <v>1878</v>
      </c>
      <c r="C144" s="64" t="s">
        <v>934</v>
      </c>
      <c r="D144" s="153" t="s">
        <v>1887</v>
      </c>
      <c r="E144" s="153" t="s">
        <v>1888</v>
      </c>
      <c r="F144" s="65" t="s">
        <v>1881</v>
      </c>
      <c r="G144" s="153" t="s">
        <v>1644</v>
      </c>
      <c r="H144" s="153" t="s">
        <v>1645</v>
      </c>
      <c r="I144" s="154" t="s">
        <v>76</v>
      </c>
      <c r="J144" s="153" t="s">
        <v>77</v>
      </c>
      <c r="K144" s="153" t="s">
        <v>1629</v>
      </c>
      <c r="L144" s="66" t="s">
        <v>1630</v>
      </c>
      <c r="M144" s="153">
        <v>1102</v>
      </c>
      <c r="N144" s="67">
        <v>728.69</v>
      </c>
      <c r="O144" s="153">
        <v>803016.38</v>
      </c>
      <c r="P144" s="68"/>
      <c r="Q144" s="153">
        <v>803016.38</v>
      </c>
      <c r="R144" s="153">
        <v>72271.47</v>
      </c>
      <c r="S144" s="153">
        <v>72271.47</v>
      </c>
      <c r="T144" s="153">
        <v>0</v>
      </c>
      <c r="U144" s="153">
        <f t="shared" si="3"/>
        <v>947559.32</v>
      </c>
      <c r="V144" t="str">
        <f>VLOOKUP(I144,Abstract!$E$4:$F$62,2,0)</f>
        <v>CHIK BLK PROSOLTHK&amp;GLY4M+2M 1920P 22NF MRP RS.1.00</v>
      </c>
    </row>
    <row r="145" spans="1:22">
      <c r="A145" s="153" t="s">
        <v>1889</v>
      </c>
      <c r="B145" s="153" t="s">
        <v>1878</v>
      </c>
      <c r="C145" s="64" t="s">
        <v>934</v>
      </c>
      <c r="D145" s="153" t="s">
        <v>1890</v>
      </c>
      <c r="E145" s="153" t="s">
        <v>1891</v>
      </c>
      <c r="F145" s="65" t="s">
        <v>1881</v>
      </c>
      <c r="G145" s="153" t="s">
        <v>1644</v>
      </c>
      <c r="H145" s="153" t="s">
        <v>1645</v>
      </c>
      <c r="I145" s="154" t="s">
        <v>76</v>
      </c>
      <c r="J145" s="153" t="s">
        <v>77</v>
      </c>
      <c r="K145" s="153" t="s">
        <v>1629</v>
      </c>
      <c r="L145" s="66" t="s">
        <v>1630</v>
      </c>
      <c r="M145" s="153">
        <v>720</v>
      </c>
      <c r="N145" s="67">
        <v>728.69</v>
      </c>
      <c r="O145" s="153">
        <v>524656.80000000005</v>
      </c>
      <c r="P145" s="68"/>
      <c r="Q145" s="153">
        <v>524656.80000000005</v>
      </c>
      <c r="R145" s="153">
        <v>47219.11</v>
      </c>
      <c r="S145" s="153">
        <v>47219.11</v>
      </c>
      <c r="T145" s="153">
        <v>0</v>
      </c>
      <c r="U145" s="153">
        <f t="shared" si="3"/>
        <v>619095.02</v>
      </c>
      <c r="V145" t="str">
        <f>VLOOKUP(I145,Abstract!$E$4:$F$62,2,0)</f>
        <v>CHIK BLK PROSOLTHK&amp;GLY4M+2M 1920P 22NF MRP RS.1.00</v>
      </c>
    </row>
    <row r="146" spans="1:22">
      <c r="A146" s="153" t="s">
        <v>1892</v>
      </c>
      <c r="B146" s="153" t="s">
        <v>1878</v>
      </c>
      <c r="C146" s="64" t="s">
        <v>934</v>
      </c>
      <c r="D146" s="153" t="s">
        <v>1893</v>
      </c>
      <c r="E146" s="153" t="s">
        <v>1894</v>
      </c>
      <c r="F146" s="65" t="s">
        <v>1881</v>
      </c>
      <c r="G146" s="153" t="s">
        <v>1644</v>
      </c>
      <c r="H146" s="153" t="s">
        <v>1645</v>
      </c>
      <c r="I146" s="154" t="s">
        <v>76</v>
      </c>
      <c r="J146" s="153" t="s">
        <v>77</v>
      </c>
      <c r="K146" s="153" t="s">
        <v>1629</v>
      </c>
      <c r="L146" s="66" t="s">
        <v>1630</v>
      </c>
      <c r="M146" s="153">
        <v>720</v>
      </c>
      <c r="N146" s="67">
        <v>728.69</v>
      </c>
      <c r="O146" s="153">
        <v>524656.80000000005</v>
      </c>
      <c r="P146" s="68"/>
      <c r="Q146" s="153">
        <v>524656.80000000005</v>
      </c>
      <c r="R146" s="153">
        <v>47219.11</v>
      </c>
      <c r="S146" s="153">
        <v>47219.11</v>
      </c>
      <c r="T146" s="153">
        <v>0</v>
      </c>
      <c r="U146" s="153">
        <f t="shared" si="3"/>
        <v>619095.02</v>
      </c>
      <c r="V146" t="str">
        <f>VLOOKUP(I146,Abstract!$E$4:$F$62,2,0)</f>
        <v>CHIK BLK PROSOLTHK&amp;GLY4M+2M 1920P 22NF MRP RS.1.00</v>
      </c>
    </row>
    <row r="147" spans="1:22">
      <c r="A147" s="153" t="s">
        <v>1895</v>
      </c>
      <c r="B147" s="153" t="s">
        <v>1896</v>
      </c>
      <c r="C147" s="64" t="s">
        <v>934</v>
      </c>
      <c r="D147" s="153" t="s">
        <v>1897</v>
      </c>
      <c r="E147" s="153" t="s">
        <v>1898</v>
      </c>
      <c r="F147" s="65" t="s">
        <v>1899</v>
      </c>
      <c r="G147" s="153" t="s">
        <v>1650</v>
      </c>
      <c r="H147" s="153" t="s">
        <v>1651</v>
      </c>
      <c r="I147" s="154" t="s">
        <v>76</v>
      </c>
      <c r="J147" s="153" t="s">
        <v>77</v>
      </c>
      <c r="K147" s="153" t="s">
        <v>1629</v>
      </c>
      <c r="L147" s="66" t="s">
        <v>1630</v>
      </c>
      <c r="M147" s="153">
        <v>1344</v>
      </c>
      <c r="N147" s="67">
        <v>728.69</v>
      </c>
      <c r="O147" s="153">
        <v>979359.36</v>
      </c>
      <c r="P147" s="68"/>
      <c r="Q147" s="153">
        <v>979359.36</v>
      </c>
      <c r="R147" s="153">
        <v>0</v>
      </c>
      <c r="S147" s="153">
        <v>0</v>
      </c>
      <c r="T147" s="153">
        <v>176284.68</v>
      </c>
      <c r="U147" s="153">
        <f t="shared" si="3"/>
        <v>1155644.04</v>
      </c>
      <c r="V147" t="str">
        <f>VLOOKUP(I147,Abstract!$E$4:$F$62,2,0)</f>
        <v>CHIK BLK PROSOLTHK&amp;GLY4M+2M 1920P 22NF MRP RS.1.00</v>
      </c>
    </row>
    <row r="148" spans="1:22">
      <c r="A148" s="153" t="s">
        <v>1900</v>
      </c>
      <c r="B148" s="153" t="s">
        <v>1896</v>
      </c>
      <c r="C148" s="64" t="s">
        <v>934</v>
      </c>
      <c r="D148" s="153" t="s">
        <v>1901</v>
      </c>
      <c r="E148" s="153" t="s">
        <v>1902</v>
      </c>
      <c r="F148" s="65" t="s">
        <v>1899</v>
      </c>
      <c r="G148" s="153" t="s">
        <v>1644</v>
      </c>
      <c r="H148" s="153" t="s">
        <v>1645</v>
      </c>
      <c r="I148" s="154" t="s">
        <v>76</v>
      </c>
      <c r="J148" s="153" t="s">
        <v>77</v>
      </c>
      <c r="K148" s="153" t="s">
        <v>1629</v>
      </c>
      <c r="L148" s="66" t="s">
        <v>1630</v>
      </c>
      <c r="M148" s="153">
        <v>1055</v>
      </c>
      <c r="N148" s="67">
        <v>728.69</v>
      </c>
      <c r="O148" s="153">
        <v>768767.95</v>
      </c>
      <c r="P148" s="68"/>
      <c r="Q148" s="153">
        <v>768767.95</v>
      </c>
      <c r="R148" s="153">
        <v>69189.119999999995</v>
      </c>
      <c r="S148" s="153">
        <v>69189.119999999995</v>
      </c>
      <c r="T148" s="153">
        <v>0</v>
      </c>
      <c r="U148" s="153">
        <f t="shared" si="3"/>
        <v>907146.19</v>
      </c>
      <c r="V148" t="str">
        <f>VLOOKUP(I148,Abstract!$E$4:$F$62,2,0)</f>
        <v>CHIK BLK PROSOLTHK&amp;GLY4M+2M 1920P 22NF MRP RS.1.00</v>
      </c>
    </row>
    <row r="149" spans="1:22">
      <c r="A149" s="153" t="s">
        <v>1900</v>
      </c>
      <c r="B149" s="153" t="s">
        <v>1896</v>
      </c>
      <c r="C149" s="64" t="s">
        <v>934</v>
      </c>
      <c r="D149" s="153" t="s">
        <v>1901</v>
      </c>
      <c r="E149" s="153" t="s">
        <v>1902</v>
      </c>
      <c r="F149" s="65" t="s">
        <v>1899</v>
      </c>
      <c r="G149" s="153" t="s">
        <v>1644</v>
      </c>
      <c r="H149" s="153" t="s">
        <v>1645</v>
      </c>
      <c r="I149" s="154" t="s">
        <v>20</v>
      </c>
      <c r="J149" s="153" t="s">
        <v>1636</v>
      </c>
      <c r="K149" s="153" t="s">
        <v>1629</v>
      </c>
      <c r="L149" s="66" t="s">
        <v>1630</v>
      </c>
      <c r="M149" s="153">
        <v>47</v>
      </c>
      <c r="N149" s="67">
        <v>728.3</v>
      </c>
      <c r="O149" s="153">
        <v>34230.1</v>
      </c>
      <c r="P149" s="68"/>
      <c r="Q149" s="153">
        <v>34230.1</v>
      </c>
      <c r="R149" s="153">
        <v>3080.71</v>
      </c>
      <c r="S149" s="153">
        <v>3080.71</v>
      </c>
      <c r="T149" s="153">
        <v>0</v>
      </c>
      <c r="U149" s="153">
        <f t="shared" si="3"/>
        <v>40391.519999999997</v>
      </c>
      <c r="V149" t="str">
        <f>VLOOKUP(I149,Abstract!$E$4:$F$62,2,0)</f>
        <v>Karthika Hairfall Shield 5.4ml 10% Extra(43W*70mm L)</v>
      </c>
    </row>
    <row r="150" spans="1:22">
      <c r="A150" s="153" t="s">
        <v>1903</v>
      </c>
      <c r="B150" s="153" t="s">
        <v>1896</v>
      </c>
      <c r="C150" s="64" t="s">
        <v>934</v>
      </c>
      <c r="D150" s="153" t="s">
        <v>1904</v>
      </c>
      <c r="E150" s="153" t="s">
        <v>1905</v>
      </c>
      <c r="F150" s="65" t="s">
        <v>1899</v>
      </c>
      <c r="G150" s="153" t="s">
        <v>1634</v>
      </c>
      <c r="H150" s="153" t="s">
        <v>1635</v>
      </c>
      <c r="I150" s="154" t="s">
        <v>90</v>
      </c>
      <c r="J150" s="153" t="s">
        <v>91</v>
      </c>
      <c r="K150" s="153" t="s">
        <v>1629</v>
      </c>
      <c r="L150" s="66" t="s">
        <v>1630</v>
      </c>
      <c r="M150" s="153">
        <v>585</v>
      </c>
      <c r="N150" s="67">
        <v>937.09</v>
      </c>
      <c r="O150" s="153">
        <v>548197.65</v>
      </c>
      <c r="P150" s="68"/>
      <c r="Q150" s="153">
        <v>548197.65</v>
      </c>
      <c r="R150" s="153">
        <v>0</v>
      </c>
      <c r="S150" s="153">
        <v>0</v>
      </c>
      <c r="T150" s="153">
        <v>98675.58</v>
      </c>
      <c r="U150" s="153">
        <f t="shared" si="3"/>
        <v>646873.23</v>
      </c>
      <c r="V150" t="str">
        <f>VLOOKUP(I150,Abstract!$E$4:$F$62,2,0)</f>
        <v>CHIK BLK HFP PROSOL 3G 23%EX 4800PC RL22 MRP RS.0.50</v>
      </c>
    </row>
    <row r="151" spans="1:22">
      <c r="A151" s="153" t="s">
        <v>1903</v>
      </c>
      <c r="B151" s="153" t="s">
        <v>1896</v>
      </c>
      <c r="C151" s="64" t="s">
        <v>934</v>
      </c>
      <c r="D151" s="153" t="s">
        <v>1904</v>
      </c>
      <c r="E151" s="153" t="s">
        <v>1905</v>
      </c>
      <c r="F151" s="65" t="s">
        <v>1899</v>
      </c>
      <c r="G151" s="153" t="s">
        <v>1634</v>
      </c>
      <c r="H151" s="153" t="s">
        <v>1635</v>
      </c>
      <c r="I151" s="154" t="s">
        <v>76</v>
      </c>
      <c r="J151" s="153" t="s">
        <v>77</v>
      </c>
      <c r="K151" s="153" t="s">
        <v>1629</v>
      </c>
      <c r="L151" s="66" t="s">
        <v>1630</v>
      </c>
      <c r="M151" s="153">
        <v>154</v>
      </c>
      <c r="N151" s="67">
        <v>728.69</v>
      </c>
      <c r="O151" s="153">
        <v>112218.26</v>
      </c>
      <c r="P151" s="68"/>
      <c r="Q151" s="153">
        <v>112218.26</v>
      </c>
      <c r="R151" s="153">
        <v>0</v>
      </c>
      <c r="S151" s="153">
        <v>0</v>
      </c>
      <c r="T151" s="153">
        <v>20199.29</v>
      </c>
      <c r="U151" s="153">
        <f t="shared" si="3"/>
        <v>132417.54999999999</v>
      </c>
      <c r="V151" t="str">
        <f>VLOOKUP(I151,Abstract!$E$4:$F$62,2,0)</f>
        <v>CHIK BLK PROSOLTHK&amp;GLY4M+2M 1920P 22NF MRP RS.1.00</v>
      </c>
    </row>
    <row r="152" spans="1:22">
      <c r="A152" s="153" t="s">
        <v>1903</v>
      </c>
      <c r="B152" s="153" t="s">
        <v>1896</v>
      </c>
      <c r="C152" s="64" t="s">
        <v>934</v>
      </c>
      <c r="D152" s="153" t="s">
        <v>1904</v>
      </c>
      <c r="E152" s="153" t="s">
        <v>1905</v>
      </c>
      <c r="F152" s="65" t="s">
        <v>1899</v>
      </c>
      <c r="G152" s="153" t="s">
        <v>1634</v>
      </c>
      <c r="H152" s="153" t="s">
        <v>1635</v>
      </c>
      <c r="I152" s="154" t="s">
        <v>116</v>
      </c>
      <c r="J152" s="153" t="s">
        <v>117</v>
      </c>
      <c r="K152" s="153" t="s">
        <v>1629</v>
      </c>
      <c r="L152" s="66" t="s">
        <v>1630</v>
      </c>
      <c r="M152" s="153">
        <v>322</v>
      </c>
      <c r="N152" s="67">
        <v>682.6</v>
      </c>
      <c r="O152" s="153">
        <v>219797.2</v>
      </c>
      <c r="P152" s="68"/>
      <c r="Q152" s="153">
        <v>219797.2</v>
      </c>
      <c r="R152" s="153">
        <v>0</v>
      </c>
      <c r="S152" s="153">
        <v>0</v>
      </c>
      <c r="T152" s="153">
        <v>39563.5</v>
      </c>
      <c r="U152" s="153">
        <f t="shared" si="3"/>
        <v>259360.7</v>
      </c>
      <c r="V152" t="str">
        <f>VLOOKUP(I152,Abstract!$E$4:$F$62,2,0)</f>
        <v>KARTHIKA HAIRFALLSHIELD 4ML 1920P NF MRP RS.1.00</v>
      </c>
    </row>
    <row r="153" spans="1:22">
      <c r="A153" s="153" t="s">
        <v>1906</v>
      </c>
      <c r="B153" s="153" t="s">
        <v>1896</v>
      </c>
      <c r="C153" s="64" t="s">
        <v>934</v>
      </c>
      <c r="D153" s="153" t="s">
        <v>1907</v>
      </c>
      <c r="E153" s="153" t="s">
        <v>1908</v>
      </c>
      <c r="F153" s="65" t="s">
        <v>1899</v>
      </c>
      <c r="G153" s="153" t="s">
        <v>1627</v>
      </c>
      <c r="H153" s="153" t="s">
        <v>1628</v>
      </c>
      <c r="I153" s="154" t="s">
        <v>90</v>
      </c>
      <c r="J153" s="153" t="s">
        <v>91</v>
      </c>
      <c r="K153" s="153" t="s">
        <v>1629</v>
      </c>
      <c r="L153" s="66" t="s">
        <v>1630</v>
      </c>
      <c r="M153" s="153">
        <v>455</v>
      </c>
      <c r="N153" s="67">
        <v>937.09</v>
      </c>
      <c r="O153" s="153">
        <v>426375.95</v>
      </c>
      <c r="P153" s="68"/>
      <c r="Q153" s="153">
        <v>426375.95</v>
      </c>
      <c r="R153" s="153">
        <v>0</v>
      </c>
      <c r="S153" s="153">
        <v>0</v>
      </c>
      <c r="T153" s="153">
        <v>76747.67</v>
      </c>
      <c r="U153" s="153">
        <f t="shared" si="3"/>
        <v>503123.62</v>
      </c>
      <c r="V153" t="str">
        <f>VLOOKUP(I153,Abstract!$E$4:$F$62,2,0)</f>
        <v>CHIK BLK HFP PROSOL 3G 23%EX 4800PC RL22 MRP RS.0.50</v>
      </c>
    </row>
    <row r="154" spans="1:22">
      <c r="A154" s="153" t="s">
        <v>1906</v>
      </c>
      <c r="B154" s="153" t="s">
        <v>1896</v>
      </c>
      <c r="C154" s="64" t="s">
        <v>934</v>
      </c>
      <c r="D154" s="153" t="s">
        <v>1907</v>
      </c>
      <c r="E154" s="153" t="s">
        <v>1908</v>
      </c>
      <c r="F154" s="65" t="s">
        <v>1899</v>
      </c>
      <c r="G154" s="153" t="s">
        <v>1627</v>
      </c>
      <c r="H154" s="153" t="s">
        <v>1628</v>
      </c>
      <c r="I154" s="154" t="s">
        <v>88</v>
      </c>
      <c r="J154" s="153" t="s">
        <v>89</v>
      </c>
      <c r="K154" s="153" t="s">
        <v>1629</v>
      </c>
      <c r="L154" s="66" t="s">
        <v>1630</v>
      </c>
      <c r="M154" s="153">
        <v>65</v>
      </c>
      <c r="N154" s="67">
        <v>936.79</v>
      </c>
      <c r="O154" s="153">
        <v>60891.35</v>
      </c>
      <c r="P154" s="68"/>
      <c r="Q154" s="153">
        <v>60891.35</v>
      </c>
      <c r="R154" s="153">
        <v>0</v>
      </c>
      <c r="S154" s="153">
        <v>0</v>
      </c>
      <c r="T154" s="153">
        <v>10960.44</v>
      </c>
      <c r="U154" s="153">
        <f t="shared" si="3"/>
        <v>71851.789999999994</v>
      </c>
      <c r="V154" t="str">
        <f>VLOOKUP(I154,Abstract!$E$4:$F$62,2,0)</f>
        <v>CHIK JAS HFP PROSOL 3G23% EX 4800PC 22RL MRP RS.0.50</v>
      </c>
    </row>
    <row r="155" spans="1:22">
      <c r="A155" s="153" t="s">
        <v>1906</v>
      </c>
      <c r="B155" s="153" t="s">
        <v>1896</v>
      </c>
      <c r="C155" s="64" t="s">
        <v>934</v>
      </c>
      <c r="D155" s="153" t="s">
        <v>1907</v>
      </c>
      <c r="E155" s="153" t="s">
        <v>1908</v>
      </c>
      <c r="F155" s="65" t="s">
        <v>1899</v>
      </c>
      <c r="G155" s="153" t="s">
        <v>1627</v>
      </c>
      <c r="H155" s="153" t="s">
        <v>1628</v>
      </c>
      <c r="I155" s="154" t="s">
        <v>76</v>
      </c>
      <c r="J155" s="153" t="s">
        <v>77</v>
      </c>
      <c r="K155" s="153" t="s">
        <v>1629</v>
      </c>
      <c r="L155" s="66" t="s">
        <v>1630</v>
      </c>
      <c r="M155" s="153">
        <v>224</v>
      </c>
      <c r="N155" s="67">
        <v>728.69</v>
      </c>
      <c r="O155" s="153">
        <v>163226.56</v>
      </c>
      <c r="P155" s="68"/>
      <c r="Q155" s="153">
        <v>163226.56</v>
      </c>
      <c r="R155" s="153">
        <v>0</v>
      </c>
      <c r="S155" s="153">
        <v>0</v>
      </c>
      <c r="T155" s="153">
        <v>29380.78</v>
      </c>
      <c r="U155" s="153">
        <f t="shared" si="3"/>
        <v>192607.34</v>
      </c>
      <c r="V155" t="str">
        <f>VLOOKUP(I155,Abstract!$E$4:$F$62,2,0)</f>
        <v>CHIK BLK PROSOLTHK&amp;GLY4M+2M 1920P 22NF MRP RS.1.00</v>
      </c>
    </row>
    <row r="156" spans="1:22">
      <c r="A156" s="153" t="s">
        <v>1906</v>
      </c>
      <c r="B156" s="153" t="s">
        <v>1896</v>
      </c>
      <c r="C156" s="64" t="s">
        <v>934</v>
      </c>
      <c r="D156" s="153" t="s">
        <v>1907</v>
      </c>
      <c r="E156" s="153" t="s">
        <v>1908</v>
      </c>
      <c r="F156" s="65" t="s">
        <v>1899</v>
      </c>
      <c r="G156" s="153" t="s">
        <v>1627</v>
      </c>
      <c r="H156" s="153" t="s">
        <v>1628</v>
      </c>
      <c r="I156" s="154" t="s">
        <v>110</v>
      </c>
      <c r="J156" s="153" t="s">
        <v>111</v>
      </c>
      <c r="K156" s="153" t="s">
        <v>1629</v>
      </c>
      <c r="L156" s="66" t="s">
        <v>1630</v>
      </c>
      <c r="M156" s="153">
        <v>294</v>
      </c>
      <c r="N156" s="67">
        <v>886.25</v>
      </c>
      <c r="O156" s="153">
        <v>260557.5</v>
      </c>
      <c r="P156" s="68"/>
      <c r="Q156" s="153">
        <v>260557.5</v>
      </c>
      <c r="R156" s="153">
        <v>0</v>
      </c>
      <c r="S156" s="153">
        <v>0</v>
      </c>
      <c r="T156" s="153">
        <v>46900.35</v>
      </c>
      <c r="U156" s="153">
        <f t="shared" si="3"/>
        <v>307457.84999999998</v>
      </c>
      <c r="V156" t="str">
        <f>VLOOKUP(I156,Abstract!$E$4:$F$62,2,0)</f>
        <v>KARTHIKA DAMAGESH 5.4M10%1920P+480P B4G1  MRP RS. 1.00</v>
      </c>
    </row>
    <row r="157" spans="1:22">
      <c r="A157" s="153" t="s">
        <v>1909</v>
      </c>
      <c r="B157" s="153" t="s">
        <v>1910</v>
      </c>
      <c r="C157" s="64" t="s">
        <v>934</v>
      </c>
      <c r="D157" s="153" t="s">
        <v>965</v>
      </c>
      <c r="E157" s="153" t="s">
        <v>1911</v>
      </c>
      <c r="F157" s="65" t="s">
        <v>1912</v>
      </c>
      <c r="G157" s="153" t="s">
        <v>1644</v>
      </c>
      <c r="H157" s="153" t="s">
        <v>1645</v>
      </c>
      <c r="I157" s="154" t="s">
        <v>76</v>
      </c>
      <c r="J157" s="153" t="s">
        <v>77</v>
      </c>
      <c r="K157" s="153" t="s">
        <v>1629</v>
      </c>
      <c r="L157" s="66" t="s">
        <v>1630</v>
      </c>
      <c r="M157" s="153">
        <v>288</v>
      </c>
      <c r="N157" s="67">
        <v>728.69</v>
      </c>
      <c r="O157" s="153">
        <v>209862.72</v>
      </c>
      <c r="P157" s="68"/>
      <c r="Q157" s="153">
        <v>209862.72</v>
      </c>
      <c r="R157" s="153">
        <v>18887.64</v>
      </c>
      <c r="S157" s="153">
        <v>18887.64</v>
      </c>
      <c r="T157" s="153">
        <v>0</v>
      </c>
      <c r="U157" s="153">
        <f t="shared" si="3"/>
        <v>247638</v>
      </c>
      <c r="V157" t="str">
        <f>VLOOKUP(I157,Abstract!$E$4:$F$62,2,0)</f>
        <v>CHIK BLK PROSOLTHK&amp;GLY4M+2M 1920P 22NF MRP RS.1.00</v>
      </c>
    </row>
    <row r="158" spans="1:22">
      <c r="A158" s="153" t="s">
        <v>1909</v>
      </c>
      <c r="B158" s="153" t="s">
        <v>1910</v>
      </c>
      <c r="C158" s="64" t="s">
        <v>934</v>
      </c>
      <c r="D158" s="153" t="s">
        <v>965</v>
      </c>
      <c r="E158" s="153" t="s">
        <v>1911</v>
      </c>
      <c r="F158" s="65" t="s">
        <v>1912</v>
      </c>
      <c r="G158" s="153" t="s">
        <v>1644</v>
      </c>
      <c r="H158" s="153" t="s">
        <v>1645</v>
      </c>
      <c r="I158" s="154" t="s">
        <v>82</v>
      </c>
      <c r="J158" s="153" t="s">
        <v>83</v>
      </c>
      <c r="K158" s="153" t="s">
        <v>1629</v>
      </c>
      <c r="L158" s="66" t="s">
        <v>1630</v>
      </c>
      <c r="M158" s="153">
        <v>432</v>
      </c>
      <c r="N158" s="67">
        <v>714.24</v>
      </c>
      <c r="O158" s="153">
        <v>308551.67999999999</v>
      </c>
      <c r="P158" s="68"/>
      <c r="Q158" s="153">
        <v>308551.67999999999</v>
      </c>
      <c r="R158" s="153">
        <v>27769.65</v>
      </c>
      <c r="S158" s="153">
        <v>27769.65</v>
      </c>
      <c r="T158" s="153">
        <v>0</v>
      </c>
      <c r="U158" s="153">
        <f t="shared" si="3"/>
        <v>364090.98000000004</v>
      </c>
      <c r="V158" t="str">
        <f>VLOOKUP(I158,Abstract!$E$4:$F$62,2,0)</f>
        <v>CHIK JAS PROSOL SOYA 4M+2ML EX1920P 22RL MRP RS.1.00</v>
      </c>
    </row>
    <row r="159" spans="1:22">
      <c r="A159" s="153" t="s">
        <v>1913</v>
      </c>
      <c r="B159" s="153" t="s">
        <v>1910</v>
      </c>
      <c r="C159" s="64" t="s">
        <v>934</v>
      </c>
      <c r="D159" s="153" t="s">
        <v>1914</v>
      </c>
      <c r="E159" s="153" t="s">
        <v>1915</v>
      </c>
      <c r="F159" s="65" t="s">
        <v>1912</v>
      </c>
      <c r="G159" s="153" t="s">
        <v>1650</v>
      </c>
      <c r="H159" s="153" t="s">
        <v>1651</v>
      </c>
      <c r="I159" s="154" t="s">
        <v>76</v>
      </c>
      <c r="J159" s="153" t="s">
        <v>77</v>
      </c>
      <c r="K159" s="153" t="s">
        <v>1629</v>
      </c>
      <c r="L159" s="66" t="s">
        <v>1630</v>
      </c>
      <c r="M159" s="153">
        <v>736</v>
      </c>
      <c r="N159" s="67">
        <v>728.69</v>
      </c>
      <c r="O159" s="153">
        <v>536315.84</v>
      </c>
      <c r="P159" s="68"/>
      <c r="Q159" s="153">
        <v>536315.84</v>
      </c>
      <c r="R159" s="153">
        <v>0</v>
      </c>
      <c r="S159" s="153">
        <v>0</v>
      </c>
      <c r="T159" s="153">
        <v>96536.85</v>
      </c>
      <c r="U159" s="153">
        <f t="shared" si="3"/>
        <v>632852.68999999994</v>
      </c>
      <c r="V159" t="str">
        <f>VLOOKUP(I159,Abstract!$E$4:$F$62,2,0)</f>
        <v>CHIK BLK PROSOLTHK&amp;GLY4M+2M 1920P 22NF MRP RS.1.00</v>
      </c>
    </row>
    <row r="160" spans="1:22">
      <c r="A160" s="153" t="s">
        <v>1913</v>
      </c>
      <c r="B160" s="153" t="s">
        <v>1910</v>
      </c>
      <c r="C160" s="64" t="s">
        <v>934</v>
      </c>
      <c r="D160" s="153" t="s">
        <v>1914</v>
      </c>
      <c r="E160" s="153" t="s">
        <v>1915</v>
      </c>
      <c r="F160" s="65" t="s">
        <v>1912</v>
      </c>
      <c r="G160" s="153" t="s">
        <v>1650</v>
      </c>
      <c r="H160" s="153" t="s">
        <v>1651</v>
      </c>
      <c r="I160" s="154" t="s">
        <v>116</v>
      </c>
      <c r="J160" s="153" t="s">
        <v>117</v>
      </c>
      <c r="K160" s="153" t="s">
        <v>1629</v>
      </c>
      <c r="L160" s="66" t="s">
        <v>1630</v>
      </c>
      <c r="M160" s="153">
        <v>504</v>
      </c>
      <c r="N160" s="67">
        <v>682.6</v>
      </c>
      <c r="O160" s="153">
        <v>344030.4</v>
      </c>
      <c r="P160" s="68"/>
      <c r="Q160" s="153">
        <v>344030.4</v>
      </c>
      <c r="R160" s="153">
        <v>0</v>
      </c>
      <c r="S160" s="153">
        <v>0</v>
      </c>
      <c r="T160" s="153">
        <v>61925.47</v>
      </c>
      <c r="U160" s="153">
        <f t="shared" si="3"/>
        <v>405955.87</v>
      </c>
      <c r="V160" t="str">
        <f>VLOOKUP(I160,Abstract!$E$4:$F$62,2,0)</f>
        <v>KARTHIKA HAIRFALLSHIELD 4ML 1920P NF MRP RS.1.00</v>
      </c>
    </row>
    <row r="161" spans="1:22">
      <c r="A161" s="153" t="s">
        <v>1916</v>
      </c>
      <c r="B161" s="153" t="s">
        <v>1910</v>
      </c>
      <c r="C161" s="64" t="s">
        <v>934</v>
      </c>
      <c r="D161" s="153" t="s">
        <v>1539</v>
      </c>
      <c r="E161" s="153" t="s">
        <v>1917</v>
      </c>
      <c r="F161" s="65" t="s">
        <v>1912</v>
      </c>
      <c r="G161" s="153" t="s">
        <v>1634</v>
      </c>
      <c r="H161" s="153" t="s">
        <v>1635</v>
      </c>
      <c r="I161" s="154" t="s">
        <v>90</v>
      </c>
      <c r="J161" s="153" t="s">
        <v>91</v>
      </c>
      <c r="K161" s="153" t="s">
        <v>1629</v>
      </c>
      <c r="L161" s="66" t="s">
        <v>1630</v>
      </c>
      <c r="M161" s="153">
        <v>353</v>
      </c>
      <c r="N161" s="67">
        <v>937.09</v>
      </c>
      <c r="O161" s="153">
        <v>330792.77</v>
      </c>
      <c r="P161" s="68"/>
      <c r="Q161" s="153">
        <v>330792.77</v>
      </c>
      <c r="R161" s="153">
        <v>0</v>
      </c>
      <c r="S161" s="153">
        <v>0</v>
      </c>
      <c r="T161" s="153">
        <v>59542.7</v>
      </c>
      <c r="U161" s="153">
        <f t="shared" si="3"/>
        <v>390335.47000000003</v>
      </c>
      <c r="V161" t="str">
        <f>VLOOKUP(I161,Abstract!$E$4:$F$62,2,0)</f>
        <v>CHIK BLK HFP PROSOL 3G 23%EX 4800PC RL22 MRP RS.0.50</v>
      </c>
    </row>
    <row r="162" spans="1:22">
      <c r="A162" s="153" t="s">
        <v>1916</v>
      </c>
      <c r="B162" s="153" t="s">
        <v>1910</v>
      </c>
      <c r="C162" s="64" t="s">
        <v>934</v>
      </c>
      <c r="D162" s="153" t="s">
        <v>1539</v>
      </c>
      <c r="E162" s="153" t="s">
        <v>1917</v>
      </c>
      <c r="F162" s="65" t="s">
        <v>1912</v>
      </c>
      <c r="G162" s="153" t="s">
        <v>1634</v>
      </c>
      <c r="H162" s="153" t="s">
        <v>1635</v>
      </c>
      <c r="I162" s="154" t="s">
        <v>88</v>
      </c>
      <c r="J162" s="153" t="s">
        <v>89</v>
      </c>
      <c r="K162" s="153" t="s">
        <v>1629</v>
      </c>
      <c r="L162" s="66" t="s">
        <v>1630</v>
      </c>
      <c r="M162" s="153">
        <v>130</v>
      </c>
      <c r="N162" s="67">
        <v>936.79</v>
      </c>
      <c r="O162" s="153">
        <v>121782.7</v>
      </c>
      <c r="P162" s="68"/>
      <c r="Q162" s="153">
        <v>121782.7</v>
      </c>
      <c r="R162" s="153">
        <v>0</v>
      </c>
      <c r="S162" s="153">
        <v>0</v>
      </c>
      <c r="T162" s="153">
        <v>21920.89</v>
      </c>
      <c r="U162" s="153">
        <f t="shared" si="3"/>
        <v>143703.59</v>
      </c>
      <c r="V162" t="str">
        <f>VLOOKUP(I162,Abstract!$E$4:$F$62,2,0)</f>
        <v>CHIK JAS HFP PROSOL 3G23% EX 4800PC 22RL MRP RS.0.50</v>
      </c>
    </row>
    <row r="163" spans="1:22">
      <c r="A163" s="153" t="s">
        <v>1916</v>
      </c>
      <c r="B163" s="153" t="s">
        <v>1910</v>
      </c>
      <c r="C163" s="64" t="s">
        <v>934</v>
      </c>
      <c r="D163" s="153" t="s">
        <v>1539</v>
      </c>
      <c r="E163" s="153" t="s">
        <v>1917</v>
      </c>
      <c r="F163" s="65" t="s">
        <v>1912</v>
      </c>
      <c r="G163" s="153" t="s">
        <v>1634</v>
      </c>
      <c r="H163" s="153" t="s">
        <v>1635</v>
      </c>
      <c r="I163" s="154" t="s">
        <v>76</v>
      </c>
      <c r="J163" s="153" t="s">
        <v>77</v>
      </c>
      <c r="K163" s="153" t="s">
        <v>1629</v>
      </c>
      <c r="L163" s="66" t="s">
        <v>1630</v>
      </c>
      <c r="M163" s="153">
        <v>336</v>
      </c>
      <c r="N163" s="67">
        <v>728.69</v>
      </c>
      <c r="O163" s="153">
        <v>244839.84</v>
      </c>
      <c r="P163" s="68"/>
      <c r="Q163" s="153">
        <v>244839.84</v>
      </c>
      <c r="R163" s="153">
        <v>0</v>
      </c>
      <c r="S163" s="153">
        <v>0</v>
      </c>
      <c r="T163" s="153">
        <v>44071.17</v>
      </c>
      <c r="U163" s="153">
        <f t="shared" si="3"/>
        <v>288911.01</v>
      </c>
      <c r="V163" t="str">
        <f>VLOOKUP(I163,Abstract!$E$4:$F$62,2,0)</f>
        <v>CHIK BLK PROSOLTHK&amp;GLY4M+2M 1920P 22NF MRP RS.1.00</v>
      </c>
    </row>
    <row r="164" spans="1:22">
      <c r="A164" s="153" t="s">
        <v>1916</v>
      </c>
      <c r="B164" s="153" t="s">
        <v>1910</v>
      </c>
      <c r="C164" s="64" t="s">
        <v>934</v>
      </c>
      <c r="D164" s="153" t="s">
        <v>1539</v>
      </c>
      <c r="E164" s="153" t="s">
        <v>1917</v>
      </c>
      <c r="F164" s="65" t="s">
        <v>1912</v>
      </c>
      <c r="G164" s="153" t="s">
        <v>1634</v>
      </c>
      <c r="H164" s="153" t="s">
        <v>1635</v>
      </c>
      <c r="I164" s="154" t="s">
        <v>110</v>
      </c>
      <c r="J164" s="153" t="s">
        <v>111</v>
      </c>
      <c r="K164" s="153" t="s">
        <v>1629</v>
      </c>
      <c r="L164" s="66" t="s">
        <v>1630</v>
      </c>
      <c r="M164" s="153">
        <v>196</v>
      </c>
      <c r="N164" s="67">
        <v>886.25</v>
      </c>
      <c r="O164" s="153">
        <v>173705</v>
      </c>
      <c r="P164" s="68"/>
      <c r="Q164" s="153">
        <v>173705</v>
      </c>
      <c r="R164" s="153">
        <v>0</v>
      </c>
      <c r="S164" s="153">
        <v>0</v>
      </c>
      <c r="T164" s="153">
        <v>31266.9</v>
      </c>
      <c r="U164" s="153">
        <f t="shared" si="3"/>
        <v>204971.9</v>
      </c>
      <c r="V164" t="str">
        <f>VLOOKUP(I164,Abstract!$E$4:$F$62,2,0)</f>
        <v>KARTHIKA DAMAGESH 5.4M10%1920P+480P B4G1  MRP RS. 1.00</v>
      </c>
    </row>
    <row r="165" spans="1:22">
      <c r="A165" s="153" t="s">
        <v>1918</v>
      </c>
      <c r="B165" s="153" t="s">
        <v>1910</v>
      </c>
      <c r="C165" s="64" t="s">
        <v>934</v>
      </c>
      <c r="D165" s="153" t="s">
        <v>1120</v>
      </c>
      <c r="E165" s="153" t="s">
        <v>1919</v>
      </c>
      <c r="F165" s="65" t="s">
        <v>1912</v>
      </c>
      <c r="G165" s="153" t="s">
        <v>1644</v>
      </c>
      <c r="H165" s="153" t="s">
        <v>1645</v>
      </c>
      <c r="I165" s="154" t="s">
        <v>88</v>
      </c>
      <c r="J165" s="153" t="s">
        <v>89</v>
      </c>
      <c r="K165" s="153" t="s">
        <v>1629</v>
      </c>
      <c r="L165" s="66" t="s">
        <v>1630</v>
      </c>
      <c r="M165" s="153">
        <v>120</v>
      </c>
      <c r="N165" s="67">
        <v>936.79</v>
      </c>
      <c r="O165" s="153">
        <v>112414.8</v>
      </c>
      <c r="P165" s="68"/>
      <c r="Q165" s="153">
        <v>112414.8</v>
      </c>
      <c r="R165" s="153">
        <v>10117.33</v>
      </c>
      <c r="S165" s="153">
        <v>10117.33</v>
      </c>
      <c r="T165" s="153">
        <v>0</v>
      </c>
      <c r="U165" s="153">
        <f t="shared" si="3"/>
        <v>132649.46</v>
      </c>
      <c r="V165" t="str">
        <f>VLOOKUP(I165,Abstract!$E$4:$F$62,2,0)</f>
        <v>CHIK JAS HFP PROSOL 3G23% EX 4800PC 22RL MRP RS.0.50</v>
      </c>
    </row>
    <row r="166" spans="1:22">
      <c r="A166" s="153" t="s">
        <v>1918</v>
      </c>
      <c r="B166" s="153" t="s">
        <v>1910</v>
      </c>
      <c r="C166" s="64" t="s">
        <v>934</v>
      </c>
      <c r="D166" s="153" t="s">
        <v>1120</v>
      </c>
      <c r="E166" s="153" t="s">
        <v>1919</v>
      </c>
      <c r="F166" s="65" t="s">
        <v>1912</v>
      </c>
      <c r="G166" s="153" t="s">
        <v>1644</v>
      </c>
      <c r="H166" s="153" t="s">
        <v>1645</v>
      </c>
      <c r="I166" s="154" t="s">
        <v>76</v>
      </c>
      <c r="J166" s="153" t="s">
        <v>77</v>
      </c>
      <c r="K166" s="153" t="s">
        <v>1629</v>
      </c>
      <c r="L166" s="66" t="s">
        <v>1630</v>
      </c>
      <c r="M166" s="153">
        <v>495</v>
      </c>
      <c r="N166" s="67">
        <v>728.69</v>
      </c>
      <c r="O166" s="153">
        <v>360701.55</v>
      </c>
      <c r="P166" s="68"/>
      <c r="Q166" s="153">
        <v>360701.55</v>
      </c>
      <c r="R166" s="153">
        <v>32463.14</v>
      </c>
      <c r="S166" s="153">
        <v>32463.14</v>
      </c>
      <c r="T166" s="153">
        <v>0</v>
      </c>
      <c r="U166" s="153">
        <f t="shared" si="3"/>
        <v>425627.83</v>
      </c>
      <c r="V166" t="str">
        <f>VLOOKUP(I166,Abstract!$E$4:$F$62,2,0)</f>
        <v>CHIK BLK PROSOLTHK&amp;GLY4M+2M 1920P 22NF MRP RS.1.00</v>
      </c>
    </row>
    <row r="167" spans="1:22">
      <c r="A167" s="153" t="s">
        <v>1920</v>
      </c>
      <c r="B167" s="153" t="s">
        <v>1921</v>
      </c>
      <c r="C167" s="64" t="s">
        <v>934</v>
      </c>
      <c r="D167" s="153" t="s">
        <v>1922</v>
      </c>
      <c r="E167" s="153" t="s">
        <v>1923</v>
      </c>
      <c r="F167" s="65" t="s">
        <v>1924</v>
      </c>
      <c r="G167" s="153" t="s">
        <v>1644</v>
      </c>
      <c r="H167" s="153" t="s">
        <v>1645</v>
      </c>
      <c r="I167" s="154" t="s">
        <v>90</v>
      </c>
      <c r="J167" s="153" t="s">
        <v>91</v>
      </c>
      <c r="K167" s="153" t="s">
        <v>1629</v>
      </c>
      <c r="L167" s="66" t="s">
        <v>1630</v>
      </c>
      <c r="M167" s="153">
        <v>100</v>
      </c>
      <c r="N167" s="67">
        <v>937.09</v>
      </c>
      <c r="O167" s="153">
        <v>93709</v>
      </c>
      <c r="P167" s="68"/>
      <c r="Q167" s="153">
        <v>93709</v>
      </c>
      <c r="R167" s="153">
        <v>8433.81</v>
      </c>
      <c r="S167" s="153">
        <v>8433.81</v>
      </c>
      <c r="T167" s="153">
        <v>0</v>
      </c>
      <c r="U167" s="153">
        <f t="shared" si="3"/>
        <v>110576.62</v>
      </c>
      <c r="V167" t="str">
        <f>VLOOKUP(I167,Abstract!$E$4:$F$62,2,0)</f>
        <v>CHIK BLK HFP PROSOL 3G 23%EX 4800PC RL22 MRP RS.0.50</v>
      </c>
    </row>
    <row r="168" spans="1:22">
      <c r="A168" s="153" t="s">
        <v>1920</v>
      </c>
      <c r="B168" s="153" t="s">
        <v>1921</v>
      </c>
      <c r="C168" s="64" t="s">
        <v>934</v>
      </c>
      <c r="D168" s="153" t="s">
        <v>1922</v>
      </c>
      <c r="E168" s="153" t="s">
        <v>1923</v>
      </c>
      <c r="F168" s="65" t="s">
        <v>1924</v>
      </c>
      <c r="G168" s="153" t="s">
        <v>1644</v>
      </c>
      <c r="H168" s="153" t="s">
        <v>1645</v>
      </c>
      <c r="I168" s="154" t="s">
        <v>88</v>
      </c>
      <c r="J168" s="153" t="s">
        <v>89</v>
      </c>
      <c r="K168" s="153" t="s">
        <v>1629</v>
      </c>
      <c r="L168" s="66" t="s">
        <v>1630</v>
      </c>
      <c r="M168" s="153">
        <v>100</v>
      </c>
      <c r="N168" s="67">
        <v>936.79</v>
      </c>
      <c r="O168" s="153">
        <v>93679</v>
      </c>
      <c r="P168" s="68"/>
      <c r="Q168" s="153">
        <v>93679</v>
      </c>
      <c r="R168" s="153">
        <v>8431.11</v>
      </c>
      <c r="S168" s="153">
        <v>8431.11</v>
      </c>
      <c r="T168" s="153">
        <v>0</v>
      </c>
      <c r="U168" s="153">
        <f t="shared" si="3"/>
        <v>110541.22</v>
      </c>
      <c r="V168" t="str">
        <f>VLOOKUP(I168,Abstract!$E$4:$F$62,2,0)</f>
        <v>CHIK JAS HFP PROSOL 3G23% EX 4800PC 22RL MRP RS.0.50</v>
      </c>
    </row>
    <row r="169" spans="1:22">
      <c r="A169" s="153" t="s">
        <v>1920</v>
      </c>
      <c r="B169" s="153" t="s">
        <v>1921</v>
      </c>
      <c r="C169" s="64" t="s">
        <v>934</v>
      </c>
      <c r="D169" s="153" t="s">
        <v>1922</v>
      </c>
      <c r="E169" s="153" t="s">
        <v>1923</v>
      </c>
      <c r="F169" s="65" t="s">
        <v>1924</v>
      </c>
      <c r="G169" s="153" t="s">
        <v>1644</v>
      </c>
      <c r="H169" s="153" t="s">
        <v>1645</v>
      </c>
      <c r="I169" s="154" t="s">
        <v>76</v>
      </c>
      <c r="J169" s="153" t="s">
        <v>77</v>
      </c>
      <c r="K169" s="153" t="s">
        <v>1629</v>
      </c>
      <c r="L169" s="66" t="s">
        <v>1630</v>
      </c>
      <c r="M169" s="153">
        <v>754</v>
      </c>
      <c r="N169" s="67">
        <v>728.69</v>
      </c>
      <c r="O169" s="153">
        <v>549432.26</v>
      </c>
      <c r="P169" s="68"/>
      <c r="Q169" s="153">
        <v>549432.26</v>
      </c>
      <c r="R169" s="153">
        <v>49448.9</v>
      </c>
      <c r="S169" s="153">
        <v>49448.9</v>
      </c>
      <c r="T169" s="153">
        <v>0</v>
      </c>
      <c r="U169" s="153">
        <f t="shared" si="3"/>
        <v>648330.06000000006</v>
      </c>
      <c r="V169" t="str">
        <f>VLOOKUP(I169,Abstract!$E$4:$F$62,2,0)</f>
        <v>CHIK BLK PROSOLTHK&amp;GLY4M+2M 1920P 22NF MRP RS.1.00</v>
      </c>
    </row>
    <row r="170" spans="1:22">
      <c r="A170" s="153" t="s">
        <v>1925</v>
      </c>
      <c r="B170" s="153" t="s">
        <v>1921</v>
      </c>
      <c r="C170" s="64" t="s">
        <v>934</v>
      </c>
      <c r="D170" s="153" t="s">
        <v>1926</v>
      </c>
      <c r="E170" s="153" t="s">
        <v>1927</v>
      </c>
      <c r="F170" s="65" t="s">
        <v>1924</v>
      </c>
      <c r="G170" s="153" t="s">
        <v>1634</v>
      </c>
      <c r="H170" s="153" t="s">
        <v>1635</v>
      </c>
      <c r="I170" s="154" t="s">
        <v>90</v>
      </c>
      <c r="J170" s="153" t="s">
        <v>91</v>
      </c>
      <c r="K170" s="153" t="s">
        <v>1629</v>
      </c>
      <c r="L170" s="66" t="s">
        <v>1630</v>
      </c>
      <c r="M170" s="153">
        <v>808</v>
      </c>
      <c r="N170" s="67">
        <v>937.09</v>
      </c>
      <c r="O170" s="153">
        <v>757168.72</v>
      </c>
      <c r="P170" s="68"/>
      <c r="Q170" s="153">
        <v>757168.72</v>
      </c>
      <c r="R170" s="153">
        <v>0</v>
      </c>
      <c r="S170" s="153">
        <v>0</v>
      </c>
      <c r="T170" s="153">
        <v>136290.37</v>
      </c>
      <c r="U170" s="153">
        <f t="shared" si="3"/>
        <v>893459.09</v>
      </c>
      <c r="V170" t="str">
        <f>VLOOKUP(I170,Abstract!$E$4:$F$62,2,0)</f>
        <v>CHIK BLK HFP PROSOL 3G 23%EX 4800PC RL22 MRP RS.0.50</v>
      </c>
    </row>
    <row r="171" spans="1:22">
      <c r="A171" s="153" t="s">
        <v>1928</v>
      </c>
      <c r="B171" s="153" t="s">
        <v>1921</v>
      </c>
      <c r="C171" s="64" t="s">
        <v>934</v>
      </c>
      <c r="D171" s="153" t="s">
        <v>1929</v>
      </c>
      <c r="E171" s="153" t="s">
        <v>1930</v>
      </c>
      <c r="F171" s="65" t="s">
        <v>1924</v>
      </c>
      <c r="G171" s="153" t="s">
        <v>1650</v>
      </c>
      <c r="H171" s="153" t="s">
        <v>1651</v>
      </c>
      <c r="I171" s="154" t="s">
        <v>76</v>
      </c>
      <c r="J171" s="153" t="s">
        <v>77</v>
      </c>
      <c r="K171" s="153" t="s">
        <v>1629</v>
      </c>
      <c r="L171" s="66" t="s">
        <v>1630</v>
      </c>
      <c r="M171" s="153">
        <v>1120</v>
      </c>
      <c r="N171" s="67">
        <v>728.69</v>
      </c>
      <c r="O171" s="153">
        <v>816132.8</v>
      </c>
      <c r="P171" s="68"/>
      <c r="Q171" s="153">
        <v>816132.8</v>
      </c>
      <c r="R171" s="153">
        <v>0</v>
      </c>
      <c r="S171" s="153">
        <v>0</v>
      </c>
      <c r="T171" s="153">
        <v>146903.9</v>
      </c>
      <c r="U171" s="153">
        <f t="shared" si="3"/>
        <v>963036.70000000007</v>
      </c>
      <c r="V171" t="str">
        <f>VLOOKUP(I171,Abstract!$E$4:$F$62,2,0)</f>
        <v>CHIK BLK PROSOLTHK&amp;GLY4M+2M 1920P 22NF MRP RS.1.00</v>
      </c>
    </row>
    <row r="172" spans="1:22">
      <c r="A172" s="153" t="s">
        <v>1931</v>
      </c>
      <c r="B172" s="153" t="s">
        <v>1921</v>
      </c>
      <c r="C172" s="64" t="s">
        <v>934</v>
      </c>
      <c r="D172" s="153" t="s">
        <v>1932</v>
      </c>
      <c r="E172" s="153" t="s">
        <v>1933</v>
      </c>
      <c r="F172" s="65" t="s">
        <v>1924</v>
      </c>
      <c r="G172" s="153" t="s">
        <v>1634</v>
      </c>
      <c r="H172" s="153" t="s">
        <v>1635</v>
      </c>
      <c r="I172" s="154" t="s">
        <v>90</v>
      </c>
      <c r="J172" s="153" t="s">
        <v>91</v>
      </c>
      <c r="K172" s="153" t="s">
        <v>1629</v>
      </c>
      <c r="L172" s="66" t="s">
        <v>1630</v>
      </c>
      <c r="M172" s="153">
        <v>229</v>
      </c>
      <c r="N172" s="67">
        <v>937.09</v>
      </c>
      <c r="O172" s="153">
        <v>214593.61</v>
      </c>
      <c r="P172" s="68"/>
      <c r="Q172" s="153">
        <v>214593.61</v>
      </c>
      <c r="R172" s="153">
        <v>0</v>
      </c>
      <c r="S172" s="153">
        <v>0</v>
      </c>
      <c r="T172" s="153">
        <v>38626.85</v>
      </c>
      <c r="U172" s="153">
        <f t="shared" si="3"/>
        <v>253220.46</v>
      </c>
      <c r="V172" t="str">
        <f>VLOOKUP(I172,Abstract!$E$4:$F$62,2,0)</f>
        <v>CHIK BLK HFP PROSOL 3G 23%EX 4800PC RL22 MRP RS.0.50</v>
      </c>
    </row>
    <row r="173" spans="1:22">
      <c r="A173" s="153" t="s">
        <v>1931</v>
      </c>
      <c r="B173" s="153" t="s">
        <v>1921</v>
      </c>
      <c r="C173" s="64" t="s">
        <v>934</v>
      </c>
      <c r="D173" s="153" t="s">
        <v>1932</v>
      </c>
      <c r="E173" s="153" t="s">
        <v>1933</v>
      </c>
      <c r="F173" s="65" t="s">
        <v>1924</v>
      </c>
      <c r="G173" s="153" t="s">
        <v>1634</v>
      </c>
      <c r="H173" s="153" t="s">
        <v>1635</v>
      </c>
      <c r="I173" s="154" t="s">
        <v>108</v>
      </c>
      <c r="J173" s="153" t="s">
        <v>109</v>
      </c>
      <c r="K173" s="153" t="s">
        <v>1629</v>
      </c>
      <c r="L173" s="66" t="s">
        <v>1630</v>
      </c>
      <c r="M173" s="153">
        <v>603</v>
      </c>
      <c r="N173" s="67">
        <v>957.97</v>
      </c>
      <c r="O173" s="153">
        <v>577655.91</v>
      </c>
      <c r="P173" s="68"/>
      <c r="Q173" s="153">
        <v>577655.91</v>
      </c>
      <c r="R173" s="153">
        <v>0</v>
      </c>
      <c r="S173" s="153">
        <v>0</v>
      </c>
      <c r="T173" s="153">
        <v>103978.06</v>
      </c>
      <c r="U173" s="153">
        <f t="shared" si="3"/>
        <v>681633.97</v>
      </c>
      <c r="V173" t="str">
        <f>VLOOKUP(I173,Abstract!$E$4:$F$62,2,0)</f>
        <v>KARTHIKA DAM SHIELD SH 3G 23% EX 4800PCS MRP Rs.0.50</v>
      </c>
    </row>
    <row r="174" spans="1:22">
      <c r="A174" s="153" t="s">
        <v>1934</v>
      </c>
      <c r="B174" s="153" t="s">
        <v>1921</v>
      </c>
      <c r="C174" s="64" t="s">
        <v>934</v>
      </c>
      <c r="D174" s="153" t="s">
        <v>1935</v>
      </c>
      <c r="E174" s="153" t="s">
        <v>1936</v>
      </c>
      <c r="F174" s="65" t="s">
        <v>1924</v>
      </c>
      <c r="G174" s="153" t="s">
        <v>1627</v>
      </c>
      <c r="H174" s="153" t="s">
        <v>1628</v>
      </c>
      <c r="I174" s="154" t="s">
        <v>76</v>
      </c>
      <c r="J174" s="153" t="s">
        <v>77</v>
      </c>
      <c r="K174" s="153" t="s">
        <v>1629</v>
      </c>
      <c r="L174" s="66" t="s">
        <v>1630</v>
      </c>
      <c r="M174" s="153">
        <v>224</v>
      </c>
      <c r="N174" s="67">
        <v>728.69</v>
      </c>
      <c r="O174" s="153">
        <v>163226.56</v>
      </c>
      <c r="P174" s="68"/>
      <c r="Q174" s="153">
        <v>163226.56</v>
      </c>
      <c r="R174" s="153">
        <v>0</v>
      </c>
      <c r="S174" s="153">
        <v>0</v>
      </c>
      <c r="T174" s="153">
        <v>29380.78</v>
      </c>
      <c r="U174" s="153">
        <f t="shared" si="3"/>
        <v>192607.34</v>
      </c>
      <c r="V174" t="str">
        <f>VLOOKUP(I174,Abstract!$E$4:$F$62,2,0)</f>
        <v>CHIK BLK PROSOLTHK&amp;GLY4M+2M 1920P 22NF MRP RS.1.00</v>
      </c>
    </row>
    <row r="175" spans="1:22">
      <c r="A175" s="153" t="s">
        <v>1934</v>
      </c>
      <c r="B175" s="153" t="s">
        <v>1921</v>
      </c>
      <c r="C175" s="64" t="s">
        <v>934</v>
      </c>
      <c r="D175" s="153" t="s">
        <v>1935</v>
      </c>
      <c r="E175" s="153" t="s">
        <v>1936</v>
      </c>
      <c r="F175" s="65" t="s">
        <v>1924</v>
      </c>
      <c r="G175" s="153" t="s">
        <v>1627</v>
      </c>
      <c r="H175" s="153" t="s">
        <v>1628</v>
      </c>
      <c r="I175" s="154" t="s">
        <v>108</v>
      </c>
      <c r="J175" s="153" t="s">
        <v>109</v>
      </c>
      <c r="K175" s="153" t="s">
        <v>1629</v>
      </c>
      <c r="L175" s="66" t="s">
        <v>1630</v>
      </c>
      <c r="M175" s="153">
        <v>585</v>
      </c>
      <c r="N175" s="67">
        <v>957.97</v>
      </c>
      <c r="O175" s="153">
        <v>560412.44999999995</v>
      </c>
      <c r="P175" s="68"/>
      <c r="Q175" s="153">
        <v>560412.44999999995</v>
      </c>
      <c r="R175" s="153">
        <v>0</v>
      </c>
      <c r="S175" s="153">
        <v>0</v>
      </c>
      <c r="T175" s="153">
        <v>100874.24000000001</v>
      </c>
      <c r="U175" s="153">
        <f t="shared" si="3"/>
        <v>661286.68999999994</v>
      </c>
      <c r="V175" t="str">
        <f>VLOOKUP(I175,Abstract!$E$4:$F$62,2,0)</f>
        <v>KARTHIKA DAM SHIELD SH 3G 23% EX 4800PCS MRP Rs.0.50</v>
      </c>
    </row>
    <row r="176" spans="1:22">
      <c r="A176" s="153" t="s">
        <v>1934</v>
      </c>
      <c r="B176" s="153" t="s">
        <v>1921</v>
      </c>
      <c r="C176" s="64" t="s">
        <v>934</v>
      </c>
      <c r="D176" s="153" t="s">
        <v>1935</v>
      </c>
      <c r="E176" s="153" t="s">
        <v>1936</v>
      </c>
      <c r="F176" s="65" t="s">
        <v>1924</v>
      </c>
      <c r="G176" s="153" t="s">
        <v>1627</v>
      </c>
      <c r="H176" s="153" t="s">
        <v>1628</v>
      </c>
      <c r="I176" s="154" t="s">
        <v>110</v>
      </c>
      <c r="J176" s="153" t="s">
        <v>111</v>
      </c>
      <c r="K176" s="153" t="s">
        <v>1629</v>
      </c>
      <c r="L176" s="66" t="s">
        <v>1630</v>
      </c>
      <c r="M176" s="153">
        <v>196</v>
      </c>
      <c r="N176" s="67">
        <v>886.25</v>
      </c>
      <c r="O176" s="153">
        <v>173705</v>
      </c>
      <c r="P176" s="68"/>
      <c r="Q176" s="153">
        <v>173705</v>
      </c>
      <c r="R176" s="153">
        <v>0</v>
      </c>
      <c r="S176" s="153">
        <v>0</v>
      </c>
      <c r="T176" s="153">
        <v>31266.9</v>
      </c>
      <c r="U176" s="153">
        <f t="shared" si="3"/>
        <v>204971.9</v>
      </c>
      <c r="V176" t="str">
        <f>VLOOKUP(I176,Abstract!$E$4:$F$62,2,0)</f>
        <v>KARTHIKA DAMAGESH 5.4M10%1920P+480P B4G1  MRP RS. 1.00</v>
      </c>
    </row>
    <row r="177" spans="1:22">
      <c r="A177" s="153" t="s">
        <v>1937</v>
      </c>
      <c r="B177" s="153" t="s">
        <v>1921</v>
      </c>
      <c r="C177" s="64" t="s">
        <v>934</v>
      </c>
      <c r="D177" s="153" t="s">
        <v>1138</v>
      </c>
      <c r="E177" s="153" t="s">
        <v>1938</v>
      </c>
      <c r="F177" s="65" t="s">
        <v>1924</v>
      </c>
      <c r="G177" s="153" t="s">
        <v>1634</v>
      </c>
      <c r="H177" s="153" t="s">
        <v>1635</v>
      </c>
      <c r="I177" s="154" t="s">
        <v>90</v>
      </c>
      <c r="J177" s="153" t="s">
        <v>91</v>
      </c>
      <c r="K177" s="153" t="s">
        <v>1629</v>
      </c>
      <c r="L177" s="66" t="s">
        <v>1630</v>
      </c>
      <c r="M177" s="153">
        <v>390</v>
      </c>
      <c r="N177" s="67">
        <v>937.09</v>
      </c>
      <c r="O177" s="153">
        <v>365465.1</v>
      </c>
      <c r="P177" s="68"/>
      <c r="Q177" s="153">
        <v>365465.1</v>
      </c>
      <c r="R177" s="153">
        <v>0</v>
      </c>
      <c r="S177" s="153">
        <v>0</v>
      </c>
      <c r="T177" s="153">
        <v>65783.72</v>
      </c>
      <c r="U177" s="153">
        <f t="shared" si="3"/>
        <v>431248.81999999995</v>
      </c>
      <c r="V177" t="str">
        <f>VLOOKUP(I177,Abstract!$E$4:$F$62,2,0)</f>
        <v>CHIK BLK HFP PROSOL 3G 23%EX 4800PC RL22 MRP RS.0.50</v>
      </c>
    </row>
    <row r="178" spans="1:22">
      <c r="A178" s="153" t="s">
        <v>1937</v>
      </c>
      <c r="B178" s="153" t="s">
        <v>1921</v>
      </c>
      <c r="C178" s="64" t="s">
        <v>934</v>
      </c>
      <c r="D178" s="153" t="s">
        <v>1138</v>
      </c>
      <c r="E178" s="153" t="s">
        <v>1938</v>
      </c>
      <c r="F178" s="65" t="s">
        <v>1924</v>
      </c>
      <c r="G178" s="153" t="s">
        <v>1634</v>
      </c>
      <c r="H178" s="153" t="s">
        <v>1635</v>
      </c>
      <c r="I178" s="154" t="s">
        <v>76</v>
      </c>
      <c r="J178" s="153" t="s">
        <v>77</v>
      </c>
      <c r="K178" s="153" t="s">
        <v>1629</v>
      </c>
      <c r="L178" s="66" t="s">
        <v>1630</v>
      </c>
      <c r="M178" s="153">
        <v>336</v>
      </c>
      <c r="N178" s="67">
        <v>728.69</v>
      </c>
      <c r="O178" s="153">
        <v>244839.84</v>
      </c>
      <c r="P178" s="68"/>
      <c r="Q178" s="153">
        <v>244839.84</v>
      </c>
      <c r="R178" s="153">
        <v>0</v>
      </c>
      <c r="S178" s="153">
        <v>0</v>
      </c>
      <c r="T178" s="153">
        <v>44071.17</v>
      </c>
      <c r="U178" s="153">
        <f t="shared" si="3"/>
        <v>288911.01</v>
      </c>
      <c r="V178" t="str">
        <f>VLOOKUP(I178,Abstract!$E$4:$F$62,2,0)</f>
        <v>CHIK BLK PROSOLTHK&amp;GLY4M+2M 1920P 22NF MRP RS.1.00</v>
      </c>
    </row>
    <row r="179" spans="1:22">
      <c r="A179" s="153" t="s">
        <v>1937</v>
      </c>
      <c r="B179" s="153" t="s">
        <v>1921</v>
      </c>
      <c r="C179" s="64" t="s">
        <v>934</v>
      </c>
      <c r="D179" s="153" t="s">
        <v>1138</v>
      </c>
      <c r="E179" s="153" t="s">
        <v>1938</v>
      </c>
      <c r="F179" s="65" t="s">
        <v>1924</v>
      </c>
      <c r="G179" s="153" t="s">
        <v>1634</v>
      </c>
      <c r="H179" s="153" t="s">
        <v>1635</v>
      </c>
      <c r="I179" s="154" t="s">
        <v>110</v>
      </c>
      <c r="J179" s="153" t="s">
        <v>111</v>
      </c>
      <c r="K179" s="153" t="s">
        <v>1629</v>
      </c>
      <c r="L179" s="66" t="s">
        <v>1630</v>
      </c>
      <c r="M179" s="153">
        <v>252</v>
      </c>
      <c r="N179" s="67">
        <v>886.25</v>
      </c>
      <c r="O179" s="153">
        <v>223335</v>
      </c>
      <c r="P179" s="68"/>
      <c r="Q179" s="153">
        <v>223335</v>
      </c>
      <c r="R179" s="153">
        <v>0</v>
      </c>
      <c r="S179" s="153">
        <v>0</v>
      </c>
      <c r="T179" s="153">
        <v>40200.300000000003</v>
      </c>
      <c r="U179" s="153">
        <f t="shared" si="3"/>
        <v>263535.3</v>
      </c>
      <c r="V179" t="str">
        <f>VLOOKUP(I179,Abstract!$E$4:$F$62,2,0)</f>
        <v>KARTHIKA DAMAGESH 5.4M10%1920P+480P B4G1  MRP RS. 1.00</v>
      </c>
    </row>
    <row r="180" spans="1:22">
      <c r="A180" s="153" t="s">
        <v>1939</v>
      </c>
      <c r="B180" s="153" t="s">
        <v>1921</v>
      </c>
      <c r="C180" s="64" t="s">
        <v>934</v>
      </c>
      <c r="D180" s="153" t="s">
        <v>979</v>
      </c>
      <c r="E180" s="153" t="s">
        <v>1940</v>
      </c>
      <c r="F180" s="65" t="s">
        <v>1924</v>
      </c>
      <c r="G180" s="153" t="s">
        <v>1644</v>
      </c>
      <c r="H180" s="153" t="s">
        <v>1645</v>
      </c>
      <c r="I180" s="154" t="s">
        <v>76</v>
      </c>
      <c r="J180" s="153" t="s">
        <v>77</v>
      </c>
      <c r="K180" s="153" t="s">
        <v>1629</v>
      </c>
      <c r="L180" s="66" t="s">
        <v>1630</v>
      </c>
      <c r="M180" s="153">
        <v>720</v>
      </c>
      <c r="N180" s="67">
        <v>728.69</v>
      </c>
      <c r="O180" s="153">
        <v>524656.80000000005</v>
      </c>
      <c r="P180" s="68"/>
      <c r="Q180" s="153">
        <v>524656.80000000005</v>
      </c>
      <c r="R180" s="153">
        <v>47219.11</v>
      </c>
      <c r="S180" s="153">
        <v>47219.11</v>
      </c>
      <c r="T180" s="153">
        <v>0</v>
      </c>
      <c r="U180" s="153">
        <f t="shared" si="3"/>
        <v>619095.02</v>
      </c>
      <c r="V180" t="str">
        <f>VLOOKUP(I180,Abstract!$E$4:$F$62,2,0)</f>
        <v>CHIK BLK PROSOLTHK&amp;GLY4M+2M 1920P 22NF MRP RS.1.00</v>
      </c>
    </row>
    <row r="181" spans="1:22">
      <c r="A181" s="153" t="s">
        <v>1941</v>
      </c>
      <c r="B181" s="153" t="s">
        <v>1921</v>
      </c>
      <c r="C181" s="64" t="s">
        <v>934</v>
      </c>
      <c r="D181" s="153" t="s">
        <v>1942</v>
      </c>
      <c r="E181" s="153" t="s">
        <v>1943</v>
      </c>
      <c r="F181" s="65" t="s">
        <v>1924</v>
      </c>
      <c r="G181" s="153" t="s">
        <v>1644</v>
      </c>
      <c r="H181" s="153" t="s">
        <v>1645</v>
      </c>
      <c r="I181" s="154" t="s">
        <v>82</v>
      </c>
      <c r="J181" s="153" t="s">
        <v>83</v>
      </c>
      <c r="K181" s="153" t="s">
        <v>1629</v>
      </c>
      <c r="L181" s="66" t="s">
        <v>1630</v>
      </c>
      <c r="M181" s="153">
        <v>130</v>
      </c>
      <c r="N181" s="67">
        <v>714.24</v>
      </c>
      <c r="O181" s="153">
        <v>92851.199999999997</v>
      </c>
      <c r="P181" s="68"/>
      <c r="Q181" s="153">
        <v>92851.199999999997</v>
      </c>
      <c r="R181" s="153">
        <v>8356.61</v>
      </c>
      <c r="S181" s="153">
        <v>8356.61</v>
      </c>
      <c r="T181" s="153">
        <v>0</v>
      </c>
      <c r="U181" s="153">
        <f t="shared" si="3"/>
        <v>109564.42</v>
      </c>
      <c r="V181" t="str">
        <f>VLOOKUP(I181,Abstract!$E$4:$F$62,2,0)</f>
        <v>CHIK JAS PROSOL SOYA 4M+2ML EX1920P 22RL MRP RS.1.00</v>
      </c>
    </row>
    <row r="182" spans="1:22">
      <c r="A182" s="153" t="s">
        <v>1941</v>
      </c>
      <c r="B182" s="153" t="s">
        <v>1921</v>
      </c>
      <c r="C182" s="64" t="s">
        <v>934</v>
      </c>
      <c r="D182" s="153" t="s">
        <v>1942</v>
      </c>
      <c r="E182" s="153" t="s">
        <v>1943</v>
      </c>
      <c r="F182" s="65" t="s">
        <v>1924</v>
      </c>
      <c r="G182" s="153" t="s">
        <v>1644</v>
      </c>
      <c r="H182" s="153" t="s">
        <v>1645</v>
      </c>
      <c r="I182" s="154" t="s">
        <v>116</v>
      </c>
      <c r="J182" s="153" t="s">
        <v>117</v>
      </c>
      <c r="K182" s="153" t="s">
        <v>1629</v>
      </c>
      <c r="L182" s="66" t="s">
        <v>1630</v>
      </c>
      <c r="M182" s="153">
        <v>370</v>
      </c>
      <c r="N182" s="67">
        <v>682.6</v>
      </c>
      <c r="O182" s="153">
        <v>252562</v>
      </c>
      <c r="P182" s="68"/>
      <c r="Q182" s="153">
        <v>252562</v>
      </c>
      <c r="R182" s="153">
        <v>22730.58</v>
      </c>
      <c r="S182" s="153">
        <v>22730.58</v>
      </c>
      <c r="T182" s="153">
        <v>0</v>
      </c>
      <c r="U182" s="153">
        <f t="shared" si="3"/>
        <v>298023.16000000003</v>
      </c>
      <c r="V182" t="str">
        <f>VLOOKUP(I182,Abstract!$E$4:$F$62,2,0)</f>
        <v>KARTHIKA HAIRFALLSHIELD 4ML 1920P NF MRP RS.1.00</v>
      </c>
    </row>
    <row r="183" spans="1:22">
      <c r="A183" s="153" t="s">
        <v>1944</v>
      </c>
      <c r="B183" s="153" t="s">
        <v>1945</v>
      </c>
      <c r="C183" s="64" t="s">
        <v>934</v>
      </c>
      <c r="D183" s="153" t="s">
        <v>1946</v>
      </c>
      <c r="E183" s="153" t="s">
        <v>1947</v>
      </c>
      <c r="F183" s="65" t="s">
        <v>1948</v>
      </c>
      <c r="G183" s="153" t="s">
        <v>1627</v>
      </c>
      <c r="H183" s="153" t="s">
        <v>1628</v>
      </c>
      <c r="I183" s="154" t="s">
        <v>82</v>
      </c>
      <c r="J183" s="153" t="s">
        <v>83</v>
      </c>
      <c r="K183" s="153" t="s">
        <v>1629</v>
      </c>
      <c r="L183" s="66" t="s">
        <v>1630</v>
      </c>
      <c r="M183" s="153">
        <v>157</v>
      </c>
      <c r="N183" s="67">
        <v>714.24</v>
      </c>
      <c r="O183" s="153">
        <v>112135.67999999999</v>
      </c>
      <c r="P183" s="68"/>
      <c r="Q183" s="153">
        <v>112135.67999999999</v>
      </c>
      <c r="R183" s="153">
        <v>0</v>
      </c>
      <c r="S183" s="153">
        <v>0</v>
      </c>
      <c r="T183" s="153">
        <v>20184.419999999998</v>
      </c>
      <c r="U183" s="153">
        <f t="shared" si="3"/>
        <v>132320.09999999998</v>
      </c>
      <c r="V183" t="str">
        <f>VLOOKUP(I183,Abstract!$E$4:$F$62,2,0)</f>
        <v>CHIK JAS PROSOL SOYA 4M+2ML EX1920P 22RL MRP RS.1.00</v>
      </c>
    </row>
    <row r="184" spans="1:22">
      <c r="A184" s="153" t="s">
        <v>1944</v>
      </c>
      <c r="B184" s="153" t="s">
        <v>1945</v>
      </c>
      <c r="C184" s="64" t="s">
        <v>934</v>
      </c>
      <c r="D184" s="153" t="s">
        <v>1946</v>
      </c>
      <c r="E184" s="153" t="s">
        <v>1947</v>
      </c>
      <c r="F184" s="65" t="s">
        <v>1948</v>
      </c>
      <c r="G184" s="153" t="s">
        <v>1627</v>
      </c>
      <c r="H184" s="153" t="s">
        <v>1628</v>
      </c>
      <c r="I184" s="154" t="s">
        <v>110</v>
      </c>
      <c r="J184" s="153" t="s">
        <v>111</v>
      </c>
      <c r="K184" s="153" t="s">
        <v>1629</v>
      </c>
      <c r="L184" s="66" t="s">
        <v>1630</v>
      </c>
      <c r="M184" s="153">
        <v>1033</v>
      </c>
      <c r="N184" s="67">
        <v>886.25</v>
      </c>
      <c r="O184" s="153">
        <v>915496.25</v>
      </c>
      <c r="P184" s="68"/>
      <c r="Q184" s="153">
        <v>915496.25</v>
      </c>
      <c r="R184" s="153">
        <v>0</v>
      </c>
      <c r="S184" s="153">
        <v>0</v>
      </c>
      <c r="T184" s="153">
        <v>164789.32999999999</v>
      </c>
      <c r="U184" s="153">
        <f t="shared" si="3"/>
        <v>1080285.58</v>
      </c>
      <c r="V184" t="str">
        <f>VLOOKUP(I184,Abstract!$E$4:$F$62,2,0)</f>
        <v>KARTHIKA DAMAGESH 5.4M10%1920P+480P B4G1  MRP RS. 1.00</v>
      </c>
    </row>
    <row r="185" spans="1:22">
      <c r="A185" s="153" t="s">
        <v>1949</v>
      </c>
      <c r="B185" s="153" t="s">
        <v>1945</v>
      </c>
      <c r="C185" s="64" t="s">
        <v>934</v>
      </c>
      <c r="D185" s="153" t="s">
        <v>1950</v>
      </c>
      <c r="E185" s="153" t="s">
        <v>1951</v>
      </c>
      <c r="F185" s="65" t="s">
        <v>1948</v>
      </c>
      <c r="G185" s="153" t="s">
        <v>1644</v>
      </c>
      <c r="H185" s="153" t="s">
        <v>1645</v>
      </c>
      <c r="I185" s="154" t="s">
        <v>82</v>
      </c>
      <c r="J185" s="153" t="s">
        <v>83</v>
      </c>
      <c r="K185" s="153" t="s">
        <v>1629</v>
      </c>
      <c r="L185" s="66" t="s">
        <v>1630</v>
      </c>
      <c r="M185" s="153">
        <v>1102</v>
      </c>
      <c r="N185" s="67">
        <v>714.24</v>
      </c>
      <c r="O185" s="153">
        <v>787092.47999999998</v>
      </c>
      <c r="P185" s="68"/>
      <c r="Q185" s="153">
        <v>787092.47999999998</v>
      </c>
      <c r="R185" s="153">
        <v>70838.320000000007</v>
      </c>
      <c r="S185" s="153">
        <v>70838.320000000007</v>
      </c>
      <c r="T185" s="153">
        <v>0</v>
      </c>
      <c r="U185" s="153">
        <f t="shared" si="3"/>
        <v>928769.12000000011</v>
      </c>
      <c r="V185" t="str">
        <f>VLOOKUP(I185,Abstract!$E$4:$F$62,2,0)</f>
        <v>CHIK JAS PROSOL SOYA 4M+2ML EX1920P 22RL MRP RS.1.00</v>
      </c>
    </row>
    <row r="186" spans="1:22">
      <c r="A186" s="153" t="s">
        <v>1952</v>
      </c>
      <c r="B186" s="153" t="s">
        <v>1945</v>
      </c>
      <c r="C186" s="64" t="s">
        <v>934</v>
      </c>
      <c r="D186" s="153" t="s">
        <v>1953</v>
      </c>
      <c r="E186" s="153" t="s">
        <v>1954</v>
      </c>
      <c r="F186" s="65" t="s">
        <v>1948</v>
      </c>
      <c r="G186" s="153" t="s">
        <v>1650</v>
      </c>
      <c r="H186" s="153" t="s">
        <v>1651</v>
      </c>
      <c r="I186" s="154" t="s">
        <v>118</v>
      </c>
      <c r="J186" s="153" t="s">
        <v>119</v>
      </c>
      <c r="K186" s="153" t="s">
        <v>1629</v>
      </c>
      <c r="L186" s="66" t="s">
        <v>1630</v>
      </c>
      <c r="M186" s="153">
        <v>1458</v>
      </c>
      <c r="N186" s="67">
        <v>682.6</v>
      </c>
      <c r="O186" s="153">
        <v>995230.8</v>
      </c>
      <c r="P186" s="68"/>
      <c r="Q186" s="153">
        <v>995230.8</v>
      </c>
      <c r="R186" s="153">
        <v>0</v>
      </c>
      <c r="S186" s="153">
        <v>0</v>
      </c>
      <c r="T186" s="153">
        <v>179141.54</v>
      </c>
      <c r="U186" s="153">
        <f t="shared" si="3"/>
        <v>1174372.3400000001</v>
      </c>
      <c r="V186" t="str">
        <f>VLOOKUP(I186,Abstract!$E$4:$F$62,2,0)</f>
        <v>KARTHIKA HAIRFALLSHIELD 4M 35%E 1920P NF MRP RS.1.00</v>
      </c>
    </row>
    <row r="187" spans="1:22">
      <c r="A187" s="153" t="s">
        <v>1955</v>
      </c>
      <c r="B187" s="153" t="s">
        <v>1956</v>
      </c>
      <c r="C187" s="64" t="s">
        <v>934</v>
      </c>
      <c r="D187" s="153" t="s">
        <v>1957</v>
      </c>
      <c r="E187" s="153" t="s">
        <v>1958</v>
      </c>
      <c r="F187" s="65" t="s">
        <v>1959</v>
      </c>
      <c r="G187" s="153" t="s">
        <v>1644</v>
      </c>
      <c r="H187" s="153" t="s">
        <v>1645</v>
      </c>
      <c r="I187" s="154" t="s">
        <v>82</v>
      </c>
      <c r="J187" s="153" t="s">
        <v>83</v>
      </c>
      <c r="K187" s="153" t="s">
        <v>1629</v>
      </c>
      <c r="L187" s="66" t="s">
        <v>1630</v>
      </c>
      <c r="M187" s="153">
        <v>174</v>
      </c>
      <c r="N187" s="67">
        <v>714.24</v>
      </c>
      <c r="O187" s="153">
        <v>124277.75999999999</v>
      </c>
      <c r="P187" s="68"/>
      <c r="Q187" s="153">
        <v>124277.75999999999</v>
      </c>
      <c r="R187" s="153">
        <v>11185</v>
      </c>
      <c r="S187" s="153">
        <v>11185</v>
      </c>
      <c r="T187" s="153">
        <v>0</v>
      </c>
      <c r="U187" s="153">
        <f t="shared" si="3"/>
        <v>146647.76</v>
      </c>
      <c r="V187" t="str">
        <f>VLOOKUP(I187,Abstract!$E$4:$F$62,2,0)</f>
        <v>CHIK JAS PROSOL SOYA 4M+2ML EX1920P 22RL MRP RS.1.00</v>
      </c>
    </row>
    <row r="188" spans="1:22">
      <c r="A188" s="153" t="s">
        <v>1955</v>
      </c>
      <c r="B188" s="153" t="s">
        <v>1956</v>
      </c>
      <c r="C188" s="64" t="s">
        <v>934</v>
      </c>
      <c r="D188" s="153" t="s">
        <v>1957</v>
      </c>
      <c r="E188" s="153" t="s">
        <v>1958</v>
      </c>
      <c r="F188" s="65" t="s">
        <v>1959</v>
      </c>
      <c r="G188" s="153" t="s">
        <v>1644</v>
      </c>
      <c r="H188" s="153" t="s">
        <v>1645</v>
      </c>
      <c r="I188" s="154" t="s">
        <v>118</v>
      </c>
      <c r="J188" s="153" t="s">
        <v>119</v>
      </c>
      <c r="K188" s="153" t="s">
        <v>1629</v>
      </c>
      <c r="L188" s="66" t="s">
        <v>1630</v>
      </c>
      <c r="M188" s="153">
        <v>928</v>
      </c>
      <c r="N188" s="67">
        <v>682.6</v>
      </c>
      <c r="O188" s="153">
        <v>633452.80000000005</v>
      </c>
      <c r="P188" s="68"/>
      <c r="Q188" s="153">
        <v>633452.80000000005</v>
      </c>
      <c r="R188" s="153">
        <v>57010.75</v>
      </c>
      <c r="S188" s="153">
        <v>57010.75</v>
      </c>
      <c r="T188" s="153">
        <v>0</v>
      </c>
      <c r="U188" s="153">
        <f t="shared" si="3"/>
        <v>747474.3</v>
      </c>
      <c r="V188" t="str">
        <f>VLOOKUP(I188,Abstract!$E$4:$F$62,2,0)</f>
        <v>KARTHIKA HAIRFALLSHIELD 4M 35%E 1920P NF MRP RS.1.00</v>
      </c>
    </row>
    <row r="189" spans="1:22">
      <c r="A189" s="153" t="s">
        <v>1960</v>
      </c>
      <c r="B189" s="153" t="s">
        <v>1956</v>
      </c>
      <c r="C189" s="64" t="s">
        <v>934</v>
      </c>
      <c r="D189" s="153" t="s">
        <v>1961</v>
      </c>
      <c r="E189" s="153" t="s">
        <v>1962</v>
      </c>
      <c r="F189" s="65" t="s">
        <v>1959</v>
      </c>
      <c r="G189" s="153" t="s">
        <v>1627</v>
      </c>
      <c r="H189" s="153" t="s">
        <v>1628</v>
      </c>
      <c r="I189" s="154" t="s">
        <v>90</v>
      </c>
      <c r="J189" s="153" t="s">
        <v>91</v>
      </c>
      <c r="K189" s="153" t="s">
        <v>1629</v>
      </c>
      <c r="L189" s="66" t="s">
        <v>1630</v>
      </c>
      <c r="M189" s="153">
        <v>528</v>
      </c>
      <c r="N189" s="67">
        <v>937.09</v>
      </c>
      <c r="O189" s="153">
        <v>494783.52</v>
      </c>
      <c r="P189" s="68"/>
      <c r="Q189" s="153">
        <v>494783.52</v>
      </c>
      <c r="R189" s="153">
        <v>0</v>
      </c>
      <c r="S189" s="153">
        <v>0</v>
      </c>
      <c r="T189" s="153">
        <v>89061.03</v>
      </c>
      <c r="U189" s="153">
        <f t="shared" si="3"/>
        <v>583844.55000000005</v>
      </c>
      <c r="V189" t="str">
        <f>VLOOKUP(I189,Abstract!$E$4:$F$62,2,0)</f>
        <v>CHIK BLK HFP PROSOL 3G 23%EX 4800PC RL22 MRP RS.0.50</v>
      </c>
    </row>
    <row r="190" spans="1:22">
      <c r="A190" s="153" t="s">
        <v>1960</v>
      </c>
      <c r="B190" s="153" t="s">
        <v>1956</v>
      </c>
      <c r="C190" s="64" t="s">
        <v>934</v>
      </c>
      <c r="D190" s="153" t="s">
        <v>1961</v>
      </c>
      <c r="E190" s="153" t="s">
        <v>1962</v>
      </c>
      <c r="F190" s="65" t="s">
        <v>1959</v>
      </c>
      <c r="G190" s="153" t="s">
        <v>1627</v>
      </c>
      <c r="H190" s="153" t="s">
        <v>1628</v>
      </c>
      <c r="I190" s="154" t="s">
        <v>76</v>
      </c>
      <c r="J190" s="153" t="s">
        <v>77</v>
      </c>
      <c r="K190" s="153" t="s">
        <v>1629</v>
      </c>
      <c r="L190" s="66" t="s">
        <v>1630</v>
      </c>
      <c r="M190" s="153">
        <v>224</v>
      </c>
      <c r="N190" s="67">
        <v>728.69</v>
      </c>
      <c r="O190" s="153">
        <v>163226.56</v>
      </c>
      <c r="P190" s="68"/>
      <c r="Q190" s="153">
        <v>163226.56</v>
      </c>
      <c r="R190" s="153">
        <v>0</v>
      </c>
      <c r="S190" s="153">
        <v>0</v>
      </c>
      <c r="T190" s="153">
        <v>29380.78</v>
      </c>
      <c r="U190" s="153">
        <f t="shared" si="3"/>
        <v>192607.34</v>
      </c>
      <c r="V190" t="str">
        <f>VLOOKUP(I190,Abstract!$E$4:$F$62,2,0)</f>
        <v>CHIK BLK PROSOLTHK&amp;GLY4M+2M 1920P 22NF MRP RS.1.00</v>
      </c>
    </row>
    <row r="191" spans="1:22">
      <c r="A191" s="153" t="s">
        <v>1960</v>
      </c>
      <c r="B191" s="153" t="s">
        <v>1956</v>
      </c>
      <c r="C191" s="64" t="s">
        <v>934</v>
      </c>
      <c r="D191" s="153" t="s">
        <v>1961</v>
      </c>
      <c r="E191" s="153" t="s">
        <v>1962</v>
      </c>
      <c r="F191" s="65" t="s">
        <v>1959</v>
      </c>
      <c r="G191" s="153" t="s">
        <v>1627</v>
      </c>
      <c r="H191" s="153" t="s">
        <v>1628</v>
      </c>
      <c r="I191" s="154" t="s">
        <v>82</v>
      </c>
      <c r="J191" s="153" t="s">
        <v>83</v>
      </c>
      <c r="K191" s="153" t="s">
        <v>1629</v>
      </c>
      <c r="L191" s="66" t="s">
        <v>1630</v>
      </c>
      <c r="M191" s="153">
        <v>378</v>
      </c>
      <c r="N191" s="67">
        <v>714.24</v>
      </c>
      <c r="O191" s="153">
        <v>269982.71999999997</v>
      </c>
      <c r="P191" s="68"/>
      <c r="Q191" s="153">
        <v>269982.71999999997</v>
      </c>
      <c r="R191" s="153">
        <v>0</v>
      </c>
      <c r="S191" s="153">
        <v>0</v>
      </c>
      <c r="T191" s="153">
        <v>48596.89</v>
      </c>
      <c r="U191" s="153">
        <f t="shared" si="3"/>
        <v>318579.61</v>
      </c>
      <c r="V191" t="str">
        <f>VLOOKUP(I191,Abstract!$E$4:$F$62,2,0)</f>
        <v>CHIK JAS PROSOL SOYA 4M+2ML EX1920P 22RL MRP RS.1.00</v>
      </c>
    </row>
    <row r="192" spans="1:22">
      <c r="A192" s="153" t="s">
        <v>1963</v>
      </c>
      <c r="B192" s="153" t="s">
        <v>1956</v>
      </c>
      <c r="C192" s="64" t="s">
        <v>934</v>
      </c>
      <c r="D192" s="153" t="s">
        <v>996</v>
      </c>
      <c r="E192" s="153" t="s">
        <v>1964</v>
      </c>
      <c r="F192" s="65" t="s">
        <v>1959</v>
      </c>
      <c r="G192" s="153" t="s">
        <v>1634</v>
      </c>
      <c r="H192" s="153" t="s">
        <v>1635</v>
      </c>
      <c r="I192" s="154" t="s">
        <v>90</v>
      </c>
      <c r="J192" s="153" t="s">
        <v>91</v>
      </c>
      <c r="K192" s="153" t="s">
        <v>1629</v>
      </c>
      <c r="L192" s="66" t="s">
        <v>1630</v>
      </c>
      <c r="M192" s="153">
        <v>873</v>
      </c>
      <c r="N192" s="67">
        <v>937.09</v>
      </c>
      <c r="O192" s="153">
        <v>818079.57</v>
      </c>
      <c r="P192" s="68"/>
      <c r="Q192" s="153">
        <v>818079.57</v>
      </c>
      <c r="R192" s="153">
        <v>0</v>
      </c>
      <c r="S192" s="153">
        <v>0</v>
      </c>
      <c r="T192" s="153">
        <v>147254.32</v>
      </c>
      <c r="U192" s="153">
        <f t="shared" si="3"/>
        <v>965333.8899999999</v>
      </c>
      <c r="V192" t="str">
        <f>VLOOKUP(I192,Abstract!$E$4:$F$62,2,0)</f>
        <v>CHIK BLK HFP PROSOL 3G 23%EX 4800PC RL22 MRP RS.0.50</v>
      </c>
    </row>
    <row r="193" spans="1:22">
      <c r="A193" s="153" t="s">
        <v>1965</v>
      </c>
      <c r="B193" s="153" t="s">
        <v>1956</v>
      </c>
      <c r="C193" s="64" t="s">
        <v>934</v>
      </c>
      <c r="D193" s="153" t="s">
        <v>1966</v>
      </c>
      <c r="E193" s="153" t="s">
        <v>1967</v>
      </c>
      <c r="F193" s="65" t="s">
        <v>1959</v>
      </c>
      <c r="G193" s="153" t="s">
        <v>1644</v>
      </c>
      <c r="H193" s="153" t="s">
        <v>1645</v>
      </c>
      <c r="I193" s="154" t="s">
        <v>90</v>
      </c>
      <c r="J193" s="153" t="s">
        <v>91</v>
      </c>
      <c r="K193" s="153" t="s">
        <v>1629</v>
      </c>
      <c r="L193" s="66" t="s">
        <v>1630</v>
      </c>
      <c r="M193" s="153">
        <v>320</v>
      </c>
      <c r="N193" s="67">
        <v>937.09</v>
      </c>
      <c r="O193" s="153">
        <v>299868.79999999999</v>
      </c>
      <c r="P193" s="68"/>
      <c r="Q193" s="153">
        <v>299868.79999999999</v>
      </c>
      <c r="R193" s="153">
        <v>26988.19</v>
      </c>
      <c r="S193" s="153">
        <v>26988.19</v>
      </c>
      <c r="T193" s="153">
        <v>0</v>
      </c>
      <c r="U193" s="153">
        <f t="shared" si="3"/>
        <v>353845.18</v>
      </c>
      <c r="V193" t="str">
        <f>VLOOKUP(I193,Abstract!$E$4:$F$62,2,0)</f>
        <v>CHIK BLK HFP PROSOL 3G 23%EX 4800PC RL22 MRP RS.0.50</v>
      </c>
    </row>
    <row r="194" spans="1:22">
      <c r="A194" s="153" t="s">
        <v>1965</v>
      </c>
      <c r="B194" s="153" t="s">
        <v>1956</v>
      </c>
      <c r="C194" s="64" t="s">
        <v>934</v>
      </c>
      <c r="D194" s="153" t="s">
        <v>1966</v>
      </c>
      <c r="E194" s="153" t="s">
        <v>1967</v>
      </c>
      <c r="F194" s="65" t="s">
        <v>1959</v>
      </c>
      <c r="G194" s="153" t="s">
        <v>1644</v>
      </c>
      <c r="H194" s="153" t="s">
        <v>1645</v>
      </c>
      <c r="I194" s="154" t="s">
        <v>82</v>
      </c>
      <c r="J194" s="153" t="s">
        <v>83</v>
      </c>
      <c r="K194" s="153" t="s">
        <v>1629</v>
      </c>
      <c r="L194" s="66" t="s">
        <v>1630</v>
      </c>
      <c r="M194" s="153">
        <v>135</v>
      </c>
      <c r="N194" s="67">
        <v>714.24</v>
      </c>
      <c r="O194" s="153">
        <v>96422.399999999994</v>
      </c>
      <c r="P194" s="68"/>
      <c r="Q194" s="153">
        <v>96422.399999999994</v>
      </c>
      <c r="R194" s="153">
        <v>8678.02</v>
      </c>
      <c r="S194" s="153">
        <v>8678.02</v>
      </c>
      <c r="T194" s="153">
        <v>0</v>
      </c>
      <c r="U194" s="153">
        <f t="shared" si="3"/>
        <v>113778.44</v>
      </c>
      <c r="V194" t="str">
        <f>VLOOKUP(I194,Abstract!$E$4:$F$62,2,0)</f>
        <v>CHIK JAS PROSOL SOYA 4M+2ML EX1920P 22RL MRP RS.1.00</v>
      </c>
    </row>
    <row r="195" spans="1:22">
      <c r="A195" s="153" t="s">
        <v>1968</v>
      </c>
      <c r="B195" s="153" t="s">
        <v>1969</v>
      </c>
      <c r="C195" s="64" t="s">
        <v>934</v>
      </c>
      <c r="D195" s="153" t="s">
        <v>1970</v>
      </c>
      <c r="E195" s="153" t="s">
        <v>1971</v>
      </c>
      <c r="F195" s="65" t="s">
        <v>1972</v>
      </c>
      <c r="G195" s="153" t="s">
        <v>1650</v>
      </c>
      <c r="H195" s="153" t="s">
        <v>1651</v>
      </c>
      <c r="I195" s="154" t="s">
        <v>90</v>
      </c>
      <c r="J195" s="153" t="s">
        <v>91</v>
      </c>
      <c r="K195" s="153" t="s">
        <v>1629</v>
      </c>
      <c r="L195" s="66" t="s">
        <v>1630</v>
      </c>
      <c r="M195" s="153">
        <v>520</v>
      </c>
      <c r="N195" s="67">
        <v>937.09</v>
      </c>
      <c r="O195" s="153">
        <v>487286.8</v>
      </c>
      <c r="P195" s="68"/>
      <c r="Q195" s="153">
        <v>487286.8</v>
      </c>
      <c r="R195" s="153">
        <v>0</v>
      </c>
      <c r="S195" s="153">
        <v>0</v>
      </c>
      <c r="T195" s="153">
        <v>87711.62</v>
      </c>
      <c r="U195" s="153">
        <f t="shared" ref="U195:U258" si="4">Q195+R195+S195+T195</f>
        <v>574998.41999999993</v>
      </c>
      <c r="V195" t="str">
        <f>VLOOKUP(I195,Abstract!$E$4:$F$62,2,0)</f>
        <v>CHIK BLK HFP PROSOL 3G 23%EX 4800PC RL22 MRP RS.0.50</v>
      </c>
    </row>
    <row r="196" spans="1:22">
      <c r="A196" s="153" t="s">
        <v>1968</v>
      </c>
      <c r="B196" s="153" t="s">
        <v>1969</v>
      </c>
      <c r="C196" s="64" t="s">
        <v>934</v>
      </c>
      <c r="D196" s="153" t="s">
        <v>1970</v>
      </c>
      <c r="E196" s="153" t="s">
        <v>1971</v>
      </c>
      <c r="F196" s="65" t="s">
        <v>1972</v>
      </c>
      <c r="G196" s="153" t="s">
        <v>1650</v>
      </c>
      <c r="H196" s="153" t="s">
        <v>1651</v>
      </c>
      <c r="I196" s="154" t="s">
        <v>76</v>
      </c>
      <c r="J196" s="153" t="s">
        <v>77</v>
      </c>
      <c r="K196" s="153" t="s">
        <v>1629</v>
      </c>
      <c r="L196" s="66" t="s">
        <v>1630</v>
      </c>
      <c r="M196" s="153">
        <v>448</v>
      </c>
      <c r="N196" s="67">
        <v>728.69</v>
      </c>
      <c r="O196" s="153">
        <v>326453.12</v>
      </c>
      <c r="P196" s="68"/>
      <c r="Q196" s="153">
        <v>326453.12</v>
      </c>
      <c r="R196" s="153">
        <v>0</v>
      </c>
      <c r="S196" s="153">
        <v>0</v>
      </c>
      <c r="T196" s="153">
        <v>58761.56</v>
      </c>
      <c r="U196" s="153">
        <f t="shared" si="4"/>
        <v>385214.68</v>
      </c>
      <c r="V196" t="str">
        <f>VLOOKUP(I196,Abstract!$E$4:$F$62,2,0)</f>
        <v>CHIK BLK PROSOLTHK&amp;GLY4M+2M 1920P 22NF MRP RS.1.00</v>
      </c>
    </row>
    <row r="197" spans="1:22">
      <c r="A197" s="153" t="s">
        <v>1973</v>
      </c>
      <c r="B197" s="153" t="s">
        <v>1969</v>
      </c>
      <c r="C197" s="64" t="s">
        <v>934</v>
      </c>
      <c r="D197" s="153" t="s">
        <v>1974</v>
      </c>
      <c r="E197" s="153" t="s">
        <v>1975</v>
      </c>
      <c r="F197" s="65" t="s">
        <v>1972</v>
      </c>
      <c r="G197" s="153" t="s">
        <v>1634</v>
      </c>
      <c r="H197" s="153" t="s">
        <v>1635</v>
      </c>
      <c r="I197" s="154" t="s">
        <v>90</v>
      </c>
      <c r="J197" s="153" t="s">
        <v>91</v>
      </c>
      <c r="K197" s="153" t="s">
        <v>1629</v>
      </c>
      <c r="L197" s="66" t="s">
        <v>1630</v>
      </c>
      <c r="M197" s="153">
        <v>216</v>
      </c>
      <c r="N197" s="67">
        <v>937.09</v>
      </c>
      <c r="O197" s="153">
        <v>202411.44</v>
      </c>
      <c r="P197" s="68"/>
      <c r="Q197" s="153">
        <v>202411.44</v>
      </c>
      <c r="R197" s="153">
        <v>0</v>
      </c>
      <c r="S197" s="153">
        <v>0</v>
      </c>
      <c r="T197" s="153">
        <v>36434.06</v>
      </c>
      <c r="U197" s="153">
        <f t="shared" si="4"/>
        <v>238845.5</v>
      </c>
      <c r="V197" t="str">
        <f>VLOOKUP(I197,Abstract!$E$4:$F$62,2,0)</f>
        <v>CHIK BLK HFP PROSOL 3G 23%EX 4800PC RL22 MRP RS.0.50</v>
      </c>
    </row>
    <row r="198" spans="1:22">
      <c r="A198" s="153" t="s">
        <v>1973</v>
      </c>
      <c r="B198" s="153" t="s">
        <v>1969</v>
      </c>
      <c r="C198" s="64" t="s">
        <v>934</v>
      </c>
      <c r="D198" s="153" t="s">
        <v>1974</v>
      </c>
      <c r="E198" s="153" t="s">
        <v>1975</v>
      </c>
      <c r="F198" s="65" t="s">
        <v>1972</v>
      </c>
      <c r="G198" s="153" t="s">
        <v>1634</v>
      </c>
      <c r="H198" s="153" t="s">
        <v>1635</v>
      </c>
      <c r="I198" s="154" t="s">
        <v>82</v>
      </c>
      <c r="J198" s="153" t="s">
        <v>83</v>
      </c>
      <c r="K198" s="153" t="s">
        <v>1629</v>
      </c>
      <c r="L198" s="66" t="s">
        <v>1630</v>
      </c>
      <c r="M198" s="153">
        <v>252</v>
      </c>
      <c r="N198" s="67">
        <v>714.24</v>
      </c>
      <c r="O198" s="153">
        <v>179988.48000000001</v>
      </c>
      <c r="P198" s="68"/>
      <c r="Q198" s="153">
        <v>179988.48000000001</v>
      </c>
      <c r="R198" s="153">
        <v>0</v>
      </c>
      <c r="S198" s="153">
        <v>0</v>
      </c>
      <c r="T198" s="153">
        <v>32397.93</v>
      </c>
      <c r="U198" s="153">
        <f t="shared" si="4"/>
        <v>212386.41</v>
      </c>
      <c r="V198" t="str">
        <f>VLOOKUP(I198,Abstract!$E$4:$F$62,2,0)</f>
        <v>CHIK JAS PROSOL SOYA 4M+2ML EX1920P 22RL MRP RS.1.00</v>
      </c>
    </row>
    <row r="199" spans="1:22">
      <c r="A199" s="153" t="s">
        <v>1973</v>
      </c>
      <c r="B199" s="153" t="s">
        <v>1969</v>
      </c>
      <c r="C199" s="64" t="s">
        <v>934</v>
      </c>
      <c r="D199" s="153" t="s">
        <v>1974</v>
      </c>
      <c r="E199" s="153" t="s">
        <v>1975</v>
      </c>
      <c r="F199" s="65" t="s">
        <v>1972</v>
      </c>
      <c r="G199" s="153" t="s">
        <v>1634</v>
      </c>
      <c r="H199" s="153" t="s">
        <v>1635</v>
      </c>
      <c r="I199" s="154" t="s">
        <v>108</v>
      </c>
      <c r="J199" s="153" t="s">
        <v>109</v>
      </c>
      <c r="K199" s="153" t="s">
        <v>1629</v>
      </c>
      <c r="L199" s="66" t="s">
        <v>1630</v>
      </c>
      <c r="M199" s="153">
        <v>304</v>
      </c>
      <c r="N199" s="67">
        <v>957.97</v>
      </c>
      <c r="O199" s="153">
        <v>291222.88</v>
      </c>
      <c r="P199" s="68"/>
      <c r="Q199" s="153">
        <v>291222.88</v>
      </c>
      <c r="R199" s="153">
        <v>0</v>
      </c>
      <c r="S199" s="153">
        <v>0</v>
      </c>
      <c r="T199" s="153">
        <v>52420.12</v>
      </c>
      <c r="U199" s="153">
        <f t="shared" si="4"/>
        <v>343643</v>
      </c>
      <c r="V199" t="str">
        <f>VLOOKUP(I199,Abstract!$E$4:$F$62,2,0)</f>
        <v>KARTHIKA DAM SHIELD SH 3G 23% EX 4800PCS MRP Rs.0.50</v>
      </c>
    </row>
    <row r="200" spans="1:22">
      <c r="A200" s="153" t="s">
        <v>1973</v>
      </c>
      <c r="B200" s="153" t="s">
        <v>1969</v>
      </c>
      <c r="C200" s="64" t="s">
        <v>934</v>
      </c>
      <c r="D200" s="153" t="s">
        <v>1974</v>
      </c>
      <c r="E200" s="153" t="s">
        <v>1975</v>
      </c>
      <c r="F200" s="65" t="s">
        <v>1972</v>
      </c>
      <c r="G200" s="153" t="s">
        <v>1634</v>
      </c>
      <c r="H200" s="153" t="s">
        <v>1635</v>
      </c>
      <c r="I200" s="154" t="s">
        <v>118</v>
      </c>
      <c r="J200" s="153" t="s">
        <v>119</v>
      </c>
      <c r="K200" s="153" t="s">
        <v>1629</v>
      </c>
      <c r="L200" s="66" t="s">
        <v>1630</v>
      </c>
      <c r="M200" s="153">
        <v>378</v>
      </c>
      <c r="N200" s="67">
        <v>682.6</v>
      </c>
      <c r="O200" s="153">
        <v>258022.8</v>
      </c>
      <c r="P200" s="68"/>
      <c r="Q200" s="153">
        <v>258022.8</v>
      </c>
      <c r="R200" s="153">
        <v>0</v>
      </c>
      <c r="S200" s="153">
        <v>0</v>
      </c>
      <c r="T200" s="153">
        <v>46444.1</v>
      </c>
      <c r="U200" s="153">
        <f t="shared" si="4"/>
        <v>304466.89999999997</v>
      </c>
      <c r="V200" t="str">
        <f>VLOOKUP(I200,Abstract!$E$4:$F$62,2,0)</f>
        <v>KARTHIKA HAIRFALLSHIELD 4M 35%E 1920P NF MRP RS.1.00</v>
      </c>
    </row>
    <row r="201" spans="1:22">
      <c r="A201" s="153" t="s">
        <v>1976</v>
      </c>
      <c r="B201" s="153" t="s">
        <v>1969</v>
      </c>
      <c r="C201" s="64" t="s">
        <v>934</v>
      </c>
      <c r="D201" s="153" t="s">
        <v>1977</v>
      </c>
      <c r="E201" s="153" t="s">
        <v>1978</v>
      </c>
      <c r="F201" s="65" t="s">
        <v>1972</v>
      </c>
      <c r="G201" s="153" t="s">
        <v>1644</v>
      </c>
      <c r="H201" s="153" t="s">
        <v>1645</v>
      </c>
      <c r="I201" s="154" t="s">
        <v>82</v>
      </c>
      <c r="J201" s="153" t="s">
        <v>83</v>
      </c>
      <c r="K201" s="153" t="s">
        <v>1629</v>
      </c>
      <c r="L201" s="66" t="s">
        <v>1630</v>
      </c>
      <c r="M201" s="153">
        <v>450</v>
      </c>
      <c r="N201" s="67">
        <v>714.24</v>
      </c>
      <c r="O201" s="153">
        <v>321408</v>
      </c>
      <c r="P201" s="68"/>
      <c r="Q201" s="153">
        <v>321408</v>
      </c>
      <c r="R201" s="153">
        <v>28926.720000000001</v>
      </c>
      <c r="S201" s="153">
        <v>28926.720000000001</v>
      </c>
      <c r="T201" s="153">
        <v>0</v>
      </c>
      <c r="U201" s="153">
        <f t="shared" si="4"/>
        <v>379261.43999999994</v>
      </c>
      <c r="V201" t="str">
        <f>VLOOKUP(I201,Abstract!$E$4:$F$62,2,0)</f>
        <v>CHIK JAS PROSOL SOYA 4M+2ML EX1920P 22RL MRP RS.1.00</v>
      </c>
    </row>
    <row r="202" spans="1:22">
      <c r="A202" s="153" t="s">
        <v>1976</v>
      </c>
      <c r="B202" s="153" t="s">
        <v>1969</v>
      </c>
      <c r="C202" s="64" t="s">
        <v>934</v>
      </c>
      <c r="D202" s="153" t="s">
        <v>1977</v>
      </c>
      <c r="E202" s="153" t="s">
        <v>1978</v>
      </c>
      <c r="F202" s="65" t="s">
        <v>1972</v>
      </c>
      <c r="G202" s="153" t="s">
        <v>1644</v>
      </c>
      <c r="H202" s="153" t="s">
        <v>1645</v>
      </c>
      <c r="I202" s="154" t="s">
        <v>118</v>
      </c>
      <c r="J202" s="153" t="s">
        <v>119</v>
      </c>
      <c r="K202" s="153" t="s">
        <v>1629</v>
      </c>
      <c r="L202" s="66" t="s">
        <v>1630</v>
      </c>
      <c r="M202" s="153">
        <v>270</v>
      </c>
      <c r="N202" s="67">
        <v>682.6</v>
      </c>
      <c r="O202" s="153">
        <v>184302</v>
      </c>
      <c r="P202" s="68"/>
      <c r="Q202" s="153">
        <v>184302</v>
      </c>
      <c r="R202" s="153">
        <v>16587.18</v>
      </c>
      <c r="S202" s="153">
        <v>16587.18</v>
      </c>
      <c r="T202" s="153">
        <v>0</v>
      </c>
      <c r="U202" s="153">
        <f t="shared" si="4"/>
        <v>217476.36</v>
      </c>
      <c r="V202" t="str">
        <f>VLOOKUP(I202,Abstract!$E$4:$F$62,2,0)</f>
        <v>KARTHIKA HAIRFALLSHIELD 4M 35%E 1920P NF MRP RS.1.00</v>
      </c>
    </row>
    <row r="203" spans="1:22">
      <c r="A203" s="153" t="s">
        <v>1979</v>
      </c>
      <c r="B203" s="153" t="s">
        <v>1969</v>
      </c>
      <c r="C203" s="64" t="s">
        <v>934</v>
      </c>
      <c r="D203" s="153" t="s">
        <v>1980</v>
      </c>
      <c r="E203" s="153" t="s">
        <v>1981</v>
      </c>
      <c r="F203" s="65" t="s">
        <v>1972</v>
      </c>
      <c r="G203" s="153" t="s">
        <v>1627</v>
      </c>
      <c r="H203" s="153" t="s">
        <v>1628</v>
      </c>
      <c r="I203" s="154" t="s">
        <v>90</v>
      </c>
      <c r="J203" s="153" t="s">
        <v>91</v>
      </c>
      <c r="K203" s="153" t="s">
        <v>1629</v>
      </c>
      <c r="L203" s="66" t="s">
        <v>1630</v>
      </c>
      <c r="M203" s="153">
        <v>845</v>
      </c>
      <c r="N203" s="67">
        <v>937.09</v>
      </c>
      <c r="O203" s="153">
        <v>791841.05</v>
      </c>
      <c r="P203" s="68"/>
      <c r="Q203" s="153">
        <v>791841.05</v>
      </c>
      <c r="R203" s="153">
        <v>0</v>
      </c>
      <c r="S203" s="153">
        <v>0</v>
      </c>
      <c r="T203" s="153">
        <v>142531.39000000001</v>
      </c>
      <c r="U203" s="153">
        <f t="shared" si="4"/>
        <v>934372.44000000006</v>
      </c>
      <c r="V203" t="str">
        <f>VLOOKUP(I203,Abstract!$E$4:$F$62,2,0)</f>
        <v>CHIK BLK HFP PROSOL 3G 23%EX 4800PC RL22 MRP RS.0.50</v>
      </c>
    </row>
    <row r="204" spans="1:22">
      <c r="A204" s="153" t="s">
        <v>1979</v>
      </c>
      <c r="B204" s="153" t="s">
        <v>1969</v>
      </c>
      <c r="C204" s="64" t="s">
        <v>934</v>
      </c>
      <c r="D204" s="153" t="s">
        <v>1980</v>
      </c>
      <c r="E204" s="153" t="s">
        <v>1981</v>
      </c>
      <c r="F204" s="65" t="s">
        <v>1972</v>
      </c>
      <c r="G204" s="153" t="s">
        <v>1627</v>
      </c>
      <c r="H204" s="153" t="s">
        <v>1628</v>
      </c>
      <c r="I204" s="154" t="s">
        <v>88</v>
      </c>
      <c r="J204" s="153" t="s">
        <v>89</v>
      </c>
      <c r="K204" s="153" t="s">
        <v>1629</v>
      </c>
      <c r="L204" s="66" t="s">
        <v>1630</v>
      </c>
      <c r="M204" s="153">
        <v>65</v>
      </c>
      <c r="N204" s="67">
        <v>936.79</v>
      </c>
      <c r="O204" s="153">
        <v>60891.35</v>
      </c>
      <c r="P204" s="68"/>
      <c r="Q204" s="153">
        <v>60891.35</v>
      </c>
      <c r="R204" s="153">
        <v>0</v>
      </c>
      <c r="S204" s="153">
        <v>0</v>
      </c>
      <c r="T204" s="153">
        <v>10960.44</v>
      </c>
      <c r="U204" s="153">
        <f t="shared" si="4"/>
        <v>71851.789999999994</v>
      </c>
      <c r="V204" t="str">
        <f>VLOOKUP(I204,Abstract!$E$4:$F$62,2,0)</f>
        <v>CHIK JAS HFP PROSOL 3G23% EX 4800PC 22RL MRP RS.0.50</v>
      </c>
    </row>
    <row r="205" spans="1:22">
      <c r="A205" s="153" t="s">
        <v>1979</v>
      </c>
      <c r="B205" s="153" t="s">
        <v>1969</v>
      </c>
      <c r="C205" s="64" t="s">
        <v>934</v>
      </c>
      <c r="D205" s="153" t="s">
        <v>1980</v>
      </c>
      <c r="E205" s="153" t="s">
        <v>1981</v>
      </c>
      <c r="F205" s="65" t="s">
        <v>1972</v>
      </c>
      <c r="G205" s="153" t="s">
        <v>1627</v>
      </c>
      <c r="H205" s="153" t="s">
        <v>1628</v>
      </c>
      <c r="I205" s="154" t="s">
        <v>82</v>
      </c>
      <c r="J205" s="153" t="s">
        <v>83</v>
      </c>
      <c r="K205" s="153" t="s">
        <v>1629</v>
      </c>
      <c r="L205" s="66" t="s">
        <v>1630</v>
      </c>
      <c r="M205" s="153">
        <v>126</v>
      </c>
      <c r="N205" s="67">
        <v>714.24</v>
      </c>
      <c r="O205" s="153">
        <v>89994.240000000005</v>
      </c>
      <c r="P205" s="68"/>
      <c r="Q205" s="153">
        <v>89994.240000000005</v>
      </c>
      <c r="R205" s="153">
        <v>0</v>
      </c>
      <c r="S205" s="153">
        <v>0</v>
      </c>
      <c r="T205" s="153">
        <v>16198.96</v>
      </c>
      <c r="U205" s="153">
        <f t="shared" si="4"/>
        <v>106193.20000000001</v>
      </c>
      <c r="V205" t="str">
        <f>VLOOKUP(I205,Abstract!$E$4:$F$62,2,0)</f>
        <v>CHIK JAS PROSOL SOYA 4M+2ML EX1920P 22RL MRP RS.1.00</v>
      </c>
    </row>
    <row r="206" spans="1:22">
      <c r="A206" s="153" t="s">
        <v>1982</v>
      </c>
      <c r="B206" s="153" t="s">
        <v>1983</v>
      </c>
      <c r="C206" s="64" t="s">
        <v>934</v>
      </c>
      <c r="D206" s="153" t="s">
        <v>1068</v>
      </c>
      <c r="E206" s="153" t="s">
        <v>1984</v>
      </c>
      <c r="F206" s="65" t="s">
        <v>1985</v>
      </c>
      <c r="G206" s="153" t="s">
        <v>1644</v>
      </c>
      <c r="H206" s="153" t="s">
        <v>1645</v>
      </c>
      <c r="I206" s="154" t="s">
        <v>94</v>
      </c>
      <c r="J206" s="153" t="s">
        <v>1646</v>
      </c>
      <c r="K206" s="153" t="s">
        <v>1629</v>
      </c>
      <c r="L206" s="66" t="s">
        <v>1630</v>
      </c>
      <c r="M206" s="153">
        <v>1102</v>
      </c>
      <c r="N206" s="67">
        <v>730.67</v>
      </c>
      <c r="O206" s="153">
        <v>805198.34</v>
      </c>
      <c r="P206" s="68"/>
      <c r="Q206" s="153">
        <v>805198.34</v>
      </c>
      <c r="R206" s="153">
        <v>72467.850000000006</v>
      </c>
      <c r="S206" s="153">
        <v>72467.850000000006</v>
      </c>
      <c r="T206" s="153">
        <v>0</v>
      </c>
      <c r="U206" s="153">
        <f t="shared" si="4"/>
        <v>950134.03999999992</v>
      </c>
      <c r="V206" t="str">
        <f>VLOOKUP(I206,Abstract!$E$4:$F$62,2,0)</f>
        <v>CHIK EGG HFP SH 4ML+2ML EX 1920PC 22RL</v>
      </c>
    </row>
    <row r="207" spans="1:22">
      <c r="A207" s="153" t="s">
        <v>1986</v>
      </c>
      <c r="B207" s="153" t="s">
        <v>1983</v>
      </c>
      <c r="C207" s="64" t="s">
        <v>934</v>
      </c>
      <c r="D207" s="153" t="s">
        <v>1987</v>
      </c>
      <c r="E207" s="153" t="s">
        <v>1988</v>
      </c>
      <c r="F207" s="65" t="s">
        <v>1985</v>
      </c>
      <c r="G207" s="153" t="s">
        <v>1650</v>
      </c>
      <c r="H207" s="153" t="s">
        <v>1651</v>
      </c>
      <c r="I207" s="154" t="s">
        <v>118</v>
      </c>
      <c r="J207" s="153" t="s">
        <v>119</v>
      </c>
      <c r="K207" s="153" t="s">
        <v>1629</v>
      </c>
      <c r="L207" s="66" t="s">
        <v>1630</v>
      </c>
      <c r="M207" s="153">
        <v>1566</v>
      </c>
      <c r="N207" s="67">
        <v>682.6</v>
      </c>
      <c r="O207" s="153">
        <v>1068951.6000000001</v>
      </c>
      <c r="P207" s="68"/>
      <c r="Q207" s="153">
        <v>1068951.6000000001</v>
      </c>
      <c r="R207" s="153">
        <v>0</v>
      </c>
      <c r="S207" s="153">
        <v>0</v>
      </c>
      <c r="T207" s="153">
        <v>192411.29</v>
      </c>
      <c r="U207" s="153">
        <f t="shared" si="4"/>
        <v>1261362.8900000001</v>
      </c>
      <c r="V207" t="str">
        <f>VLOOKUP(I207,Abstract!$E$4:$F$62,2,0)</f>
        <v>KARTHIKA HAIRFALLSHIELD 4M 35%E 1920P NF MRP RS.1.00</v>
      </c>
    </row>
    <row r="208" spans="1:22">
      <c r="A208" s="153" t="s">
        <v>1989</v>
      </c>
      <c r="B208" s="153" t="s">
        <v>1983</v>
      </c>
      <c r="C208" s="64" t="s">
        <v>934</v>
      </c>
      <c r="D208" s="153" t="s">
        <v>1990</v>
      </c>
      <c r="E208" s="153" t="s">
        <v>1991</v>
      </c>
      <c r="F208" s="65" t="s">
        <v>1985</v>
      </c>
      <c r="G208" s="153" t="s">
        <v>1644</v>
      </c>
      <c r="H208" s="153" t="s">
        <v>1645</v>
      </c>
      <c r="I208" s="154" t="s">
        <v>118</v>
      </c>
      <c r="J208" s="153" t="s">
        <v>119</v>
      </c>
      <c r="K208" s="153" t="s">
        <v>1629</v>
      </c>
      <c r="L208" s="66" t="s">
        <v>1630</v>
      </c>
      <c r="M208" s="153">
        <v>720</v>
      </c>
      <c r="N208" s="67">
        <v>682.6</v>
      </c>
      <c r="O208" s="153">
        <v>491472</v>
      </c>
      <c r="P208" s="68"/>
      <c r="Q208" s="153">
        <v>491472</v>
      </c>
      <c r="R208" s="153">
        <v>44232.480000000003</v>
      </c>
      <c r="S208" s="153">
        <v>44232.480000000003</v>
      </c>
      <c r="T208" s="153">
        <v>0</v>
      </c>
      <c r="U208" s="153">
        <f t="shared" si="4"/>
        <v>579936.96</v>
      </c>
      <c r="V208" t="str">
        <f>VLOOKUP(I208,Abstract!$E$4:$F$62,2,0)</f>
        <v>KARTHIKA HAIRFALLSHIELD 4M 35%E 1920P NF MRP RS.1.00</v>
      </c>
    </row>
    <row r="209" spans="1:22">
      <c r="A209" s="153" t="s">
        <v>1992</v>
      </c>
      <c r="B209" s="153" t="s">
        <v>1983</v>
      </c>
      <c r="C209" s="64" t="s">
        <v>934</v>
      </c>
      <c r="D209" s="153" t="s">
        <v>1085</v>
      </c>
      <c r="E209" s="153" t="s">
        <v>1993</v>
      </c>
      <c r="F209" s="65" t="s">
        <v>1985</v>
      </c>
      <c r="G209" s="153" t="s">
        <v>1627</v>
      </c>
      <c r="H209" s="153" t="s">
        <v>1628</v>
      </c>
      <c r="I209" s="154" t="s">
        <v>76</v>
      </c>
      <c r="J209" s="153" t="s">
        <v>77</v>
      </c>
      <c r="K209" s="153" t="s">
        <v>1629</v>
      </c>
      <c r="L209" s="66" t="s">
        <v>1630</v>
      </c>
      <c r="M209" s="153">
        <v>980</v>
      </c>
      <c r="N209" s="67">
        <v>728.69</v>
      </c>
      <c r="O209" s="153">
        <v>714116.2</v>
      </c>
      <c r="P209" s="68"/>
      <c r="Q209" s="153">
        <v>714116.2</v>
      </c>
      <c r="R209" s="153">
        <v>0</v>
      </c>
      <c r="S209" s="153">
        <v>0</v>
      </c>
      <c r="T209" s="153">
        <v>128540.92</v>
      </c>
      <c r="U209" s="153">
        <f t="shared" si="4"/>
        <v>842657.12</v>
      </c>
      <c r="V209" t="str">
        <f>VLOOKUP(I209,Abstract!$E$4:$F$62,2,0)</f>
        <v>CHIK BLK PROSOLTHK&amp;GLY4M+2M 1920P 22NF MRP RS.1.00</v>
      </c>
    </row>
    <row r="210" spans="1:22">
      <c r="A210" s="153" t="s">
        <v>1992</v>
      </c>
      <c r="B210" s="153" t="s">
        <v>1983</v>
      </c>
      <c r="C210" s="64" t="s">
        <v>934</v>
      </c>
      <c r="D210" s="153" t="s">
        <v>1085</v>
      </c>
      <c r="E210" s="153" t="s">
        <v>1993</v>
      </c>
      <c r="F210" s="65" t="s">
        <v>1985</v>
      </c>
      <c r="G210" s="153" t="s">
        <v>1627</v>
      </c>
      <c r="H210" s="153" t="s">
        <v>1628</v>
      </c>
      <c r="I210" s="154" t="s">
        <v>94</v>
      </c>
      <c r="J210" s="153" t="s">
        <v>1646</v>
      </c>
      <c r="K210" s="153" t="s">
        <v>1629</v>
      </c>
      <c r="L210" s="66" t="s">
        <v>1630</v>
      </c>
      <c r="M210" s="153">
        <v>378</v>
      </c>
      <c r="N210" s="67">
        <v>730.67</v>
      </c>
      <c r="O210" s="153">
        <v>276193.26</v>
      </c>
      <c r="P210" s="68"/>
      <c r="Q210" s="153">
        <v>276193.26</v>
      </c>
      <c r="R210" s="153">
        <v>0</v>
      </c>
      <c r="S210" s="153">
        <v>0</v>
      </c>
      <c r="T210" s="153">
        <v>49714.79</v>
      </c>
      <c r="U210" s="153">
        <f t="shared" si="4"/>
        <v>325908.05</v>
      </c>
      <c r="V210" t="str">
        <f>VLOOKUP(I210,Abstract!$E$4:$F$62,2,0)</f>
        <v>CHIK EGG HFP SH 4ML+2ML EX 1920PC 22RL</v>
      </c>
    </row>
    <row r="211" spans="1:22">
      <c r="A211" s="153" t="s">
        <v>1992</v>
      </c>
      <c r="B211" s="153" t="s">
        <v>1983</v>
      </c>
      <c r="C211" s="64" t="s">
        <v>934</v>
      </c>
      <c r="D211" s="153" t="s">
        <v>1085</v>
      </c>
      <c r="E211" s="153" t="s">
        <v>1993</v>
      </c>
      <c r="F211" s="65" t="s">
        <v>1985</v>
      </c>
      <c r="G211" s="153" t="s">
        <v>1627</v>
      </c>
      <c r="H211" s="153" t="s">
        <v>1628</v>
      </c>
      <c r="I211" s="154" t="s">
        <v>28</v>
      </c>
      <c r="J211" s="153" t="s">
        <v>1994</v>
      </c>
      <c r="K211" s="153" t="s">
        <v>1629</v>
      </c>
      <c r="L211" s="66" t="s">
        <v>1630</v>
      </c>
      <c r="M211" s="153">
        <v>31</v>
      </c>
      <c r="N211" s="67">
        <v>1029.29</v>
      </c>
      <c r="O211" s="153">
        <v>31907.99</v>
      </c>
      <c r="P211" s="68"/>
      <c r="Q211" s="153">
        <v>31907.99</v>
      </c>
      <c r="R211" s="153">
        <v>0</v>
      </c>
      <c r="S211" s="153">
        <v>0</v>
      </c>
      <c r="T211" s="153">
        <v>5743.44</v>
      </c>
      <c r="U211" s="153">
        <f t="shared" si="4"/>
        <v>37651.43</v>
      </c>
      <c r="V211" t="str">
        <f>VLOOKUP(I211,Abstract!$E$4:$F$62,2,0)</f>
        <v>KARTHIKA DAMAGE SHIELD SHAMPOO 175M 48P</v>
      </c>
    </row>
    <row r="212" spans="1:22">
      <c r="A212" s="153" t="s">
        <v>1995</v>
      </c>
      <c r="B212" s="153" t="s">
        <v>1983</v>
      </c>
      <c r="C212" s="64" t="s">
        <v>934</v>
      </c>
      <c r="D212" s="153" t="s">
        <v>1051</v>
      </c>
      <c r="E212" s="153" t="s">
        <v>1996</v>
      </c>
      <c r="F212" s="65" t="s">
        <v>1985</v>
      </c>
      <c r="G212" s="153" t="s">
        <v>1650</v>
      </c>
      <c r="H212" s="153" t="s">
        <v>1651</v>
      </c>
      <c r="I212" s="154" t="s">
        <v>76</v>
      </c>
      <c r="J212" s="153" t="s">
        <v>77</v>
      </c>
      <c r="K212" s="153" t="s">
        <v>1629</v>
      </c>
      <c r="L212" s="66" t="s">
        <v>1630</v>
      </c>
      <c r="M212" s="153">
        <v>1232</v>
      </c>
      <c r="N212" s="67">
        <v>728.69</v>
      </c>
      <c r="O212" s="153">
        <v>897746.08</v>
      </c>
      <c r="P212" s="68"/>
      <c r="Q212" s="153">
        <v>897746.08</v>
      </c>
      <c r="R212" s="153">
        <v>0</v>
      </c>
      <c r="S212" s="153">
        <v>0</v>
      </c>
      <c r="T212" s="153">
        <v>161594.29</v>
      </c>
      <c r="U212" s="153">
        <f t="shared" si="4"/>
        <v>1059340.3699999999</v>
      </c>
      <c r="V212" t="str">
        <f>VLOOKUP(I212,Abstract!$E$4:$F$62,2,0)</f>
        <v>CHIK BLK PROSOLTHK&amp;GLY4M+2M 1920P 22NF MRP RS.1.00</v>
      </c>
    </row>
    <row r="213" spans="1:22">
      <c r="A213" s="153" t="s">
        <v>1995</v>
      </c>
      <c r="B213" s="153" t="s">
        <v>1983</v>
      </c>
      <c r="C213" s="64" t="s">
        <v>934</v>
      </c>
      <c r="D213" s="153" t="s">
        <v>1051</v>
      </c>
      <c r="E213" s="153" t="s">
        <v>1996</v>
      </c>
      <c r="F213" s="65" t="s">
        <v>1985</v>
      </c>
      <c r="G213" s="153" t="s">
        <v>1650</v>
      </c>
      <c r="H213" s="153" t="s">
        <v>1651</v>
      </c>
      <c r="I213" s="154" t="s">
        <v>30</v>
      </c>
      <c r="J213" s="153" t="s">
        <v>1997</v>
      </c>
      <c r="K213" s="153" t="s">
        <v>1629</v>
      </c>
      <c r="L213" s="66" t="s">
        <v>1630</v>
      </c>
      <c r="M213" s="153">
        <v>140</v>
      </c>
      <c r="N213" s="67">
        <v>1013.39</v>
      </c>
      <c r="O213" s="153">
        <v>141874.6</v>
      </c>
      <c r="P213" s="68"/>
      <c r="Q213" s="153">
        <v>141874.6</v>
      </c>
      <c r="R213" s="153">
        <v>0</v>
      </c>
      <c r="S213" s="153">
        <v>0</v>
      </c>
      <c r="T213" s="153">
        <v>25537.43</v>
      </c>
      <c r="U213" s="153">
        <f t="shared" si="4"/>
        <v>167412.03</v>
      </c>
      <c r="V213" t="str">
        <f>VLOOKUP(I213,Abstract!$E$4:$F$62,2,0)</f>
        <v>KARTHIKA HAIRFALLSHIELD SH AI 175M 48P</v>
      </c>
    </row>
    <row r="214" spans="1:22">
      <c r="A214" s="153" t="s">
        <v>1998</v>
      </c>
      <c r="B214" s="153" t="s">
        <v>1983</v>
      </c>
      <c r="C214" s="64" t="s">
        <v>934</v>
      </c>
      <c r="D214" s="153" t="s">
        <v>970</v>
      </c>
      <c r="E214" s="153" t="s">
        <v>1999</v>
      </c>
      <c r="F214" s="65" t="s">
        <v>1985</v>
      </c>
      <c r="G214" s="153" t="s">
        <v>1627</v>
      </c>
      <c r="H214" s="153" t="s">
        <v>1628</v>
      </c>
      <c r="I214" s="154" t="s">
        <v>124</v>
      </c>
      <c r="J214" s="153" t="s">
        <v>125</v>
      </c>
      <c r="K214" s="153" t="s">
        <v>1629</v>
      </c>
      <c r="L214" s="66" t="s">
        <v>1630</v>
      </c>
      <c r="M214" s="153">
        <v>1716</v>
      </c>
      <c r="N214" s="67">
        <v>944.2</v>
      </c>
      <c r="O214" s="153">
        <v>1620247.2</v>
      </c>
      <c r="P214" s="68"/>
      <c r="Q214" s="153">
        <v>1620247.2</v>
      </c>
      <c r="R214" s="153">
        <v>0</v>
      </c>
      <c r="S214" s="153">
        <v>0</v>
      </c>
      <c r="T214" s="153">
        <v>291644.5</v>
      </c>
      <c r="U214" s="153">
        <f t="shared" si="4"/>
        <v>1911891.7</v>
      </c>
      <c r="V214" t="str">
        <f>VLOOKUP(I214,Abstract!$E$4:$F$62,2,0)</f>
        <v>MEERA GOT ANTI DANDRUFF SH 5Ml 10%EX1440P</v>
      </c>
    </row>
    <row r="215" spans="1:22">
      <c r="A215" s="153" t="s">
        <v>2000</v>
      </c>
      <c r="B215" s="153" t="s">
        <v>1983</v>
      </c>
      <c r="C215" s="64" t="s">
        <v>934</v>
      </c>
      <c r="D215" s="153" t="s">
        <v>2001</v>
      </c>
      <c r="E215" s="153" t="s">
        <v>2002</v>
      </c>
      <c r="F215" s="65" t="s">
        <v>1985</v>
      </c>
      <c r="G215" s="153" t="s">
        <v>1644</v>
      </c>
      <c r="H215" s="153" t="s">
        <v>1645</v>
      </c>
      <c r="I215" s="154" t="s">
        <v>94</v>
      </c>
      <c r="J215" s="153" t="s">
        <v>1646</v>
      </c>
      <c r="K215" s="153" t="s">
        <v>1629</v>
      </c>
      <c r="L215" s="66" t="s">
        <v>1630</v>
      </c>
      <c r="M215" s="153">
        <v>720</v>
      </c>
      <c r="N215" s="67">
        <v>730.67</v>
      </c>
      <c r="O215" s="153">
        <v>526082.4</v>
      </c>
      <c r="P215" s="68"/>
      <c r="Q215" s="153">
        <v>526082.4</v>
      </c>
      <c r="R215" s="153">
        <v>47347.42</v>
      </c>
      <c r="S215" s="153">
        <v>47347.42</v>
      </c>
      <c r="T215" s="153">
        <v>0</v>
      </c>
      <c r="U215" s="153">
        <f t="shared" si="4"/>
        <v>620777.24000000011</v>
      </c>
      <c r="V215" t="str">
        <f>VLOOKUP(I215,Abstract!$E$4:$F$62,2,0)</f>
        <v>CHIK EGG HFP SH 4ML+2ML EX 1920PC 22RL</v>
      </c>
    </row>
    <row r="216" spans="1:22">
      <c r="A216" s="153" t="s">
        <v>2003</v>
      </c>
      <c r="B216" s="153" t="s">
        <v>2004</v>
      </c>
      <c r="C216" s="64" t="s">
        <v>934</v>
      </c>
      <c r="D216" s="153" t="s">
        <v>2005</v>
      </c>
      <c r="E216" s="153" t="s">
        <v>2006</v>
      </c>
      <c r="F216" s="65" t="s">
        <v>2007</v>
      </c>
      <c r="G216" s="153" t="s">
        <v>1627</v>
      </c>
      <c r="H216" s="153" t="s">
        <v>1628</v>
      </c>
      <c r="I216" s="154" t="s">
        <v>124</v>
      </c>
      <c r="J216" s="153" t="s">
        <v>125</v>
      </c>
      <c r="K216" s="153" t="s">
        <v>1629</v>
      </c>
      <c r="L216" s="66" t="s">
        <v>1630</v>
      </c>
      <c r="M216" s="153">
        <v>1661</v>
      </c>
      <c r="N216" s="67">
        <v>944.2</v>
      </c>
      <c r="O216" s="153">
        <v>1568316.2</v>
      </c>
      <c r="P216" s="68"/>
      <c r="Q216" s="153">
        <v>1568316.2</v>
      </c>
      <c r="R216" s="153">
        <v>0</v>
      </c>
      <c r="S216" s="153">
        <v>0</v>
      </c>
      <c r="T216" s="153">
        <v>282296.92</v>
      </c>
      <c r="U216" s="153">
        <f t="shared" si="4"/>
        <v>1850613.1199999999</v>
      </c>
      <c r="V216" t="str">
        <f>VLOOKUP(I216,Abstract!$E$4:$F$62,2,0)</f>
        <v>MEERA GOT ANTI DANDRUFF SH 5Ml 10%EX1440P</v>
      </c>
    </row>
    <row r="217" spans="1:22">
      <c r="A217" s="153" t="s">
        <v>2008</v>
      </c>
      <c r="B217" s="153" t="s">
        <v>2004</v>
      </c>
      <c r="C217" s="64" t="s">
        <v>934</v>
      </c>
      <c r="D217" s="153" t="s">
        <v>2009</v>
      </c>
      <c r="E217" s="153" t="s">
        <v>2010</v>
      </c>
      <c r="F217" s="65" t="s">
        <v>2007</v>
      </c>
      <c r="G217" s="153" t="s">
        <v>1644</v>
      </c>
      <c r="H217" s="153" t="s">
        <v>1645</v>
      </c>
      <c r="I217" s="154" t="s">
        <v>104</v>
      </c>
      <c r="J217" s="153" t="s">
        <v>105</v>
      </c>
      <c r="K217" s="153" t="s">
        <v>1629</v>
      </c>
      <c r="L217" s="66" t="s">
        <v>1630</v>
      </c>
      <c r="M217" s="153">
        <v>585</v>
      </c>
      <c r="N217" s="67">
        <v>768.24</v>
      </c>
      <c r="O217" s="153">
        <v>449420.4</v>
      </c>
      <c r="P217" s="68"/>
      <c r="Q217" s="153">
        <v>449420.4</v>
      </c>
      <c r="R217" s="153">
        <v>40447.839999999997</v>
      </c>
      <c r="S217" s="153">
        <v>40447.839999999997</v>
      </c>
      <c r="T217" s="153">
        <v>0</v>
      </c>
      <c r="U217" s="153">
        <f t="shared" si="4"/>
        <v>530316.07999999996</v>
      </c>
      <c r="V217" t="str">
        <f>VLOOKUP(I217,Abstract!$E$4:$F$62,2,0)</f>
        <v>CHIK BLK 4M 50% E 1920P W C1RE BLK 80P F MRP Rs.1.00</v>
      </c>
    </row>
    <row r="218" spans="1:22">
      <c r="A218" s="153" t="s">
        <v>2008</v>
      </c>
      <c r="B218" s="153" t="s">
        <v>2004</v>
      </c>
      <c r="C218" s="64" t="s">
        <v>934</v>
      </c>
      <c r="D218" s="153" t="s">
        <v>2009</v>
      </c>
      <c r="E218" s="153" t="s">
        <v>2010</v>
      </c>
      <c r="F218" s="65" t="s">
        <v>2007</v>
      </c>
      <c r="G218" s="153" t="s">
        <v>1644</v>
      </c>
      <c r="H218" s="153" t="s">
        <v>1645</v>
      </c>
      <c r="I218" s="154" t="s">
        <v>118</v>
      </c>
      <c r="J218" s="153" t="s">
        <v>119</v>
      </c>
      <c r="K218" s="153" t="s">
        <v>1629</v>
      </c>
      <c r="L218" s="66" t="s">
        <v>1630</v>
      </c>
      <c r="M218" s="153">
        <v>135</v>
      </c>
      <c r="N218" s="67">
        <v>682.6</v>
      </c>
      <c r="O218" s="153">
        <v>92151</v>
      </c>
      <c r="P218" s="68"/>
      <c r="Q218" s="153">
        <v>92151</v>
      </c>
      <c r="R218" s="153">
        <v>8293.59</v>
      </c>
      <c r="S218" s="153">
        <v>8293.59</v>
      </c>
      <c r="T218" s="153">
        <v>0</v>
      </c>
      <c r="U218" s="153">
        <f t="shared" si="4"/>
        <v>108738.18</v>
      </c>
      <c r="V218" t="str">
        <f>VLOOKUP(I218,Abstract!$E$4:$F$62,2,0)</f>
        <v>KARTHIKA HAIRFALLSHIELD 4M 35%E 1920P NF MRP RS.1.00</v>
      </c>
    </row>
    <row r="219" spans="1:22">
      <c r="A219" s="153" t="s">
        <v>2011</v>
      </c>
      <c r="B219" s="153" t="s">
        <v>2004</v>
      </c>
      <c r="C219" s="64" t="s">
        <v>934</v>
      </c>
      <c r="D219" s="153" t="s">
        <v>1089</v>
      </c>
      <c r="E219" s="153" t="s">
        <v>2012</v>
      </c>
      <c r="F219" s="65" t="s">
        <v>2007</v>
      </c>
      <c r="G219" s="153" t="s">
        <v>1627</v>
      </c>
      <c r="H219" s="153" t="s">
        <v>1628</v>
      </c>
      <c r="I219" s="154" t="s">
        <v>90</v>
      </c>
      <c r="J219" s="153" t="s">
        <v>91</v>
      </c>
      <c r="K219" s="153" t="s">
        <v>1629</v>
      </c>
      <c r="L219" s="66" t="s">
        <v>1630</v>
      </c>
      <c r="M219" s="153">
        <v>873</v>
      </c>
      <c r="N219" s="67">
        <v>937.09</v>
      </c>
      <c r="O219" s="153">
        <v>818079.57</v>
      </c>
      <c r="P219" s="68"/>
      <c r="Q219" s="153">
        <v>818079.57</v>
      </c>
      <c r="R219" s="153">
        <v>0</v>
      </c>
      <c r="S219" s="153">
        <v>0</v>
      </c>
      <c r="T219" s="153">
        <v>147254.32</v>
      </c>
      <c r="U219" s="153">
        <f t="shared" si="4"/>
        <v>965333.8899999999</v>
      </c>
      <c r="V219" t="str">
        <f>VLOOKUP(I219,Abstract!$E$4:$F$62,2,0)</f>
        <v>CHIK BLK HFP PROSOL 3G 23%EX 4800PC RL22 MRP RS.0.50</v>
      </c>
    </row>
    <row r="220" spans="1:22">
      <c r="A220" s="153" t="s">
        <v>2013</v>
      </c>
      <c r="B220" s="153" t="s">
        <v>2004</v>
      </c>
      <c r="C220" s="64" t="s">
        <v>934</v>
      </c>
      <c r="D220" s="153" t="s">
        <v>2014</v>
      </c>
      <c r="E220" s="153" t="s">
        <v>2015</v>
      </c>
      <c r="F220" s="65" t="s">
        <v>2007</v>
      </c>
      <c r="G220" s="153" t="s">
        <v>1650</v>
      </c>
      <c r="H220" s="153" t="s">
        <v>1651</v>
      </c>
      <c r="I220" s="154" t="s">
        <v>76</v>
      </c>
      <c r="J220" s="153" t="s">
        <v>77</v>
      </c>
      <c r="K220" s="153" t="s">
        <v>1629</v>
      </c>
      <c r="L220" s="66" t="s">
        <v>1630</v>
      </c>
      <c r="M220" s="153">
        <v>381</v>
      </c>
      <c r="N220" s="67">
        <v>728.69</v>
      </c>
      <c r="O220" s="153">
        <v>277630.89</v>
      </c>
      <c r="P220" s="68"/>
      <c r="Q220" s="153">
        <v>277630.89</v>
      </c>
      <c r="R220" s="153">
        <v>0</v>
      </c>
      <c r="S220" s="153">
        <v>0</v>
      </c>
      <c r="T220" s="153">
        <v>49973.56</v>
      </c>
      <c r="U220" s="153">
        <f t="shared" si="4"/>
        <v>327604.45</v>
      </c>
      <c r="V220" t="str">
        <f>VLOOKUP(I220,Abstract!$E$4:$F$62,2,0)</f>
        <v>CHIK BLK PROSOLTHK&amp;GLY4M+2M 1920P 22NF MRP RS.1.00</v>
      </c>
    </row>
    <row r="221" spans="1:22">
      <c r="A221" s="153" t="s">
        <v>2013</v>
      </c>
      <c r="B221" s="153" t="s">
        <v>2004</v>
      </c>
      <c r="C221" s="64" t="s">
        <v>934</v>
      </c>
      <c r="D221" s="153" t="s">
        <v>2014</v>
      </c>
      <c r="E221" s="153" t="s">
        <v>2015</v>
      </c>
      <c r="F221" s="65" t="s">
        <v>2007</v>
      </c>
      <c r="G221" s="153" t="s">
        <v>1650</v>
      </c>
      <c r="H221" s="153" t="s">
        <v>1651</v>
      </c>
      <c r="I221" s="154" t="s">
        <v>94</v>
      </c>
      <c r="J221" s="153" t="s">
        <v>1646</v>
      </c>
      <c r="K221" s="153" t="s">
        <v>1629</v>
      </c>
      <c r="L221" s="66" t="s">
        <v>1630</v>
      </c>
      <c r="M221" s="153">
        <v>265</v>
      </c>
      <c r="N221" s="67">
        <v>730.67</v>
      </c>
      <c r="O221" s="153">
        <v>193627.55</v>
      </c>
      <c r="P221" s="68"/>
      <c r="Q221" s="153">
        <v>193627.55</v>
      </c>
      <c r="R221" s="153">
        <v>0</v>
      </c>
      <c r="S221" s="153">
        <v>0</v>
      </c>
      <c r="T221" s="153">
        <v>34852.959999999999</v>
      </c>
      <c r="U221" s="153">
        <f t="shared" si="4"/>
        <v>228480.50999999998</v>
      </c>
      <c r="V221" t="str">
        <f>VLOOKUP(I221,Abstract!$E$4:$F$62,2,0)</f>
        <v>CHIK EGG HFP SH 4ML+2ML EX 1920PC 22RL</v>
      </c>
    </row>
    <row r="222" spans="1:22">
      <c r="A222" s="153" t="s">
        <v>2013</v>
      </c>
      <c r="B222" s="153" t="s">
        <v>2004</v>
      </c>
      <c r="C222" s="64" t="s">
        <v>934</v>
      </c>
      <c r="D222" s="153" t="s">
        <v>2014</v>
      </c>
      <c r="E222" s="153" t="s">
        <v>2015</v>
      </c>
      <c r="F222" s="65" t="s">
        <v>2007</v>
      </c>
      <c r="G222" s="153" t="s">
        <v>1650</v>
      </c>
      <c r="H222" s="153" t="s">
        <v>1651</v>
      </c>
      <c r="I222" s="154" t="s">
        <v>118</v>
      </c>
      <c r="J222" s="153" t="s">
        <v>119</v>
      </c>
      <c r="K222" s="153" t="s">
        <v>1629</v>
      </c>
      <c r="L222" s="66" t="s">
        <v>1630</v>
      </c>
      <c r="M222" s="153">
        <v>756</v>
      </c>
      <c r="N222" s="67">
        <v>682.6</v>
      </c>
      <c r="O222" s="153">
        <v>516045.6</v>
      </c>
      <c r="P222" s="68"/>
      <c r="Q222" s="153">
        <v>516045.6</v>
      </c>
      <c r="R222" s="153">
        <v>0</v>
      </c>
      <c r="S222" s="153">
        <v>0</v>
      </c>
      <c r="T222" s="153">
        <v>92888.21</v>
      </c>
      <c r="U222" s="153">
        <f t="shared" si="4"/>
        <v>608933.80999999994</v>
      </c>
      <c r="V222" t="str">
        <f>VLOOKUP(I222,Abstract!$E$4:$F$62,2,0)</f>
        <v>KARTHIKA HAIRFALLSHIELD 4M 35%E 1920P NF MRP RS.1.00</v>
      </c>
    </row>
    <row r="223" spans="1:22">
      <c r="A223" s="153" t="s">
        <v>2016</v>
      </c>
      <c r="B223" s="153" t="s">
        <v>2004</v>
      </c>
      <c r="C223" s="64" t="s">
        <v>934</v>
      </c>
      <c r="D223" s="153" t="s">
        <v>1019</v>
      </c>
      <c r="E223" s="153" t="s">
        <v>2017</v>
      </c>
      <c r="F223" s="65" t="s">
        <v>2007</v>
      </c>
      <c r="G223" s="153" t="s">
        <v>1650</v>
      </c>
      <c r="H223" s="153" t="s">
        <v>1651</v>
      </c>
      <c r="I223" s="154" t="s">
        <v>104</v>
      </c>
      <c r="J223" s="153" t="s">
        <v>105</v>
      </c>
      <c r="K223" s="153" t="s">
        <v>1629</v>
      </c>
      <c r="L223" s="66" t="s">
        <v>1630</v>
      </c>
      <c r="M223" s="153">
        <v>720</v>
      </c>
      <c r="N223" s="67">
        <v>768.24</v>
      </c>
      <c r="O223" s="153">
        <v>553132.80000000005</v>
      </c>
      <c r="P223" s="68"/>
      <c r="Q223" s="153">
        <v>553132.80000000005</v>
      </c>
      <c r="R223" s="153">
        <v>0</v>
      </c>
      <c r="S223" s="153">
        <v>0</v>
      </c>
      <c r="T223" s="153">
        <v>99563.9</v>
      </c>
      <c r="U223" s="153">
        <f t="shared" si="4"/>
        <v>652696.70000000007</v>
      </c>
      <c r="V223" t="str">
        <f>VLOOKUP(I223,Abstract!$E$4:$F$62,2,0)</f>
        <v>CHIK BLK 4M 50% E 1920P W C1RE BLK 80P F MRP Rs.1.00</v>
      </c>
    </row>
    <row r="224" spans="1:22">
      <c r="A224" s="153" t="s">
        <v>2016</v>
      </c>
      <c r="B224" s="153" t="s">
        <v>2004</v>
      </c>
      <c r="C224" s="64" t="s">
        <v>934</v>
      </c>
      <c r="D224" s="153" t="s">
        <v>1019</v>
      </c>
      <c r="E224" s="153" t="s">
        <v>2017</v>
      </c>
      <c r="F224" s="65" t="s">
        <v>2007</v>
      </c>
      <c r="G224" s="153" t="s">
        <v>1650</v>
      </c>
      <c r="H224" s="153" t="s">
        <v>1651</v>
      </c>
      <c r="I224" s="154" t="s">
        <v>94</v>
      </c>
      <c r="J224" s="153" t="s">
        <v>1646</v>
      </c>
      <c r="K224" s="153" t="s">
        <v>1629</v>
      </c>
      <c r="L224" s="66" t="s">
        <v>1630</v>
      </c>
      <c r="M224" s="153">
        <v>630</v>
      </c>
      <c r="N224" s="67">
        <v>730.67</v>
      </c>
      <c r="O224" s="153">
        <v>460322.1</v>
      </c>
      <c r="P224" s="68"/>
      <c r="Q224" s="153">
        <v>460322.1</v>
      </c>
      <c r="R224" s="153">
        <v>0</v>
      </c>
      <c r="S224" s="153">
        <v>0</v>
      </c>
      <c r="T224" s="153">
        <v>82857.98</v>
      </c>
      <c r="U224" s="153">
        <f t="shared" si="4"/>
        <v>543180.07999999996</v>
      </c>
      <c r="V224" t="str">
        <f>VLOOKUP(I224,Abstract!$E$4:$F$62,2,0)</f>
        <v>CHIK EGG HFP SH 4ML+2ML EX 1920PC 22RL</v>
      </c>
    </row>
    <row r="225" spans="1:22">
      <c r="A225" s="153" t="s">
        <v>2018</v>
      </c>
      <c r="B225" s="153" t="s">
        <v>2019</v>
      </c>
      <c r="C225" s="64" t="s">
        <v>934</v>
      </c>
      <c r="D225" s="153" t="s">
        <v>2020</v>
      </c>
      <c r="E225" s="153" t="s">
        <v>2021</v>
      </c>
      <c r="F225" s="65" t="s">
        <v>2022</v>
      </c>
      <c r="G225" s="153" t="s">
        <v>1627</v>
      </c>
      <c r="H225" s="153" t="s">
        <v>1628</v>
      </c>
      <c r="I225" s="154" t="s">
        <v>90</v>
      </c>
      <c r="J225" s="153" t="s">
        <v>91</v>
      </c>
      <c r="K225" s="153" t="s">
        <v>1629</v>
      </c>
      <c r="L225" s="66" t="s">
        <v>1630</v>
      </c>
      <c r="M225" s="153">
        <v>808</v>
      </c>
      <c r="N225" s="67">
        <v>937.09</v>
      </c>
      <c r="O225" s="153">
        <v>757168.72</v>
      </c>
      <c r="P225" s="68"/>
      <c r="Q225" s="153">
        <v>757168.72</v>
      </c>
      <c r="R225" s="153">
        <v>0</v>
      </c>
      <c r="S225" s="153">
        <v>0</v>
      </c>
      <c r="T225" s="153">
        <v>136290.37</v>
      </c>
      <c r="U225" s="153">
        <f t="shared" si="4"/>
        <v>893459.09</v>
      </c>
      <c r="V225" t="str">
        <f>VLOOKUP(I225,Abstract!$E$4:$F$62,2,0)</f>
        <v>CHIK BLK HFP PROSOL 3G 23%EX 4800PC RL22 MRP RS.0.50</v>
      </c>
    </row>
    <row r="226" spans="1:22">
      <c r="A226" s="153" t="s">
        <v>2023</v>
      </c>
      <c r="B226" s="153" t="s">
        <v>2019</v>
      </c>
      <c r="C226" s="64" t="s">
        <v>934</v>
      </c>
      <c r="D226" s="153" t="s">
        <v>1000</v>
      </c>
      <c r="E226" s="153" t="s">
        <v>2024</v>
      </c>
      <c r="F226" s="65" t="s">
        <v>2022</v>
      </c>
      <c r="G226" s="153" t="s">
        <v>1627</v>
      </c>
      <c r="H226" s="153" t="s">
        <v>1628</v>
      </c>
      <c r="I226" s="154" t="s">
        <v>90</v>
      </c>
      <c r="J226" s="153" t="s">
        <v>91</v>
      </c>
      <c r="K226" s="153" t="s">
        <v>1629</v>
      </c>
      <c r="L226" s="66" t="s">
        <v>1630</v>
      </c>
      <c r="M226" s="153">
        <v>158</v>
      </c>
      <c r="N226" s="67">
        <v>937.09</v>
      </c>
      <c r="O226" s="153">
        <v>148060.22</v>
      </c>
      <c r="P226" s="68"/>
      <c r="Q226" s="153">
        <v>148060.22</v>
      </c>
      <c r="R226" s="153">
        <v>0</v>
      </c>
      <c r="S226" s="153">
        <v>0</v>
      </c>
      <c r="T226" s="153">
        <v>26650.84</v>
      </c>
      <c r="U226" s="153">
        <f t="shared" si="4"/>
        <v>174711.06</v>
      </c>
      <c r="V226" t="str">
        <f>VLOOKUP(I226,Abstract!$E$4:$F$62,2,0)</f>
        <v>CHIK BLK HFP PROSOL 3G 23%EX 4800PC RL22 MRP RS.0.50</v>
      </c>
    </row>
    <row r="227" spans="1:22">
      <c r="A227" s="153" t="s">
        <v>2023</v>
      </c>
      <c r="B227" s="153" t="s">
        <v>2019</v>
      </c>
      <c r="C227" s="64" t="s">
        <v>934</v>
      </c>
      <c r="D227" s="153" t="s">
        <v>1000</v>
      </c>
      <c r="E227" s="153" t="s">
        <v>2024</v>
      </c>
      <c r="F227" s="65" t="s">
        <v>2022</v>
      </c>
      <c r="G227" s="153" t="s">
        <v>1627</v>
      </c>
      <c r="H227" s="153" t="s">
        <v>1628</v>
      </c>
      <c r="I227" s="154" t="s">
        <v>88</v>
      </c>
      <c r="J227" s="153" t="s">
        <v>89</v>
      </c>
      <c r="K227" s="153" t="s">
        <v>1629</v>
      </c>
      <c r="L227" s="66" t="s">
        <v>1630</v>
      </c>
      <c r="M227" s="153">
        <v>130</v>
      </c>
      <c r="N227" s="67">
        <v>936.79</v>
      </c>
      <c r="O227" s="153">
        <v>121782.7</v>
      </c>
      <c r="P227" s="68"/>
      <c r="Q227" s="153">
        <v>121782.7</v>
      </c>
      <c r="R227" s="153">
        <v>0</v>
      </c>
      <c r="S227" s="153">
        <v>0</v>
      </c>
      <c r="T227" s="153">
        <v>21920.89</v>
      </c>
      <c r="U227" s="153">
        <f t="shared" si="4"/>
        <v>143703.59</v>
      </c>
      <c r="V227" t="str">
        <f>VLOOKUP(I227,Abstract!$E$4:$F$62,2,0)</f>
        <v>CHIK JAS HFP PROSOL 3G23% EX 4800PC 22RL MRP RS.0.50</v>
      </c>
    </row>
    <row r="228" spans="1:22">
      <c r="A228" s="153" t="s">
        <v>2023</v>
      </c>
      <c r="B228" s="153" t="s">
        <v>2019</v>
      </c>
      <c r="C228" s="64" t="s">
        <v>934</v>
      </c>
      <c r="D228" s="153" t="s">
        <v>1000</v>
      </c>
      <c r="E228" s="153" t="s">
        <v>2024</v>
      </c>
      <c r="F228" s="65" t="s">
        <v>2022</v>
      </c>
      <c r="G228" s="153" t="s">
        <v>1627</v>
      </c>
      <c r="H228" s="153" t="s">
        <v>1628</v>
      </c>
      <c r="I228" s="154" t="s">
        <v>108</v>
      </c>
      <c r="J228" s="153" t="s">
        <v>109</v>
      </c>
      <c r="K228" s="153" t="s">
        <v>1629</v>
      </c>
      <c r="L228" s="66" t="s">
        <v>1630</v>
      </c>
      <c r="M228" s="153">
        <v>585</v>
      </c>
      <c r="N228" s="67">
        <v>957.97</v>
      </c>
      <c r="O228" s="153">
        <v>560412.44999999995</v>
      </c>
      <c r="P228" s="68"/>
      <c r="Q228" s="153">
        <v>560412.44999999995</v>
      </c>
      <c r="R228" s="153">
        <v>0</v>
      </c>
      <c r="S228" s="153">
        <v>0</v>
      </c>
      <c r="T228" s="153">
        <v>100874.24000000001</v>
      </c>
      <c r="U228" s="153">
        <f t="shared" si="4"/>
        <v>661286.68999999994</v>
      </c>
      <c r="V228" t="str">
        <f>VLOOKUP(I228,Abstract!$E$4:$F$62,2,0)</f>
        <v>KARTHIKA DAM SHIELD SH 3G 23% EX 4800PCS MRP Rs.0.50</v>
      </c>
    </row>
    <row r="229" spans="1:22">
      <c r="A229" s="153" t="s">
        <v>2025</v>
      </c>
      <c r="B229" s="153" t="s">
        <v>2019</v>
      </c>
      <c r="C229" s="64" t="s">
        <v>934</v>
      </c>
      <c r="D229" s="153" t="s">
        <v>2026</v>
      </c>
      <c r="E229" s="153" t="s">
        <v>2027</v>
      </c>
      <c r="F229" s="65" t="s">
        <v>2022</v>
      </c>
      <c r="G229" s="153" t="s">
        <v>1644</v>
      </c>
      <c r="H229" s="153" t="s">
        <v>1645</v>
      </c>
      <c r="I229" s="154" t="s">
        <v>94</v>
      </c>
      <c r="J229" s="153" t="s">
        <v>1646</v>
      </c>
      <c r="K229" s="153" t="s">
        <v>1629</v>
      </c>
      <c r="L229" s="66" t="s">
        <v>1630</v>
      </c>
      <c r="M229" s="153">
        <v>585</v>
      </c>
      <c r="N229" s="67">
        <v>730.67</v>
      </c>
      <c r="O229" s="153">
        <v>427441.95</v>
      </c>
      <c r="P229" s="68"/>
      <c r="Q229" s="153">
        <v>427441.95</v>
      </c>
      <c r="R229" s="153">
        <v>38469.78</v>
      </c>
      <c r="S229" s="153">
        <v>38469.78</v>
      </c>
      <c r="T229" s="153">
        <v>0</v>
      </c>
      <c r="U229" s="153">
        <f t="shared" si="4"/>
        <v>504381.51</v>
      </c>
      <c r="V229" t="str">
        <f>VLOOKUP(I229,Abstract!$E$4:$F$62,2,0)</f>
        <v>CHIK EGG HFP SH 4ML+2ML EX 1920PC 22RL</v>
      </c>
    </row>
    <row r="230" spans="1:22">
      <c r="A230" s="153" t="s">
        <v>2025</v>
      </c>
      <c r="B230" s="153" t="s">
        <v>2019</v>
      </c>
      <c r="C230" s="64" t="s">
        <v>934</v>
      </c>
      <c r="D230" s="153" t="s">
        <v>2026</v>
      </c>
      <c r="E230" s="153" t="s">
        <v>2027</v>
      </c>
      <c r="F230" s="65" t="s">
        <v>2022</v>
      </c>
      <c r="G230" s="153" t="s">
        <v>1644</v>
      </c>
      <c r="H230" s="153" t="s">
        <v>1645</v>
      </c>
      <c r="I230" s="154" t="s">
        <v>30</v>
      </c>
      <c r="J230" s="153" t="s">
        <v>1997</v>
      </c>
      <c r="K230" s="153" t="s">
        <v>1629</v>
      </c>
      <c r="L230" s="66" t="s">
        <v>1630</v>
      </c>
      <c r="M230" s="153">
        <v>100</v>
      </c>
      <c r="N230" s="67">
        <v>1013.39</v>
      </c>
      <c r="O230" s="153">
        <v>101339</v>
      </c>
      <c r="P230" s="68"/>
      <c r="Q230" s="153">
        <v>101339</v>
      </c>
      <c r="R230" s="153">
        <v>9120.51</v>
      </c>
      <c r="S230" s="153">
        <v>9120.51</v>
      </c>
      <c r="T230" s="153">
        <v>0</v>
      </c>
      <c r="U230" s="153">
        <f t="shared" si="4"/>
        <v>119580.01999999999</v>
      </c>
      <c r="V230" t="str">
        <f>VLOOKUP(I230,Abstract!$E$4:$F$62,2,0)</f>
        <v>KARTHIKA HAIRFALLSHIELD SH AI 175M 48P</v>
      </c>
    </row>
    <row r="231" spans="1:22">
      <c r="A231" s="153" t="s">
        <v>2028</v>
      </c>
      <c r="B231" s="153" t="s">
        <v>2019</v>
      </c>
      <c r="C231" s="64" t="s">
        <v>934</v>
      </c>
      <c r="D231" s="153" t="s">
        <v>1080</v>
      </c>
      <c r="E231" s="153" t="s">
        <v>2029</v>
      </c>
      <c r="F231" s="65" t="s">
        <v>2022</v>
      </c>
      <c r="G231" s="153" t="s">
        <v>1634</v>
      </c>
      <c r="H231" s="153" t="s">
        <v>1635</v>
      </c>
      <c r="I231" s="154" t="s">
        <v>104</v>
      </c>
      <c r="J231" s="153" t="s">
        <v>105</v>
      </c>
      <c r="K231" s="153" t="s">
        <v>1629</v>
      </c>
      <c r="L231" s="66" t="s">
        <v>1630</v>
      </c>
      <c r="M231" s="153">
        <v>624</v>
      </c>
      <c r="N231" s="67">
        <v>768.24</v>
      </c>
      <c r="O231" s="153">
        <v>479381.76000000001</v>
      </c>
      <c r="P231" s="68"/>
      <c r="Q231" s="153">
        <v>479381.76000000001</v>
      </c>
      <c r="R231" s="153">
        <v>0</v>
      </c>
      <c r="S231" s="153">
        <v>0</v>
      </c>
      <c r="T231" s="153">
        <v>86288.72</v>
      </c>
      <c r="U231" s="153">
        <f t="shared" si="4"/>
        <v>565670.48</v>
      </c>
      <c r="V231" t="str">
        <f>VLOOKUP(I231,Abstract!$E$4:$F$62,2,0)</f>
        <v>CHIK BLK 4M 50% E 1920P W C1RE BLK 80P F MRP Rs.1.00</v>
      </c>
    </row>
    <row r="232" spans="1:22">
      <c r="A232" s="153" t="s">
        <v>2028</v>
      </c>
      <c r="B232" s="153" t="s">
        <v>2019</v>
      </c>
      <c r="C232" s="64" t="s">
        <v>934</v>
      </c>
      <c r="D232" s="153" t="s">
        <v>1080</v>
      </c>
      <c r="E232" s="153" t="s">
        <v>2029</v>
      </c>
      <c r="F232" s="65" t="s">
        <v>2022</v>
      </c>
      <c r="G232" s="153" t="s">
        <v>1634</v>
      </c>
      <c r="H232" s="153" t="s">
        <v>1635</v>
      </c>
      <c r="I232" s="154" t="s">
        <v>110</v>
      </c>
      <c r="J232" s="153" t="s">
        <v>111</v>
      </c>
      <c r="K232" s="153" t="s">
        <v>1629</v>
      </c>
      <c r="L232" s="66" t="s">
        <v>1630</v>
      </c>
      <c r="M232" s="153">
        <v>392</v>
      </c>
      <c r="N232" s="67">
        <v>886.25</v>
      </c>
      <c r="O232" s="153">
        <v>347410</v>
      </c>
      <c r="P232" s="68"/>
      <c r="Q232" s="153">
        <v>347410</v>
      </c>
      <c r="R232" s="153">
        <v>0</v>
      </c>
      <c r="S232" s="153">
        <v>0</v>
      </c>
      <c r="T232" s="153">
        <v>62533.8</v>
      </c>
      <c r="U232" s="153">
        <f t="shared" si="4"/>
        <v>409943.8</v>
      </c>
      <c r="V232" t="str">
        <f>VLOOKUP(I232,Abstract!$E$4:$F$62,2,0)</f>
        <v>KARTHIKA DAMAGESH 5.4M10%1920P+480P B4G1  MRP RS. 1.00</v>
      </c>
    </row>
    <row r="233" spans="1:22">
      <c r="A233" s="153" t="s">
        <v>2028</v>
      </c>
      <c r="B233" s="153" t="s">
        <v>2019</v>
      </c>
      <c r="C233" s="64" t="s">
        <v>934</v>
      </c>
      <c r="D233" s="153" t="s">
        <v>1080</v>
      </c>
      <c r="E233" s="153" t="s">
        <v>2029</v>
      </c>
      <c r="F233" s="65" t="s">
        <v>2022</v>
      </c>
      <c r="G233" s="153" t="s">
        <v>1634</v>
      </c>
      <c r="H233" s="153" t="s">
        <v>1635</v>
      </c>
      <c r="I233" s="154" t="s">
        <v>124</v>
      </c>
      <c r="J233" s="153" t="s">
        <v>125</v>
      </c>
      <c r="K233" s="153" t="s">
        <v>1629</v>
      </c>
      <c r="L233" s="66" t="s">
        <v>1630</v>
      </c>
      <c r="M233" s="153">
        <v>286</v>
      </c>
      <c r="N233" s="67">
        <v>944.2</v>
      </c>
      <c r="O233" s="153">
        <v>270041.2</v>
      </c>
      <c r="P233" s="68"/>
      <c r="Q233" s="153">
        <v>270041.2</v>
      </c>
      <c r="R233" s="153">
        <v>0</v>
      </c>
      <c r="S233" s="153">
        <v>0</v>
      </c>
      <c r="T233" s="153">
        <v>48607.42</v>
      </c>
      <c r="U233" s="153">
        <f t="shared" si="4"/>
        <v>318648.62</v>
      </c>
      <c r="V233" t="str">
        <f>VLOOKUP(I233,Abstract!$E$4:$F$62,2,0)</f>
        <v>MEERA GOT ANTI DANDRUFF SH 5Ml 10%EX1440P</v>
      </c>
    </row>
    <row r="234" spans="1:22">
      <c r="A234" s="153" t="s">
        <v>2030</v>
      </c>
      <c r="B234" s="153" t="s">
        <v>2019</v>
      </c>
      <c r="C234" s="64" t="s">
        <v>934</v>
      </c>
      <c r="D234" s="153" t="s">
        <v>2031</v>
      </c>
      <c r="E234" s="153" t="s">
        <v>2032</v>
      </c>
      <c r="F234" s="65" t="s">
        <v>2022</v>
      </c>
      <c r="G234" s="153" t="s">
        <v>1650</v>
      </c>
      <c r="H234" s="153" t="s">
        <v>1651</v>
      </c>
      <c r="I234" s="154" t="s">
        <v>90</v>
      </c>
      <c r="J234" s="153" t="s">
        <v>91</v>
      </c>
      <c r="K234" s="153" t="s">
        <v>1629</v>
      </c>
      <c r="L234" s="66" t="s">
        <v>1630</v>
      </c>
      <c r="M234" s="153">
        <v>180</v>
      </c>
      <c r="N234" s="67">
        <v>937.09</v>
      </c>
      <c r="O234" s="153">
        <v>168676.2</v>
      </c>
      <c r="P234" s="68"/>
      <c r="Q234" s="153">
        <v>168676.2</v>
      </c>
      <c r="R234" s="153">
        <v>0</v>
      </c>
      <c r="S234" s="153">
        <v>0</v>
      </c>
      <c r="T234" s="153">
        <v>30361.72</v>
      </c>
      <c r="U234" s="153">
        <f t="shared" si="4"/>
        <v>199037.92</v>
      </c>
      <c r="V234" t="str">
        <f>VLOOKUP(I234,Abstract!$E$4:$F$62,2,0)</f>
        <v>CHIK BLK HFP PROSOL 3G 23%EX 4800PC RL22 MRP RS.0.50</v>
      </c>
    </row>
    <row r="235" spans="1:22">
      <c r="A235" s="153" t="s">
        <v>2030</v>
      </c>
      <c r="B235" s="153" t="s">
        <v>2019</v>
      </c>
      <c r="C235" s="64" t="s">
        <v>934</v>
      </c>
      <c r="D235" s="153" t="s">
        <v>2031</v>
      </c>
      <c r="E235" s="153" t="s">
        <v>2032</v>
      </c>
      <c r="F235" s="65" t="s">
        <v>2022</v>
      </c>
      <c r="G235" s="153" t="s">
        <v>1650</v>
      </c>
      <c r="H235" s="153" t="s">
        <v>1651</v>
      </c>
      <c r="I235" s="154" t="s">
        <v>104</v>
      </c>
      <c r="J235" s="153" t="s">
        <v>105</v>
      </c>
      <c r="K235" s="153" t="s">
        <v>1629</v>
      </c>
      <c r="L235" s="66" t="s">
        <v>1630</v>
      </c>
      <c r="M235" s="153">
        <v>896</v>
      </c>
      <c r="N235" s="67">
        <v>768.24</v>
      </c>
      <c r="O235" s="153">
        <v>688343.04000000004</v>
      </c>
      <c r="P235" s="68"/>
      <c r="Q235" s="153">
        <v>688343.04000000004</v>
      </c>
      <c r="R235" s="153">
        <v>0</v>
      </c>
      <c r="S235" s="153">
        <v>0</v>
      </c>
      <c r="T235" s="153">
        <v>123901.75</v>
      </c>
      <c r="U235" s="153">
        <f t="shared" si="4"/>
        <v>812244.79</v>
      </c>
      <c r="V235" t="str">
        <f>VLOOKUP(I235,Abstract!$E$4:$F$62,2,0)</f>
        <v>CHIK BLK 4M 50% E 1920P W C1RE BLK 80P F MRP Rs.1.00</v>
      </c>
    </row>
    <row r="236" spans="1:22">
      <c r="A236" s="153" t="s">
        <v>2030</v>
      </c>
      <c r="B236" s="153" t="s">
        <v>2019</v>
      </c>
      <c r="C236" s="64" t="s">
        <v>934</v>
      </c>
      <c r="D236" s="153" t="s">
        <v>2031</v>
      </c>
      <c r="E236" s="153" t="s">
        <v>2032</v>
      </c>
      <c r="F236" s="65" t="s">
        <v>2022</v>
      </c>
      <c r="G236" s="153" t="s">
        <v>1650</v>
      </c>
      <c r="H236" s="153" t="s">
        <v>1651</v>
      </c>
      <c r="I236" s="154" t="s">
        <v>30</v>
      </c>
      <c r="J236" s="153" t="s">
        <v>1997</v>
      </c>
      <c r="K236" s="153" t="s">
        <v>1629</v>
      </c>
      <c r="L236" s="66" t="s">
        <v>1630</v>
      </c>
      <c r="M236" s="153">
        <v>154</v>
      </c>
      <c r="N236" s="67">
        <v>1013.39</v>
      </c>
      <c r="O236" s="153">
        <v>156062.06</v>
      </c>
      <c r="P236" s="68"/>
      <c r="Q236" s="153">
        <v>156062.06</v>
      </c>
      <c r="R236" s="153">
        <v>0</v>
      </c>
      <c r="S236" s="153">
        <v>0</v>
      </c>
      <c r="T236" s="153">
        <v>28091.17</v>
      </c>
      <c r="U236" s="153">
        <f t="shared" si="4"/>
        <v>184153.22999999998</v>
      </c>
      <c r="V236" t="str">
        <f>VLOOKUP(I236,Abstract!$E$4:$F$62,2,0)</f>
        <v>KARTHIKA HAIRFALLSHIELD SH AI 175M 48P</v>
      </c>
    </row>
    <row r="237" spans="1:22">
      <c r="A237" s="153" t="s">
        <v>2033</v>
      </c>
      <c r="B237" s="153" t="s">
        <v>2034</v>
      </c>
      <c r="C237" s="64" t="s">
        <v>934</v>
      </c>
      <c r="D237" s="153" t="s">
        <v>974</v>
      </c>
      <c r="E237" s="153" t="s">
        <v>2035</v>
      </c>
      <c r="F237" s="65" t="s">
        <v>2036</v>
      </c>
      <c r="G237" s="153" t="s">
        <v>1644</v>
      </c>
      <c r="H237" s="153" t="s">
        <v>1645</v>
      </c>
      <c r="I237" s="154" t="s">
        <v>104</v>
      </c>
      <c r="J237" s="153" t="s">
        <v>105</v>
      </c>
      <c r="K237" s="153" t="s">
        <v>1629</v>
      </c>
      <c r="L237" s="66" t="s">
        <v>1630</v>
      </c>
      <c r="M237" s="153">
        <v>180</v>
      </c>
      <c r="N237" s="67">
        <v>768.24</v>
      </c>
      <c r="O237" s="153">
        <v>138283.20000000001</v>
      </c>
      <c r="P237" s="68"/>
      <c r="Q237" s="153">
        <v>138283.20000000001</v>
      </c>
      <c r="R237" s="153">
        <v>12445.49</v>
      </c>
      <c r="S237" s="153">
        <v>12445.49</v>
      </c>
      <c r="T237" s="153">
        <v>0</v>
      </c>
      <c r="U237" s="153">
        <f t="shared" si="4"/>
        <v>163174.18</v>
      </c>
      <c r="V237" t="str">
        <f>VLOOKUP(I237,Abstract!$E$4:$F$62,2,0)</f>
        <v>CHIK BLK 4M 50% E 1920P W C1RE BLK 80P F MRP Rs.1.00</v>
      </c>
    </row>
    <row r="238" spans="1:22">
      <c r="A238" s="153" t="s">
        <v>2033</v>
      </c>
      <c r="B238" s="153" t="s">
        <v>2034</v>
      </c>
      <c r="C238" s="64" t="s">
        <v>934</v>
      </c>
      <c r="D238" s="153" t="s">
        <v>974</v>
      </c>
      <c r="E238" s="153" t="s">
        <v>2035</v>
      </c>
      <c r="F238" s="65" t="s">
        <v>2036</v>
      </c>
      <c r="G238" s="153" t="s">
        <v>1644</v>
      </c>
      <c r="H238" s="153" t="s">
        <v>1645</v>
      </c>
      <c r="I238" s="154" t="s">
        <v>46</v>
      </c>
      <c r="J238" s="153" t="s">
        <v>2037</v>
      </c>
      <c r="K238" s="153" t="s">
        <v>1629</v>
      </c>
      <c r="L238" s="66" t="s">
        <v>1630</v>
      </c>
      <c r="M238" s="153">
        <v>10</v>
      </c>
      <c r="N238" s="67">
        <v>306.51</v>
      </c>
      <c r="O238" s="153">
        <v>3065.1</v>
      </c>
      <c r="P238" s="68"/>
      <c r="Q238" s="153">
        <v>3065.1</v>
      </c>
      <c r="R238" s="153">
        <v>275.86</v>
      </c>
      <c r="S238" s="153">
        <v>275.86</v>
      </c>
      <c r="T238" s="153">
        <v>0</v>
      </c>
      <c r="U238" s="153">
        <f t="shared" si="4"/>
        <v>3616.82</v>
      </c>
      <c r="V238" t="str">
        <f>VLOOKUP(I238,Abstract!$E$4:$F$62,2,0)</f>
        <v>Egg - 1 Re - 720 Sachets Yemen Order</v>
      </c>
    </row>
    <row r="239" spans="1:22">
      <c r="A239" s="153" t="s">
        <v>2033</v>
      </c>
      <c r="B239" s="153" t="s">
        <v>2034</v>
      </c>
      <c r="C239" s="64" t="s">
        <v>934</v>
      </c>
      <c r="D239" s="153" t="s">
        <v>974</v>
      </c>
      <c r="E239" s="153" t="s">
        <v>2035</v>
      </c>
      <c r="F239" s="65" t="s">
        <v>2036</v>
      </c>
      <c r="G239" s="153" t="s">
        <v>1644</v>
      </c>
      <c r="H239" s="153" t="s">
        <v>1645</v>
      </c>
      <c r="I239" s="154" t="s">
        <v>94</v>
      </c>
      <c r="J239" s="153" t="s">
        <v>1646</v>
      </c>
      <c r="K239" s="153" t="s">
        <v>1629</v>
      </c>
      <c r="L239" s="66" t="s">
        <v>1630</v>
      </c>
      <c r="M239" s="153">
        <v>570</v>
      </c>
      <c r="N239" s="67">
        <v>730.67</v>
      </c>
      <c r="O239" s="153">
        <v>416481.9</v>
      </c>
      <c r="P239" s="68"/>
      <c r="Q239" s="153">
        <v>416481.9</v>
      </c>
      <c r="R239" s="153">
        <v>37483.370000000003</v>
      </c>
      <c r="S239" s="153">
        <v>37483.370000000003</v>
      </c>
      <c r="T239" s="153">
        <v>0</v>
      </c>
      <c r="U239" s="153">
        <f t="shared" si="4"/>
        <v>491448.64</v>
      </c>
      <c r="V239" t="str">
        <f>VLOOKUP(I239,Abstract!$E$4:$F$62,2,0)</f>
        <v>CHIK EGG HFP SH 4ML+2ML EX 1920PC 22RL</v>
      </c>
    </row>
    <row r="240" spans="1:22">
      <c r="A240" s="153" t="s">
        <v>2038</v>
      </c>
      <c r="B240" s="153" t="s">
        <v>2039</v>
      </c>
      <c r="C240" s="64" t="s">
        <v>934</v>
      </c>
      <c r="D240" s="153" t="s">
        <v>2040</v>
      </c>
      <c r="E240" s="153" t="s">
        <v>2041</v>
      </c>
      <c r="F240" s="65" t="s">
        <v>2042</v>
      </c>
      <c r="G240" s="153" t="s">
        <v>1644</v>
      </c>
      <c r="H240" s="153" t="s">
        <v>1645</v>
      </c>
      <c r="I240" s="154" t="s">
        <v>104</v>
      </c>
      <c r="J240" s="153" t="s">
        <v>105</v>
      </c>
      <c r="K240" s="153" t="s">
        <v>1629</v>
      </c>
      <c r="L240" s="66" t="s">
        <v>1630</v>
      </c>
      <c r="M240" s="153">
        <v>348</v>
      </c>
      <c r="N240" s="67">
        <v>768.24</v>
      </c>
      <c r="O240" s="153">
        <v>267347.52</v>
      </c>
      <c r="P240" s="68"/>
      <c r="Q240" s="153">
        <v>267347.52</v>
      </c>
      <c r="R240" s="153">
        <v>24061.279999999999</v>
      </c>
      <c r="S240" s="153">
        <v>24061.279999999999</v>
      </c>
      <c r="T240" s="153">
        <v>0</v>
      </c>
      <c r="U240" s="153">
        <f t="shared" si="4"/>
        <v>315470.08000000007</v>
      </c>
      <c r="V240" t="str">
        <f>VLOOKUP(I240,Abstract!$E$4:$F$62,2,0)</f>
        <v>CHIK BLK 4M 50% E 1920P W C1RE BLK 80P F MRP Rs.1.00</v>
      </c>
    </row>
    <row r="241" spans="1:22">
      <c r="A241" s="153" t="s">
        <v>2038</v>
      </c>
      <c r="B241" s="153" t="s">
        <v>2039</v>
      </c>
      <c r="C241" s="64" t="s">
        <v>934</v>
      </c>
      <c r="D241" s="153" t="s">
        <v>2040</v>
      </c>
      <c r="E241" s="153" t="s">
        <v>2041</v>
      </c>
      <c r="F241" s="65" t="s">
        <v>2042</v>
      </c>
      <c r="G241" s="153" t="s">
        <v>1644</v>
      </c>
      <c r="H241" s="153" t="s">
        <v>1645</v>
      </c>
      <c r="I241" s="154" t="s">
        <v>118</v>
      </c>
      <c r="J241" s="153" t="s">
        <v>119</v>
      </c>
      <c r="K241" s="153" t="s">
        <v>1629</v>
      </c>
      <c r="L241" s="66" t="s">
        <v>1630</v>
      </c>
      <c r="M241" s="153">
        <v>406</v>
      </c>
      <c r="N241" s="67">
        <v>682.6</v>
      </c>
      <c r="O241" s="153">
        <v>277135.59999999998</v>
      </c>
      <c r="P241" s="68"/>
      <c r="Q241" s="153">
        <v>277135.59999999998</v>
      </c>
      <c r="R241" s="153">
        <v>24942.2</v>
      </c>
      <c r="S241" s="153">
        <v>24942.2</v>
      </c>
      <c r="T241" s="153">
        <v>0</v>
      </c>
      <c r="U241" s="153">
        <f t="shared" si="4"/>
        <v>327020</v>
      </c>
      <c r="V241" t="str">
        <f>VLOOKUP(I241,Abstract!$E$4:$F$62,2,0)</f>
        <v>KARTHIKA HAIRFALLSHIELD 4M 35%E 1920P NF MRP RS.1.00</v>
      </c>
    </row>
    <row r="242" spans="1:22">
      <c r="A242" s="153" t="s">
        <v>2038</v>
      </c>
      <c r="B242" s="153" t="s">
        <v>2039</v>
      </c>
      <c r="C242" s="64" t="s">
        <v>934</v>
      </c>
      <c r="D242" s="153" t="s">
        <v>2040</v>
      </c>
      <c r="E242" s="153" t="s">
        <v>2041</v>
      </c>
      <c r="F242" s="65" t="s">
        <v>2042</v>
      </c>
      <c r="G242" s="153" t="s">
        <v>1644</v>
      </c>
      <c r="H242" s="153" t="s">
        <v>1645</v>
      </c>
      <c r="I242" s="154" t="s">
        <v>36</v>
      </c>
      <c r="J242" s="153" t="s">
        <v>1655</v>
      </c>
      <c r="K242" s="153" t="s">
        <v>1629</v>
      </c>
      <c r="L242" s="66" t="s">
        <v>1630</v>
      </c>
      <c r="M242" s="153">
        <v>348</v>
      </c>
      <c r="N242" s="67">
        <v>801.07</v>
      </c>
      <c r="O242" s="153">
        <v>278772.36</v>
      </c>
      <c r="P242" s="68"/>
      <c r="Q242" s="153">
        <v>278772.36</v>
      </c>
      <c r="R242" s="153">
        <v>25089.51</v>
      </c>
      <c r="S242" s="153">
        <v>25089.51</v>
      </c>
      <c r="T242" s="153">
        <v>0</v>
      </c>
      <c r="U242" s="153">
        <f t="shared" si="4"/>
        <v>328951.38</v>
      </c>
      <c r="V242" t="str">
        <f>VLOOKUP(I242,Abstract!$E$4:$F$62,2,0)</f>
        <v>KARTHIKA CURRY LEAF SH 5.4M10% 1920 PCS</v>
      </c>
    </row>
    <row r="243" spans="1:22">
      <c r="A243" s="153" t="s">
        <v>2043</v>
      </c>
      <c r="B243" s="153" t="s">
        <v>2039</v>
      </c>
      <c r="C243" s="64" t="s">
        <v>934</v>
      </c>
      <c r="D243" s="153" t="s">
        <v>1315</v>
      </c>
      <c r="E243" s="153" t="s">
        <v>2044</v>
      </c>
      <c r="F243" s="65" t="s">
        <v>2042</v>
      </c>
      <c r="G243" s="153" t="s">
        <v>1650</v>
      </c>
      <c r="H243" s="153" t="s">
        <v>1651</v>
      </c>
      <c r="I243" s="154" t="s">
        <v>104</v>
      </c>
      <c r="J243" s="153" t="s">
        <v>105</v>
      </c>
      <c r="K243" s="153" t="s">
        <v>1629</v>
      </c>
      <c r="L243" s="66" t="s">
        <v>1630</v>
      </c>
      <c r="M243" s="153">
        <v>214</v>
      </c>
      <c r="N243" s="67">
        <v>768.24</v>
      </c>
      <c r="O243" s="153">
        <v>164403.35999999999</v>
      </c>
      <c r="P243" s="68"/>
      <c r="Q243" s="153">
        <v>164403.35999999999</v>
      </c>
      <c r="R243" s="153">
        <v>0</v>
      </c>
      <c r="S243" s="153">
        <v>0</v>
      </c>
      <c r="T243" s="153">
        <v>29592.6</v>
      </c>
      <c r="U243" s="153">
        <f t="shared" si="4"/>
        <v>193995.96</v>
      </c>
      <c r="V243" t="str">
        <f>VLOOKUP(I243,Abstract!$E$4:$F$62,2,0)</f>
        <v>CHIK BLK 4M 50% E 1920P W C1RE BLK 80P F MRP Rs.1.00</v>
      </c>
    </row>
    <row r="244" spans="1:22">
      <c r="A244" s="153" t="s">
        <v>2043</v>
      </c>
      <c r="B244" s="153" t="s">
        <v>2039</v>
      </c>
      <c r="C244" s="64" t="s">
        <v>934</v>
      </c>
      <c r="D244" s="153" t="s">
        <v>1315</v>
      </c>
      <c r="E244" s="153" t="s">
        <v>2044</v>
      </c>
      <c r="F244" s="65" t="s">
        <v>2042</v>
      </c>
      <c r="G244" s="153" t="s">
        <v>1650</v>
      </c>
      <c r="H244" s="153" t="s">
        <v>1651</v>
      </c>
      <c r="I244" s="154" t="s">
        <v>118</v>
      </c>
      <c r="J244" s="153" t="s">
        <v>119</v>
      </c>
      <c r="K244" s="153" t="s">
        <v>1629</v>
      </c>
      <c r="L244" s="66" t="s">
        <v>1630</v>
      </c>
      <c r="M244" s="153">
        <v>1332</v>
      </c>
      <c r="N244" s="67">
        <v>682.6</v>
      </c>
      <c r="O244" s="153">
        <v>909223.2</v>
      </c>
      <c r="P244" s="68"/>
      <c r="Q244" s="153">
        <v>909223.2</v>
      </c>
      <c r="R244" s="153">
        <v>0</v>
      </c>
      <c r="S244" s="153">
        <v>0</v>
      </c>
      <c r="T244" s="153">
        <v>163660.18</v>
      </c>
      <c r="U244" s="153">
        <f t="shared" si="4"/>
        <v>1072883.3799999999</v>
      </c>
      <c r="V244" t="str">
        <f>VLOOKUP(I244,Abstract!$E$4:$F$62,2,0)</f>
        <v>KARTHIKA HAIRFALLSHIELD 4M 35%E 1920P NF MRP RS.1.00</v>
      </c>
    </row>
    <row r="245" spans="1:22">
      <c r="A245" s="153" t="s">
        <v>2045</v>
      </c>
      <c r="B245" s="153" t="s">
        <v>2039</v>
      </c>
      <c r="C245" s="64" t="s">
        <v>934</v>
      </c>
      <c r="D245" s="153" t="s">
        <v>2046</v>
      </c>
      <c r="E245" s="153" t="s">
        <v>2047</v>
      </c>
      <c r="F245" s="65" t="s">
        <v>2042</v>
      </c>
      <c r="G245" s="153" t="s">
        <v>1634</v>
      </c>
      <c r="H245" s="153" t="s">
        <v>1635</v>
      </c>
      <c r="I245" s="154" t="s">
        <v>90</v>
      </c>
      <c r="J245" s="153" t="s">
        <v>91</v>
      </c>
      <c r="K245" s="153" t="s">
        <v>1629</v>
      </c>
      <c r="L245" s="66" t="s">
        <v>1630</v>
      </c>
      <c r="M245" s="153">
        <v>845</v>
      </c>
      <c r="N245" s="67">
        <v>937.09</v>
      </c>
      <c r="O245" s="153">
        <v>791841.05</v>
      </c>
      <c r="P245" s="68"/>
      <c r="Q245" s="153">
        <v>791841.05</v>
      </c>
      <c r="R245" s="153">
        <v>0</v>
      </c>
      <c r="S245" s="153">
        <v>0</v>
      </c>
      <c r="T245" s="153">
        <v>142531.39000000001</v>
      </c>
      <c r="U245" s="153">
        <f t="shared" si="4"/>
        <v>934372.44000000006</v>
      </c>
      <c r="V245" t="str">
        <f>VLOOKUP(I245,Abstract!$E$4:$F$62,2,0)</f>
        <v>CHIK BLK HFP PROSOL 3G 23%EX 4800PC RL22 MRP RS.0.50</v>
      </c>
    </row>
    <row r="246" spans="1:22">
      <c r="A246" s="153" t="s">
        <v>2048</v>
      </c>
      <c r="B246" s="153" t="s">
        <v>2039</v>
      </c>
      <c r="C246" s="64" t="s">
        <v>934</v>
      </c>
      <c r="D246" s="153" t="s">
        <v>989</v>
      </c>
      <c r="E246" s="153" t="s">
        <v>2049</v>
      </c>
      <c r="F246" s="65" t="s">
        <v>2042</v>
      </c>
      <c r="G246" s="153" t="s">
        <v>1627</v>
      </c>
      <c r="H246" s="153" t="s">
        <v>1628</v>
      </c>
      <c r="I246" s="154" t="s">
        <v>90</v>
      </c>
      <c r="J246" s="153" t="s">
        <v>91</v>
      </c>
      <c r="K246" s="153" t="s">
        <v>1629</v>
      </c>
      <c r="L246" s="66" t="s">
        <v>1630</v>
      </c>
      <c r="M246" s="153">
        <v>808</v>
      </c>
      <c r="N246" s="67">
        <v>937.09</v>
      </c>
      <c r="O246" s="153">
        <v>757168.72</v>
      </c>
      <c r="P246" s="68"/>
      <c r="Q246" s="153">
        <v>757168.72</v>
      </c>
      <c r="R246" s="153">
        <v>0</v>
      </c>
      <c r="S246" s="153">
        <v>0</v>
      </c>
      <c r="T246" s="153">
        <v>136290.37</v>
      </c>
      <c r="U246" s="153">
        <f t="shared" si="4"/>
        <v>893459.09</v>
      </c>
      <c r="V246" t="str">
        <f>VLOOKUP(I246,Abstract!$E$4:$F$62,2,0)</f>
        <v>CHIK BLK HFP PROSOL 3G 23%EX 4800PC RL22 MRP RS.0.50</v>
      </c>
    </row>
    <row r="247" spans="1:22">
      <c r="A247" s="153" t="s">
        <v>2048</v>
      </c>
      <c r="B247" s="153" t="s">
        <v>2039</v>
      </c>
      <c r="C247" s="64" t="s">
        <v>934</v>
      </c>
      <c r="D247" s="153" t="s">
        <v>989</v>
      </c>
      <c r="E247" s="153" t="s">
        <v>2049</v>
      </c>
      <c r="F247" s="65" t="s">
        <v>2042</v>
      </c>
      <c r="G247" s="153" t="s">
        <v>1627</v>
      </c>
      <c r="H247" s="153" t="s">
        <v>1628</v>
      </c>
      <c r="I247" s="154" t="s">
        <v>108</v>
      </c>
      <c r="J247" s="153" t="s">
        <v>109</v>
      </c>
      <c r="K247" s="153" t="s">
        <v>1629</v>
      </c>
      <c r="L247" s="66" t="s">
        <v>1630</v>
      </c>
      <c r="M247" s="153">
        <v>65</v>
      </c>
      <c r="N247" s="67">
        <v>957.97</v>
      </c>
      <c r="O247" s="153">
        <v>62268.05</v>
      </c>
      <c r="P247" s="68"/>
      <c r="Q247" s="153">
        <v>62268.05</v>
      </c>
      <c r="R247" s="153">
        <v>0</v>
      </c>
      <c r="S247" s="153">
        <v>0</v>
      </c>
      <c r="T247" s="153">
        <v>11208.25</v>
      </c>
      <c r="U247" s="153">
        <f t="shared" si="4"/>
        <v>73476.3</v>
      </c>
      <c r="V247" t="str">
        <f>VLOOKUP(I247,Abstract!$E$4:$F$62,2,0)</f>
        <v>KARTHIKA DAM SHIELD SH 3G 23% EX 4800PCS MRP Rs.0.50</v>
      </c>
    </row>
    <row r="248" spans="1:22">
      <c r="A248" s="153" t="s">
        <v>2050</v>
      </c>
      <c r="B248" s="153" t="s">
        <v>2039</v>
      </c>
      <c r="C248" s="64" t="s">
        <v>934</v>
      </c>
      <c r="D248" s="153" t="s">
        <v>1030</v>
      </c>
      <c r="E248" s="153" t="s">
        <v>2051</v>
      </c>
      <c r="F248" s="65" t="s">
        <v>2042</v>
      </c>
      <c r="G248" s="153" t="s">
        <v>1634</v>
      </c>
      <c r="H248" s="153" t="s">
        <v>1635</v>
      </c>
      <c r="I248" s="154" t="s">
        <v>108</v>
      </c>
      <c r="J248" s="153" t="s">
        <v>109</v>
      </c>
      <c r="K248" s="153" t="s">
        <v>1629</v>
      </c>
      <c r="L248" s="66" t="s">
        <v>1630</v>
      </c>
      <c r="M248" s="153">
        <v>873</v>
      </c>
      <c r="N248" s="67">
        <v>957.97</v>
      </c>
      <c r="O248" s="153">
        <v>836307.81</v>
      </c>
      <c r="P248" s="68"/>
      <c r="Q248" s="153">
        <v>836307.81</v>
      </c>
      <c r="R248" s="153">
        <v>0</v>
      </c>
      <c r="S248" s="153">
        <v>0</v>
      </c>
      <c r="T248" s="153">
        <v>150535.41</v>
      </c>
      <c r="U248" s="153">
        <f t="shared" si="4"/>
        <v>986843.22000000009</v>
      </c>
      <c r="V248" t="str">
        <f>VLOOKUP(I248,Abstract!$E$4:$F$62,2,0)</f>
        <v>KARTHIKA DAM SHIELD SH 3G 23% EX 4800PCS MRP Rs.0.50</v>
      </c>
    </row>
    <row r="249" spans="1:22">
      <c r="A249" s="153" t="s">
        <v>2052</v>
      </c>
      <c r="B249" s="153" t="s">
        <v>2039</v>
      </c>
      <c r="C249" s="64" t="s">
        <v>934</v>
      </c>
      <c r="D249" s="153" t="s">
        <v>1096</v>
      </c>
      <c r="E249" s="153" t="s">
        <v>2053</v>
      </c>
      <c r="F249" s="65" t="s">
        <v>2042</v>
      </c>
      <c r="G249" s="153" t="s">
        <v>1627</v>
      </c>
      <c r="H249" s="153" t="s">
        <v>1628</v>
      </c>
      <c r="I249" s="154" t="s">
        <v>108</v>
      </c>
      <c r="J249" s="153" t="s">
        <v>109</v>
      </c>
      <c r="K249" s="153" t="s">
        <v>1629</v>
      </c>
      <c r="L249" s="66" t="s">
        <v>1630</v>
      </c>
      <c r="M249" s="153">
        <v>873</v>
      </c>
      <c r="N249" s="67">
        <v>957.97</v>
      </c>
      <c r="O249" s="153">
        <v>836307.81</v>
      </c>
      <c r="P249" s="68"/>
      <c r="Q249" s="153">
        <v>836307.81</v>
      </c>
      <c r="R249" s="153">
        <v>0</v>
      </c>
      <c r="S249" s="153">
        <v>0</v>
      </c>
      <c r="T249" s="153">
        <v>150535.41</v>
      </c>
      <c r="U249" s="153">
        <f t="shared" si="4"/>
        <v>986843.22000000009</v>
      </c>
      <c r="V249" t="str">
        <f>VLOOKUP(I249,Abstract!$E$4:$F$62,2,0)</f>
        <v>KARTHIKA DAM SHIELD SH 3G 23% EX 4800PCS MRP Rs.0.50</v>
      </c>
    </row>
    <row r="250" spans="1:22">
      <c r="A250" s="153" t="s">
        <v>2054</v>
      </c>
      <c r="B250" s="153" t="s">
        <v>2039</v>
      </c>
      <c r="C250" s="64" t="s">
        <v>934</v>
      </c>
      <c r="D250" s="153" t="s">
        <v>2055</v>
      </c>
      <c r="E250" s="153" t="s">
        <v>2056</v>
      </c>
      <c r="F250" s="65" t="s">
        <v>2042</v>
      </c>
      <c r="G250" s="153" t="s">
        <v>1644</v>
      </c>
      <c r="H250" s="153" t="s">
        <v>1645</v>
      </c>
      <c r="I250" s="154" t="s">
        <v>124</v>
      </c>
      <c r="J250" s="153" t="s">
        <v>125</v>
      </c>
      <c r="K250" s="153" t="s">
        <v>1629</v>
      </c>
      <c r="L250" s="66" t="s">
        <v>1630</v>
      </c>
      <c r="M250" s="153">
        <v>960</v>
      </c>
      <c r="N250" s="67">
        <v>944.2</v>
      </c>
      <c r="O250" s="153">
        <v>906432</v>
      </c>
      <c r="P250" s="68"/>
      <c r="Q250" s="153">
        <v>906432</v>
      </c>
      <c r="R250" s="153">
        <v>81578.880000000005</v>
      </c>
      <c r="S250" s="153">
        <v>81578.880000000005</v>
      </c>
      <c r="T250" s="153">
        <v>0</v>
      </c>
      <c r="U250" s="153">
        <f t="shared" si="4"/>
        <v>1069589.76</v>
      </c>
      <c r="V250" t="str">
        <f>VLOOKUP(I250,Abstract!$E$4:$F$62,2,0)</f>
        <v>MEERA GOT ANTI DANDRUFF SH 5Ml 10%EX1440P</v>
      </c>
    </row>
    <row r="251" spans="1:22">
      <c r="A251" s="153" t="s">
        <v>2057</v>
      </c>
      <c r="B251" s="153" t="s">
        <v>2039</v>
      </c>
      <c r="C251" s="64" t="s">
        <v>934</v>
      </c>
      <c r="D251" s="153" t="s">
        <v>2058</v>
      </c>
      <c r="E251" s="154" t="s">
        <v>2059</v>
      </c>
      <c r="F251" s="65" t="s">
        <v>2042</v>
      </c>
      <c r="G251" s="153" t="s">
        <v>1650</v>
      </c>
      <c r="H251" s="153" t="s">
        <v>1651</v>
      </c>
      <c r="I251" s="154" t="s">
        <v>90</v>
      </c>
      <c r="J251" s="153" t="s">
        <v>91</v>
      </c>
      <c r="K251" s="153" t="s">
        <v>1629</v>
      </c>
      <c r="L251" s="66" t="s">
        <v>1630</v>
      </c>
      <c r="M251" s="153">
        <v>300</v>
      </c>
      <c r="N251" s="67">
        <v>937.09</v>
      </c>
      <c r="O251" s="153">
        <v>281127</v>
      </c>
      <c r="P251" s="68"/>
      <c r="Q251" s="153">
        <v>281127</v>
      </c>
      <c r="R251" s="153">
        <v>0</v>
      </c>
      <c r="S251" s="153">
        <v>0</v>
      </c>
      <c r="T251" s="153">
        <v>50602.86</v>
      </c>
      <c r="U251" s="153">
        <f t="shared" si="4"/>
        <v>331729.86</v>
      </c>
      <c r="V251" t="str">
        <f>VLOOKUP(I251,Abstract!$E$4:$F$62,2,0)</f>
        <v>CHIK BLK HFP PROSOL 3G 23%EX 4800PC RL22 MRP RS.0.50</v>
      </c>
    </row>
    <row r="252" spans="1:22">
      <c r="A252" s="153" t="s">
        <v>2057</v>
      </c>
      <c r="B252" s="153" t="s">
        <v>2039</v>
      </c>
      <c r="C252" s="64" t="s">
        <v>934</v>
      </c>
      <c r="D252" s="153" t="s">
        <v>2058</v>
      </c>
      <c r="E252" s="154" t="s">
        <v>2059</v>
      </c>
      <c r="F252" s="65" t="s">
        <v>2042</v>
      </c>
      <c r="G252" s="153" t="s">
        <v>1650</v>
      </c>
      <c r="H252" s="153" t="s">
        <v>1651</v>
      </c>
      <c r="I252" s="154" t="s">
        <v>104</v>
      </c>
      <c r="J252" s="153" t="s">
        <v>105</v>
      </c>
      <c r="K252" s="153" t="s">
        <v>1629</v>
      </c>
      <c r="L252" s="66" t="s">
        <v>1630</v>
      </c>
      <c r="M252" s="153">
        <v>832</v>
      </c>
      <c r="N252" s="67">
        <v>768.24</v>
      </c>
      <c r="O252" s="153">
        <v>639175.68000000005</v>
      </c>
      <c r="P252" s="68"/>
      <c r="Q252" s="153">
        <v>639175.68000000005</v>
      </c>
      <c r="R252" s="153">
        <v>0</v>
      </c>
      <c r="S252" s="153">
        <v>0</v>
      </c>
      <c r="T252" s="153">
        <v>115051.62</v>
      </c>
      <c r="U252" s="153">
        <f t="shared" si="4"/>
        <v>754227.3</v>
      </c>
      <c r="V252" t="str">
        <f>VLOOKUP(I252,Abstract!$E$4:$F$62,2,0)</f>
        <v>CHIK BLK 4M 50% E 1920P W C1RE BLK 80P F MRP Rs.1.00</v>
      </c>
    </row>
    <row r="253" spans="1:22">
      <c r="A253" s="153" t="s">
        <v>2060</v>
      </c>
      <c r="B253" s="153" t="s">
        <v>2061</v>
      </c>
      <c r="C253" s="64" t="s">
        <v>934</v>
      </c>
      <c r="D253" s="153" t="s">
        <v>2062</v>
      </c>
      <c r="E253" s="154">
        <v>4500094329</v>
      </c>
      <c r="F253" s="65" t="s">
        <v>2063</v>
      </c>
      <c r="G253" s="153" t="s">
        <v>1634</v>
      </c>
      <c r="H253" s="153" t="s">
        <v>1635</v>
      </c>
      <c r="I253" s="154" t="s">
        <v>104</v>
      </c>
      <c r="J253" s="153" t="s">
        <v>105</v>
      </c>
      <c r="K253" s="153" t="s">
        <v>1629</v>
      </c>
      <c r="L253" s="66" t="s">
        <v>1630</v>
      </c>
      <c r="M253" s="153">
        <v>1344</v>
      </c>
      <c r="N253" s="67">
        <v>768.24</v>
      </c>
      <c r="O253" s="153">
        <v>1032514.5600000001</v>
      </c>
      <c r="P253" s="68"/>
      <c r="Q253" s="153">
        <v>1032514.5600000001</v>
      </c>
      <c r="R253" s="153">
        <v>0</v>
      </c>
      <c r="S253" s="153">
        <v>0</v>
      </c>
      <c r="T253" s="153">
        <v>185852.62</v>
      </c>
      <c r="U253" s="153">
        <f t="shared" si="4"/>
        <v>1218367.1800000002</v>
      </c>
      <c r="V253" t="str">
        <f>VLOOKUP(I253,Abstract!$E$4:$F$62,2,0)</f>
        <v>CHIK BLK 4M 50% E 1920P W C1RE BLK 80P F MRP Rs.1.00</v>
      </c>
    </row>
    <row r="254" spans="1:22">
      <c r="A254" s="153" t="s">
        <v>2064</v>
      </c>
      <c r="B254" s="153" t="s">
        <v>2061</v>
      </c>
      <c r="C254" s="64" t="s">
        <v>934</v>
      </c>
      <c r="D254" s="153" t="s">
        <v>2065</v>
      </c>
      <c r="E254" s="154">
        <v>4500094335</v>
      </c>
      <c r="F254" s="65" t="s">
        <v>2063</v>
      </c>
      <c r="G254" s="153" t="s">
        <v>1634</v>
      </c>
      <c r="H254" s="153" t="s">
        <v>1635</v>
      </c>
      <c r="I254" s="154" t="s">
        <v>90</v>
      </c>
      <c r="J254" s="153" t="s">
        <v>91</v>
      </c>
      <c r="K254" s="153" t="s">
        <v>1629</v>
      </c>
      <c r="L254" s="66" t="s">
        <v>1630</v>
      </c>
      <c r="M254" s="153">
        <v>938</v>
      </c>
      <c r="N254" s="67">
        <v>937.09</v>
      </c>
      <c r="O254" s="153">
        <v>878990.42</v>
      </c>
      <c r="P254" s="68"/>
      <c r="Q254" s="153">
        <v>878990.42</v>
      </c>
      <c r="R254" s="153">
        <v>0</v>
      </c>
      <c r="S254" s="153">
        <v>0</v>
      </c>
      <c r="T254" s="153">
        <v>158218.28</v>
      </c>
      <c r="U254" s="153">
        <f t="shared" si="4"/>
        <v>1037208.7000000001</v>
      </c>
      <c r="V254" t="str">
        <f>VLOOKUP(I254,Abstract!$E$4:$F$62,2,0)</f>
        <v>CHIK BLK HFP PROSOL 3G 23%EX 4800PC RL22 MRP RS.0.50</v>
      </c>
    </row>
    <row r="255" spans="1:22">
      <c r="A255" s="153" t="s">
        <v>2066</v>
      </c>
      <c r="B255" s="153" t="s">
        <v>2061</v>
      </c>
      <c r="C255" s="64" t="s">
        <v>934</v>
      </c>
      <c r="D255" s="153" t="s">
        <v>2067</v>
      </c>
      <c r="E255" s="154">
        <v>4500094358</v>
      </c>
      <c r="F255" s="65" t="s">
        <v>2063</v>
      </c>
      <c r="G255" s="153" t="s">
        <v>1627</v>
      </c>
      <c r="H255" s="153" t="s">
        <v>1628</v>
      </c>
      <c r="I255" s="154" t="s">
        <v>104</v>
      </c>
      <c r="J255" s="153" t="s">
        <v>105</v>
      </c>
      <c r="K255" s="153" t="s">
        <v>1629</v>
      </c>
      <c r="L255" s="66" t="s">
        <v>1630</v>
      </c>
      <c r="M255" s="153">
        <v>176</v>
      </c>
      <c r="N255" s="67">
        <v>768.24</v>
      </c>
      <c r="O255" s="153">
        <v>135210.23999999999</v>
      </c>
      <c r="P255" s="68"/>
      <c r="Q255" s="153">
        <v>135210.23999999999</v>
      </c>
      <c r="R255" s="153">
        <v>0</v>
      </c>
      <c r="S255" s="153">
        <v>0</v>
      </c>
      <c r="T255" s="153">
        <v>24337.84</v>
      </c>
      <c r="U255" s="153">
        <f t="shared" si="4"/>
        <v>159548.07999999999</v>
      </c>
      <c r="V255" t="str">
        <f>VLOOKUP(I255,Abstract!$E$4:$F$62,2,0)</f>
        <v>CHIK BLK 4M 50% E 1920P W C1RE BLK 80P F MRP Rs.1.00</v>
      </c>
    </row>
    <row r="256" spans="1:22">
      <c r="A256" s="153" t="s">
        <v>2066</v>
      </c>
      <c r="B256" s="153" t="s">
        <v>2061</v>
      </c>
      <c r="C256" s="64" t="s">
        <v>934</v>
      </c>
      <c r="D256" s="153" t="s">
        <v>2067</v>
      </c>
      <c r="E256" s="154">
        <v>4500094358</v>
      </c>
      <c r="F256" s="65" t="s">
        <v>2063</v>
      </c>
      <c r="G256" s="153" t="s">
        <v>1627</v>
      </c>
      <c r="H256" s="153" t="s">
        <v>1628</v>
      </c>
      <c r="I256" s="154" t="s">
        <v>124</v>
      </c>
      <c r="J256" s="153" t="s">
        <v>125</v>
      </c>
      <c r="K256" s="153" t="s">
        <v>1629</v>
      </c>
      <c r="L256" s="66" t="s">
        <v>1630</v>
      </c>
      <c r="M256" s="153">
        <v>1430</v>
      </c>
      <c r="N256" s="67">
        <v>944.2</v>
      </c>
      <c r="O256" s="153">
        <v>1350206</v>
      </c>
      <c r="P256" s="68"/>
      <c r="Q256" s="153">
        <v>1350206</v>
      </c>
      <c r="R256" s="153">
        <v>0</v>
      </c>
      <c r="S256" s="153">
        <v>0</v>
      </c>
      <c r="T256" s="153">
        <v>243037.08</v>
      </c>
      <c r="U256" s="153">
        <f t="shared" si="4"/>
        <v>1593243.08</v>
      </c>
      <c r="V256" t="str">
        <f>VLOOKUP(I256,Abstract!$E$4:$F$62,2,0)</f>
        <v>MEERA GOT ANTI DANDRUFF SH 5Ml 10%EX1440P</v>
      </c>
    </row>
    <row r="257" spans="1:22">
      <c r="A257" s="153" t="s">
        <v>2068</v>
      </c>
      <c r="B257" s="153" t="s">
        <v>2061</v>
      </c>
      <c r="C257" s="64" t="s">
        <v>934</v>
      </c>
      <c r="D257" s="153" t="s">
        <v>2069</v>
      </c>
      <c r="E257" s="154">
        <v>4500094359</v>
      </c>
      <c r="F257" s="65" t="s">
        <v>2063</v>
      </c>
      <c r="G257" s="153" t="s">
        <v>1627</v>
      </c>
      <c r="H257" s="153" t="s">
        <v>1628</v>
      </c>
      <c r="I257" s="154" t="s">
        <v>90</v>
      </c>
      <c r="J257" s="153" t="s">
        <v>91</v>
      </c>
      <c r="K257" s="153" t="s">
        <v>1629</v>
      </c>
      <c r="L257" s="66" t="s">
        <v>1630</v>
      </c>
      <c r="M257" s="153">
        <v>873</v>
      </c>
      <c r="N257" s="67">
        <v>937.09</v>
      </c>
      <c r="O257" s="153">
        <v>818079.57</v>
      </c>
      <c r="P257" s="68"/>
      <c r="Q257" s="153">
        <v>818079.57</v>
      </c>
      <c r="R257" s="153">
        <v>0</v>
      </c>
      <c r="S257" s="153">
        <v>0</v>
      </c>
      <c r="T257" s="153">
        <v>147254.32</v>
      </c>
      <c r="U257" s="153">
        <f t="shared" si="4"/>
        <v>965333.8899999999</v>
      </c>
      <c r="V257" t="str">
        <f>VLOOKUP(I257,Abstract!$E$4:$F$62,2,0)</f>
        <v>CHIK BLK HFP PROSOL 3G 23%EX 4800PC RL22 MRP RS.0.50</v>
      </c>
    </row>
    <row r="258" spans="1:22">
      <c r="A258" s="153" t="s">
        <v>2070</v>
      </c>
      <c r="B258" s="153" t="s">
        <v>2061</v>
      </c>
      <c r="C258" s="64" t="s">
        <v>934</v>
      </c>
      <c r="D258" s="153" t="s">
        <v>2071</v>
      </c>
      <c r="E258" s="154">
        <v>4500094365</v>
      </c>
      <c r="F258" s="65" t="s">
        <v>2063</v>
      </c>
      <c r="G258" s="153" t="s">
        <v>1627</v>
      </c>
      <c r="H258" s="153" t="s">
        <v>1628</v>
      </c>
      <c r="I258" s="154" t="s">
        <v>88</v>
      </c>
      <c r="J258" s="153" t="s">
        <v>89</v>
      </c>
      <c r="K258" s="153" t="s">
        <v>1629</v>
      </c>
      <c r="L258" s="66" t="s">
        <v>1630</v>
      </c>
      <c r="M258" s="153">
        <v>260</v>
      </c>
      <c r="N258" s="67">
        <v>936.79</v>
      </c>
      <c r="O258" s="153">
        <v>243565.4</v>
      </c>
      <c r="P258" s="68"/>
      <c r="Q258" s="153">
        <v>243565.4</v>
      </c>
      <c r="R258" s="153">
        <v>0</v>
      </c>
      <c r="S258" s="153">
        <v>0</v>
      </c>
      <c r="T258" s="153">
        <v>43841.77</v>
      </c>
      <c r="U258" s="153">
        <f t="shared" si="4"/>
        <v>287407.17</v>
      </c>
      <c r="V258" t="str">
        <f>VLOOKUP(I258,Abstract!$E$4:$F$62,2,0)</f>
        <v>CHIK JAS HFP PROSOL 3G23% EX 4800PC 22RL MRP RS.0.50</v>
      </c>
    </row>
    <row r="259" spans="1:22">
      <c r="A259" s="153" t="s">
        <v>2070</v>
      </c>
      <c r="B259" s="153" t="s">
        <v>2061</v>
      </c>
      <c r="C259" s="64" t="s">
        <v>934</v>
      </c>
      <c r="D259" s="153" t="s">
        <v>2071</v>
      </c>
      <c r="E259" s="154">
        <v>4500094365</v>
      </c>
      <c r="F259" s="65" t="s">
        <v>2063</v>
      </c>
      <c r="G259" s="153" t="s">
        <v>1627</v>
      </c>
      <c r="H259" s="153" t="s">
        <v>1628</v>
      </c>
      <c r="I259" s="154" t="s">
        <v>108</v>
      </c>
      <c r="J259" s="153" t="s">
        <v>109</v>
      </c>
      <c r="K259" s="153" t="s">
        <v>1629</v>
      </c>
      <c r="L259" s="66" t="s">
        <v>1630</v>
      </c>
      <c r="M259" s="153">
        <v>715</v>
      </c>
      <c r="N259" s="67">
        <v>957.97</v>
      </c>
      <c r="O259" s="153">
        <v>684948.55</v>
      </c>
      <c r="P259" s="68"/>
      <c r="Q259" s="153">
        <v>684948.55</v>
      </c>
      <c r="R259" s="153">
        <v>0</v>
      </c>
      <c r="S259" s="153">
        <v>0</v>
      </c>
      <c r="T259" s="153">
        <v>123290.74</v>
      </c>
      <c r="U259" s="153">
        <f t="shared" ref="U259:U267" si="5">Q259+R259+S259+T259</f>
        <v>808239.29</v>
      </c>
      <c r="V259" t="str">
        <f>VLOOKUP(I259,Abstract!$E$4:$F$62,2,0)</f>
        <v>KARTHIKA DAM SHIELD SH 3G 23% EX 4800PCS MRP Rs.0.50</v>
      </c>
    </row>
    <row r="260" spans="1:22">
      <c r="A260" s="153" t="s">
        <v>2072</v>
      </c>
      <c r="B260" s="153" t="s">
        <v>2061</v>
      </c>
      <c r="C260" s="64" t="s">
        <v>934</v>
      </c>
      <c r="D260" s="153" t="s">
        <v>2073</v>
      </c>
      <c r="E260" s="154">
        <v>4500094367</v>
      </c>
      <c r="F260" s="65" t="s">
        <v>2063</v>
      </c>
      <c r="G260" s="153" t="s">
        <v>1644</v>
      </c>
      <c r="H260" s="153" t="s">
        <v>1645</v>
      </c>
      <c r="I260" s="154" t="s">
        <v>82</v>
      </c>
      <c r="J260" s="153" t="s">
        <v>83</v>
      </c>
      <c r="K260" s="153" t="s">
        <v>1629</v>
      </c>
      <c r="L260" s="66" t="s">
        <v>1630</v>
      </c>
      <c r="M260" s="153">
        <v>848</v>
      </c>
      <c r="N260" s="67">
        <v>714.24</v>
      </c>
      <c r="O260" s="153">
        <v>605675.52000000002</v>
      </c>
      <c r="P260" s="68"/>
      <c r="Q260" s="153">
        <v>605675.52000000002</v>
      </c>
      <c r="R260" s="153">
        <v>54510.8</v>
      </c>
      <c r="S260" s="153">
        <v>54510.8</v>
      </c>
      <c r="T260" s="153">
        <v>0</v>
      </c>
      <c r="U260" s="153">
        <f t="shared" si="5"/>
        <v>714697.12000000011</v>
      </c>
      <c r="V260" t="str">
        <f>VLOOKUP(I260,Abstract!$E$4:$F$62,2,0)</f>
        <v>CHIK JAS PROSOL SOYA 4M+2ML EX1920P 22RL MRP RS.1.00</v>
      </c>
    </row>
    <row r="261" spans="1:22">
      <c r="A261" s="153" t="s">
        <v>2072</v>
      </c>
      <c r="B261" s="153" t="s">
        <v>2061</v>
      </c>
      <c r="C261" s="64" t="s">
        <v>934</v>
      </c>
      <c r="D261" s="153" t="s">
        <v>2073</v>
      </c>
      <c r="E261" s="154">
        <v>4500094367</v>
      </c>
      <c r="F261" s="65" t="s">
        <v>2063</v>
      </c>
      <c r="G261" s="153" t="s">
        <v>1644</v>
      </c>
      <c r="H261" s="153" t="s">
        <v>1645</v>
      </c>
      <c r="I261" s="154" t="s">
        <v>124</v>
      </c>
      <c r="J261" s="153" t="s">
        <v>125</v>
      </c>
      <c r="K261" s="153" t="s">
        <v>1629</v>
      </c>
      <c r="L261" s="66" t="s">
        <v>1630</v>
      </c>
      <c r="M261" s="153">
        <v>321</v>
      </c>
      <c r="N261" s="67">
        <v>944.2</v>
      </c>
      <c r="O261" s="153">
        <v>303088.2</v>
      </c>
      <c r="P261" s="68"/>
      <c r="Q261" s="153">
        <v>303088.2</v>
      </c>
      <c r="R261" s="153">
        <v>27277.94</v>
      </c>
      <c r="S261" s="153">
        <v>27277.94</v>
      </c>
      <c r="T261" s="153">
        <v>0</v>
      </c>
      <c r="U261" s="153">
        <f t="shared" si="5"/>
        <v>357644.08</v>
      </c>
      <c r="V261" t="str">
        <f>VLOOKUP(I261,Abstract!$E$4:$F$62,2,0)</f>
        <v>MEERA GOT ANTI DANDRUFF SH 5Ml 10%EX1440P</v>
      </c>
    </row>
    <row r="262" spans="1:22">
      <c r="A262" s="153" t="s">
        <v>2074</v>
      </c>
      <c r="B262" s="153" t="s">
        <v>2061</v>
      </c>
      <c r="C262" s="64" t="s">
        <v>934</v>
      </c>
      <c r="D262" s="153" t="s">
        <v>943</v>
      </c>
      <c r="E262" s="154">
        <v>4500094369</v>
      </c>
      <c r="F262" s="65" t="s">
        <v>2063</v>
      </c>
      <c r="G262" s="153" t="s">
        <v>1644</v>
      </c>
      <c r="H262" s="153" t="s">
        <v>1645</v>
      </c>
      <c r="I262" s="154" t="s">
        <v>104</v>
      </c>
      <c r="J262" s="153" t="s">
        <v>105</v>
      </c>
      <c r="K262" s="153" t="s">
        <v>1629</v>
      </c>
      <c r="L262" s="66" t="s">
        <v>1630</v>
      </c>
      <c r="M262" s="153">
        <v>692</v>
      </c>
      <c r="N262" s="67">
        <v>768.24</v>
      </c>
      <c r="O262" s="153">
        <v>531622.07999999996</v>
      </c>
      <c r="P262" s="68"/>
      <c r="Q262" s="153">
        <v>531622.07999999996</v>
      </c>
      <c r="R262" s="153">
        <v>47845.99</v>
      </c>
      <c r="S262" s="153">
        <v>47845.99</v>
      </c>
      <c r="T262" s="153">
        <v>0</v>
      </c>
      <c r="U262" s="153">
        <f t="shared" si="5"/>
        <v>627314.05999999994</v>
      </c>
      <c r="V262" t="str">
        <f>VLOOKUP(I262,Abstract!$E$4:$F$62,2,0)</f>
        <v>CHIK BLK 4M 50% E 1920P W C1RE BLK 80P F MRP Rs.1.00</v>
      </c>
    </row>
    <row r="263" spans="1:22">
      <c r="A263" s="153" t="s">
        <v>2074</v>
      </c>
      <c r="B263" s="153" t="s">
        <v>2061</v>
      </c>
      <c r="C263" s="64" t="s">
        <v>934</v>
      </c>
      <c r="D263" s="153" t="s">
        <v>943</v>
      </c>
      <c r="E263" s="154">
        <v>4500094369</v>
      </c>
      <c r="F263" s="65" t="s">
        <v>2063</v>
      </c>
      <c r="G263" s="153" t="s">
        <v>1644</v>
      </c>
      <c r="H263" s="153" t="s">
        <v>1645</v>
      </c>
      <c r="I263" s="154" t="s">
        <v>82</v>
      </c>
      <c r="J263" s="153" t="s">
        <v>83</v>
      </c>
      <c r="K263" s="153" t="s">
        <v>1629</v>
      </c>
      <c r="L263" s="66" t="s">
        <v>1630</v>
      </c>
      <c r="M263" s="153">
        <v>28</v>
      </c>
      <c r="N263" s="67">
        <v>714.24</v>
      </c>
      <c r="O263" s="153">
        <v>19998.72</v>
      </c>
      <c r="P263" s="68"/>
      <c r="Q263" s="153">
        <v>19998.72</v>
      </c>
      <c r="R263" s="153">
        <v>1799.88</v>
      </c>
      <c r="S263" s="153">
        <v>1799.88</v>
      </c>
      <c r="T263" s="153">
        <v>0</v>
      </c>
      <c r="U263" s="153">
        <f t="shared" si="5"/>
        <v>23598.480000000003</v>
      </c>
      <c r="V263" t="str">
        <f>VLOOKUP(I263,Abstract!$E$4:$F$62,2,0)</f>
        <v>CHIK JAS PROSOL SOYA 4M+2ML EX1920P 22RL MRP RS.1.00</v>
      </c>
    </row>
    <row r="264" spans="1:22">
      <c r="A264" s="153" t="s">
        <v>2075</v>
      </c>
      <c r="B264" s="153" t="s">
        <v>2061</v>
      </c>
      <c r="C264" s="64" t="s">
        <v>934</v>
      </c>
      <c r="D264" s="153" t="s">
        <v>1232</v>
      </c>
      <c r="E264" s="154">
        <v>4500094371</v>
      </c>
      <c r="F264" s="65" t="s">
        <v>2063</v>
      </c>
      <c r="G264" s="153" t="s">
        <v>1644</v>
      </c>
      <c r="H264" s="153" t="s">
        <v>1645</v>
      </c>
      <c r="I264" s="154" t="s">
        <v>104</v>
      </c>
      <c r="J264" s="153" t="s">
        <v>105</v>
      </c>
      <c r="K264" s="153" t="s">
        <v>1629</v>
      </c>
      <c r="L264" s="66" t="s">
        <v>1630</v>
      </c>
      <c r="M264" s="153">
        <v>630</v>
      </c>
      <c r="N264" s="67">
        <v>768.24</v>
      </c>
      <c r="O264" s="153">
        <v>483991.2</v>
      </c>
      <c r="P264" s="68"/>
      <c r="Q264" s="153">
        <v>483991.2</v>
      </c>
      <c r="R264" s="153">
        <v>43559.21</v>
      </c>
      <c r="S264" s="153">
        <v>43559.21</v>
      </c>
      <c r="T264" s="153">
        <v>0</v>
      </c>
      <c r="U264" s="153">
        <f t="shared" si="5"/>
        <v>571109.62</v>
      </c>
      <c r="V264" t="str">
        <f>VLOOKUP(I264,Abstract!$E$4:$F$62,2,0)</f>
        <v>CHIK BLK 4M 50% E 1920P W C1RE BLK 80P F MRP Rs.1.00</v>
      </c>
    </row>
    <row r="265" spans="1:22">
      <c r="A265" s="153" t="s">
        <v>2076</v>
      </c>
      <c r="B265" s="153" t="s">
        <v>2061</v>
      </c>
      <c r="C265" s="64" t="s">
        <v>934</v>
      </c>
      <c r="D265" s="153" t="s">
        <v>1006</v>
      </c>
      <c r="E265" s="154">
        <v>4500094370</v>
      </c>
      <c r="F265" s="65" t="s">
        <v>2063</v>
      </c>
      <c r="G265" s="153" t="s">
        <v>1650</v>
      </c>
      <c r="H265" s="153" t="s">
        <v>1651</v>
      </c>
      <c r="I265" s="154" t="s">
        <v>104</v>
      </c>
      <c r="J265" s="153" t="s">
        <v>105</v>
      </c>
      <c r="K265" s="153" t="s">
        <v>1629</v>
      </c>
      <c r="L265" s="66" t="s">
        <v>1630</v>
      </c>
      <c r="M265" s="153">
        <v>1344</v>
      </c>
      <c r="N265" s="67">
        <v>768.24</v>
      </c>
      <c r="O265" s="153">
        <v>1032514.5600000001</v>
      </c>
      <c r="P265" s="68"/>
      <c r="Q265" s="153">
        <v>1032514.5600000001</v>
      </c>
      <c r="R265" s="153">
        <v>0</v>
      </c>
      <c r="S265" s="153">
        <v>0</v>
      </c>
      <c r="T265" s="153">
        <v>185852.62</v>
      </c>
      <c r="U265" s="153">
        <f t="shared" si="5"/>
        <v>1218367.1800000002</v>
      </c>
      <c r="V265" t="str">
        <f>VLOOKUP(I265,Abstract!$E$4:$F$62,2,0)</f>
        <v>CHIK BLK 4M 50% E 1920P W C1RE BLK 80P F MRP Rs.1.00</v>
      </c>
    </row>
    <row r="266" spans="1:22">
      <c r="A266" s="153" t="s">
        <v>2077</v>
      </c>
      <c r="B266" s="153" t="s">
        <v>2061</v>
      </c>
      <c r="C266" s="64" t="s">
        <v>934</v>
      </c>
      <c r="D266" s="153" t="s">
        <v>1334</v>
      </c>
      <c r="E266" s="154">
        <v>4500094372</v>
      </c>
      <c r="F266" s="65" t="s">
        <v>2063</v>
      </c>
      <c r="G266" s="153" t="s">
        <v>1627</v>
      </c>
      <c r="H266" s="153" t="s">
        <v>1628</v>
      </c>
      <c r="I266" s="154" t="s">
        <v>90</v>
      </c>
      <c r="J266" s="153" t="s">
        <v>91</v>
      </c>
      <c r="K266" s="153" t="s">
        <v>1629</v>
      </c>
      <c r="L266" s="66" t="s">
        <v>1630</v>
      </c>
      <c r="M266" s="153">
        <v>641</v>
      </c>
      <c r="N266" s="67">
        <v>937.09</v>
      </c>
      <c r="O266" s="153">
        <v>600674.68999999994</v>
      </c>
      <c r="P266" s="68"/>
      <c r="Q266" s="153">
        <v>600674.68999999994</v>
      </c>
      <c r="R266" s="153">
        <v>0</v>
      </c>
      <c r="S266" s="153">
        <v>0</v>
      </c>
      <c r="T266" s="153">
        <v>108121.44</v>
      </c>
      <c r="U266" s="153">
        <f t="shared" si="5"/>
        <v>708796.12999999989</v>
      </c>
      <c r="V266" t="str">
        <f>VLOOKUP(I266,Abstract!$E$4:$F$62,2,0)</f>
        <v>CHIK BLK HFP PROSOL 3G 23%EX 4800PC RL22 MRP RS.0.50</v>
      </c>
    </row>
    <row r="267" spans="1:22">
      <c r="A267" s="153" t="s">
        <v>2077</v>
      </c>
      <c r="B267" s="153" t="s">
        <v>2061</v>
      </c>
      <c r="C267" s="64" t="s">
        <v>934</v>
      </c>
      <c r="D267" s="153" t="s">
        <v>1334</v>
      </c>
      <c r="E267" s="154">
        <v>4500094372</v>
      </c>
      <c r="F267" s="65" t="s">
        <v>2063</v>
      </c>
      <c r="G267" s="153" t="s">
        <v>1627</v>
      </c>
      <c r="H267" s="153" t="s">
        <v>1628</v>
      </c>
      <c r="I267" s="154" t="s">
        <v>18</v>
      </c>
      <c r="J267" s="153" t="s">
        <v>1759</v>
      </c>
      <c r="K267" s="153" t="s">
        <v>1629</v>
      </c>
      <c r="L267" s="66" t="s">
        <v>1630</v>
      </c>
      <c r="M267" s="153">
        <v>630</v>
      </c>
      <c r="N267" s="67">
        <v>728.52</v>
      </c>
      <c r="O267" s="153">
        <v>458967.6</v>
      </c>
      <c r="P267" s="68"/>
      <c r="Q267" s="153">
        <v>458967.6</v>
      </c>
      <c r="R267" s="153">
        <v>0</v>
      </c>
      <c r="S267" s="153">
        <v>0</v>
      </c>
      <c r="T267" s="153">
        <v>82614.17</v>
      </c>
      <c r="U267" s="153">
        <f t="shared" si="5"/>
        <v>541581.77</v>
      </c>
      <c r="V267" t="str">
        <f>VLOOKUP(I267,Abstract!$E$4:$F$62,2,0)</f>
        <v>Karthika Damage Shield 5.4ml 10% Extra(43W*70mm L)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7"/>
  <sheetViews>
    <sheetView tabSelected="1" workbookViewId="0">
      <pane ySplit="1" topLeftCell="A2" activePane="bottomLeft" state="frozen"/>
      <selection pane="bottomLeft" activeCell="D357" sqref="D357"/>
    </sheetView>
  </sheetViews>
  <sheetFormatPr defaultRowHeight="14.45"/>
  <cols>
    <col min="1" max="1" width="20.5703125" style="54" bestFit="1" customWidth="1"/>
    <col min="2" max="2" width="99" bestFit="1" customWidth="1"/>
    <col min="3" max="3" width="15.42578125" customWidth="1"/>
    <col min="4" max="4" width="12.5703125" bestFit="1" customWidth="1"/>
  </cols>
  <sheetData>
    <row r="1" spans="1:5" ht="39.6" customHeight="1">
      <c r="A1" s="75" t="s">
        <v>573</v>
      </c>
      <c r="B1" s="74" t="s">
        <v>575</v>
      </c>
      <c r="C1" s="74" t="s">
        <v>2078</v>
      </c>
    </row>
    <row r="2" spans="1:5">
      <c r="A2" s="76">
        <v>110184</v>
      </c>
      <c r="B2" s="21" t="s">
        <v>372</v>
      </c>
      <c r="C2" s="138">
        <f>IFERROR(VLOOKUP(A2,Sheet1!B:D,3,0),0)</f>
        <v>13.83</v>
      </c>
      <c r="D2">
        <f>VLOOKUP(A2,'Stock statement'!$C$3:$R$320,16,0)</f>
        <v>13.83</v>
      </c>
      <c r="E2" s="145">
        <f t="shared" ref="E2:E61" si="0">C2-D2</f>
        <v>0</v>
      </c>
    </row>
    <row r="3" spans="1:5">
      <c r="A3" s="76">
        <v>118322</v>
      </c>
      <c r="B3" s="21" t="s">
        <v>2079</v>
      </c>
      <c r="C3" s="138">
        <f>IFERROR(VLOOKUP(A3,Sheet1!B:D,3,0),0)</f>
        <v>0</v>
      </c>
      <c r="D3">
        <f>VLOOKUP(A3,'Stock statement'!$C$3:$R$320,16,0)</f>
        <v>0</v>
      </c>
      <c r="E3" s="145">
        <f t="shared" si="0"/>
        <v>0</v>
      </c>
    </row>
    <row r="4" spans="1:5">
      <c r="A4" s="76">
        <v>110982</v>
      </c>
      <c r="B4" s="21" t="s">
        <v>374</v>
      </c>
      <c r="C4" s="138">
        <f>IFERROR(VLOOKUP(A4,Sheet1!B:D,3,0),0)</f>
        <v>18.68</v>
      </c>
      <c r="D4">
        <f>VLOOKUP(A4,'Stock statement'!$C$3:$R$320,16,0)</f>
        <v>18.68</v>
      </c>
      <c r="E4" s="145">
        <f t="shared" si="0"/>
        <v>0</v>
      </c>
    </row>
    <row r="5" spans="1:5">
      <c r="A5" s="76">
        <v>110021</v>
      </c>
      <c r="B5" s="21" t="s">
        <v>165</v>
      </c>
      <c r="C5" s="138">
        <f>IFERROR(VLOOKUP(A5,Sheet1!B:D,3,0),0)</f>
        <v>1.79</v>
      </c>
      <c r="D5">
        <f>VLOOKUP(A5,'Stock statement'!$C$3:$R$320,16,0)</f>
        <v>1.79</v>
      </c>
      <c r="E5" s="145">
        <f t="shared" si="0"/>
        <v>0</v>
      </c>
    </row>
    <row r="6" spans="1:5">
      <c r="A6" s="76">
        <v>110918</v>
      </c>
      <c r="B6" s="21" t="s">
        <v>497</v>
      </c>
      <c r="C6" s="138">
        <f>IFERROR(VLOOKUP(A6,Sheet1!B:D,3,0),0)</f>
        <v>13.2</v>
      </c>
      <c r="D6">
        <f>VLOOKUP(A6,'Stock statement'!$C$3:$R$320,16,0)</f>
        <v>13.2</v>
      </c>
      <c r="E6" s="145">
        <f t="shared" si="0"/>
        <v>0</v>
      </c>
    </row>
    <row r="7" spans="1:5">
      <c r="A7" s="76">
        <v>111233</v>
      </c>
      <c r="B7" s="21" t="s">
        <v>578</v>
      </c>
      <c r="C7" s="138">
        <f>IFERROR(VLOOKUP(A7,Sheet1!B:D,3,0),0)</f>
        <v>8524.4500000000007</v>
      </c>
      <c r="D7">
        <f>VLOOKUP(A7,'Stock statement'!$C$3:$R$320,16,0)</f>
        <v>8524.4500000000007</v>
      </c>
      <c r="E7" s="145">
        <f t="shared" si="0"/>
        <v>0</v>
      </c>
    </row>
    <row r="8" spans="1:5">
      <c r="A8" s="76">
        <v>110054</v>
      </c>
      <c r="B8" s="21" t="s">
        <v>156</v>
      </c>
      <c r="C8" s="138">
        <f>IFERROR(VLOOKUP(A8,Sheet1!B:D,3,0),0)</f>
        <v>35000</v>
      </c>
      <c r="D8">
        <f>VLOOKUP(A8,'Stock statement'!$C$3:$R$320,16,0)</f>
        <v>35000</v>
      </c>
      <c r="E8" s="145">
        <f t="shared" si="0"/>
        <v>0</v>
      </c>
    </row>
    <row r="9" spans="1:5">
      <c r="A9" s="76">
        <v>110017</v>
      </c>
      <c r="B9" s="21" t="s">
        <v>310</v>
      </c>
      <c r="C9" s="138">
        <f>IFERROR(VLOOKUP(A9,Sheet1!B:D,3,0),0)</f>
        <v>2400.11</v>
      </c>
      <c r="D9">
        <f>VLOOKUP(A9,'Stock statement'!$C$3:$R$320,16,0)</f>
        <v>2400.11</v>
      </c>
      <c r="E9" s="145">
        <f t="shared" si="0"/>
        <v>0</v>
      </c>
    </row>
    <row r="10" spans="1:5">
      <c r="A10" s="76">
        <v>111257</v>
      </c>
      <c r="B10" s="21" t="s">
        <v>391</v>
      </c>
      <c r="C10" s="138">
        <f>IFERROR(VLOOKUP(A10,Sheet1!B:D,3,0),0)</f>
        <v>200.58999999999997</v>
      </c>
      <c r="D10">
        <f>VLOOKUP(A10,'Stock statement'!$C$3:$R$320,16,0)</f>
        <v>200.58999999999997</v>
      </c>
      <c r="E10" s="145">
        <f t="shared" si="0"/>
        <v>0</v>
      </c>
    </row>
    <row r="11" spans="1:5">
      <c r="A11" s="76">
        <v>110921</v>
      </c>
      <c r="B11" s="21" t="s">
        <v>579</v>
      </c>
      <c r="C11" s="138">
        <f>IFERROR(VLOOKUP(A11,Sheet1!B:D,3,0),0)</f>
        <v>148.91</v>
      </c>
      <c r="D11">
        <f>VLOOKUP(A11,'Stock statement'!$C$3:$R$320,16,0)</f>
        <v>148.91</v>
      </c>
      <c r="E11" s="145">
        <f t="shared" si="0"/>
        <v>0</v>
      </c>
    </row>
    <row r="12" spans="1:5">
      <c r="A12" s="76">
        <v>110004</v>
      </c>
      <c r="B12" s="21" t="s">
        <v>150</v>
      </c>
      <c r="C12" s="138">
        <f>IFERROR(VLOOKUP(A12,Sheet1!B:D,3,0),0)</f>
        <v>253.25</v>
      </c>
      <c r="D12">
        <f>VLOOKUP(A12,'Stock statement'!$C$3:$R$320,16,0)</f>
        <v>253.25</v>
      </c>
      <c r="E12" s="145">
        <f t="shared" si="0"/>
        <v>0</v>
      </c>
    </row>
    <row r="13" spans="1:5">
      <c r="A13" s="76">
        <v>110019</v>
      </c>
      <c r="B13" s="21" t="s">
        <v>580</v>
      </c>
      <c r="C13" s="138">
        <f>IFERROR(VLOOKUP(A13,Sheet1!B:D,3,0),0)</f>
        <v>7.3</v>
      </c>
      <c r="D13">
        <f>VLOOKUP(A13,'Stock statement'!$C$3:$R$320,16,0)</f>
        <v>7.3</v>
      </c>
      <c r="E13" s="145">
        <f t="shared" si="0"/>
        <v>0</v>
      </c>
    </row>
    <row r="14" spans="1:5">
      <c r="A14" s="76">
        <v>110020</v>
      </c>
      <c r="B14" s="21" t="s">
        <v>442</v>
      </c>
      <c r="C14" s="138">
        <f>IFERROR(VLOOKUP(A14,Sheet1!B:D,3,0),0)</f>
        <v>6525</v>
      </c>
      <c r="D14">
        <f>VLOOKUP(A14,'Stock statement'!$C$3:$R$320,16,0)</f>
        <v>6525</v>
      </c>
      <c r="E14" s="145">
        <f t="shared" si="0"/>
        <v>0</v>
      </c>
    </row>
    <row r="15" spans="1:5">
      <c r="A15" s="76">
        <v>110941</v>
      </c>
      <c r="B15" s="21" t="s">
        <v>581</v>
      </c>
      <c r="C15" s="138">
        <f>IFERROR(VLOOKUP(A15,Sheet1!B:D,3,0),0)</f>
        <v>21.82</v>
      </c>
      <c r="D15">
        <f>VLOOKUP(A15,'Stock statement'!$C$3:$R$320,16,0)</f>
        <v>21.82</v>
      </c>
      <c r="E15" s="145">
        <f t="shared" si="0"/>
        <v>0</v>
      </c>
    </row>
    <row r="16" spans="1:5">
      <c r="A16" s="76">
        <v>110001</v>
      </c>
      <c r="B16" s="21" t="s">
        <v>447</v>
      </c>
      <c r="C16" s="138">
        <f>IFERROR(VLOOKUP(A16,Sheet1!B:D,3,0),0)</f>
        <v>0</v>
      </c>
      <c r="D16">
        <f>VLOOKUP(A16,'Stock statement'!$C$3:$R$320,16,0)</f>
        <v>0</v>
      </c>
      <c r="E16" s="145">
        <f t="shared" si="0"/>
        <v>0</v>
      </c>
    </row>
    <row r="17" spans="1:5">
      <c r="A17" s="76">
        <v>110022</v>
      </c>
      <c r="B17" s="21" t="s">
        <v>582</v>
      </c>
      <c r="C17" s="138">
        <f>IFERROR(VLOOKUP(A17,Sheet1!B:D,3,0),0)</f>
        <v>1003.04</v>
      </c>
      <c r="D17">
        <f>VLOOKUP(A17,'Stock statement'!$C$3:$R$320,16,0)</f>
        <v>1003.04</v>
      </c>
      <c r="E17" s="145">
        <f t="shared" si="0"/>
        <v>0</v>
      </c>
    </row>
    <row r="18" spans="1:5">
      <c r="A18" s="76">
        <v>110873</v>
      </c>
      <c r="B18" s="21" t="s">
        <v>144</v>
      </c>
      <c r="C18" s="138">
        <f>IFERROR(VLOOKUP(A18,Sheet1!B:D,3,0),0)</f>
        <v>1625</v>
      </c>
      <c r="D18">
        <f>VLOOKUP(A18,'Stock statement'!$C$3:$R$320,16,0)</f>
        <v>1625</v>
      </c>
      <c r="E18" s="145">
        <f t="shared" si="0"/>
        <v>0</v>
      </c>
    </row>
    <row r="19" spans="1:5">
      <c r="A19" s="76">
        <v>110929</v>
      </c>
      <c r="B19" s="21" t="s">
        <v>392</v>
      </c>
      <c r="C19" s="138">
        <f>IFERROR(VLOOKUP(A19,Sheet1!B:D,3,0),0)</f>
        <v>48.989999999999995</v>
      </c>
      <c r="D19">
        <f>VLOOKUP(A19,'Stock statement'!$C$3:$R$320,16,0)</f>
        <v>48.989999999999995</v>
      </c>
      <c r="E19" s="145">
        <f t="shared" si="0"/>
        <v>0</v>
      </c>
    </row>
    <row r="20" spans="1:5">
      <c r="A20" s="76">
        <v>110814</v>
      </c>
      <c r="B20" s="21" t="s">
        <v>584</v>
      </c>
      <c r="C20" s="138">
        <f>IFERROR(VLOOKUP(A20,Sheet1!B:D,3,0),0)</f>
        <v>630</v>
      </c>
      <c r="D20">
        <f>VLOOKUP(A20,'Stock statement'!$C$3:$R$320,16,0)</f>
        <v>630</v>
      </c>
      <c r="E20" s="145">
        <f t="shared" si="0"/>
        <v>0</v>
      </c>
    </row>
    <row r="21" spans="1:5">
      <c r="A21" s="76">
        <v>111253</v>
      </c>
      <c r="B21" s="21" t="s">
        <v>585</v>
      </c>
      <c r="C21" s="138">
        <f>IFERROR(VLOOKUP(A21,Sheet1!B:D,3,0),0)</f>
        <v>1257.5</v>
      </c>
      <c r="D21">
        <f>VLOOKUP(A21,'Stock statement'!$C$3:$R$320,16,0)</f>
        <v>1257.5</v>
      </c>
      <c r="E21" s="145">
        <f t="shared" si="0"/>
        <v>0</v>
      </c>
    </row>
    <row r="22" spans="1:5">
      <c r="A22" s="76">
        <v>111316</v>
      </c>
      <c r="B22" s="21" t="s">
        <v>587</v>
      </c>
      <c r="C22" s="138">
        <f>IFERROR(VLOOKUP(A22,Sheet1!B:D,3,0),0)</f>
        <v>0</v>
      </c>
      <c r="D22">
        <f>VLOOKUP(A22,'Stock statement'!$C$3:$R$320,16,0)</f>
        <v>0</v>
      </c>
      <c r="E22" s="145">
        <f t="shared" si="0"/>
        <v>0</v>
      </c>
    </row>
    <row r="23" spans="1:5">
      <c r="A23" s="76">
        <v>110852</v>
      </c>
      <c r="B23" s="21" t="s">
        <v>588</v>
      </c>
      <c r="C23" s="138">
        <f>IFERROR(VLOOKUP(A23,Sheet1!B:D,3,0),0)</f>
        <v>2300</v>
      </c>
      <c r="D23">
        <f>VLOOKUP(A23,'Stock statement'!$C$3:$R$320,16,0)</f>
        <v>2300</v>
      </c>
      <c r="E23" s="145">
        <f t="shared" si="0"/>
        <v>0</v>
      </c>
    </row>
    <row r="24" spans="1:5">
      <c r="A24" s="76">
        <v>110928</v>
      </c>
      <c r="B24" s="21" t="s">
        <v>589</v>
      </c>
      <c r="C24" s="138">
        <f>IFERROR(VLOOKUP(A24,Sheet1!B:D,3,0),0)</f>
        <v>74.650000000000006</v>
      </c>
      <c r="D24">
        <f>VLOOKUP(A24,'Stock statement'!$C$3:$R$320,16,0)</f>
        <v>74.650000000000006</v>
      </c>
      <c r="E24" s="145">
        <f t="shared" si="0"/>
        <v>0</v>
      </c>
    </row>
    <row r="25" spans="1:5">
      <c r="A25" s="76">
        <v>110930</v>
      </c>
      <c r="B25" s="21" t="s">
        <v>590</v>
      </c>
      <c r="C25" s="138">
        <f>IFERROR(VLOOKUP(A25,Sheet1!B:D,3,0),0)</f>
        <v>214.93</v>
      </c>
      <c r="D25">
        <f>VLOOKUP(A25,'Stock statement'!$C$3:$R$320,16,0)</f>
        <v>214.93</v>
      </c>
      <c r="E25" s="145">
        <f t="shared" si="0"/>
        <v>0</v>
      </c>
    </row>
    <row r="26" spans="1:5">
      <c r="A26" s="76">
        <v>110933</v>
      </c>
      <c r="B26" s="21" t="s">
        <v>485</v>
      </c>
      <c r="C26" s="138">
        <f>IFERROR(VLOOKUP(A26,Sheet1!B:D,3,0),0)</f>
        <v>38.950000000000003</v>
      </c>
      <c r="D26">
        <f>VLOOKUP(A26,'Stock statement'!$C$3:$R$320,16,0)</f>
        <v>38.950000000000003</v>
      </c>
      <c r="E26" s="145">
        <f t="shared" si="0"/>
        <v>0</v>
      </c>
    </row>
    <row r="27" spans="1:5">
      <c r="A27" s="76">
        <v>110053</v>
      </c>
      <c r="B27" s="21" t="s">
        <v>444</v>
      </c>
      <c r="C27" s="138">
        <f>IFERROR(VLOOKUP(A27,Sheet1!B:D,3,0),0)</f>
        <v>2136.415</v>
      </c>
      <c r="D27">
        <f>VLOOKUP(A27,'Stock statement'!$C$3:$R$320,16,0)</f>
        <v>2136.415</v>
      </c>
      <c r="E27" s="145">
        <f t="shared" si="0"/>
        <v>0</v>
      </c>
    </row>
    <row r="28" spans="1:5">
      <c r="A28" s="76">
        <v>110578</v>
      </c>
      <c r="B28" s="21" t="s">
        <v>592</v>
      </c>
      <c r="C28" s="138">
        <f>IFERROR(VLOOKUP(A28,Sheet1!B:D,3,0),0)</f>
        <v>163</v>
      </c>
      <c r="D28">
        <f>VLOOKUP(A28,'Stock statement'!$C$3:$R$320,16,0)</f>
        <v>163</v>
      </c>
      <c r="E28" s="145">
        <f t="shared" si="0"/>
        <v>0</v>
      </c>
    </row>
    <row r="29" spans="1:5">
      <c r="A29" s="76">
        <v>111242</v>
      </c>
      <c r="B29" s="21" t="s">
        <v>593</v>
      </c>
      <c r="C29" s="138">
        <f>IFERROR(VLOOKUP(A29,Sheet1!B:D,3,0),0)</f>
        <v>948.35</v>
      </c>
      <c r="D29">
        <f>VLOOKUP(A29,'Stock statement'!$C$3:$R$320,16,0)</f>
        <v>948.35</v>
      </c>
      <c r="E29" s="145">
        <f t="shared" si="0"/>
        <v>0</v>
      </c>
    </row>
    <row r="30" spans="1:5">
      <c r="A30" s="76">
        <v>110908</v>
      </c>
      <c r="B30" s="21" t="s">
        <v>594</v>
      </c>
      <c r="C30" s="138">
        <f>IFERROR(VLOOKUP(A30,Sheet1!B:D,3,0),0)</f>
        <v>531.5</v>
      </c>
      <c r="D30">
        <f>VLOOKUP(A30,'Stock statement'!$C$3:$R$320,16,0)</f>
        <v>531.5</v>
      </c>
      <c r="E30" s="145">
        <f t="shared" si="0"/>
        <v>0</v>
      </c>
    </row>
    <row r="31" spans="1:5">
      <c r="A31" s="76">
        <v>110909</v>
      </c>
      <c r="B31" s="21" t="s">
        <v>596</v>
      </c>
      <c r="C31" s="138">
        <f>IFERROR(VLOOKUP(A31,Sheet1!B:D,3,0),0)</f>
        <v>0</v>
      </c>
      <c r="D31">
        <f>VLOOKUP(A31,'Stock statement'!$C$3:$R$320,16,0)</f>
        <v>0</v>
      </c>
      <c r="E31" s="145">
        <f t="shared" si="0"/>
        <v>0</v>
      </c>
    </row>
    <row r="32" spans="1:5">
      <c r="A32" s="76">
        <v>110927</v>
      </c>
      <c r="B32" s="21" t="s">
        <v>597</v>
      </c>
      <c r="C32" s="138">
        <f>IFERROR(VLOOKUP(A32,Sheet1!B:D,3,0),0)</f>
        <v>130.32</v>
      </c>
      <c r="D32">
        <f>VLOOKUP(A32,'Stock statement'!$C$3:$R$320,16,0)</f>
        <v>130.32</v>
      </c>
      <c r="E32" s="145">
        <f t="shared" si="0"/>
        <v>0</v>
      </c>
    </row>
    <row r="33" spans="1:5">
      <c r="A33" s="76">
        <v>110920</v>
      </c>
      <c r="B33" s="21" t="s">
        <v>598</v>
      </c>
      <c r="C33" s="138">
        <f>IFERROR(VLOOKUP(A33,Sheet1!B:D,3,0),0)</f>
        <v>68.899999999999991</v>
      </c>
      <c r="D33">
        <f>VLOOKUP(A33,'Stock statement'!$C$3:$R$320,16,0)</f>
        <v>68.899999999999991</v>
      </c>
      <c r="E33" s="145">
        <f t="shared" si="0"/>
        <v>0</v>
      </c>
    </row>
    <row r="34" spans="1:5">
      <c r="A34" s="76">
        <v>110919</v>
      </c>
      <c r="B34" s="21" t="s">
        <v>599</v>
      </c>
      <c r="C34" s="138">
        <f>IFERROR(VLOOKUP(A34,Sheet1!B:D,3,0),0)</f>
        <v>75.37</v>
      </c>
      <c r="D34">
        <f>VLOOKUP(A34,'Stock statement'!$C$3:$R$320,16,0)</f>
        <v>75.37</v>
      </c>
      <c r="E34" s="145">
        <f t="shared" si="0"/>
        <v>0</v>
      </c>
    </row>
    <row r="35" spans="1:5">
      <c r="A35" s="76">
        <v>110057</v>
      </c>
      <c r="B35" s="21" t="s">
        <v>445</v>
      </c>
      <c r="C35" s="138">
        <f>IFERROR(VLOOKUP(A35,Sheet1!B:D,3,0),0)</f>
        <v>224.34</v>
      </c>
      <c r="D35">
        <f>VLOOKUP(A35,'Stock statement'!$C$3:$R$320,16,0)</f>
        <v>224.34</v>
      </c>
      <c r="E35" s="145">
        <f t="shared" si="0"/>
        <v>0</v>
      </c>
    </row>
    <row r="36" spans="1:5">
      <c r="A36" s="76">
        <v>110922</v>
      </c>
      <c r="B36" s="21" t="s">
        <v>600</v>
      </c>
      <c r="C36" s="138">
        <f>IFERROR(VLOOKUP(A36,Sheet1!B:D,3,0),0)</f>
        <v>3.6</v>
      </c>
      <c r="D36">
        <f>VLOOKUP(A36,'Stock statement'!$C$3:$R$320,16,0)</f>
        <v>3.6</v>
      </c>
      <c r="E36" s="145">
        <f t="shared" si="0"/>
        <v>0</v>
      </c>
    </row>
    <row r="37" spans="1:5">
      <c r="A37" s="76">
        <v>110981</v>
      </c>
      <c r="B37" s="21" t="s">
        <v>370</v>
      </c>
      <c r="C37" s="138">
        <f>IFERROR(VLOOKUP(A37,Sheet1!B:D,3,0),0)</f>
        <v>985</v>
      </c>
      <c r="D37">
        <f>VLOOKUP(A37,'Stock statement'!$C$3:$R$320,16,0)</f>
        <v>985</v>
      </c>
      <c r="E37" s="145">
        <f t="shared" si="0"/>
        <v>0</v>
      </c>
    </row>
    <row r="38" spans="1:5">
      <c r="A38" s="76">
        <v>110985</v>
      </c>
      <c r="B38" s="21" t="s">
        <v>601</v>
      </c>
      <c r="C38" s="138">
        <f>IFERROR(VLOOKUP(A38,Sheet1!B:D,3,0),0)</f>
        <v>174</v>
      </c>
      <c r="D38">
        <f>VLOOKUP(A38,'Stock statement'!$C$3:$R$320,16,0)</f>
        <v>174</v>
      </c>
      <c r="E38" s="145">
        <f t="shared" si="0"/>
        <v>0</v>
      </c>
    </row>
    <row r="39" spans="1:5">
      <c r="A39" s="76">
        <v>111232</v>
      </c>
      <c r="B39" s="21" t="s">
        <v>441</v>
      </c>
      <c r="C39" s="138">
        <f>IFERROR(VLOOKUP(A39,Sheet1!B:D,3,0),0)</f>
        <v>90000</v>
      </c>
      <c r="D39">
        <f>VLOOKUP(A39,'Stock statement'!$C$3:$R$320,16,0)</f>
        <v>90000</v>
      </c>
      <c r="E39" s="145">
        <f t="shared" si="0"/>
        <v>0</v>
      </c>
    </row>
    <row r="40" spans="1:5">
      <c r="A40" s="76">
        <v>111237</v>
      </c>
      <c r="B40" s="21" t="s">
        <v>446</v>
      </c>
      <c r="C40" s="138">
        <f>IFERROR(VLOOKUP(A40,Sheet1!B:D,3,0),0)</f>
        <v>3300</v>
      </c>
      <c r="D40">
        <f>VLOOKUP(A40,'Stock statement'!$C$3:$R$320,16,0)</f>
        <v>3300</v>
      </c>
      <c r="E40" s="145">
        <f t="shared" si="0"/>
        <v>0</v>
      </c>
    </row>
    <row r="41" spans="1:5">
      <c r="A41" s="76">
        <v>110018</v>
      </c>
      <c r="B41" s="21" t="s">
        <v>364</v>
      </c>
      <c r="C41" s="138">
        <f>IFERROR(VLOOKUP(A41,Sheet1!B:D,3,0),0)</f>
        <v>895.99</v>
      </c>
      <c r="D41">
        <f>VLOOKUP(A41,'Stock statement'!$C$3:$R$320,16,0)</f>
        <v>895.99</v>
      </c>
      <c r="E41" s="145">
        <f t="shared" si="0"/>
        <v>0</v>
      </c>
    </row>
    <row r="42" spans="1:5">
      <c r="A42" s="76">
        <v>111254</v>
      </c>
      <c r="B42" s="21" t="s">
        <v>602</v>
      </c>
      <c r="C42" s="138">
        <f>IFERROR(VLOOKUP(A42,Sheet1!B:D,3,0),0)</f>
        <v>142.24</v>
      </c>
      <c r="D42">
        <f>VLOOKUP(A42,'Stock statement'!$C$3:$R$320,16,0)</f>
        <v>142.24</v>
      </c>
      <c r="E42" s="145">
        <f t="shared" si="0"/>
        <v>0</v>
      </c>
    </row>
    <row r="43" spans="1:5">
      <c r="A43" s="76">
        <v>110040</v>
      </c>
      <c r="B43" s="21" t="s">
        <v>163</v>
      </c>
      <c r="C43" s="138">
        <f>IFERROR(VLOOKUP(A43,Sheet1!B:D,3,0),0)</f>
        <v>435.46</v>
      </c>
      <c r="D43">
        <f>VLOOKUP(A43,'Stock statement'!$C$3:$R$320,16,0)</f>
        <v>435.46</v>
      </c>
      <c r="E43" s="145">
        <f t="shared" si="0"/>
        <v>0</v>
      </c>
    </row>
    <row r="44" spans="1:5">
      <c r="A44" s="76">
        <v>110976</v>
      </c>
      <c r="B44" s="21" t="s">
        <v>604</v>
      </c>
      <c r="C44" s="138">
        <f>IFERROR(VLOOKUP(A44,Sheet1!B:D,3,0),0)</f>
        <v>0</v>
      </c>
      <c r="D44">
        <f>VLOOKUP(A44,'Stock statement'!$C$3:$R$320,16,0)</f>
        <v>0</v>
      </c>
      <c r="E44" s="145">
        <f t="shared" si="0"/>
        <v>0</v>
      </c>
    </row>
    <row r="45" spans="1:5">
      <c r="A45" s="76">
        <v>110979</v>
      </c>
      <c r="B45" s="21" t="s">
        <v>761</v>
      </c>
      <c r="C45" s="138">
        <f>IFERROR(VLOOKUP(A45,Sheet1!B:D,3,0),0)</f>
        <v>0</v>
      </c>
      <c r="D45">
        <f>VLOOKUP(A45,'Stock statement'!$C$3:$R$320,16,0)</f>
        <v>0</v>
      </c>
      <c r="E45" s="145">
        <f t="shared" si="0"/>
        <v>0</v>
      </c>
    </row>
    <row r="46" spans="1:5">
      <c r="A46" s="76">
        <v>110978</v>
      </c>
      <c r="B46" s="21" t="s">
        <v>368</v>
      </c>
      <c r="C46" s="138">
        <f>IFERROR(VLOOKUP(A46,Sheet1!B:D,3,0),0)</f>
        <v>1924.95</v>
      </c>
      <c r="D46">
        <f>VLOOKUP(A46,'Stock statement'!$C$3:$R$320,16,0)</f>
        <v>1924.95</v>
      </c>
      <c r="E46" s="145">
        <f t="shared" si="0"/>
        <v>0</v>
      </c>
    </row>
    <row r="47" spans="1:5">
      <c r="A47" s="76">
        <v>111300</v>
      </c>
      <c r="B47" s="21" t="s">
        <v>605</v>
      </c>
      <c r="C47" s="138">
        <f>IFERROR(VLOOKUP(A47,Sheet1!B:D,3,0),0)</f>
        <v>576.25</v>
      </c>
      <c r="D47">
        <f>VLOOKUP(A47,'Stock statement'!$C$3:$R$320,16,0)</f>
        <v>576.25</v>
      </c>
      <c r="E47" s="145">
        <f t="shared" si="0"/>
        <v>0</v>
      </c>
    </row>
    <row r="48" spans="1:5">
      <c r="A48" s="76">
        <v>111265</v>
      </c>
      <c r="B48" s="23" t="s">
        <v>606</v>
      </c>
      <c r="C48" s="138">
        <f>IFERROR(VLOOKUP(A48,Sheet1!B:D,3,0),0)</f>
        <v>0</v>
      </c>
      <c r="D48">
        <f>VLOOKUP(A48,'Stock statement'!$C$3:$R$320,16,0)</f>
        <v>0</v>
      </c>
      <c r="E48" s="145">
        <f t="shared" si="0"/>
        <v>0</v>
      </c>
    </row>
    <row r="49" spans="1:5">
      <c r="A49" s="76">
        <v>111261</v>
      </c>
      <c r="B49" s="21" t="s">
        <v>607</v>
      </c>
      <c r="C49" s="138">
        <f>IFERROR(VLOOKUP(A49,Sheet1!B:D,3,0),0)</f>
        <v>15.7</v>
      </c>
      <c r="D49">
        <f>VLOOKUP(A49,'Stock statement'!$C$3:$R$320,16,0)</f>
        <v>15.7</v>
      </c>
      <c r="E49" s="145">
        <f t="shared" si="0"/>
        <v>0</v>
      </c>
    </row>
    <row r="50" spans="1:5">
      <c r="A50" s="76">
        <v>111318</v>
      </c>
      <c r="B50" s="21" t="s">
        <v>608</v>
      </c>
      <c r="C50" s="138">
        <f>IFERROR(VLOOKUP(A50,Sheet1!B:D,3,0),0)</f>
        <v>8.02</v>
      </c>
      <c r="D50">
        <f>VLOOKUP(A50,'Stock statement'!$C$3:$R$320,16,0)</f>
        <v>8.02</v>
      </c>
      <c r="E50" s="145">
        <f t="shared" si="0"/>
        <v>0</v>
      </c>
    </row>
    <row r="51" spans="1:5">
      <c r="A51" s="76">
        <v>111299</v>
      </c>
      <c r="B51" s="23" t="s">
        <v>609</v>
      </c>
      <c r="C51" s="138">
        <f>IFERROR(VLOOKUP(A51,Sheet1!B:D,3,0),0)</f>
        <v>18.53</v>
      </c>
      <c r="D51">
        <f>VLOOKUP(A51,'Stock statement'!$C$3:$R$320,16,0)</f>
        <v>18.53</v>
      </c>
      <c r="E51" s="145">
        <f t="shared" si="0"/>
        <v>0</v>
      </c>
    </row>
    <row r="52" spans="1:5">
      <c r="A52" s="76">
        <v>111416</v>
      </c>
      <c r="B52" s="23" t="s">
        <v>171</v>
      </c>
      <c r="C52" s="138">
        <f>IFERROR(VLOOKUP(A52,Sheet1!B:D,3,0),0)</f>
        <v>0</v>
      </c>
      <c r="D52">
        <f>VLOOKUP(A52,'Stock statement'!$C$3:$R$320,16,0)</f>
        <v>0</v>
      </c>
      <c r="E52" s="145">
        <f t="shared" si="0"/>
        <v>0</v>
      </c>
    </row>
    <row r="53" spans="1:5">
      <c r="A53" s="76">
        <v>111245</v>
      </c>
      <c r="B53" s="23" t="s">
        <v>610</v>
      </c>
      <c r="C53" s="138">
        <f>IFERROR(VLOOKUP(A53,Sheet1!B:D,3,0),0)</f>
        <v>0</v>
      </c>
      <c r="D53">
        <f>VLOOKUP(A53,'Stock statement'!$C$3:$R$320,16,0)</f>
        <v>0</v>
      </c>
      <c r="E53" s="145">
        <f t="shared" si="0"/>
        <v>0</v>
      </c>
    </row>
    <row r="54" spans="1:5">
      <c r="A54" s="76">
        <v>111408</v>
      </c>
      <c r="B54" s="23" t="s">
        <v>611</v>
      </c>
      <c r="C54" s="138">
        <f>IFERROR(VLOOKUP(A54,Sheet1!B:D,3,0),0)</f>
        <v>2.5</v>
      </c>
      <c r="D54">
        <f>VLOOKUP(A54,'Stock statement'!$C$3:$R$320,16,0)</f>
        <v>2.5</v>
      </c>
      <c r="E54" s="145">
        <f t="shared" si="0"/>
        <v>0</v>
      </c>
    </row>
    <row r="55" spans="1:5">
      <c r="A55" s="76">
        <v>111598</v>
      </c>
      <c r="B55" s="21" t="s">
        <v>612</v>
      </c>
      <c r="C55" s="138">
        <f>IFERROR(VLOOKUP(A55,Sheet1!B:D,3,0),0)</f>
        <v>0</v>
      </c>
      <c r="D55">
        <f>VLOOKUP(A55,'Stock statement'!$C$3:$R$320,16,0)</f>
        <v>0</v>
      </c>
      <c r="E55" s="145">
        <f t="shared" si="0"/>
        <v>0</v>
      </c>
    </row>
    <row r="56" spans="1:5">
      <c r="A56" s="76">
        <v>111264</v>
      </c>
      <c r="B56" s="21" t="s">
        <v>613</v>
      </c>
      <c r="C56" s="138">
        <f>IFERROR(VLOOKUP(A56,Sheet1!B:D,3,0),0)</f>
        <v>115</v>
      </c>
      <c r="D56">
        <f>VLOOKUP(A56,'Stock statement'!$C$3:$R$320,16,0)</f>
        <v>115</v>
      </c>
      <c r="E56" s="145">
        <f t="shared" si="0"/>
        <v>0</v>
      </c>
    </row>
    <row r="57" spans="1:5">
      <c r="A57" s="76">
        <v>118219</v>
      </c>
      <c r="B57" s="21" t="s">
        <v>614</v>
      </c>
      <c r="C57" s="138">
        <f>IFERROR(VLOOKUP(A57,Sheet1!B:D,3,0),0)</f>
        <v>4.99</v>
      </c>
      <c r="D57">
        <f>VLOOKUP(A57,'Stock statement'!$C$3:$R$320,16,0)</f>
        <v>4.99</v>
      </c>
      <c r="E57" s="145">
        <f t="shared" si="0"/>
        <v>0</v>
      </c>
    </row>
    <row r="58" spans="1:5">
      <c r="A58" s="76">
        <v>111266</v>
      </c>
      <c r="B58" s="21" t="s">
        <v>615</v>
      </c>
      <c r="C58" s="138">
        <f>IFERROR(VLOOKUP(A58,Sheet1!B:D,3,0),0)</f>
        <v>4.26</v>
      </c>
      <c r="D58">
        <f>VLOOKUP(A58,'Stock statement'!$C$3:$R$320,16,0)</f>
        <v>4.26</v>
      </c>
      <c r="E58" s="145">
        <f t="shared" si="0"/>
        <v>0</v>
      </c>
    </row>
    <row r="59" spans="1:5">
      <c r="A59" s="76">
        <v>110261</v>
      </c>
      <c r="B59" s="21" t="s">
        <v>487</v>
      </c>
      <c r="C59" s="138">
        <f>IFERROR(VLOOKUP(A59,Sheet1!B:D,3,0),0)</f>
        <v>250</v>
      </c>
      <c r="D59">
        <f>VLOOKUP(A59,'Stock statement'!$C$3:$R$320,16,0)</f>
        <v>250</v>
      </c>
      <c r="E59" s="145">
        <f t="shared" si="0"/>
        <v>0</v>
      </c>
    </row>
    <row r="60" spans="1:5">
      <c r="A60" s="76">
        <v>118370</v>
      </c>
      <c r="B60" s="21" t="s">
        <v>616</v>
      </c>
      <c r="C60" s="138">
        <f>IFERROR(VLOOKUP(A60,Sheet1!B:D,3,0),0)</f>
        <v>15.75</v>
      </c>
      <c r="D60">
        <f>VLOOKUP(A60,'Stock statement'!$C$3:$R$320,16,0)</f>
        <v>15.75</v>
      </c>
      <c r="E60" s="145">
        <f t="shared" si="0"/>
        <v>0</v>
      </c>
    </row>
    <row r="61" spans="1:5">
      <c r="A61" s="76">
        <v>230701</v>
      </c>
      <c r="B61" s="21" t="s">
        <v>617</v>
      </c>
      <c r="C61" s="138">
        <f>IFERROR(VLOOKUP(A61,Sheet1!B:D,3,0),0)</f>
        <v>2235.0500000000002</v>
      </c>
      <c r="D61">
        <f>VLOOKUP(A61,'Stock statement'!$C$3:$R$320,16,0)</f>
        <v>2235.0500000000002</v>
      </c>
      <c r="E61" s="145">
        <f t="shared" si="0"/>
        <v>0</v>
      </c>
    </row>
    <row r="62" spans="1:5">
      <c r="A62" s="76">
        <v>118232</v>
      </c>
      <c r="B62" s="21" t="s">
        <v>2080</v>
      </c>
      <c r="C62" s="138">
        <f>IFERROR(VLOOKUP(A62,Sheet1!B:D,3,0),0)</f>
        <v>5.3</v>
      </c>
      <c r="D62">
        <f>VLOOKUP(A62,'Stock statement'!$C$3:$R$320,16,0)</f>
        <v>5.3</v>
      </c>
      <c r="E62" s="145">
        <f t="shared" ref="E62:E125" si="1">C62-D62</f>
        <v>0</v>
      </c>
    </row>
    <row r="63" spans="1:5">
      <c r="A63" s="76">
        <v>114201</v>
      </c>
      <c r="B63" s="21" t="s">
        <v>618</v>
      </c>
      <c r="C63" s="138">
        <f>IFERROR(VLOOKUP(A63,Sheet1!B:D,3,0),0)</f>
        <v>72.5</v>
      </c>
      <c r="D63">
        <f>VLOOKUP(A63,'Stock statement'!$C$3:$R$320,16,0)</f>
        <v>72.5</v>
      </c>
      <c r="E63" s="145">
        <f t="shared" si="1"/>
        <v>0</v>
      </c>
    </row>
    <row r="64" spans="1:5">
      <c r="A64" s="77">
        <v>114509</v>
      </c>
      <c r="B64" s="21" t="s">
        <v>763</v>
      </c>
      <c r="C64" s="138">
        <f>IFERROR(VLOOKUP(A64,Sheet1!B:D,3,0),0)</f>
        <v>0</v>
      </c>
      <c r="D64">
        <f>VLOOKUP(A64,'Stock statement'!$C$3:$R$320,16,0)</f>
        <v>0</v>
      </c>
      <c r="E64" s="145">
        <f t="shared" si="1"/>
        <v>0</v>
      </c>
    </row>
    <row r="65" spans="1:5">
      <c r="A65" s="76">
        <v>114270</v>
      </c>
      <c r="B65" s="21" t="s">
        <v>619</v>
      </c>
      <c r="C65" s="138">
        <f>IFERROR(VLOOKUP(A65,Sheet1!B:D,3,0),0)</f>
        <v>9.83</v>
      </c>
      <c r="D65">
        <f>VLOOKUP(A65,'Stock statement'!$C$3:$R$320,16,0)</f>
        <v>9.83</v>
      </c>
      <c r="E65" s="145">
        <f t="shared" si="1"/>
        <v>0</v>
      </c>
    </row>
    <row r="66" spans="1:5">
      <c r="A66" s="76">
        <v>114273</v>
      </c>
      <c r="B66" s="21" t="s">
        <v>2081</v>
      </c>
      <c r="C66" s="138">
        <f>IFERROR(VLOOKUP(A66,Sheet1!B:D,3,0),0)</f>
        <v>375</v>
      </c>
      <c r="D66">
        <f>VLOOKUP(A66,'Stock statement'!$C$3:$R$320,16,0)</f>
        <v>375</v>
      </c>
      <c r="E66" s="145">
        <f t="shared" si="1"/>
        <v>0</v>
      </c>
    </row>
    <row r="67" spans="1:5">
      <c r="A67" s="76">
        <v>114271</v>
      </c>
      <c r="B67" s="21" t="s">
        <v>2082</v>
      </c>
      <c r="C67" s="138">
        <f>IFERROR(VLOOKUP(A67,Sheet1!B:D,3,0),0)</f>
        <v>103</v>
      </c>
      <c r="D67">
        <f>VLOOKUP(A67,'Stock statement'!$C$3:$R$320,16,0)</f>
        <v>103</v>
      </c>
      <c r="E67" s="145">
        <f t="shared" si="1"/>
        <v>0</v>
      </c>
    </row>
    <row r="68" spans="1:5">
      <c r="A68" s="76">
        <v>114476</v>
      </c>
      <c r="B68" s="21" t="s">
        <v>2083</v>
      </c>
      <c r="C68" s="138">
        <f>IFERROR(VLOOKUP(A68,Sheet1!B:D,3,0),0)</f>
        <v>1282.44</v>
      </c>
      <c r="D68">
        <f>VLOOKUP(A68,'Stock statement'!$C$3:$R$320,16,0)</f>
        <v>1282.44</v>
      </c>
      <c r="E68" s="145">
        <f t="shared" si="1"/>
        <v>0</v>
      </c>
    </row>
    <row r="69" spans="1:5">
      <c r="A69" s="78">
        <v>114601</v>
      </c>
      <c r="B69" s="21" t="s">
        <v>2084</v>
      </c>
      <c r="C69" s="138">
        <f>IFERROR(VLOOKUP(A69,Sheet1!B:D,3,0),0)</f>
        <v>160.75</v>
      </c>
      <c r="D69">
        <f>VLOOKUP(A69,'Stock statement'!$C$3:$R$320,16,0)</f>
        <v>160.75</v>
      </c>
      <c r="E69" s="145">
        <f t="shared" si="1"/>
        <v>0</v>
      </c>
    </row>
    <row r="70" spans="1:5">
      <c r="A70" s="78">
        <v>114604</v>
      </c>
      <c r="B70" s="21" t="s">
        <v>2085</v>
      </c>
      <c r="C70" s="138">
        <f>IFERROR(VLOOKUP(A70,Sheet1!B:D,3,0),0)</f>
        <v>39.549999999999997</v>
      </c>
      <c r="D70">
        <f>VLOOKUP(A70,'Stock statement'!$C$3:$R$320,16,0)</f>
        <v>39.549999999999997</v>
      </c>
      <c r="E70" s="145">
        <f t="shared" si="1"/>
        <v>0</v>
      </c>
    </row>
    <row r="71" spans="1:5">
      <c r="A71" s="76">
        <v>114600</v>
      </c>
      <c r="B71" s="21" t="s">
        <v>2086</v>
      </c>
      <c r="C71" s="138">
        <f>IFERROR(VLOOKUP(A71,Sheet1!B:D,3,0),0)</f>
        <v>94.1</v>
      </c>
      <c r="D71">
        <f>VLOOKUP(A71,'Stock statement'!$C$3:$R$320,16,0)</f>
        <v>94.1</v>
      </c>
      <c r="E71" s="145">
        <f t="shared" si="1"/>
        <v>0</v>
      </c>
    </row>
    <row r="72" spans="1:5">
      <c r="A72" s="78">
        <v>114603</v>
      </c>
      <c r="B72" s="21" t="s">
        <v>558</v>
      </c>
      <c r="C72" s="138">
        <f>IFERROR(VLOOKUP(A72,Sheet1!B:D,3,0),0)</f>
        <v>4.5500000000000007</v>
      </c>
      <c r="D72">
        <f>VLOOKUP(A72,'Stock statement'!$C$3:$R$320,16,0)</f>
        <v>4.5500000000000007</v>
      </c>
      <c r="E72" s="145">
        <f t="shared" si="1"/>
        <v>0</v>
      </c>
    </row>
    <row r="73" spans="1:5">
      <c r="A73" s="76">
        <v>111275</v>
      </c>
      <c r="B73" s="21" t="s">
        <v>560</v>
      </c>
      <c r="C73" s="138">
        <f>IFERROR(VLOOKUP(A73,Sheet1!B:D,3,0),0)</f>
        <v>0</v>
      </c>
      <c r="D73">
        <f>VLOOKUP(A73,'Stock statement'!$C$3:$R$320,16,0)</f>
        <v>0</v>
      </c>
      <c r="E73" s="145">
        <f t="shared" si="1"/>
        <v>0</v>
      </c>
    </row>
    <row r="74" spans="1:5">
      <c r="A74" s="76">
        <v>114602</v>
      </c>
      <c r="B74" s="21" t="s">
        <v>2087</v>
      </c>
      <c r="C74" s="138">
        <f>IFERROR(VLOOKUP(A74,Sheet1!B:D,3,0),0)</f>
        <v>0.18</v>
      </c>
      <c r="D74">
        <f>VLOOKUP(A74,'Stock statement'!$C$3:$R$320,16,0)</f>
        <v>0.18</v>
      </c>
      <c r="E74" s="145">
        <f t="shared" si="1"/>
        <v>0</v>
      </c>
    </row>
    <row r="75" spans="1:5">
      <c r="A75" s="76">
        <v>114276</v>
      </c>
      <c r="B75" s="21" t="s">
        <v>775</v>
      </c>
      <c r="C75" s="138">
        <f>IFERROR(VLOOKUP(A75,Sheet1!B:D,3,0),0)</f>
        <v>12.56</v>
      </c>
      <c r="D75">
        <f>VLOOKUP(A75,'Stock statement'!$C$3:$R$320,16,0)</f>
        <v>12.56</v>
      </c>
      <c r="E75" s="145">
        <f t="shared" si="1"/>
        <v>0</v>
      </c>
    </row>
    <row r="76" spans="1:5">
      <c r="A76" s="76">
        <v>222463</v>
      </c>
      <c r="B76" s="21" t="s">
        <v>622</v>
      </c>
      <c r="C76" s="138">
        <f>IFERROR(VLOOKUP(A76,Sheet1!B:D,3,0),0)</f>
        <v>520</v>
      </c>
      <c r="D76">
        <f>VLOOKUP(A76,'Stock statement'!$C$3:$R$320,16,0)</f>
        <v>520</v>
      </c>
      <c r="E76" s="145">
        <f t="shared" si="1"/>
        <v>0</v>
      </c>
    </row>
    <row r="77" spans="1:5">
      <c r="A77" s="76">
        <v>222464</v>
      </c>
      <c r="B77" s="21" t="s">
        <v>623</v>
      </c>
      <c r="C77" s="138">
        <f>IFERROR(VLOOKUP(A77,Sheet1!B:D,3,0),0)</f>
        <v>17000</v>
      </c>
      <c r="D77">
        <f>VLOOKUP(A77,'Stock statement'!$C$3:$R$320,16,0)</f>
        <v>17000</v>
      </c>
      <c r="E77" s="145">
        <f t="shared" si="1"/>
        <v>0</v>
      </c>
    </row>
    <row r="78" spans="1:5">
      <c r="A78" s="76">
        <v>222465</v>
      </c>
      <c r="B78" s="21" t="s">
        <v>2088</v>
      </c>
      <c r="C78" s="138">
        <f>IFERROR(VLOOKUP(A78,Sheet1!B:D,3,0),0)</f>
        <v>0</v>
      </c>
      <c r="D78">
        <f>VLOOKUP(A78,'Stock statement'!$C$3:$R$320,16,0)</f>
        <v>0</v>
      </c>
      <c r="E78" s="145">
        <f t="shared" si="1"/>
        <v>0</v>
      </c>
    </row>
    <row r="79" spans="1:5">
      <c r="A79" s="76">
        <v>222466</v>
      </c>
      <c r="B79" s="21" t="s">
        <v>626</v>
      </c>
      <c r="C79" s="138">
        <f>IFERROR(VLOOKUP(A79,Sheet1!B:D,3,0),0)</f>
        <v>9900</v>
      </c>
      <c r="D79">
        <f>VLOOKUP(A79,'Stock statement'!$C$3:$R$320,16,0)</f>
        <v>9900</v>
      </c>
      <c r="E79" s="145">
        <f t="shared" si="1"/>
        <v>0</v>
      </c>
    </row>
    <row r="80" spans="1:5">
      <c r="A80" s="76">
        <v>222467</v>
      </c>
      <c r="B80" s="21" t="s">
        <v>628</v>
      </c>
      <c r="C80" s="138">
        <f>IFERROR(VLOOKUP(A80,Sheet1!B:D,3,0),0)</f>
        <v>0</v>
      </c>
      <c r="D80">
        <f>VLOOKUP(A80,'Stock statement'!$C$3:$R$320,16,0)</f>
        <v>0</v>
      </c>
      <c r="E80" s="145">
        <f t="shared" si="1"/>
        <v>0</v>
      </c>
    </row>
    <row r="81" spans="1:5">
      <c r="A81" s="76">
        <v>222468</v>
      </c>
      <c r="B81" s="21" t="s">
        <v>630</v>
      </c>
      <c r="C81" s="138">
        <f>IFERROR(VLOOKUP(A81,Sheet1!B:D,3,0),0)</f>
        <v>0</v>
      </c>
      <c r="D81">
        <f>VLOOKUP(A81,'Stock statement'!$C$3:$R$320,16,0)</f>
        <v>0</v>
      </c>
      <c r="E81" s="145">
        <f t="shared" si="1"/>
        <v>0</v>
      </c>
    </row>
    <row r="82" spans="1:5">
      <c r="A82" s="79">
        <v>213771</v>
      </c>
      <c r="B82" s="21" t="s">
        <v>631</v>
      </c>
      <c r="C82" s="138">
        <f>IFERROR(VLOOKUP(A82,Sheet1!B:D,3,0),0)</f>
        <v>640</v>
      </c>
      <c r="D82">
        <f>VLOOKUP(A82,'Stock statement'!$C$3:$R$320,16,0)</f>
        <v>640</v>
      </c>
      <c r="E82" s="145">
        <f t="shared" si="1"/>
        <v>0</v>
      </c>
    </row>
    <row r="83" spans="1:5">
      <c r="A83" s="76">
        <v>222470</v>
      </c>
      <c r="B83" s="21" t="s">
        <v>632</v>
      </c>
      <c r="C83" s="138">
        <f>IFERROR(VLOOKUP(A83,Sheet1!B:D,3,0),0)</f>
        <v>41000</v>
      </c>
      <c r="D83">
        <f>VLOOKUP(A83,'Stock statement'!$C$3:$R$320,16,0)</f>
        <v>41000</v>
      </c>
      <c r="E83" s="145">
        <f t="shared" si="1"/>
        <v>0</v>
      </c>
    </row>
    <row r="84" spans="1:5">
      <c r="A84" s="76">
        <v>229099</v>
      </c>
      <c r="B84" s="21" t="s">
        <v>633</v>
      </c>
      <c r="C84" s="138">
        <f>IFERROR(VLOOKUP(A84,Sheet1!B:D,3,0),0)</f>
        <v>1250</v>
      </c>
      <c r="D84">
        <f>VLOOKUP(A84,'Stock statement'!$C$3:$R$320,16,0)</f>
        <v>1250</v>
      </c>
      <c r="E84" s="145">
        <f t="shared" si="1"/>
        <v>0</v>
      </c>
    </row>
    <row r="85" spans="1:5">
      <c r="A85" s="76">
        <v>222472</v>
      </c>
      <c r="B85" s="21" t="s">
        <v>2089</v>
      </c>
      <c r="C85" s="138">
        <f>IFERROR(VLOOKUP(A85,Sheet1!B:D,3,0),0)</f>
        <v>10000</v>
      </c>
      <c r="D85">
        <f>VLOOKUP(A85,'Stock statement'!$C$3:$R$320,16,0)</f>
        <v>10000</v>
      </c>
      <c r="E85" s="145">
        <f t="shared" si="1"/>
        <v>0</v>
      </c>
    </row>
    <row r="86" spans="1:5">
      <c r="A86" s="76">
        <v>222473</v>
      </c>
      <c r="B86" s="21" t="s">
        <v>2090</v>
      </c>
      <c r="C86" s="138">
        <f>IFERROR(VLOOKUP(A86,Sheet1!B:D,3,0),0)</f>
        <v>57600</v>
      </c>
      <c r="D86">
        <f>VLOOKUP(A86,'Stock statement'!$C$3:$R$320,16,0)</f>
        <v>57600</v>
      </c>
      <c r="E86" s="145">
        <f t="shared" si="1"/>
        <v>0</v>
      </c>
    </row>
    <row r="87" spans="1:5">
      <c r="A87" s="76">
        <v>222474</v>
      </c>
      <c r="B87" s="21" t="s">
        <v>2091</v>
      </c>
      <c r="C87" s="138">
        <f>IFERROR(VLOOKUP(A87,Sheet1!B:D,3,0),0)</f>
        <v>0</v>
      </c>
      <c r="D87">
        <f>VLOOKUP(A87,'Stock statement'!$C$3:$R$320,16,0)</f>
        <v>0</v>
      </c>
      <c r="E87" s="145">
        <f t="shared" si="1"/>
        <v>0</v>
      </c>
    </row>
    <row r="88" spans="1:5">
      <c r="A88" s="76">
        <v>222475</v>
      </c>
      <c r="B88" s="21" t="s">
        <v>638</v>
      </c>
      <c r="C88" s="138">
        <f>IFERROR(VLOOKUP(A88,Sheet1!B:D,3,0),0)</f>
        <v>5400</v>
      </c>
      <c r="D88">
        <f>VLOOKUP(A88,'Stock statement'!$C$3:$R$320,16,0)</f>
        <v>5400</v>
      </c>
      <c r="E88" s="145">
        <f t="shared" si="1"/>
        <v>0</v>
      </c>
    </row>
    <row r="89" spans="1:5">
      <c r="A89" s="76">
        <v>222476</v>
      </c>
      <c r="B89" s="21" t="s">
        <v>639</v>
      </c>
      <c r="C89" s="138">
        <f>IFERROR(VLOOKUP(A89,Sheet1!B:D,3,0),0)</f>
        <v>180</v>
      </c>
      <c r="D89">
        <f>VLOOKUP(A89,'Stock statement'!$C$3:$R$320,16,0)</f>
        <v>180</v>
      </c>
      <c r="E89" s="145">
        <f t="shared" si="1"/>
        <v>0</v>
      </c>
    </row>
    <row r="90" spans="1:5">
      <c r="A90" s="79">
        <v>211559</v>
      </c>
      <c r="B90" s="21" t="s">
        <v>2092</v>
      </c>
      <c r="C90" s="138">
        <f>IFERROR(VLOOKUP(A90,Sheet1!B:D,3,0),0)</f>
        <v>43000</v>
      </c>
      <c r="D90">
        <f>VLOOKUP(A90,'Stock statement'!$C$3:$R$320,16,0)</f>
        <v>43000</v>
      </c>
      <c r="E90" s="145">
        <f t="shared" si="1"/>
        <v>0</v>
      </c>
    </row>
    <row r="91" spans="1:5">
      <c r="A91" s="76">
        <v>229075</v>
      </c>
      <c r="B91" s="21" t="s">
        <v>2093</v>
      </c>
      <c r="C91" s="138">
        <f>IFERROR(VLOOKUP(A91,Sheet1!B:D,3,0),0)</f>
        <v>14800</v>
      </c>
      <c r="D91">
        <f>VLOOKUP(A91,'Stock statement'!$C$3:$R$320,16,0)</f>
        <v>14800</v>
      </c>
      <c r="E91" s="145">
        <f t="shared" si="1"/>
        <v>0</v>
      </c>
    </row>
    <row r="92" spans="1:5">
      <c r="A92" s="76">
        <v>229593</v>
      </c>
      <c r="B92" s="21" t="s">
        <v>2094</v>
      </c>
      <c r="C92" s="138">
        <f>IFERROR(VLOOKUP(A92,Sheet1!B:D,3,0),0)</f>
        <v>13500</v>
      </c>
      <c r="D92">
        <f>VLOOKUP(A92,'Stock statement'!$C$3:$R$320,16,0)</f>
        <v>13500</v>
      </c>
      <c r="E92" s="145">
        <f t="shared" si="1"/>
        <v>0</v>
      </c>
    </row>
    <row r="93" spans="1:5">
      <c r="A93" s="76">
        <v>229594</v>
      </c>
      <c r="B93" s="21" t="s">
        <v>2095</v>
      </c>
      <c r="C93" s="138">
        <f>IFERROR(VLOOKUP(A93,Sheet1!B:D,3,0),0)</f>
        <v>13500</v>
      </c>
      <c r="D93">
        <f>VLOOKUP(A93,'Stock statement'!$C$3:$R$320,16,0)</f>
        <v>13500</v>
      </c>
      <c r="E93" s="145">
        <f t="shared" si="1"/>
        <v>0</v>
      </c>
    </row>
    <row r="94" spans="1:5">
      <c r="A94" s="76">
        <v>229833</v>
      </c>
      <c r="B94" s="21" t="s">
        <v>647</v>
      </c>
      <c r="C94" s="138">
        <f>IFERROR(VLOOKUP(A94,Sheet1!B:D,3,0),0)</f>
        <v>300</v>
      </c>
      <c r="D94">
        <f>VLOOKUP(A94,'Stock statement'!$C$3:$R$320,16,0)</f>
        <v>300</v>
      </c>
      <c r="E94" s="145">
        <f t="shared" si="1"/>
        <v>0</v>
      </c>
    </row>
    <row r="95" spans="1:5">
      <c r="A95" s="76">
        <v>229743</v>
      </c>
      <c r="B95" s="21" t="s">
        <v>2096</v>
      </c>
      <c r="C95" s="138">
        <f>IFERROR(VLOOKUP(A95,Sheet1!B:D,3,0),0)</f>
        <v>130500</v>
      </c>
      <c r="D95">
        <f>VLOOKUP(A95,'Stock statement'!$C$3:$R$320,16,0)</f>
        <v>130500</v>
      </c>
      <c r="E95" s="145">
        <f t="shared" si="1"/>
        <v>0</v>
      </c>
    </row>
    <row r="96" spans="1:5">
      <c r="A96" s="76">
        <v>229745</v>
      </c>
      <c r="B96" s="21" t="s">
        <v>650</v>
      </c>
      <c r="C96" s="138">
        <f>IFERROR(VLOOKUP(A96,Sheet1!B:D,3,0),0)</f>
        <v>528</v>
      </c>
      <c r="D96">
        <f>VLOOKUP(A96,'Stock statement'!$C$3:$R$320,16,0)</f>
        <v>528</v>
      </c>
      <c r="E96" s="145">
        <f t="shared" si="1"/>
        <v>0</v>
      </c>
    </row>
    <row r="97" spans="1:5">
      <c r="A97" s="76">
        <v>225003</v>
      </c>
      <c r="B97" s="21" t="s">
        <v>2097</v>
      </c>
      <c r="C97" s="138">
        <f>IFERROR(VLOOKUP(A97,Sheet1!B:D,3,0),0)</f>
        <v>3000</v>
      </c>
      <c r="D97">
        <f>VLOOKUP(A97,'Stock statement'!$C$3:$R$320,16,0)</f>
        <v>3000</v>
      </c>
      <c r="E97" s="145">
        <f t="shared" si="1"/>
        <v>0</v>
      </c>
    </row>
    <row r="98" spans="1:5">
      <c r="A98" s="76">
        <v>229742</v>
      </c>
      <c r="B98" s="21" t="s">
        <v>2098</v>
      </c>
      <c r="C98" s="138">
        <f>IFERROR(VLOOKUP(A98,Sheet1!B:D,3,0),0)</f>
        <v>29600</v>
      </c>
      <c r="D98">
        <f>VLOOKUP(A98,'Stock statement'!$C$3:$R$320,16,0)</f>
        <v>29600</v>
      </c>
      <c r="E98" s="145">
        <f t="shared" si="1"/>
        <v>0</v>
      </c>
    </row>
    <row r="99" spans="1:5">
      <c r="A99" s="76">
        <v>229824</v>
      </c>
      <c r="B99" s="21" t="s">
        <v>2099</v>
      </c>
      <c r="C99" s="138">
        <f>IFERROR(VLOOKUP(A99,Sheet1!B:D,3,0),0)</f>
        <v>520</v>
      </c>
      <c r="D99">
        <f>VLOOKUP(A99,'Stock statement'!$C$3:$R$320,16,0)</f>
        <v>520</v>
      </c>
      <c r="E99" s="145">
        <f t="shared" si="1"/>
        <v>0</v>
      </c>
    </row>
    <row r="100" spans="1:5">
      <c r="A100" s="76">
        <v>229747</v>
      </c>
      <c r="B100" s="21" t="s">
        <v>2100</v>
      </c>
      <c r="C100" s="138">
        <f>IFERROR(VLOOKUP(A100,Sheet1!B:D,3,0),0)</f>
        <v>111000</v>
      </c>
      <c r="D100">
        <f>VLOOKUP(A100,'Stock statement'!$C$3:$R$320,16,0)</f>
        <v>111000</v>
      </c>
      <c r="E100" s="145">
        <f t="shared" si="1"/>
        <v>0</v>
      </c>
    </row>
    <row r="101" spans="1:5">
      <c r="A101" s="76">
        <v>229895</v>
      </c>
      <c r="B101" s="21" t="s">
        <v>2101</v>
      </c>
      <c r="C101" s="138">
        <f>IFERROR(VLOOKUP(A101,Sheet1!B:D,3,0),0)</f>
        <v>47500</v>
      </c>
      <c r="D101">
        <f>VLOOKUP(A101,'Stock statement'!$C$3:$R$320,16,0)</f>
        <v>47500</v>
      </c>
      <c r="E101" s="145">
        <f t="shared" si="1"/>
        <v>0</v>
      </c>
    </row>
    <row r="102" spans="1:5">
      <c r="A102" s="76">
        <v>229740</v>
      </c>
      <c r="B102" s="21" t="s">
        <v>2102</v>
      </c>
      <c r="C102" s="138">
        <f>IFERROR(VLOOKUP(A102,Sheet1!B:D,3,0),0)</f>
        <v>23500</v>
      </c>
      <c r="D102">
        <f>VLOOKUP(A102,'Stock statement'!$C$3:$R$320,16,0)</f>
        <v>23500</v>
      </c>
      <c r="E102" s="145">
        <f t="shared" si="1"/>
        <v>0</v>
      </c>
    </row>
    <row r="103" spans="1:5">
      <c r="A103" s="76">
        <v>229736</v>
      </c>
      <c r="B103" s="21" t="s">
        <v>2103</v>
      </c>
      <c r="C103" s="138">
        <f>IFERROR(VLOOKUP(A103,Sheet1!B:D,3,0),0)</f>
        <v>31500</v>
      </c>
      <c r="D103">
        <f>VLOOKUP(A103,'Stock statement'!$C$3:$R$320,16,0)</f>
        <v>31500</v>
      </c>
      <c r="E103" s="145">
        <f t="shared" si="1"/>
        <v>0</v>
      </c>
    </row>
    <row r="104" spans="1:5">
      <c r="A104" s="76">
        <v>229737</v>
      </c>
      <c r="B104" s="21" t="s">
        <v>2104</v>
      </c>
      <c r="C104" s="138">
        <f>IFERROR(VLOOKUP(A104,Sheet1!B:D,3,0),0)</f>
        <v>34000</v>
      </c>
      <c r="D104">
        <f>VLOOKUP(A104,'Stock statement'!$C$3:$R$320,16,0)</f>
        <v>34000</v>
      </c>
      <c r="E104" s="145">
        <f t="shared" si="1"/>
        <v>0</v>
      </c>
    </row>
    <row r="105" spans="1:5">
      <c r="A105" s="76">
        <v>229825</v>
      </c>
      <c r="B105" s="21" t="s">
        <v>2105</v>
      </c>
      <c r="C105" s="138">
        <f>IFERROR(VLOOKUP(A105,Sheet1!B:D,3,0),0)</f>
        <v>620</v>
      </c>
      <c r="D105">
        <f>VLOOKUP(A105,'Stock statement'!$C$3:$R$320,16,0)</f>
        <v>620</v>
      </c>
      <c r="E105" s="145">
        <f t="shared" si="1"/>
        <v>0</v>
      </c>
    </row>
    <row r="106" spans="1:5">
      <c r="A106" s="76">
        <v>229741</v>
      </c>
      <c r="B106" s="21" t="s">
        <v>2106</v>
      </c>
      <c r="C106" s="138">
        <f>IFERROR(VLOOKUP(A106,Sheet1!B:D,3,0),0)</f>
        <v>26885</v>
      </c>
      <c r="D106">
        <f>VLOOKUP(A106,'Stock statement'!$C$3:$R$320,16,0)</f>
        <v>26885</v>
      </c>
      <c r="E106" s="145">
        <f t="shared" si="1"/>
        <v>0</v>
      </c>
    </row>
    <row r="107" spans="1:5">
      <c r="A107" s="76">
        <v>229738</v>
      </c>
      <c r="B107" s="21" t="s">
        <v>2107</v>
      </c>
      <c r="C107" s="138">
        <f>IFERROR(VLOOKUP(A107,Sheet1!B:D,3,0),0)</f>
        <v>48500</v>
      </c>
      <c r="D107">
        <f>VLOOKUP(A107,'Stock statement'!$C$3:$R$320,16,0)</f>
        <v>48500</v>
      </c>
      <c r="E107" s="145">
        <f t="shared" si="1"/>
        <v>0</v>
      </c>
    </row>
    <row r="108" spans="1:5">
      <c r="A108" s="76">
        <v>229739</v>
      </c>
      <c r="B108" s="21" t="s">
        <v>2108</v>
      </c>
      <c r="C108" s="138">
        <f>IFERROR(VLOOKUP(A108,Sheet1!B:D,3,0),0)</f>
        <v>45500</v>
      </c>
      <c r="D108">
        <f>VLOOKUP(A108,'Stock statement'!$C$3:$R$320,16,0)</f>
        <v>45500</v>
      </c>
      <c r="E108" s="145">
        <f t="shared" si="1"/>
        <v>0</v>
      </c>
    </row>
    <row r="109" spans="1:5">
      <c r="A109" s="76">
        <v>229827</v>
      </c>
      <c r="B109" s="21" t="s">
        <v>2105</v>
      </c>
      <c r="C109" s="138">
        <f>IFERROR(VLOOKUP(A109,Sheet1!B:D,3,0),0)</f>
        <v>109</v>
      </c>
      <c r="D109">
        <f>VLOOKUP(A109,'Stock statement'!$C$3:$R$320,16,0)</f>
        <v>109</v>
      </c>
      <c r="E109" s="145">
        <f t="shared" si="1"/>
        <v>0</v>
      </c>
    </row>
    <row r="110" spans="1:5">
      <c r="A110" s="76">
        <v>229896</v>
      </c>
      <c r="B110" s="21" t="s">
        <v>2107</v>
      </c>
      <c r="C110" s="138">
        <f>IFERROR(VLOOKUP(A110,Sheet1!B:D,3,0),0)</f>
        <v>10500</v>
      </c>
      <c r="D110">
        <f>VLOOKUP(A110,'Stock statement'!$C$3:$R$320,16,0)</f>
        <v>10500</v>
      </c>
      <c r="E110" s="145">
        <f t="shared" si="1"/>
        <v>0</v>
      </c>
    </row>
    <row r="111" spans="1:5">
      <c r="A111" s="76">
        <v>229897</v>
      </c>
      <c r="B111" s="21" t="s">
        <v>2108</v>
      </c>
      <c r="C111" s="138">
        <f>IFERROR(VLOOKUP(A111,Sheet1!B:D,3,0),0)</f>
        <v>10500</v>
      </c>
      <c r="D111">
        <f>VLOOKUP(A111,'Stock statement'!$C$3:$R$320,16,0)</f>
        <v>10500</v>
      </c>
      <c r="E111" s="145">
        <f t="shared" si="1"/>
        <v>0</v>
      </c>
    </row>
    <row r="112" spans="1:5">
      <c r="A112" s="76">
        <v>229826</v>
      </c>
      <c r="B112" s="21" t="s">
        <v>2105</v>
      </c>
      <c r="C112" s="138">
        <f>IFERROR(VLOOKUP(A112,Sheet1!B:D,3,0),0)</f>
        <v>560</v>
      </c>
      <c r="D112">
        <f>VLOOKUP(A112,'Stock statement'!$C$3:$R$320,16,0)</f>
        <v>560</v>
      </c>
      <c r="E112" s="145">
        <f t="shared" si="1"/>
        <v>0</v>
      </c>
    </row>
    <row r="113" spans="1:5">
      <c r="A113" s="76">
        <v>229899</v>
      </c>
      <c r="B113" s="21" t="s">
        <v>2106</v>
      </c>
      <c r="C113" s="138">
        <f>IFERROR(VLOOKUP(A113,Sheet1!B:D,3,0),0)</f>
        <v>6500</v>
      </c>
      <c r="D113">
        <f>VLOOKUP(A113,'Stock statement'!$C$3:$R$320,16,0)</f>
        <v>6500</v>
      </c>
      <c r="E113" s="145">
        <f t="shared" si="1"/>
        <v>0</v>
      </c>
    </row>
    <row r="114" spans="1:5">
      <c r="A114" s="76">
        <v>229900</v>
      </c>
      <c r="B114" s="21" t="s">
        <v>2107</v>
      </c>
      <c r="C114" s="138">
        <f>IFERROR(VLOOKUP(A114,Sheet1!B:D,3,0),0)</f>
        <v>4000</v>
      </c>
      <c r="D114">
        <f>VLOOKUP(A114,'Stock statement'!$C$3:$R$320,16,0)</f>
        <v>4000</v>
      </c>
      <c r="E114" s="145">
        <f t="shared" si="1"/>
        <v>0</v>
      </c>
    </row>
    <row r="115" spans="1:5">
      <c r="A115" s="76">
        <v>229901</v>
      </c>
      <c r="B115" s="21" t="s">
        <v>2108</v>
      </c>
      <c r="C115" s="138">
        <f>IFERROR(VLOOKUP(A115,Sheet1!B:D,3,0),0)</f>
        <v>4500</v>
      </c>
      <c r="D115">
        <f>VLOOKUP(A115,'Stock statement'!$C$3:$R$320,16,0)</f>
        <v>4500</v>
      </c>
      <c r="E115" s="145">
        <f t="shared" si="1"/>
        <v>0</v>
      </c>
    </row>
    <row r="116" spans="1:5">
      <c r="A116" s="76">
        <v>230225</v>
      </c>
      <c r="B116" s="21" t="s">
        <v>2109</v>
      </c>
      <c r="C116" s="138">
        <f>IFERROR(VLOOKUP(A116,Sheet1!B:D,3,0),0)</f>
        <v>1180</v>
      </c>
      <c r="D116">
        <f>VLOOKUP(A116,'Stock statement'!$C$3:$R$320,16,0)</f>
        <v>1180</v>
      </c>
      <c r="E116" s="145">
        <f t="shared" si="1"/>
        <v>0</v>
      </c>
    </row>
    <row r="117" spans="1:5">
      <c r="A117" s="76">
        <v>229898</v>
      </c>
      <c r="B117" s="21" t="s">
        <v>2100</v>
      </c>
      <c r="C117" s="138">
        <f>IFERROR(VLOOKUP(A117,Sheet1!B:D,3,0),0)</f>
        <v>13500</v>
      </c>
      <c r="D117">
        <f>VLOOKUP(A117,'Stock statement'!$C$3:$R$320,16,0)</f>
        <v>13500</v>
      </c>
      <c r="E117" s="145">
        <f t="shared" si="1"/>
        <v>0</v>
      </c>
    </row>
    <row r="118" spans="1:5">
      <c r="A118" s="76">
        <v>230223</v>
      </c>
      <c r="B118" s="21" t="s">
        <v>2103</v>
      </c>
      <c r="C118" s="138">
        <f>IFERROR(VLOOKUP(A118,Sheet1!B:D,3,0),0)</f>
        <v>14000</v>
      </c>
      <c r="D118">
        <f>VLOOKUP(A118,'Stock statement'!$C$3:$R$320,16,0)</f>
        <v>14000</v>
      </c>
      <c r="E118" s="145">
        <f t="shared" si="1"/>
        <v>0</v>
      </c>
    </row>
    <row r="119" spans="1:5">
      <c r="A119" s="76">
        <v>230224</v>
      </c>
      <c r="B119" s="21" t="s">
        <v>2104</v>
      </c>
      <c r="C119" s="138">
        <f>IFERROR(VLOOKUP(A119,Sheet1!B:D,3,0),0)</f>
        <v>17000</v>
      </c>
      <c r="D119">
        <f>VLOOKUP(A119,'Stock statement'!$C$3:$R$320,16,0)</f>
        <v>17000</v>
      </c>
      <c r="E119" s="145">
        <f t="shared" si="1"/>
        <v>0</v>
      </c>
    </row>
    <row r="120" spans="1:5">
      <c r="A120" s="76">
        <v>229919</v>
      </c>
      <c r="B120" s="21" t="s">
        <v>2102</v>
      </c>
      <c r="C120" s="138">
        <f>IFERROR(VLOOKUP(A120,Sheet1!B:D,3,0),0)</f>
        <v>8100</v>
      </c>
      <c r="D120">
        <f>VLOOKUP(A120,'Stock statement'!$C$3:$R$320,16,0)</f>
        <v>8100</v>
      </c>
      <c r="E120" s="145">
        <f t="shared" si="1"/>
        <v>0</v>
      </c>
    </row>
    <row r="121" spans="1:5">
      <c r="A121" s="76">
        <v>229918</v>
      </c>
      <c r="B121" s="21" t="s">
        <v>2110</v>
      </c>
      <c r="C121" s="138">
        <f>IFERROR(VLOOKUP(A121,Sheet1!B:D,3,0),0)</f>
        <v>0</v>
      </c>
      <c r="D121">
        <f>VLOOKUP(A121,'Stock statement'!$C$3:$R$320,16,0)</f>
        <v>0</v>
      </c>
      <c r="E121" s="145">
        <f t="shared" si="1"/>
        <v>0</v>
      </c>
    </row>
    <row r="122" spans="1:5">
      <c r="A122" s="76">
        <v>225004</v>
      </c>
      <c r="B122" s="21" t="s">
        <v>2103</v>
      </c>
      <c r="C122" s="138">
        <f>IFERROR(VLOOKUP(A122,Sheet1!B:D,3,0),0)</f>
        <v>19500</v>
      </c>
      <c r="D122">
        <f>VLOOKUP(A122,'Stock statement'!$C$3:$R$320,16,0)</f>
        <v>19500</v>
      </c>
      <c r="E122" s="145">
        <f t="shared" si="1"/>
        <v>0</v>
      </c>
    </row>
    <row r="123" spans="1:5">
      <c r="A123" s="76">
        <v>225005</v>
      </c>
      <c r="B123" s="21" t="s">
        <v>2104</v>
      </c>
      <c r="C123" s="138">
        <f>IFERROR(VLOOKUP(A123,Sheet1!B:D,3,0),0)</f>
        <v>19500</v>
      </c>
      <c r="D123">
        <f>VLOOKUP(A123,'Stock statement'!$C$3:$R$320,16,0)</f>
        <v>19500</v>
      </c>
      <c r="E123" s="145">
        <f t="shared" si="1"/>
        <v>0</v>
      </c>
    </row>
    <row r="124" spans="1:5">
      <c r="A124" s="76">
        <v>229841</v>
      </c>
      <c r="B124" s="21" t="s">
        <v>2111</v>
      </c>
      <c r="C124" s="138">
        <f>IFERROR(VLOOKUP(A124,Sheet1!B:D,3,0),0)</f>
        <v>270</v>
      </c>
      <c r="D124">
        <f>VLOOKUP(A124,'Stock statement'!$C$3:$R$320,16,0)</f>
        <v>270</v>
      </c>
      <c r="E124" s="145">
        <f t="shared" si="1"/>
        <v>0</v>
      </c>
    </row>
    <row r="125" spans="1:5">
      <c r="A125" s="76">
        <v>221882</v>
      </c>
      <c r="B125" s="21" t="s">
        <v>2112</v>
      </c>
      <c r="C125" s="138">
        <f>IFERROR(VLOOKUP(A125,Sheet1!B:D,3,0),0)</f>
        <v>0</v>
      </c>
      <c r="D125">
        <f>VLOOKUP(A125,'Stock statement'!$C$3:$R$320,16,0)</f>
        <v>0</v>
      </c>
      <c r="E125" s="145">
        <f t="shared" si="1"/>
        <v>0</v>
      </c>
    </row>
    <row r="126" spans="1:5">
      <c r="A126" s="76">
        <v>211680</v>
      </c>
      <c r="B126" s="21" t="s">
        <v>694</v>
      </c>
      <c r="C126" s="138">
        <f>IFERROR(VLOOKUP(A126,Sheet1!B:D,3,0),0)</f>
        <v>0</v>
      </c>
      <c r="D126">
        <f>VLOOKUP(A126,'Stock statement'!$C$3:$R$320,16,0)</f>
        <v>0</v>
      </c>
      <c r="E126" s="145">
        <f t="shared" ref="E126:E181" si="2">C126-D126</f>
        <v>0</v>
      </c>
    </row>
    <row r="127" spans="1:5">
      <c r="A127" s="76">
        <v>211683</v>
      </c>
      <c r="B127" s="21" t="s">
        <v>695</v>
      </c>
      <c r="C127" s="138">
        <f>IFERROR(VLOOKUP(A127,Sheet1!B:D,3,0),0)</f>
        <v>27000</v>
      </c>
      <c r="D127">
        <f>VLOOKUP(A127,'Stock statement'!$C$3:$R$320,16,0)</f>
        <v>27000</v>
      </c>
      <c r="E127" s="145">
        <f t="shared" si="2"/>
        <v>0</v>
      </c>
    </row>
    <row r="128" spans="1:5">
      <c r="A128" s="76">
        <v>211686</v>
      </c>
      <c r="B128" s="21" t="s">
        <v>696</v>
      </c>
      <c r="C128" s="138">
        <f>IFERROR(VLOOKUP(A128,Sheet1!B:D,3,0),0)</f>
        <v>23500</v>
      </c>
      <c r="D128">
        <f>VLOOKUP(A128,'Stock statement'!$C$3:$R$320,16,0)</f>
        <v>23500</v>
      </c>
      <c r="E128" s="145">
        <f t="shared" si="2"/>
        <v>0</v>
      </c>
    </row>
    <row r="129" spans="1:5">
      <c r="A129" s="76">
        <v>211681</v>
      </c>
      <c r="B129" s="21" t="s">
        <v>698</v>
      </c>
      <c r="C129" s="138">
        <f>IFERROR(VLOOKUP(A129,Sheet1!B:D,3,0),0)</f>
        <v>0</v>
      </c>
      <c r="D129">
        <f>VLOOKUP(A129,'Stock statement'!$C$3:$R$320,16,0)</f>
        <v>0</v>
      </c>
      <c r="E129" s="145">
        <f t="shared" si="2"/>
        <v>0</v>
      </c>
    </row>
    <row r="130" spans="1:5">
      <c r="A130" s="76">
        <v>211687</v>
      </c>
      <c r="B130" s="21" t="s">
        <v>699</v>
      </c>
      <c r="C130" s="138">
        <f>IFERROR(VLOOKUP(A130,Sheet1!B:D,3,0),0)</f>
        <v>240</v>
      </c>
      <c r="D130">
        <f>VLOOKUP(A130,'Stock statement'!$C$3:$R$320,16,0)</f>
        <v>240</v>
      </c>
      <c r="E130" s="145">
        <f t="shared" si="2"/>
        <v>0</v>
      </c>
    </row>
    <row r="131" spans="1:5">
      <c r="A131" s="76">
        <v>211675</v>
      </c>
      <c r="B131" s="21" t="s">
        <v>322</v>
      </c>
      <c r="C131" s="138">
        <f>IFERROR(VLOOKUP(A131,Sheet1!B:D,3,0),0)</f>
        <v>21150</v>
      </c>
      <c r="D131">
        <f>VLOOKUP(A131,'Stock statement'!$C$3:$R$320,16,0)</f>
        <v>21150</v>
      </c>
      <c r="E131" s="145">
        <f t="shared" si="2"/>
        <v>0</v>
      </c>
    </row>
    <row r="132" spans="1:5">
      <c r="A132" s="76">
        <v>211682</v>
      </c>
      <c r="B132" s="21" t="s">
        <v>700</v>
      </c>
      <c r="C132" s="138">
        <f>IFERROR(VLOOKUP(A132,Sheet1!B:D,3,0),0)</f>
        <v>10000</v>
      </c>
      <c r="D132">
        <f>VLOOKUP(A132,'Stock statement'!$C$3:$R$320,16,0)</f>
        <v>10000</v>
      </c>
      <c r="E132" s="145">
        <f t="shared" si="2"/>
        <v>0</v>
      </c>
    </row>
    <row r="133" spans="1:5">
      <c r="A133" s="76">
        <v>211685</v>
      </c>
      <c r="B133" s="21" t="s">
        <v>701</v>
      </c>
      <c r="C133" s="138">
        <f>IFERROR(VLOOKUP(A133,Sheet1!B:D,3,0),0)</f>
        <v>8000</v>
      </c>
      <c r="D133">
        <f>VLOOKUP(A133,'Stock statement'!$C$3:$R$320,16,0)</f>
        <v>8000</v>
      </c>
      <c r="E133" s="145">
        <f t="shared" si="2"/>
        <v>0</v>
      </c>
    </row>
    <row r="134" spans="1:5">
      <c r="A134" s="76">
        <v>211684</v>
      </c>
      <c r="B134" s="21" t="s">
        <v>702</v>
      </c>
      <c r="C134" s="138">
        <f>IFERROR(VLOOKUP(A134,Sheet1!B:D,3,0),0)</f>
        <v>380</v>
      </c>
      <c r="D134">
        <f>VLOOKUP(A134,'Stock statement'!$C$3:$R$320,16,0)</f>
        <v>380</v>
      </c>
      <c r="E134" s="145">
        <f t="shared" si="2"/>
        <v>0</v>
      </c>
    </row>
    <row r="135" spans="1:5">
      <c r="A135" s="78">
        <v>220393</v>
      </c>
      <c r="B135" s="21" t="s">
        <v>703</v>
      </c>
      <c r="C135" s="138">
        <f>IFERROR(VLOOKUP(A135,Sheet1!B:D,3,0),0)</f>
        <v>6080</v>
      </c>
      <c r="D135">
        <f>VLOOKUP(A135,'Stock statement'!$C$3:$R$320,16,0)</f>
        <v>6080</v>
      </c>
      <c r="E135" s="145">
        <f t="shared" si="2"/>
        <v>0</v>
      </c>
    </row>
    <row r="136" spans="1:5">
      <c r="A136" s="78">
        <v>222274</v>
      </c>
      <c r="B136" s="21" t="s">
        <v>2113</v>
      </c>
      <c r="C136" s="138">
        <f>IFERROR(VLOOKUP(A136,Sheet1!B:D,3,0),0)</f>
        <v>0</v>
      </c>
      <c r="D136">
        <f>VLOOKUP(A136,'Stock statement'!$C$3:$R$320,16,0)</f>
        <v>0</v>
      </c>
      <c r="E136" s="145">
        <f t="shared" si="2"/>
        <v>0</v>
      </c>
    </row>
    <row r="137" spans="1:5">
      <c r="A137" s="78">
        <v>229732</v>
      </c>
      <c r="B137" s="21" t="s">
        <v>705</v>
      </c>
      <c r="C137" s="138">
        <f>IFERROR(VLOOKUP(A137,Sheet1!B:D,3,0),0)</f>
        <v>0</v>
      </c>
      <c r="D137">
        <f>VLOOKUP(A137,'Stock statement'!$C$3:$R$320,16,0)</f>
        <v>0</v>
      </c>
      <c r="E137" s="145">
        <f t="shared" si="2"/>
        <v>0</v>
      </c>
    </row>
    <row r="138" spans="1:5">
      <c r="A138" s="80">
        <v>212461</v>
      </c>
      <c r="B138" s="21" t="s">
        <v>2114</v>
      </c>
      <c r="C138" s="138">
        <f>IFERROR(VLOOKUP(A138,Sheet1!B:D,3,0),0)</f>
        <v>0</v>
      </c>
      <c r="D138">
        <f>VLOOKUP(A138,'Stock statement'!$C$3:$R$320,16,0)</f>
        <v>0</v>
      </c>
      <c r="E138" s="145">
        <f t="shared" si="2"/>
        <v>0</v>
      </c>
    </row>
    <row r="139" spans="1:5">
      <c r="A139" s="76">
        <v>212463</v>
      </c>
      <c r="B139" s="21" t="s">
        <v>2115</v>
      </c>
      <c r="C139" s="138">
        <f>IFERROR(VLOOKUP(A139,Sheet1!B:D,3,0),0)</f>
        <v>0</v>
      </c>
      <c r="D139">
        <f>VLOOKUP(A139,'Stock statement'!$C$3:$R$320,16,0)</f>
        <v>0</v>
      </c>
      <c r="E139" s="145">
        <f t="shared" si="2"/>
        <v>0</v>
      </c>
    </row>
    <row r="140" spans="1:5">
      <c r="A140" s="78">
        <v>229822</v>
      </c>
      <c r="B140" s="21" t="s">
        <v>712</v>
      </c>
      <c r="C140" s="138">
        <f>IFERROR(VLOOKUP(A140,Sheet1!B:D,3,0),0)</f>
        <v>0</v>
      </c>
      <c r="D140">
        <f>VLOOKUP(A140,'Stock statement'!$C$3:$R$320,16,0)</f>
        <v>0</v>
      </c>
      <c r="E140" s="145">
        <f t="shared" si="2"/>
        <v>0</v>
      </c>
    </row>
    <row r="141" spans="1:5">
      <c r="A141" s="78">
        <v>229823</v>
      </c>
      <c r="B141" s="21" t="s">
        <v>714</v>
      </c>
      <c r="C141" s="138">
        <f>IFERROR(VLOOKUP(A141,Sheet1!B:D,3,0),0)</f>
        <v>0</v>
      </c>
      <c r="D141">
        <f>VLOOKUP(A141,'Stock statement'!$C$3:$R$320,16,0)</f>
        <v>0</v>
      </c>
      <c r="E141" s="145">
        <f t="shared" si="2"/>
        <v>0</v>
      </c>
    </row>
    <row r="142" spans="1:5">
      <c r="A142" s="78">
        <v>229850</v>
      </c>
      <c r="B142" s="21" t="s">
        <v>716</v>
      </c>
      <c r="C142" s="138">
        <f>IFERROR(VLOOKUP(A142,Sheet1!B:D,3,0),0)</f>
        <v>38</v>
      </c>
      <c r="D142">
        <f>VLOOKUP(A142,'Stock statement'!$C$3:$R$320,16,0)</f>
        <v>38</v>
      </c>
      <c r="E142" s="145">
        <f t="shared" si="2"/>
        <v>0</v>
      </c>
    </row>
    <row r="143" spans="1:5">
      <c r="A143" s="78">
        <v>229851</v>
      </c>
      <c r="B143" s="21" t="s">
        <v>718</v>
      </c>
      <c r="C143" s="138">
        <f>IFERROR(VLOOKUP(A143,Sheet1!B:D,3,0),0)</f>
        <v>1524</v>
      </c>
      <c r="D143">
        <f>VLOOKUP(A143,'Stock statement'!$C$3:$R$320,16,0)</f>
        <v>1524</v>
      </c>
      <c r="E143" s="145">
        <f t="shared" si="2"/>
        <v>0</v>
      </c>
    </row>
    <row r="144" spans="1:5">
      <c r="A144" s="76">
        <v>212791</v>
      </c>
      <c r="B144" s="21" t="s">
        <v>2116</v>
      </c>
      <c r="C144" s="138">
        <f>IFERROR(VLOOKUP(A144,Sheet1!B:D,3,0),0)</f>
        <v>0</v>
      </c>
      <c r="D144">
        <f>VLOOKUP(A144,'Stock statement'!$C$3:$R$320,16,0)</f>
        <v>0</v>
      </c>
      <c r="E144" s="145">
        <f t="shared" si="2"/>
        <v>0</v>
      </c>
    </row>
    <row r="145" spans="1:5">
      <c r="A145" s="78">
        <v>212792</v>
      </c>
      <c r="B145" s="21" t="s">
        <v>2117</v>
      </c>
      <c r="C145" s="138">
        <f>IFERROR(VLOOKUP(A145,Sheet1!B:D,3,0),0)</f>
        <v>0</v>
      </c>
      <c r="D145">
        <f>VLOOKUP(A145,'Stock statement'!$C$3:$R$320,16,0)</f>
        <v>0</v>
      </c>
      <c r="E145" s="145">
        <f t="shared" si="2"/>
        <v>0</v>
      </c>
    </row>
    <row r="146" spans="1:5">
      <c r="A146" s="78">
        <v>229854</v>
      </c>
      <c r="B146" s="21" t="s">
        <v>720</v>
      </c>
      <c r="C146" s="138">
        <f>IFERROR(VLOOKUP(A146,Sheet1!B:D,3,0),0)</f>
        <v>0</v>
      </c>
      <c r="D146">
        <f>VLOOKUP(A146,'Stock statement'!$C$3:$R$320,16,0)</f>
        <v>0</v>
      </c>
      <c r="E146" s="145">
        <f t="shared" si="2"/>
        <v>0</v>
      </c>
    </row>
    <row r="147" spans="1:5">
      <c r="A147" s="78">
        <v>229855</v>
      </c>
      <c r="B147" s="21" t="s">
        <v>722</v>
      </c>
      <c r="C147" s="138">
        <f>IFERROR(VLOOKUP(A147,Sheet1!B:D,3,0),0)</f>
        <v>0</v>
      </c>
      <c r="D147">
        <f>VLOOKUP(A147,'Stock statement'!$C$3:$R$320,16,0)</f>
        <v>0</v>
      </c>
      <c r="E147" s="145">
        <f t="shared" si="2"/>
        <v>0</v>
      </c>
    </row>
    <row r="148" spans="1:5">
      <c r="A148" s="78">
        <v>230153</v>
      </c>
      <c r="B148" s="21" t="s">
        <v>728</v>
      </c>
      <c r="C148" s="138">
        <f>IFERROR(VLOOKUP(A148,Sheet1!B:D,3,0),0)</f>
        <v>0</v>
      </c>
      <c r="D148">
        <f>VLOOKUP(A148,'Stock statement'!$C$3:$R$320,16,0)</f>
        <v>0</v>
      </c>
      <c r="E148" s="145">
        <f t="shared" si="2"/>
        <v>0</v>
      </c>
    </row>
    <row r="149" spans="1:5">
      <c r="A149" s="76">
        <v>211697</v>
      </c>
      <c r="B149" s="21" t="s">
        <v>227</v>
      </c>
      <c r="C149" s="138">
        <f>IFERROR(VLOOKUP(A149,Sheet1!B:D,3,0),0)</f>
        <v>1383</v>
      </c>
      <c r="D149">
        <f>VLOOKUP(A149,'Stock statement'!$C$3:$R$320,16,0)</f>
        <v>1383</v>
      </c>
      <c r="E149" s="145">
        <f t="shared" si="2"/>
        <v>0</v>
      </c>
    </row>
    <row r="150" spans="1:5">
      <c r="A150" s="78">
        <v>230154</v>
      </c>
      <c r="B150" s="21" t="s">
        <v>759</v>
      </c>
      <c r="C150" s="138">
        <f>IFERROR(VLOOKUP(A150,Sheet1!B:D,3,0),0)</f>
        <v>0</v>
      </c>
      <c r="D150">
        <f>VLOOKUP(A150,'Stock statement'!$C$3:$R$320,16,0)</f>
        <v>0</v>
      </c>
      <c r="E150" s="145">
        <f t="shared" si="2"/>
        <v>0</v>
      </c>
    </row>
    <row r="151" spans="1:5">
      <c r="A151" s="78">
        <v>211167</v>
      </c>
      <c r="B151" s="21" t="s">
        <v>2118</v>
      </c>
      <c r="C151" s="138">
        <f>IFERROR(VLOOKUP(A151,Sheet1!B:D,3,0),0)</f>
        <v>0</v>
      </c>
      <c r="D151">
        <f>VLOOKUP(A151,'Stock statement'!$C$3:$R$320,16,0)</f>
        <v>0</v>
      </c>
      <c r="E151" s="145">
        <f t="shared" si="2"/>
        <v>0</v>
      </c>
    </row>
    <row r="152" spans="1:5">
      <c r="A152" s="76">
        <v>212455</v>
      </c>
      <c r="B152" s="21" t="s">
        <v>2119</v>
      </c>
      <c r="C152" s="138">
        <f>IFERROR(VLOOKUP(A152,Sheet1!B:D,3,0),0)</f>
        <v>0</v>
      </c>
      <c r="D152">
        <f>VLOOKUP(A152,'Stock statement'!$C$3:$R$320,16,0)</f>
        <v>0</v>
      </c>
      <c r="E152" s="145">
        <f t="shared" si="2"/>
        <v>0</v>
      </c>
    </row>
    <row r="153" spans="1:5">
      <c r="A153" s="76">
        <v>212457</v>
      </c>
      <c r="B153" s="21" t="s">
        <v>2120</v>
      </c>
      <c r="C153" s="138">
        <f>IFERROR(VLOOKUP(A153,Sheet1!B:D,3,0),0)</f>
        <v>0</v>
      </c>
      <c r="D153">
        <f>VLOOKUP(A153,'Stock statement'!$C$3:$R$320,16,0)</f>
        <v>0</v>
      </c>
      <c r="E153" s="145">
        <f t="shared" si="2"/>
        <v>0</v>
      </c>
    </row>
    <row r="154" spans="1:5">
      <c r="A154" s="78">
        <v>211165</v>
      </c>
      <c r="B154" s="21" t="s">
        <v>2121</v>
      </c>
      <c r="C154" s="138">
        <f>IFERROR(VLOOKUP(A154,Sheet1!B:D,3,0),0)</f>
        <v>0</v>
      </c>
      <c r="D154">
        <f>VLOOKUP(A154,'Stock statement'!$C$3:$R$320,16,0)</f>
        <v>0</v>
      </c>
      <c r="E154" s="145">
        <f t="shared" si="2"/>
        <v>0</v>
      </c>
    </row>
    <row r="155" spans="1:5">
      <c r="A155" s="78">
        <v>212459</v>
      </c>
      <c r="B155" s="21" t="s">
        <v>2122</v>
      </c>
      <c r="C155" s="138">
        <f>IFERROR(VLOOKUP(A155,Sheet1!B:D,3,0),0)</f>
        <v>0</v>
      </c>
      <c r="D155">
        <f>VLOOKUP(A155,'Stock statement'!$C$3:$R$320,16,0)</f>
        <v>0</v>
      </c>
      <c r="E155" s="145">
        <f t="shared" si="2"/>
        <v>0</v>
      </c>
    </row>
    <row r="156" spans="1:5">
      <c r="A156" s="78">
        <v>211671</v>
      </c>
      <c r="B156" s="21" t="s">
        <v>317</v>
      </c>
      <c r="C156" s="138">
        <f>IFERROR(VLOOKUP(A156,Sheet1!B:D,3,0),0)</f>
        <v>1500</v>
      </c>
      <c r="D156">
        <f>VLOOKUP(A156,'Stock statement'!$C$3:$R$320,16,0)</f>
        <v>1500</v>
      </c>
      <c r="E156" s="145">
        <f t="shared" si="2"/>
        <v>0</v>
      </c>
    </row>
    <row r="157" spans="1:5">
      <c r="A157" s="76">
        <v>229935</v>
      </c>
      <c r="B157" s="21" t="s">
        <v>2123</v>
      </c>
      <c r="C157" s="138">
        <f>IFERROR(VLOOKUP(A157,Sheet1!B:D,3,0),0)</f>
        <v>0</v>
      </c>
      <c r="D157">
        <f>VLOOKUP(A157,'Stock statement'!$C$3:$R$320,16,0)</f>
        <v>0</v>
      </c>
      <c r="E157" s="145">
        <f t="shared" si="2"/>
        <v>0</v>
      </c>
    </row>
    <row r="158" spans="1:5">
      <c r="A158" s="78">
        <v>229937</v>
      </c>
      <c r="B158" s="21" t="s">
        <v>730</v>
      </c>
      <c r="C158" s="138">
        <f>IFERROR(VLOOKUP(A158,Sheet1!B:D,3,0),0)</f>
        <v>0</v>
      </c>
      <c r="D158">
        <f>VLOOKUP(A158,'Stock statement'!$C$3:$R$320,16,0)</f>
        <v>0</v>
      </c>
      <c r="E158" s="145">
        <f t="shared" si="2"/>
        <v>0</v>
      </c>
    </row>
    <row r="159" spans="1:5">
      <c r="A159" s="76">
        <v>213052</v>
      </c>
      <c r="B159" s="21" t="s">
        <v>2124</v>
      </c>
      <c r="C159" s="138">
        <f>IFERROR(VLOOKUP(A159,Sheet1!B:D,3,0),0)</f>
        <v>670</v>
      </c>
      <c r="D159">
        <f>VLOOKUP(A159,'Stock statement'!$C$3:$R$320,16,0)</f>
        <v>670</v>
      </c>
      <c r="E159" s="145">
        <f t="shared" si="2"/>
        <v>0</v>
      </c>
    </row>
    <row r="160" spans="1:5">
      <c r="A160" s="78">
        <v>212955</v>
      </c>
      <c r="B160" s="21" t="s">
        <v>2125</v>
      </c>
      <c r="C160" s="138">
        <f>IFERROR(VLOOKUP(A160,Sheet1!B:D,3,0),0)</f>
        <v>0</v>
      </c>
      <c r="D160">
        <f>VLOOKUP(A160,'Stock statement'!$C$3:$R$320,16,0)</f>
        <v>0</v>
      </c>
      <c r="E160" s="145">
        <f t="shared" si="2"/>
        <v>0</v>
      </c>
    </row>
    <row r="161" spans="1:5">
      <c r="A161" s="76">
        <v>213059</v>
      </c>
      <c r="B161" s="21" t="s">
        <v>2126</v>
      </c>
      <c r="C161" s="138">
        <f>IFERROR(VLOOKUP(A161,Sheet1!B:D,3,0),0)</f>
        <v>0</v>
      </c>
      <c r="D161">
        <f>VLOOKUP(A161,'Stock statement'!$C$3:$R$320,16,0)</f>
        <v>0</v>
      </c>
      <c r="E161" s="145">
        <f t="shared" si="2"/>
        <v>0</v>
      </c>
    </row>
    <row r="162" spans="1:5">
      <c r="A162" s="76">
        <v>213075</v>
      </c>
      <c r="B162" s="21" t="s">
        <v>2127</v>
      </c>
      <c r="C162" s="138">
        <f>IFERROR(VLOOKUP(A162,Sheet1!B:D,3,0),0)</f>
        <v>0</v>
      </c>
      <c r="D162">
        <f>VLOOKUP(A162,'Stock statement'!$C$3:$R$320,16,0)</f>
        <v>0</v>
      </c>
      <c r="E162" s="145">
        <f t="shared" si="2"/>
        <v>0</v>
      </c>
    </row>
    <row r="163" spans="1:5">
      <c r="A163" s="78">
        <v>211166</v>
      </c>
      <c r="B163" s="21" t="s">
        <v>438</v>
      </c>
      <c r="C163" s="138">
        <f>IFERROR(VLOOKUP(A163,Sheet1!B:D,3,0),0)</f>
        <v>0</v>
      </c>
      <c r="D163">
        <f>VLOOKUP(A163,'Stock statement'!$C$3:$R$320,16,0)</f>
        <v>0</v>
      </c>
      <c r="E163" s="145">
        <f t="shared" si="2"/>
        <v>0</v>
      </c>
    </row>
    <row r="164" spans="1:5">
      <c r="A164" s="78">
        <v>213022</v>
      </c>
      <c r="B164" s="21" t="s">
        <v>2128</v>
      </c>
      <c r="C164" s="138">
        <f>IFERROR(VLOOKUP(A164,Sheet1!B:D,3,0),0)</f>
        <v>493</v>
      </c>
      <c r="D164">
        <f>VLOOKUP(A164,'Stock statement'!$C$3:$R$320,16,0)</f>
        <v>493</v>
      </c>
      <c r="E164" s="145">
        <f t="shared" si="2"/>
        <v>0</v>
      </c>
    </row>
    <row r="165" spans="1:5">
      <c r="A165" s="78">
        <v>213023</v>
      </c>
      <c r="B165" s="21" t="s">
        <v>2129</v>
      </c>
      <c r="C165" s="138">
        <f>IFERROR(VLOOKUP(A165,Sheet1!B:D,3,0),0)</f>
        <v>121.99999999999999</v>
      </c>
      <c r="D165">
        <f>VLOOKUP(A165,'Stock statement'!$C$3:$R$320,16,0)</f>
        <v>121.99999999999999</v>
      </c>
      <c r="E165" s="145">
        <f t="shared" si="2"/>
        <v>0</v>
      </c>
    </row>
    <row r="166" spans="1:5">
      <c r="A166" s="78">
        <v>213024</v>
      </c>
      <c r="B166" s="21" t="s">
        <v>2130</v>
      </c>
      <c r="C166" s="138">
        <f>IFERROR(VLOOKUP(A166,Sheet1!B:D,3,0),0)</f>
        <v>0</v>
      </c>
      <c r="D166">
        <f>VLOOKUP(A166,'Stock statement'!$C$3:$R$320,16,0)</f>
        <v>0</v>
      </c>
      <c r="E166" s="145">
        <f t="shared" si="2"/>
        <v>0</v>
      </c>
    </row>
    <row r="167" spans="1:5">
      <c r="A167" s="78">
        <v>213101</v>
      </c>
      <c r="B167" s="21" t="s">
        <v>2131</v>
      </c>
      <c r="C167" s="138">
        <f>IFERROR(VLOOKUP(A167,Sheet1!B:D,3,0),0)</f>
        <v>0</v>
      </c>
      <c r="D167">
        <f>VLOOKUP(A167,'Stock statement'!$C$3:$R$320,16,0)</f>
        <v>0</v>
      </c>
      <c r="E167" s="145">
        <f t="shared" si="2"/>
        <v>0</v>
      </c>
    </row>
    <row r="168" spans="1:5">
      <c r="A168" s="78">
        <v>213100</v>
      </c>
      <c r="B168" s="21" t="s">
        <v>2132</v>
      </c>
      <c r="C168" s="138">
        <f>IFERROR(VLOOKUP(A168,Sheet1!B:D,3,0),0)</f>
        <v>0</v>
      </c>
      <c r="D168">
        <f>VLOOKUP(A168,'Stock statement'!$C$3:$R$320,16,0)</f>
        <v>0</v>
      </c>
      <c r="E168" s="145">
        <f t="shared" si="2"/>
        <v>0</v>
      </c>
    </row>
    <row r="169" spans="1:5">
      <c r="A169" s="76">
        <v>213105</v>
      </c>
      <c r="B169" s="21" t="s">
        <v>2133</v>
      </c>
      <c r="C169" s="138">
        <f>IFERROR(VLOOKUP(A169,Sheet1!B:D,3,0),0)</f>
        <v>0</v>
      </c>
      <c r="D169">
        <f>VLOOKUP(A169,'Stock statement'!$C$3:$R$320,16,0)</f>
        <v>0</v>
      </c>
      <c r="E169" s="145">
        <f t="shared" si="2"/>
        <v>0</v>
      </c>
    </row>
    <row r="170" spans="1:5">
      <c r="A170" s="76">
        <v>213104</v>
      </c>
      <c r="B170" s="21" t="s">
        <v>2134</v>
      </c>
      <c r="C170" s="138">
        <f>IFERROR(VLOOKUP(A170,Sheet1!B:D,3,0),0)</f>
        <v>0</v>
      </c>
      <c r="D170">
        <f>VLOOKUP(A170,'Stock statement'!$C$3:$R$320,16,0)</f>
        <v>0</v>
      </c>
      <c r="E170" s="145">
        <f t="shared" si="2"/>
        <v>0</v>
      </c>
    </row>
    <row r="171" spans="1:5">
      <c r="A171" s="76">
        <v>213102</v>
      </c>
      <c r="B171" s="21" t="s">
        <v>2135</v>
      </c>
      <c r="C171" s="138">
        <f>IFERROR(VLOOKUP(A171,Sheet1!B:D,3,0),0)</f>
        <v>180</v>
      </c>
      <c r="D171">
        <f>VLOOKUP(A171,'Stock statement'!$C$3:$R$320,16,0)</f>
        <v>180</v>
      </c>
      <c r="E171" s="145">
        <f t="shared" si="2"/>
        <v>0</v>
      </c>
    </row>
    <row r="172" spans="1:5">
      <c r="A172" s="76">
        <v>213103</v>
      </c>
      <c r="B172" s="21" t="s">
        <v>2135</v>
      </c>
      <c r="C172" s="138">
        <f>IFERROR(VLOOKUP(A172,Sheet1!B:D,3,0),0)</f>
        <v>1340</v>
      </c>
      <c r="D172">
        <f>VLOOKUP(A172,'Stock statement'!$C$3:$R$320,16,0)</f>
        <v>1340</v>
      </c>
      <c r="E172" s="145">
        <f t="shared" si="2"/>
        <v>0</v>
      </c>
    </row>
    <row r="173" spans="1:5">
      <c r="A173" s="78">
        <v>212502</v>
      </c>
      <c r="B173" s="21" t="s">
        <v>2136</v>
      </c>
      <c r="C173" s="138">
        <f>IFERROR(VLOOKUP(A173,Sheet1!B:D,3,0),0)</f>
        <v>0</v>
      </c>
      <c r="D173">
        <f>VLOOKUP(A173,'Stock statement'!$C$3:$R$320,16,0)</f>
        <v>0</v>
      </c>
      <c r="E173" s="145">
        <f t="shared" si="2"/>
        <v>0</v>
      </c>
    </row>
    <row r="174" spans="1:5">
      <c r="A174" s="78">
        <v>212501</v>
      </c>
      <c r="B174" s="21" t="s">
        <v>2137</v>
      </c>
      <c r="C174" s="138">
        <f>IFERROR(VLOOKUP(A174,Sheet1!B:D,3,0),0)</f>
        <v>0</v>
      </c>
      <c r="D174">
        <f>VLOOKUP(A174,'Stock statement'!$C$3:$R$320,16,0)</f>
        <v>0</v>
      </c>
      <c r="E174" s="145">
        <f t="shared" si="2"/>
        <v>0</v>
      </c>
    </row>
    <row r="175" spans="1:5">
      <c r="A175" s="78">
        <v>212473</v>
      </c>
      <c r="B175" s="21" t="s">
        <v>794</v>
      </c>
      <c r="C175" s="138">
        <f>IFERROR(VLOOKUP(A175,Sheet1!B:D,3,0),0)</f>
        <v>1010</v>
      </c>
      <c r="D175">
        <f>VLOOKUP(A175,'Stock statement'!$C$3:$R$320,16,0)</f>
        <v>1010</v>
      </c>
      <c r="E175" s="145">
        <f t="shared" si="2"/>
        <v>0</v>
      </c>
    </row>
    <row r="176" spans="1:5">
      <c r="A176" s="78">
        <v>212477</v>
      </c>
      <c r="B176" s="21" t="s">
        <v>795</v>
      </c>
      <c r="C176" s="138">
        <f>IFERROR(VLOOKUP(A176,Sheet1!B:D,3,0),0)</f>
        <v>388</v>
      </c>
      <c r="D176">
        <f>VLOOKUP(A176,'Stock statement'!$C$3:$R$320,16,0)</f>
        <v>388</v>
      </c>
      <c r="E176" s="145">
        <f t="shared" si="2"/>
        <v>0</v>
      </c>
    </row>
    <row r="177" spans="1:5">
      <c r="A177" s="78">
        <v>212475</v>
      </c>
      <c r="B177" s="21" t="s">
        <v>796</v>
      </c>
      <c r="C177" s="138">
        <f>IFERROR(VLOOKUP(A177,Sheet1!B:D,3,0),0)</f>
        <v>850</v>
      </c>
      <c r="D177">
        <f>VLOOKUP(A177,'Stock statement'!$C$3:$R$320,16,0)</f>
        <v>850</v>
      </c>
      <c r="E177" s="145">
        <f t="shared" si="2"/>
        <v>0</v>
      </c>
    </row>
    <row r="178" spans="1:5">
      <c r="A178" s="78">
        <v>211712</v>
      </c>
      <c r="B178" s="21" t="s">
        <v>797</v>
      </c>
      <c r="C178" s="138">
        <f>IFERROR(VLOOKUP(A178,Sheet1!B:D,3,0),0)</f>
        <v>640</v>
      </c>
      <c r="D178">
        <f>VLOOKUP(A178,'Stock statement'!$C$3:$R$320,16,0)</f>
        <v>640</v>
      </c>
      <c r="E178" s="145">
        <f t="shared" si="2"/>
        <v>0</v>
      </c>
    </row>
    <row r="179" spans="1:5">
      <c r="A179" s="78">
        <v>230240</v>
      </c>
      <c r="B179" s="21" t="s">
        <v>230</v>
      </c>
      <c r="C179" s="138">
        <f>IFERROR(VLOOKUP(A179,Sheet1!B:D,3,0),0)</f>
        <v>0</v>
      </c>
      <c r="D179">
        <f>VLOOKUP(A179,'Stock statement'!$C$3:$R$320,16,0)</f>
        <v>0</v>
      </c>
      <c r="E179" s="145">
        <f t="shared" si="2"/>
        <v>0</v>
      </c>
    </row>
    <row r="180" spans="1:5">
      <c r="A180" s="78">
        <v>230241</v>
      </c>
      <c r="B180" s="21" t="s">
        <v>228</v>
      </c>
      <c r="C180" s="138">
        <f>IFERROR(VLOOKUP(A180,Sheet1!B:D,3,0),0)</f>
        <v>2080</v>
      </c>
      <c r="D180">
        <f>VLOOKUP(A180,'Stock statement'!$C$3:$R$320,16,0)</f>
        <v>2080</v>
      </c>
      <c r="E180" s="145">
        <f t="shared" si="2"/>
        <v>0</v>
      </c>
    </row>
    <row r="181" spans="1:5">
      <c r="A181" s="78">
        <v>230242</v>
      </c>
      <c r="B181" s="21" t="s">
        <v>733</v>
      </c>
      <c r="C181" s="138">
        <f>IFERROR(VLOOKUP(A181,Sheet1!B:D,3,0),0)</f>
        <v>290</v>
      </c>
      <c r="D181">
        <f>VLOOKUP(A181,'Stock statement'!$C$3:$R$320,16,0)</f>
        <v>290</v>
      </c>
      <c r="E181" s="145">
        <f t="shared" si="2"/>
        <v>0</v>
      </c>
    </row>
    <row r="182" spans="1:5">
      <c r="A182" s="76">
        <v>212639</v>
      </c>
      <c r="B182" s="21" t="s">
        <v>432</v>
      </c>
      <c r="C182" s="138">
        <f>IFERROR(VLOOKUP(A182,Sheet1!B:D,3,0),0)</f>
        <v>0</v>
      </c>
      <c r="D182">
        <f>VLOOKUP(A182,'Stock statement'!$C$3:$R$320,16,0)</f>
        <v>0</v>
      </c>
      <c r="E182" s="145">
        <f t="shared" ref="E182:E241" si="3">C182-D182</f>
        <v>0</v>
      </c>
    </row>
    <row r="183" spans="1:5">
      <c r="A183" s="76">
        <v>212640</v>
      </c>
      <c r="B183" s="21" t="s">
        <v>433</v>
      </c>
      <c r="C183" s="138">
        <f>IFERROR(VLOOKUP(A183,Sheet1!B:D,3,0),0)</f>
        <v>0</v>
      </c>
      <c r="D183">
        <f>VLOOKUP(A183,'Stock statement'!$C$3:$R$320,16,0)</f>
        <v>0</v>
      </c>
      <c r="E183" s="145">
        <f t="shared" si="3"/>
        <v>0</v>
      </c>
    </row>
    <row r="184" spans="1:5">
      <c r="A184" s="78">
        <v>211669</v>
      </c>
      <c r="B184" s="21" t="s">
        <v>439</v>
      </c>
      <c r="C184" s="138">
        <f>IFERROR(VLOOKUP(A184,Sheet1!B:D,3,0),0)</f>
        <v>0</v>
      </c>
      <c r="D184">
        <f>VLOOKUP(A184,'Stock statement'!$C$3:$R$320,16,0)</f>
        <v>0</v>
      </c>
      <c r="E184" s="145">
        <f t="shared" si="3"/>
        <v>0</v>
      </c>
    </row>
    <row r="185" spans="1:5">
      <c r="A185" s="78">
        <v>211670</v>
      </c>
      <c r="B185" s="21" t="s">
        <v>436</v>
      </c>
      <c r="C185" s="138">
        <f>IFERROR(VLOOKUP(A185,Sheet1!B:D,3,0),0)</f>
        <v>0</v>
      </c>
      <c r="D185">
        <f>VLOOKUP(A185,'Stock statement'!$C$3:$R$320,16,0)</f>
        <v>0</v>
      </c>
      <c r="E185" s="145">
        <f t="shared" si="3"/>
        <v>0</v>
      </c>
    </row>
    <row r="186" spans="1:5">
      <c r="A186" s="78">
        <v>211673</v>
      </c>
      <c r="B186" s="21" t="s">
        <v>318</v>
      </c>
      <c r="C186" s="138">
        <f>IFERROR(VLOOKUP(A186,Sheet1!B:D,3,0),0)</f>
        <v>2240</v>
      </c>
      <c r="D186">
        <f>VLOOKUP(A186,'Stock statement'!$C$3:$R$320,16,0)</f>
        <v>2240</v>
      </c>
      <c r="E186" s="145">
        <f t="shared" si="3"/>
        <v>0</v>
      </c>
    </row>
    <row r="187" spans="1:5">
      <c r="A187" s="78">
        <v>230067</v>
      </c>
      <c r="B187" s="21" t="s">
        <v>551</v>
      </c>
      <c r="C187" s="138">
        <f>IFERROR(VLOOKUP(A187,Sheet1!B:D,3,0),0)</f>
        <v>0</v>
      </c>
      <c r="D187">
        <f>VLOOKUP(A187,'Stock statement'!$C$3:$R$320,16,0)</f>
        <v>0</v>
      </c>
      <c r="E187" s="145">
        <f t="shared" si="3"/>
        <v>0</v>
      </c>
    </row>
    <row r="188" spans="1:5">
      <c r="A188" s="78">
        <v>230069</v>
      </c>
      <c r="B188" s="21" t="s">
        <v>736</v>
      </c>
      <c r="C188" s="138">
        <f>IFERROR(VLOOKUP(A188,Sheet1!B:D,3,0),0)</f>
        <v>0</v>
      </c>
      <c r="D188">
        <f>VLOOKUP(A188,'Stock statement'!$C$3:$R$320,16,0)</f>
        <v>0</v>
      </c>
      <c r="E188" s="145">
        <f t="shared" si="3"/>
        <v>0</v>
      </c>
    </row>
    <row r="189" spans="1:5">
      <c r="A189" s="76">
        <v>212580</v>
      </c>
      <c r="B189" s="21" t="s">
        <v>780</v>
      </c>
      <c r="C189" s="138">
        <f>IFERROR(VLOOKUP(A189,Sheet1!B:D,3,0),0)</f>
        <v>0</v>
      </c>
      <c r="D189">
        <f>VLOOKUP(A189,'Stock statement'!$C$3:$R$320,16,0)</f>
        <v>0</v>
      </c>
      <c r="E189" s="145">
        <f t="shared" si="3"/>
        <v>0</v>
      </c>
    </row>
    <row r="190" spans="1:5">
      <c r="A190" s="76">
        <v>212581</v>
      </c>
      <c r="B190" s="21" t="s">
        <v>781</v>
      </c>
      <c r="C190" s="138">
        <f>IFERROR(VLOOKUP(A190,Sheet1!B:D,3,0),0)</f>
        <v>0</v>
      </c>
      <c r="D190">
        <f>VLOOKUP(A190,'Stock statement'!$C$3:$R$320,16,0)</f>
        <v>0</v>
      </c>
      <c r="E190" s="145">
        <f t="shared" si="3"/>
        <v>0</v>
      </c>
    </row>
    <row r="191" spans="1:5">
      <c r="A191" s="76">
        <v>212583</v>
      </c>
      <c r="B191" s="21" t="s">
        <v>782</v>
      </c>
      <c r="C191" s="138">
        <f>IFERROR(VLOOKUP(A191,Sheet1!B:D,3,0),0)</f>
        <v>0</v>
      </c>
      <c r="D191">
        <f>VLOOKUP(A191,'Stock statement'!$C$3:$R$320,16,0)</f>
        <v>0</v>
      </c>
      <c r="E191" s="145">
        <f t="shared" si="3"/>
        <v>0</v>
      </c>
    </row>
    <row r="192" spans="1:5">
      <c r="A192" s="76">
        <v>212582</v>
      </c>
      <c r="B192" s="21" t="s">
        <v>783</v>
      </c>
      <c r="C192" s="138">
        <f>IFERROR(VLOOKUP(A192,Sheet1!B:D,3,0),0)</f>
        <v>0</v>
      </c>
      <c r="D192">
        <f>VLOOKUP(A192,'Stock statement'!$C$3:$R$320,16,0)</f>
        <v>0</v>
      </c>
      <c r="E192" s="145">
        <f t="shared" si="3"/>
        <v>0</v>
      </c>
    </row>
    <row r="193" spans="1:5">
      <c r="A193" s="76">
        <v>211657</v>
      </c>
      <c r="B193" s="21" t="s">
        <v>724</v>
      </c>
      <c r="C193" s="138">
        <f>IFERROR(VLOOKUP(A193,Sheet1!B:D,3,0),0)</f>
        <v>2680</v>
      </c>
      <c r="D193">
        <f>VLOOKUP(A193,'Stock statement'!$C$3:$R$320,16,0)</f>
        <v>2680</v>
      </c>
      <c r="E193" s="145">
        <f t="shared" si="3"/>
        <v>0</v>
      </c>
    </row>
    <row r="194" spans="1:5">
      <c r="A194" s="76">
        <v>211655</v>
      </c>
      <c r="B194" s="21" t="s">
        <v>726</v>
      </c>
      <c r="C194" s="138">
        <f>IFERROR(VLOOKUP(A194,Sheet1!B:D,3,0),0)</f>
        <v>11000</v>
      </c>
      <c r="D194">
        <f>VLOOKUP(A194,'Stock statement'!$C$3:$R$320,16,0)</f>
        <v>11000</v>
      </c>
      <c r="E194" s="145">
        <f t="shared" si="3"/>
        <v>0</v>
      </c>
    </row>
    <row r="195" spans="1:5">
      <c r="A195" s="76">
        <v>211656</v>
      </c>
      <c r="B195" s="21" t="s">
        <v>708</v>
      </c>
      <c r="C195" s="138">
        <f>IFERROR(VLOOKUP(A195,Sheet1!B:D,3,0),0)</f>
        <v>0</v>
      </c>
      <c r="D195">
        <f>VLOOKUP(A195,'Stock statement'!$C$3:$R$320,16,0)</f>
        <v>0</v>
      </c>
      <c r="E195" s="145">
        <f t="shared" si="3"/>
        <v>0</v>
      </c>
    </row>
    <row r="196" spans="1:5">
      <c r="A196" s="76">
        <v>230290</v>
      </c>
      <c r="B196" s="21" t="s">
        <v>732</v>
      </c>
      <c r="C196" s="138">
        <f>IFERROR(VLOOKUP(A196,Sheet1!B:D,3,0),0)</f>
        <v>0</v>
      </c>
      <c r="D196">
        <f>VLOOKUP(A196,'Stock statement'!$C$3:$R$320,16,0)</f>
        <v>0</v>
      </c>
      <c r="E196" s="145">
        <f t="shared" si="3"/>
        <v>0</v>
      </c>
    </row>
    <row r="197" spans="1:5">
      <c r="A197" s="76">
        <v>230220</v>
      </c>
      <c r="B197" s="21" t="s">
        <v>735</v>
      </c>
      <c r="C197" s="138">
        <f>IFERROR(VLOOKUP(A197,Sheet1!B:D,3,0),0)</f>
        <v>0</v>
      </c>
      <c r="D197">
        <f>VLOOKUP(A197,'Stock statement'!$C$3:$R$320,16,0)</f>
        <v>0</v>
      </c>
      <c r="E197" s="145">
        <f t="shared" si="3"/>
        <v>0</v>
      </c>
    </row>
    <row r="198" spans="1:5">
      <c r="A198" s="76">
        <v>212536</v>
      </c>
      <c r="B198" s="21" t="s">
        <v>744</v>
      </c>
      <c r="C198" s="138">
        <f>IFERROR(VLOOKUP(A198,Sheet1!B:D,3,0),0)</f>
        <v>0</v>
      </c>
      <c r="D198">
        <f>VLOOKUP(A198,'Stock statement'!$C$3:$R$320,16,0)</f>
        <v>0</v>
      </c>
      <c r="E198" s="145">
        <f t="shared" si="3"/>
        <v>0</v>
      </c>
    </row>
    <row r="199" spans="1:5">
      <c r="A199" s="76">
        <v>212460</v>
      </c>
      <c r="B199" s="21" t="s">
        <v>748</v>
      </c>
      <c r="C199" s="138">
        <f>IFERROR(VLOOKUP(A199,Sheet1!B:D,3,0),0)</f>
        <v>0</v>
      </c>
      <c r="D199">
        <f>VLOOKUP(A199,'Stock statement'!$C$3:$R$320,16,0)</f>
        <v>0</v>
      </c>
      <c r="E199" s="145">
        <f t="shared" si="3"/>
        <v>0</v>
      </c>
    </row>
    <row r="200" spans="1:5">
      <c r="A200" s="76">
        <v>212500</v>
      </c>
      <c r="B200" s="21" t="s">
        <v>749</v>
      </c>
      <c r="C200" s="138">
        <f>IFERROR(VLOOKUP(A200,Sheet1!B:D,3,0),0)</f>
        <v>0</v>
      </c>
      <c r="D200">
        <f>VLOOKUP(A200,'Stock statement'!$C$3:$R$320,16,0)</f>
        <v>0</v>
      </c>
      <c r="E200" s="145">
        <f t="shared" si="3"/>
        <v>0</v>
      </c>
    </row>
    <row r="201" spans="1:5">
      <c r="A201" s="80">
        <v>212839</v>
      </c>
      <c r="B201" s="21" t="s">
        <v>753</v>
      </c>
      <c r="C201" s="138">
        <f>IFERROR(VLOOKUP(A201,Sheet1!B:D,3,0),0)</f>
        <v>0</v>
      </c>
      <c r="D201">
        <f>VLOOKUP(A201,'Stock statement'!$C$3:$R$320,16,0)</f>
        <v>0</v>
      </c>
      <c r="E201" s="145">
        <f t="shared" si="3"/>
        <v>0</v>
      </c>
    </row>
    <row r="202" spans="1:5">
      <c r="A202" s="80">
        <v>212840</v>
      </c>
      <c r="B202" s="21" t="s">
        <v>754</v>
      </c>
      <c r="C202" s="138">
        <f>IFERROR(VLOOKUP(A202,Sheet1!B:D,3,0),0)</f>
        <v>0</v>
      </c>
      <c r="D202">
        <f>VLOOKUP(A202,'Stock statement'!$C$3:$R$320,16,0)</f>
        <v>0</v>
      </c>
      <c r="E202" s="145">
        <f t="shared" si="3"/>
        <v>0</v>
      </c>
    </row>
    <row r="203" spans="1:5">
      <c r="A203" s="76">
        <v>212797</v>
      </c>
      <c r="B203" s="21" t="s">
        <v>755</v>
      </c>
      <c r="C203" s="138">
        <f>IFERROR(VLOOKUP(A203,Sheet1!B:D,3,0),0)</f>
        <v>521</v>
      </c>
      <c r="D203">
        <f>VLOOKUP(A203,'Stock statement'!$C$3:$R$320,16,0)</f>
        <v>521</v>
      </c>
      <c r="E203" s="145">
        <f t="shared" si="3"/>
        <v>0</v>
      </c>
    </row>
    <row r="204" spans="1:5">
      <c r="A204" s="76">
        <v>212462</v>
      </c>
      <c r="B204" s="21" t="s">
        <v>756</v>
      </c>
      <c r="C204" s="138">
        <f>IFERROR(VLOOKUP(A204,Sheet1!B:D,3,0),0)</f>
        <v>0</v>
      </c>
      <c r="D204">
        <f>VLOOKUP(A204,'Stock statement'!$C$3:$R$320,16,0)</f>
        <v>0</v>
      </c>
      <c r="E204" s="145">
        <f t="shared" si="3"/>
        <v>0</v>
      </c>
    </row>
    <row r="205" spans="1:5">
      <c r="A205" s="78">
        <v>114588</v>
      </c>
      <c r="B205" s="21" t="s">
        <v>762</v>
      </c>
      <c r="C205" s="138">
        <f>IFERROR(VLOOKUP(A205,Sheet1!B:D,3,0),0)</f>
        <v>0</v>
      </c>
      <c r="D205">
        <f>VLOOKUP(A205,'Stock statement'!$C$3:$R$320,16,0)</f>
        <v>0</v>
      </c>
      <c r="E205" s="145">
        <f t="shared" si="3"/>
        <v>0</v>
      </c>
    </row>
    <row r="206" spans="1:5">
      <c r="A206" s="76">
        <v>213238</v>
      </c>
      <c r="B206" s="21" t="s">
        <v>777</v>
      </c>
      <c r="C206" s="138">
        <f>IFERROR(VLOOKUP(A206,Sheet1!B:D,3,0),0)</f>
        <v>0</v>
      </c>
      <c r="D206">
        <f>VLOOKUP(A206,'Stock statement'!$C$3:$R$320,16,0)</f>
        <v>0</v>
      </c>
      <c r="E206" s="145">
        <f t="shared" si="3"/>
        <v>0</v>
      </c>
    </row>
    <row r="207" spans="1:5">
      <c r="A207" s="76">
        <v>211696</v>
      </c>
      <c r="B207" s="21" t="s">
        <v>778</v>
      </c>
      <c r="C207" s="138">
        <f>IFERROR(VLOOKUP(A207,Sheet1!B:D,3,0),0)</f>
        <v>0</v>
      </c>
      <c r="D207">
        <f>VLOOKUP(A207,'Stock statement'!$C$3:$R$320,16,0)</f>
        <v>0</v>
      </c>
      <c r="E207" s="145">
        <f t="shared" si="3"/>
        <v>0</v>
      </c>
    </row>
    <row r="208" spans="1:5">
      <c r="A208" s="76">
        <v>211698</v>
      </c>
      <c r="B208" s="21" t="s">
        <v>779</v>
      </c>
      <c r="C208" s="138">
        <f>IFERROR(VLOOKUP(A208,Sheet1!B:D,3,0),0)</f>
        <v>0</v>
      </c>
      <c r="D208">
        <f>VLOOKUP(A208,'Stock statement'!$C$3:$R$320,16,0)</f>
        <v>0</v>
      </c>
      <c r="E208" s="145">
        <f t="shared" si="3"/>
        <v>0</v>
      </c>
    </row>
    <row r="209" spans="1:5">
      <c r="A209" s="79">
        <v>213441</v>
      </c>
      <c r="B209" s="22" t="s">
        <v>375</v>
      </c>
      <c r="C209" s="138">
        <f>IFERROR(VLOOKUP(A209,Sheet1!B:D,3,0),0)</f>
        <v>0</v>
      </c>
      <c r="D209">
        <f>VLOOKUP(A209,'Stock statement'!$C$3:$R$320,16,0)</f>
        <v>0</v>
      </c>
      <c r="E209" s="145">
        <f t="shared" si="3"/>
        <v>0</v>
      </c>
    </row>
    <row r="210" spans="1:5">
      <c r="A210" s="81">
        <v>213740</v>
      </c>
      <c r="B210" s="24" t="s">
        <v>804</v>
      </c>
      <c r="C210" s="138">
        <f>IFERROR(VLOOKUP(A210,Sheet1!B:D,3,0),0)</f>
        <v>0</v>
      </c>
      <c r="D210">
        <f>VLOOKUP(A210,'Stock statement'!$C$3:$R$320,16,0)</f>
        <v>0</v>
      </c>
      <c r="E210" s="145">
        <f t="shared" si="3"/>
        <v>0</v>
      </c>
    </row>
    <row r="211" spans="1:5">
      <c r="A211" s="81">
        <v>213667</v>
      </c>
      <c r="B211" s="24" t="s">
        <v>805</v>
      </c>
      <c r="C211" s="138">
        <f>IFERROR(VLOOKUP(A211,Sheet1!B:D,3,0),0)</f>
        <v>0</v>
      </c>
      <c r="D211">
        <f>VLOOKUP(A211,'Stock statement'!$C$3:$R$320,16,0)</f>
        <v>0</v>
      </c>
      <c r="E211" s="145">
        <f t="shared" si="3"/>
        <v>0</v>
      </c>
    </row>
    <row r="212" spans="1:5">
      <c r="A212" s="79">
        <v>110037</v>
      </c>
      <c r="B212" s="22" t="s">
        <v>316</v>
      </c>
      <c r="C212" s="138">
        <f>IFERROR(VLOOKUP(A212,Sheet1!B:D,3,0),0)</f>
        <v>0</v>
      </c>
      <c r="D212">
        <f>VLOOKUP(A212,'Stock statement'!$C$3:$R$320,16,0)</f>
        <v>0</v>
      </c>
      <c r="E212" s="145">
        <f t="shared" si="3"/>
        <v>0</v>
      </c>
    </row>
    <row r="213" spans="1:5">
      <c r="A213" s="82">
        <v>212374</v>
      </c>
      <c r="B213" s="26" t="s">
        <v>2138</v>
      </c>
      <c r="C213" s="138">
        <f>IFERROR(VLOOKUP(A213,Sheet1!B:D,3,0),0)</f>
        <v>1400</v>
      </c>
      <c r="D213">
        <f>VLOOKUP(A213,'Stock statement'!$C$3:$R$320,16,0)</f>
        <v>1400</v>
      </c>
      <c r="E213" s="145">
        <f t="shared" si="3"/>
        <v>0</v>
      </c>
    </row>
    <row r="214" spans="1:5">
      <c r="A214" s="82">
        <v>212375</v>
      </c>
      <c r="B214" s="26" t="s">
        <v>2139</v>
      </c>
      <c r="C214" s="138">
        <f>IFERROR(VLOOKUP(A214,Sheet1!B:D,3,0),0)</f>
        <v>0</v>
      </c>
      <c r="D214">
        <f>VLOOKUP(A214,'Stock statement'!$C$3:$R$320,16,0)</f>
        <v>0</v>
      </c>
      <c r="E214" s="145">
        <f t="shared" si="3"/>
        <v>0</v>
      </c>
    </row>
    <row r="215" spans="1:5">
      <c r="A215" s="82">
        <v>213012</v>
      </c>
      <c r="B215" s="27" t="s">
        <v>760</v>
      </c>
      <c r="C215" s="138">
        <f>IFERROR(VLOOKUP(A215,Sheet1!B:D,3,0),0)</f>
        <v>0</v>
      </c>
      <c r="D215">
        <f>VLOOKUP(A215,'Stock statement'!$C$3:$R$320,16,0)</f>
        <v>0</v>
      </c>
      <c r="E215" s="145">
        <f t="shared" si="3"/>
        <v>0</v>
      </c>
    </row>
    <row r="216" spans="1:5">
      <c r="A216" s="83">
        <v>213507</v>
      </c>
      <c r="B216" s="20" t="s">
        <v>2140</v>
      </c>
      <c r="C216" s="138">
        <f>IFERROR(VLOOKUP(A216,Sheet1!B:D,3,0),0)</f>
        <v>1160</v>
      </c>
      <c r="D216">
        <f>VLOOKUP(A216,'Stock statement'!$C$3:$R$320,16,0)</f>
        <v>1160</v>
      </c>
      <c r="E216" s="145">
        <f t="shared" si="3"/>
        <v>0</v>
      </c>
    </row>
    <row r="217" spans="1:5" ht="15.6">
      <c r="A217" s="84">
        <v>115071</v>
      </c>
      <c r="B217" s="18" t="s">
        <v>311</v>
      </c>
      <c r="C217" s="138">
        <f>IFERROR(VLOOKUP(A217,Sheet1!B:D,3,0),0)</f>
        <v>504.57</v>
      </c>
      <c r="D217">
        <f>VLOOKUP(A217,'Stock statement'!$C$3:$R$320,16,0)</f>
        <v>504.57</v>
      </c>
      <c r="E217" s="145">
        <f t="shared" si="3"/>
        <v>0</v>
      </c>
    </row>
    <row r="218" spans="1:5">
      <c r="A218" s="85">
        <v>213787</v>
      </c>
      <c r="B218" s="19" t="s">
        <v>806</v>
      </c>
      <c r="C218" s="138">
        <f>IFERROR(VLOOKUP(A218,Sheet1!B:D,3,0),0)</f>
        <v>0</v>
      </c>
      <c r="D218">
        <f>VLOOKUP(A218,'Stock statement'!$C$3:$R$320,16,0)</f>
        <v>0</v>
      </c>
      <c r="E218" s="145">
        <f t="shared" si="3"/>
        <v>0</v>
      </c>
    </row>
    <row r="219" spans="1:5">
      <c r="A219" s="85">
        <v>213789</v>
      </c>
      <c r="B219" s="19" t="s">
        <v>807</v>
      </c>
      <c r="C219" s="138">
        <f>IFERROR(VLOOKUP(A219,Sheet1!B:D,3,0),0)</f>
        <v>0</v>
      </c>
      <c r="D219">
        <f>VLOOKUP(A219,'Stock statement'!$C$3:$R$320,16,0)</f>
        <v>0</v>
      </c>
      <c r="E219" s="145">
        <f t="shared" si="3"/>
        <v>0</v>
      </c>
    </row>
    <row r="220" spans="1:5">
      <c r="A220" s="85">
        <v>213788</v>
      </c>
      <c r="B220" s="19" t="s">
        <v>808</v>
      </c>
      <c r="C220" s="138">
        <f>IFERROR(VLOOKUP(A220,Sheet1!B:D,3,0),0)</f>
        <v>0</v>
      </c>
      <c r="D220">
        <f>VLOOKUP(A220,'Stock statement'!$C$3:$R$320,16,0)</f>
        <v>0</v>
      </c>
      <c r="E220" s="145">
        <f t="shared" si="3"/>
        <v>0</v>
      </c>
    </row>
    <row r="221" spans="1:5">
      <c r="A221" s="85">
        <v>213795</v>
      </c>
      <c r="B221" s="19" t="s">
        <v>809</v>
      </c>
      <c r="C221" s="138">
        <f>IFERROR(VLOOKUP(A221,Sheet1!B:D,3,0),0)</f>
        <v>0</v>
      </c>
      <c r="D221">
        <f>VLOOKUP(A221,'Stock statement'!$C$3:$R$320,16,0)</f>
        <v>0</v>
      </c>
      <c r="E221" s="145">
        <f t="shared" si="3"/>
        <v>0</v>
      </c>
    </row>
    <row r="222" spans="1:5">
      <c r="A222" s="52">
        <v>213863</v>
      </c>
      <c r="B222" s="6" t="s">
        <v>399</v>
      </c>
      <c r="C222" s="138">
        <f>IFERROR(VLOOKUP(A222,Sheet1!B:D,3,0),0)</f>
        <v>880</v>
      </c>
      <c r="D222">
        <f>VLOOKUP(A222,'Stock statement'!$C$3:$R$320,16,0)</f>
        <v>880</v>
      </c>
      <c r="E222" s="145">
        <f t="shared" si="3"/>
        <v>0</v>
      </c>
    </row>
    <row r="223" spans="1:5">
      <c r="A223" s="52">
        <v>213864</v>
      </c>
      <c r="B223" s="6" t="s">
        <v>400</v>
      </c>
      <c r="C223" s="138">
        <f>IFERROR(VLOOKUP(A223,Sheet1!B:D,3,0),0)</f>
        <v>780</v>
      </c>
      <c r="D223">
        <f>VLOOKUP(A223,'Stock statement'!$C$3:$R$320,16,0)</f>
        <v>780</v>
      </c>
      <c r="E223" s="145">
        <f t="shared" si="3"/>
        <v>0</v>
      </c>
    </row>
    <row r="224" spans="1:5">
      <c r="A224" s="52">
        <v>213808</v>
      </c>
      <c r="B224" s="6" t="s">
        <v>811</v>
      </c>
      <c r="C224" s="138">
        <f>IFERROR(VLOOKUP(A224,Sheet1!B:D,3,0),0)</f>
        <v>0</v>
      </c>
      <c r="D224">
        <f>VLOOKUP(A224,'Stock statement'!$C$3:$R$320,16,0)</f>
        <v>0</v>
      </c>
      <c r="E224" s="145">
        <f t="shared" si="3"/>
        <v>0</v>
      </c>
    </row>
    <row r="225" spans="1:5">
      <c r="A225" s="52">
        <v>213809</v>
      </c>
      <c r="B225" s="6" t="s">
        <v>812</v>
      </c>
      <c r="C225" s="138">
        <f>IFERROR(VLOOKUP(A225,Sheet1!B:D,3,0),0)</f>
        <v>0</v>
      </c>
      <c r="D225">
        <f>VLOOKUP(A225,'Stock statement'!$C$3:$R$320,16,0)</f>
        <v>0</v>
      </c>
      <c r="E225" s="145">
        <f t="shared" si="3"/>
        <v>0</v>
      </c>
    </row>
    <row r="226" spans="1:5">
      <c r="A226" s="52">
        <v>213810</v>
      </c>
      <c r="B226" s="6" t="s">
        <v>813</v>
      </c>
      <c r="C226" s="138">
        <f>IFERROR(VLOOKUP(A226,Sheet1!B:D,3,0),0)</f>
        <v>0</v>
      </c>
      <c r="D226">
        <f>VLOOKUP(A226,'Stock statement'!$C$3:$R$320,16,0)</f>
        <v>0</v>
      </c>
      <c r="E226" s="145">
        <f t="shared" si="3"/>
        <v>0</v>
      </c>
    </row>
    <row r="227" spans="1:5">
      <c r="A227" s="52">
        <v>213811</v>
      </c>
      <c r="B227" s="6" t="s">
        <v>814</v>
      </c>
      <c r="C227" s="138">
        <f>IFERROR(VLOOKUP(A227,Sheet1!B:D,3,0),0)</f>
        <v>0</v>
      </c>
      <c r="D227">
        <f>VLOOKUP(A227,'Stock statement'!$C$3:$R$320,16,0)</f>
        <v>0</v>
      </c>
      <c r="E227" s="145">
        <f t="shared" si="3"/>
        <v>0</v>
      </c>
    </row>
    <row r="228" spans="1:5">
      <c r="A228" s="52">
        <v>213806</v>
      </c>
      <c r="B228" s="6" t="s">
        <v>815</v>
      </c>
      <c r="C228" s="138">
        <f>IFERROR(VLOOKUP(A228,Sheet1!B:D,3,0),0)</f>
        <v>0</v>
      </c>
      <c r="D228">
        <f>VLOOKUP(A228,'Stock statement'!$C$3:$R$320,16,0)</f>
        <v>0</v>
      </c>
      <c r="E228" s="145">
        <f t="shared" si="3"/>
        <v>0</v>
      </c>
    </row>
    <row r="229" spans="1:5">
      <c r="A229" s="52">
        <v>213807</v>
      </c>
      <c r="B229" s="6" t="s">
        <v>816</v>
      </c>
      <c r="C229" s="138">
        <f>IFERROR(VLOOKUP(A229,Sheet1!B:D,3,0),0)</f>
        <v>0</v>
      </c>
      <c r="D229">
        <f>VLOOKUP(A229,'Stock statement'!$C$3:$R$320,16,0)</f>
        <v>0</v>
      </c>
      <c r="E229" s="145">
        <f t="shared" si="3"/>
        <v>0</v>
      </c>
    </row>
    <row r="230" spans="1:5">
      <c r="A230" s="52">
        <v>213873</v>
      </c>
      <c r="B230" s="6" t="s">
        <v>395</v>
      </c>
      <c r="C230" s="138">
        <f>IFERROR(VLOOKUP(A230,Sheet1!B:D,3,0),0)</f>
        <v>1168</v>
      </c>
      <c r="D230">
        <f>VLOOKUP(A230,'Stock statement'!$C$3:$R$320,16,0)</f>
        <v>1168</v>
      </c>
      <c r="E230" s="145">
        <f t="shared" si="3"/>
        <v>0</v>
      </c>
    </row>
    <row r="231" spans="1:5" ht="16.5" customHeight="1">
      <c r="A231" s="52">
        <v>213874</v>
      </c>
      <c r="B231" s="6" t="s">
        <v>396</v>
      </c>
      <c r="C231" s="138">
        <f>IFERROR(VLOOKUP(A231,Sheet1!B:D,3,0),0)</f>
        <v>187</v>
      </c>
      <c r="D231">
        <f>VLOOKUP(A231,'Stock statement'!$C$3:$R$320,16,0)</f>
        <v>187</v>
      </c>
      <c r="E231" s="145">
        <f t="shared" si="3"/>
        <v>0</v>
      </c>
    </row>
    <row r="232" spans="1:5">
      <c r="A232" s="52">
        <v>114030</v>
      </c>
      <c r="B232" s="6" t="s">
        <v>817</v>
      </c>
      <c r="C232" s="138">
        <f>IFERROR(VLOOKUP(A232,Sheet1!B:D,3,0),0)</f>
        <v>0.82</v>
      </c>
      <c r="D232">
        <f>VLOOKUP(A232,'Stock statement'!$C$3:$R$320,16,0)</f>
        <v>0.82</v>
      </c>
      <c r="E232" s="145">
        <f t="shared" si="3"/>
        <v>0</v>
      </c>
    </row>
    <row r="233" spans="1:5">
      <c r="A233" s="136">
        <v>213865</v>
      </c>
      <c r="B233" s="19" t="s">
        <v>2141</v>
      </c>
      <c r="C233" s="138">
        <f>IFERROR(VLOOKUP(A233,Sheet1!B:D,3,0),0)</f>
        <v>0</v>
      </c>
      <c r="D233">
        <f>VLOOKUP(A233,'Stock statement'!$C$3:$R$320,16,0)</f>
        <v>0</v>
      </c>
      <c r="E233" s="145">
        <f t="shared" si="3"/>
        <v>0</v>
      </c>
    </row>
    <row r="234" spans="1:5">
      <c r="A234" s="136">
        <v>213867</v>
      </c>
      <c r="B234" s="137" t="s">
        <v>563</v>
      </c>
      <c r="C234" s="138">
        <f>IFERROR(VLOOKUP(A234,Sheet1!B:D,3,0),0)</f>
        <v>132.20200000000048</v>
      </c>
      <c r="D234">
        <f>VLOOKUP(A234,'Stock statement'!$C$3:$R$320,16,0)</f>
        <v>132.20200000000048</v>
      </c>
      <c r="E234" s="145">
        <f t="shared" si="3"/>
        <v>0</v>
      </c>
    </row>
    <row r="235" spans="1:5" ht="15.6">
      <c r="A235" s="86">
        <v>110451</v>
      </c>
      <c r="B235" s="29" t="s">
        <v>822</v>
      </c>
      <c r="C235" s="138">
        <f>IFERROR(VLOOKUP(A235,Sheet1!B:D,3,0),0)</f>
        <v>0</v>
      </c>
      <c r="D235">
        <f>VLOOKUP(A235,'Stock statement'!$C$3:$R$320,16,0)</f>
        <v>0</v>
      </c>
      <c r="E235" s="145">
        <f t="shared" si="3"/>
        <v>0</v>
      </c>
    </row>
    <row r="236" spans="1:5" ht="15.6">
      <c r="A236" s="86">
        <v>115133</v>
      </c>
      <c r="B236" s="29" t="s">
        <v>2142</v>
      </c>
      <c r="C236" s="138">
        <f>IFERROR(VLOOKUP(A236,Sheet1!B:D,3,0),0)</f>
        <v>0</v>
      </c>
      <c r="D236">
        <f>VLOOKUP(A236,'Stock statement'!$C$3:$R$320,16,0)</f>
        <v>0</v>
      </c>
      <c r="E236" s="145">
        <f t="shared" si="3"/>
        <v>0</v>
      </c>
    </row>
    <row r="237" spans="1:5" ht="15.6">
      <c r="A237" s="86">
        <v>213981</v>
      </c>
      <c r="B237" s="29" t="s">
        <v>829</v>
      </c>
      <c r="C237" s="138">
        <f>IFERROR(VLOOKUP(A237,Sheet1!B:D,3,0),0)</f>
        <v>0</v>
      </c>
      <c r="D237">
        <f>VLOOKUP(A237,'Stock statement'!$C$3:$R$320,16,0)</f>
        <v>0</v>
      </c>
      <c r="E237" s="145">
        <f t="shared" si="3"/>
        <v>0</v>
      </c>
    </row>
    <row r="238" spans="1:5" ht="15.6">
      <c r="A238" s="86">
        <v>214022</v>
      </c>
      <c r="B238" s="29" t="s">
        <v>388</v>
      </c>
      <c r="C238" s="138">
        <f>IFERROR(VLOOKUP(A238,Sheet1!B:D,3,0),0)</f>
        <v>480</v>
      </c>
      <c r="D238">
        <f>VLOOKUP(A238,'Stock statement'!$C$3:$R$320,16,0)</f>
        <v>480</v>
      </c>
      <c r="E238" s="145">
        <f t="shared" si="3"/>
        <v>0</v>
      </c>
    </row>
    <row r="239" spans="1:5" ht="15.6">
      <c r="A239" s="86">
        <v>214021</v>
      </c>
      <c r="B239" s="29" t="s">
        <v>389</v>
      </c>
      <c r="C239" s="138">
        <f>IFERROR(VLOOKUP(A239,Sheet1!B:D,3,0),0)</f>
        <v>1640</v>
      </c>
      <c r="D239">
        <f>VLOOKUP(A239,'Stock statement'!$C$3:$R$320,16,0)</f>
        <v>1640</v>
      </c>
      <c r="E239" s="145">
        <f t="shared" si="3"/>
        <v>0</v>
      </c>
    </row>
    <row r="240" spans="1:5" ht="15.6">
      <c r="A240" s="87">
        <v>230152</v>
      </c>
      <c r="B240" s="29" t="s">
        <v>227</v>
      </c>
      <c r="C240" s="138">
        <f>IFERROR(VLOOKUP(A240,Sheet1!B:D,3,0),0)</f>
        <v>0</v>
      </c>
      <c r="D240">
        <f>VLOOKUP(A240,'Stock statement'!$C$3:$R$320,16,0)</f>
        <v>0</v>
      </c>
      <c r="E240" s="145">
        <f t="shared" si="3"/>
        <v>0</v>
      </c>
    </row>
    <row r="241" spans="1:5" ht="15.6">
      <c r="A241" s="86">
        <v>213989</v>
      </c>
      <c r="B241" s="29" t="s">
        <v>2143</v>
      </c>
      <c r="C241" s="138">
        <f>IFERROR(VLOOKUP(A241,Sheet1!B:D,3,0),0)</f>
        <v>0</v>
      </c>
      <c r="D241">
        <f>VLOOKUP(A241,'Stock statement'!$C$3:$R$320,16,0)</f>
        <v>0</v>
      </c>
      <c r="E241" s="145">
        <f t="shared" si="3"/>
        <v>0</v>
      </c>
    </row>
    <row r="242" spans="1:5" ht="15.6">
      <c r="A242" s="86">
        <v>213990</v>
      </c>
      <c r="B242" s="29" t="s">
        <v>2144</v>
      </c>
      <c r="C242" s="138">
        <f>IFERROR(VLOOKUP(A242,Sheet1!B:D,3,0),0)</f>
        <v>0</v>
      </c>
      <c r="D242">
        <f>VLOOKUP(A242,'Stock statement'!$C$3:$R$320,16,0)</f>
        <v>0</v>
      </c>
      <c r="E242" s="145">
        <f t="shared" ref="E242:E303" si="4">C242-D242</f>
        <v>0</v>
      </c>
    </row>
    <row r="243" spans="1:5" ht="15.6">
      <c r="A243" s="86">
        <v>214009</v>
      </c>
      <c r="B243" s="29" t="s">
        <v>2145</v>
      </c>
      <c r="C243" s="138">
        <f>IFERROR(VLOOKUP(A243,Sheet1!B:D,3,0),0)</f>
        <v>0</v>
      </c>
      <c r="D243">
        <f>VLOOKUP(A243,'Stock statement'!$C$3:$R$320,16,0)</f>
        <v>0</v>
      </c>
      <c r="E243" s="145">
        <f t="shared" si="4"/>
        <v>0</v>
      </c>
    </row>
    <row r="244" spans="1:5" ht="15.6">
      <c r="A244" s="86">
        <v>214010</v>
      </c>
      <c r="B244" s="29" t="s">
        <v>2146</v>
      </c>
      <c r="C244" s="138">
        <f>IFERROR(VLOOKUP(A244,Sheet1!B:D,3,0),0)</f>
        <v>0</v>
      </c>
      <c r="D244">
        <f>VLOOKUP(A244,'Stock statement'!$C$3:$R$320,16,0)</f>
        <v>0</v>
      </c>
      <c r="E244" s="145">
        <f t="shared" si="4"/>
        <v>0</v>
      </c>
    </row>
    <row r="245" spans="1:5" ht="15.6">
      <c r="A245" s="86">
        <v>214007</v>
      </c>
      <c r="B245" s="29" t="s">
        <v>828</v>
      </c>
      <c r="C245" s="138">
        <f>IFERROR(VLOOKUP(A245,Sheet1!B:D,3,0),0)</f>
        <v>0</v>
      </c>
      <c r="D245">
        <f>VLOOKUP(A245,'Stock statement'!$C$3:$R$320,16,0)</f>
        <v>0</v>
      </c>
      <c r="E245" s="145">
        <f t="shared" si="4"/>
        <v>0</v>
      </c>
    </row>
    <row r="246" spans="1:5">
      <c r="A246" s="88">
        <v>115150</v>
      </c>
      <c r="B246" s="45" t="s">
        <v>159</v>
      </c>
      <c r="C246" s="138">
        <f>IFERROR(VLOOKUP(A246,Sheet1!B:D,3,0),0)</f>
        <v>2582.7399999999998</v>
      </c>
      <c r="D246">
        <f>VLOOKUP(A246,'Stock statement'!$C$3:$R$320,16,0)</f>
        <v>2582.7399999999998</v>
      </c>
      <c r="E246" s="145">
        <f t="shared" si="4"/>
        <v>0</v>
      </c>
    </row>
    <row r="247" spans="1:5">
      <c r="A247" s="88">
        <v>115152</v>
      </c>
      <c r="B247" s="45" t="s">
        <v>420</v>
      </c>
      <c r="C247" s="138">
        <f>IFERROR(VLOOKUP(A247,Sheet1!B:D,3,0),0)</f>
        <v>357.7</v>
      </c>
      <c r="D247">
        <f>VLOOKUP(A247,'Stock statement'!$C$3:$R$320,16,0)</f>
        <v>357.7</v>
      </c>
      <c r="E247" s="145">
        <f t="shared" si="4"/>
        <v>0</v>
      </c>
    </row>
    <row r="248" spans="1:5">
      <c r="A248" s="89">
        <v>214043</v>
      </c>
      <c r="B248" s="50" t="s">
        <v>2147</v>
      </c>
      <c r="C248" s="138">
        <f>IFERROR(VLOOKUP(A248,Sheet1!B:D,3,0),0)</f>
        <v>0</v>
      </c>
      <c r="D248">
        <f>VLOOKUP(A248,'Stock statement'!$C$3:$R$320,16,0)</f>
        <v>0</v>
      </c>
      <c r="E248" s="145">
        <f t="shared" si="4"/>
        <v>0</v>
      </c>
    </row>
    <row r="249" spans="1:5">
      <c r="A249" s="90">
        <v>214044</v>
      </c>
      <c r="B249" s="53" t="s">
        <v>380</v>
      </c>
      <c r="C249" s="138">
        <f>IFERROR(VLOOKUP(A249,Sheet1!B:D,3,0),0)</f>
        <v>1941</v>
      </c>
      <c r="D249">
        <f>VLOOKUP(A249,'Stock statement'!$C$3:$R$320,16,0)</f>
        <v>1941</v>
      </c>
      <c r="E249" s="145">
        <f t="shared" si="4"/>
        <v>0</v>
      </c>
    </row>
    <row r="250" spans="1:5">
      <c r="A250" s="90">
        <v>214083</v>
      </c>
      <c r="B250" s="53" t="s">
        <v>378</v>
      </c>
      <c r="C250" s="138">
        <f>IFERROR(VLOOKUP(A250,Sheet1!B:D,3,0),0)</f>
        <v>0</v>
      </c>
      <c r="D250">
        <f>VLOOKUP(A250,'Stock statement'!$C$3:$R$320,16,0)</f>
        <v>0</v>
      </c>
      <c r="E250" s="145">
        <f t="shared" si="4"/>
        <v>0</v>
      </c>
    </row>
    <row r="251" spans="1:5">
      <c r="A251" s="90">
        <v>214082</v>
      </c>
      <c r="B251" s="53" t="s">
        <v>379</v>
      </c>
      <c r="C251" s="138">
        <f>IFERROR(VLOOKUP(A251,Sheet1!B:D,3,0),0)</f>
        <v>0</v>
      </c>
      <c r="D251">
        <f>VLOOKUP(A251,'Stock statement'!$C$3:$R$320,16,0)</f>
        <v>0</v>
      </c>
      <c r="E251" s="145">
        <f t="shared" si="4"/>
        <v>0</v>
      </c>
    </row>
    <row r="252" spans="1:5">
      <c r="A252" s="91">
        <v>214351</v>
      </c>
      <c r="B252" s="57" t="s">
        <v>834</v>
      </c>
      <c r="C252" s="138">
        <f>IFERROR(VLOOKUP(A252,Sheet1!B:D,3,0),0)</f>
        <v>0</v>
      </c>
      <c r="D252">
        <f>VLOOKUP(A252,'Stock statement'!$C$3:$R$320,16,0)</f>
        <v>0</v>
      </c>
      <c r="E252" s="145">
        <f t="shared" si="4"/>
        <v>0</v>
      </c>
    </row>
    <row r="253" spans="1:5">
      <c r="A253" s="91">
        <v>214350</v>
      </c>
      <c r="B253" s="57" t="s">
        <v>835</v>
      </c>
      <c r="C253" s="138">
        <f>IFERROR(VLOOKUP(A253,Sheet1!B:D,3,0),0)</f>
        <v>0</v>
      </c>
      <c r="D253">
        <f>VLOOKUP(A253,'Stock statement'!$C$3:$R$320,16,0)</f>
        <v>0</v>
      </c>
      <c r="E253" s="145">
        <f t="shared" si="4"/>
        <v>0</v>
      </c>
    </row>
    <row r="254" spans="1:5">
      <c r="A254" s="91">
        <v>214349</v>
      </c>
      <c r="B254" s="57" t="s">
        <v>836</v>
      </c>
      <c r="C254" s="138">
        <f>IFERROR(VLOOKUP(A254,Sheet1!B:D,3,0),0)</f>
        <v>0</v>
      </c>
      <c r="D254">
        <f>VLOOKUP(A254,'Stock statement'!$C$3:$R$320,16,0)</f>
        <v>0</v>
      </c>
      <c r="E254" s="145">
        <f t="shared" si="4"/>
        <v>0</v>
      </c>
    </row>
    <row r="255" spans="1:5">
      <c r="A255" s="91">
        <v>214348</v>
      </c>
      <c r="B255" s="57" t="s">
        <v>837</v>
      </c>
      <c r="C255" s="138">
        <f>IFERROR(VLOOKUP(A255,Sheet1!B:D,3,0),0)</f>
        <v>0</v>
      </c>
      <c r="D255">
        <f>VLOOKUP(A255,'Stock statement'!$C$3:$R$320,16,0)</f>
        <v>0</v>
      </c>
      <c r="E255" s="145">
        <f t="shared" si="4"/>
        <v>0</v>
      </c>
    </row>
    <row r="256" spans="1:5">
      <c r="A256" s="91">
        <v>213504</v>
      </c>
      <c r="B256" s="50" t="s">
        <v>431</v>
      </c>
      <c r="C256" s="138">
        <f>IFERROR(VLOOKUP(A256,Sheet1!B:D,3,0),0)</f>
        <v>772</v>
      </c>
      <c r="D256">
        <f>VLOOKUP(A256,'Stock statement'!$C$3:$R$320,16,0)</f>
        <v>772</v>
      </c>
      <c r="E256" s="145">
        <f t="shared" si="4"/>
        <v>0</v>
      </c>
    </row>
    <row r="257" spans="1:5">
      <c r="A257" s="91">
        <v>213505</v>
      </c>
      <c r="B257" s="50" t="s">
        <v>438</v>
      </c>
      <c r="C257" s="138">
        <f>IFERROR(VLOOKUP(A257,Sheet1!B:D,3,0),0)</f>
        <v>989</v>
      </c>
      <c r="D257">
        <f>VLOOKUP(A257,'Stock statement'!$C$3:$R$320,16,0)</f>
        <v>989</v>
      </c>
      <c r="E257" s="145">
        <f t="shared" si="4"/>
        <v>0</v>
      </c>
    </row>
    <row r="258" spans="1:5">
      <c r="A258" s="91">
        <v>214257</v>
      </c>
      <c r="B258" s="58" t="s">
        <v>838</v>
      </c>
      <c r="C258" s="138">
        <f>IFERROR(VLOOKUP(A258,Sheet1!B:D,3,0),0)</f>
        <v>0</v>
      </c>
      <c r="D258">
        <f>VLOOKUP(A258,'Stock statement'!$C$3:$R$320,16,0)</f>
        <v>0</v>
      </c>
      <c r="E258" s="145">
        <f t="shared" si="4"/>
        <v>0</v>
      </c>
    </row>
    <row r="259" spans="1:5">
      <c r="A259" s="91">
        <v>214254</v>
      </c>
      <c r="B259" s="58" t="s">
        <v>839</v>
      </c>
      <c r="C259" s="138">
        <f>IFERROR(VLOOKUP(A259,Sheet1!B:D,3,0),0)</f>
        <v>0</v>
      </c>
      <c r="D259">
        <f>VLOOKUP(A259,'Stock statement'!$C$3:$R$320,16,0)</f>
        <v>0</v>
      </c>
      <c r="E259" s="145">
        <f t="shared" si="4"/>
        <v>0</v>
      </c>
    </row>
    <row r="260" spans="1:5">
      <c r="A260" s="91">
        <v>214255</v>
      </c>
      <c r="B260" s="50" t="s">
        <v>381</v>
      </c>
      <c r="C260" s="138">
        <f>IFERROR(VLOOKUP(A260,Sheet1!B:D,3,0),0)</f>
        <v>25255.82</v>
      </c>
      <c r="D260">
        <f>VLOOKUP(A260,'Stock statement'!$C$3:$R$320,16,0)</f>
        <v>25255.82</v>
      </c>
      <c r="E260" s="145">
        <f t="shared" si="4"/>
        <v>0</v>
      </c>
    </row>
    <row r="261" spans="1:5">
      <c r="A261" s="91">
        <v>214252</v>
      </c>
      <c r="B261" s="58" t="s">
        <v>401</v>
      </c>
      <c r="C261" s="138">
        <f>IFERROR(VLOOKUP(A261,Sheet1!B:D,3,0),0)</f>
        <v>0</v>
      </c>
      <c r="D261">
        <f>VLOOKUP(A261,'Stock statement'!$C$3:$R$320,16,0)</f>
        <v>0</v>
      </c>
      <c r="E261" s="145">
        <f t="shared" si="4"/>
        <v>0</v>
      </c>
    </row>
    <row r="262" spans="1:5">
      <c r="A262" s="136">
        <v>214391</v>
      </c>
      <c r="B262" s="5" t="s">
        <v>843</v>
      </c>
      <c r="C262" s="138">
        <f>IFERROR(VLOOKUP(A262,Sheet1!B:D,3,0),0)</f>
        <v>0</v>
      </c>
      <c r="D262">
        <f>VLOOKUP(A262,'Stock statement'!$C$3:$R$320,16,0)</f>
        <v>0</v>
      </c>
      <c r="E262" s="145">
        <f t="shared" si="4"/>
        <v>0</v>
      </c>
    </row>
    <row r="263" spans="1:5">
      <c r="A263" s="136">
        <v>214253</v>
      </c>
      <c r="B263" s="5" t="s">
        <v>849</v>
      </c>
      <c r="C263" s="138">
        <f>IFERROR(VLOOKUP(A263,Sheet1!B:D,3,0),0)</f>
        <v>0</v>
      </c>
      <c r="D263">
        <f>VLOOKUP(A263,'Stock statement'!$C$3:$R$320,16,0)</f>
        <v>0</v>
      </c>
      <c r="E263" s="145">
        <f t="shared" si="4"/>
        <v>0</v>
      </c>
    </row>
    <row r="264" spans="1:5">
      <c r="A264" s="89">
        <v>214258</v>
      </c>
      <c r="B264" s="61" t="s">
        <v>402</v>
      </c>
      <c r="C264" s="138">
        <f>IFERROR(VLOOKUP(A264,Sheet1!B:D,3,0),0)</f>
        <v>4969.34</v>
      </c>
      <c r="D264">
        <f>VLOOKUP(A264,'Stock statement'!$C$3:$R$320,16,0)</f>
        <v>4969.34</v>
      </c>
      <c r="E264" s="145">
        <f t="shared" si="4"/>
        <v>0</v>
      </c>
    </row>
    <row r="265" spans="1:5">
      <c r="A265" s="89">
        <v>214301</v>
      </c>
      <c r="B265" s="60" t="s">
        <v>2148</v>
      </c>
      <c r="C265" s="138">
        <f>IFERROR(VLOOKUP(A265,Sheet1!B:D,3,0),0)</f>
        <v>0</v>
      </c>
      <c r="D265">
        <f>VLOOKUP(A265,'Stock statement'!$C$3:$R$320,16,0)</f>
        <v>0</v>
      </c>
      <c r="E265" s="145">
        <f t="shared" si="4"/>
        <v>0</v>
      </c>
    </row>
    <row r="266" spans="1:5">
      <c r="A266" s="89">
        <v>214376</v>
      </c>
      <c r="B266" s="50" t="s">
        <v>382</v>
      </c>
      <c r="C266" s="138">
        <f>IFERROR(VLOOKUP(A266,Sheet1!B:D,3,0),0)</f>
        <v>9820</v>
      </c>
      <c r="D266">
        <f>VLOOKUP(A266,'Stock statement'!$C$3:$R$320,16,0)</f>
        <v>9820</v>
      </c>
      <c r="E266" s="145">
        <f t="shared" si="4"/>
        <v>0</v>
      </c>
    </row>
    <row r="267" spans="1:5">
      <c r="A267" s="89">
        <v>214377</v>
      </c>
      <c r="B267" s="50" t="s">
        <v>383</v>
      </c>
      <c r="C267" s="138">
        <f>IFERROR(VLOOKUP(A267,Sheet1!B:D,3,0),0)</f>
        <v>12820</v>
      </c>
      <c r="D267">
        <f>VLOOKUP(A267,'Stock statement'!$C$3:$R$320,16,0)</f>
        <v>12820</v>
      </c>
      <c r="E267" s="145">
        <f t="shared" si="4"/>
        <v>0</v>
      </c>
    </row>
    <row r="268" spans="1:5">
      <c r="A268" s="89">
        <v>214378</v>
      </c>
      <c r="B268" s="50" t="s">
        <v>406</v>
      </c>
      <c r="C268" s="138">
        <f>IFERROR(VLOOKUP(A268,Sheet1!B:D,3,0),0)</f>
        <v>4020</v>
      </c>
      <c r="D268">
        <f>VLOOKUP(A268,'Stock statement'!$C$3:$R$320,16,0)</f>
        <v>4020</v>
      </c>
      <c r="E268" s="145">
        <f t="shared" si="4"/>
        <v>0</v>
      </c>
    </row>
    <row r="269" spans="1:5">
      <c r="A269" s="89">
        <v>214379</v>
      </c>
      <c r="B269" s="50" t="s">
        <v>403</v>
      </c>
      <c r="C269" s="138">
        <f>IFERROR(VLOOKUP(A269,Sheet1!B:D,3,0),0)</f>
        <v>4000</v>
      </c>
      <c r="D269">
        <f>VLOOKUP(A269,'Stock statement'!$C$3:$R$320,16,0)</f>
        <v>4000</v>
      </c>
      <c r="E269" s="145">
        <f t="shared" si="4"/>
        <v>0</v>
      </c>
    </row>
    <row r="270" spans="1:5">
      <c r="A270" s="92">
        <v>214305</v>
      </c>
      <c r="B270" s="59" t="s">
        <v>416</v>
      </c>
      <c r="C270" s="138">
        <f>IFERROR(VLOOKUP(A270,Sheet1!B:D,3,0),0)</f>
        <v>115200</v>
      </c>
      <c r="D270">
        <f>VLOOKUP(A270,'Stock statement'!$C$3:$R$320,16,0)</f>
        <v>115200</v>
      </c>
      <c r="E270" s="145">
        <f t="shared" si="4"/>
        <v>0</v>
      </c>
    </row>
    <row r="271" spans="1:5">
      <c r="A271" s="92">
        <v>214304</v>
      </c>
      <c r="B271" s="59" t="s">
        <v>847</v>
      </c>
      <c r="C271" s="138">
        <f>IFERROR(VLOOKUP(A271,Sheet1!B:D,3,0),0)</f>
        <v>3000</v>
      </c>
      <c r="D271">
        <f>VLOOKUP(A271,'Stock statement'!$C$3:$R$320,16,0)</f>
        <v>3000</v>
      </c>
      <c r="E271" s="145">
        <f t="shared" si="4"/>
        <v>0</v>
      </c>
    </row>
    <row r="272" spans="1:5">
      <c r="A272" s="92">
        <v>214306</v>
      </c>
      <c r="B272" s="59" t="s">
        <v>848</v>
      </c>
      <c r="C272" s="138">
        <f>IFERROR(VLOOKUP(A272,Sheet1!B:D,3,0),0)</f>
        <v>2000</v>
      </c>
      <c r="D272">
        <f>VLOOKUP(A272,'Stock statement'!$C$3:$R$320,16,0)</f>
        <v>2000</v>
      </c>
      <c r="E272" s="145">
        <f t="shared" si="4"/>
        <v>0</v>
      </c>
    </row>
    <row r="273" spans="1:5">
      <c r="A273" s="92">
        <v>214322</v>
      </c>
      <c r="B273" s="59" t="s">
        <v>850</v>
      </c>
      <c r="C273" s="138">
        <f>IFERROR(VLOOKUP(A273,Sheet1!B:D,3,0),0)</f>
        <v>0</v>
      </c>
      <c r="D273">
        <f>VLOOKUP(A273,'Stock statement'!$C$3:$R$320,16,0)</f>
        <v>0</v>
      </c>
      <c r="E273" s="145">
        <f t="shared" si="4"/>
        <v>0</v>
      </c>
    </row>
    <row r="274" spans="1:5">
      <c r="A274" s="92">
        <v>214323</v>
      </c>
      <c r="B274" s="59" t="s">
        <v>851</v>
      </c>
      <c r="C274" s="138">
        <f>IFERROR(VLOOKUP(A274,Sheet1!B:D,3,0),0)</f>
        <v>0</v>
      </c>
      <c r="D274">
        <f>VLOOKUP(A274,'Stock statement'!$C$3:$R$320,16,0)</f>
        <v>0</v>
      </c>
      <c r="E274" s="145">
        <f t="shared" si="4"/>
        <v>0</v>
      </c>
    </row>
    <row r="275" spans="1:5">
      <c r="A275" s="92">
        <v>214325</v>
      </c>
      <c r="B275" s="59" t="s">
        <v>852</v>
      </c>
      <c r="C275" s="138">
        <f>IFERROR(VLOOKUP(A275,Sheet1!B:D,3,0),0)</f>
        <v>0</v>
      </c>
      <c r="D275">
        <f>VLOOKUP(A275,'Stock statement'!$C$3:$R$320,16,0)</f>
        <v>0</v>
      </c>
      <c r="E275" s="145">
        <f t="shared" si="4"/>
        <v>0</v>
      </c>
    </row>
    <row r="276" spans="1:5">
      <c r="A276" s="92">
        <v>214324</v>
      </c>
      <c r="B276" s="59" t="s">
        <v>853</v>
      </c>
      <c r="C276" s="138">
        <f>IFERROR(VLOOKUP(A276,Sheet1!B:D,3,0),0)</f>
        <v>0</v>
      </c>
      <c r="D276">
        <f>VLOOKUP(A276,'Stock statement'!$C$3:$R$320,16,0)</f>
        <v>0</v>
      </c>
      <c r="E276" s="145">
        <f t="shared" si="4"/>
        <v>0</v>
      </c>
    </row>
    <row r="277" spans="1:5">
      <c r="A277" s="92">
        <v>214387</v>
      </c>
      <c r="B277" s="59" t="s">
        <v>845</v>
      </c>
      <c r="C277" s="138">
        <f>IFERROR(VLOOKUP(A277,Sheet1!B:D,3,0),0)</f>
        <v>0</v>
      </c>
      <c r="D277">
        <f>VLOOKUP(A277,'Stock statement'!$C$3:$R$320,16,0)</f>
        <v>0</v>
      </c>
      <c r="E277" s="145">
        <f t="shared" si="4"/>
        <v>0</v>
      </c>
    </row>
    <row r="278" spans="1:5">
      <c r="A278" s="92">
        <v>214380</v>
      </c>
      <c r="B278" s="59" t="s">
        <v>846</v>
      </c>
      <c r="C278" s="138">
        <f>IFERROR(VLOOKUP(A278,Sheet1!B:D,3,0),0)</f>
        <v>0</v>
      </c>
      <c r="D278">
        <f>VLOOKUP(A278,'Stock statement'!$C$3:$R$320,16,0)</f>
        <v>0</v>
      </c>
      <c r="E278" s="145">
        <f t="shared" si="4"/>
        <v>0</v>
      </c>
    </row>
    <row r="279" spans="1:5">
      <c r="A279" s="92">
        <v>214382</v>
      </c>
      <c r="B279" s="59" t="s">
        <v>844</v>
      </c>
      <c r="C279" s="138">
        <f>IFERROR(VLOOKUP(A279,Sheet1!B:D,3,0),0)</f>
        <v>0</v>
      </c>
      <c r="D279">
        <f>VLOOKUP(A279,'Stock statement'!$C$3:$R$320,16,0)</f>
        <v>0</v>
      </c>
      <c r="E279" s="145">
        <f t="shared" si="4"/>
        <v>0</v>
      </c>
    </row>
    <row r="280" spans="1:5">
      <c r="A280" s="93">
        <v>213506</v>
      </c>
      <c r="B280" s="56" t="s">
        <v>435</v>
      </c>
      <c r="C280" s="138">
        <f>IFERROR(VLOOKUP(A280,Sheet1!B:D,3,0),0)</f>
        <v>347</v>
      </c>
      <c r="D280">
        <f>VLOOKUP(A280,'Stock statement'!$C$3:$R$320,16,0)</f>
        <v>347</v>
      </c>
      <c r="E280" s="145">
        <f t="shared" si="4"/>
        <v>0</v>
      </c>
    </row>
    <row r="281" spans="1:5">
      <c r="A281" s="92">
        <v>214392</v>
      </c>
      <c r="B281" s="59" t="s">
        <v>426</v>
      </c>
      <c r="C281" s="138">
        <f>IFERROR(VLOOKUP(A281,Sheet1!B:D,3,0),0)</f>
        <v>12330</v>
      </c>
      <c r="D281">
        <f>VLOOKUP(A281,'Stock statement'!$C$3:$R$320,16,0)</f>
        <v>12330</v>
      </c>
      <c r="E281" s="145">
        <f t="shared" si="4"/>
        <v>0</v>
      </c>
    </row>
    <row r="282" spans="1:5">
      <c r="A282" s="136">
        <v>115322</v>
      </c>
      <c r="B282" s="4" t="s">
        <v>423</v>
      </c>
      <c r="C282" s="138">
        <f>IFERROR(VLOOKUP(A282,Sheet1!B:D,3,0),0)</f>
        <v>0</v>
      </c>
      <c r="D282">
        <f>VLOOKUP(A282,'Stock statement'!$C$3:$R$320,16,0)</f>
        <v>0</v>
      </c>
      <c r="E282" s="145">
        <f t="shared" si="4"/>
        <v>0</v>
      </c>
    </row>
    <row r="283" spans="1:5">
      <c r="A283" s="72">
        <v>115323</v>
      </c>
      <c r="B283" s="4" t="s">
        <v>424</v>
      </c>
      <c r="C283" s="138">
        <f>IFERROR(VLOOKUP(A283,Sheet1!B:D,3,0),0)</f>
        <v>1.3</v>
      </c>
      <c r="D283">
        <f>VLOOKUP(A283,'Stock statement'!$C$3:$R$320,16,0)</f>
        <v>1.3</v>
      </c>
      <c r="E283" s="145">
        <f t="shared" si="4"/>
        <v>0</v>
      </c>
    </row>
    <row r="284" spans="1:5">
      <c r="A284" s="88">
        <v>214397</v>
      </c>
      <c r="B284" s="45" t="s">
        <v>449</v>
      </c>
      <c r="C284" s="138">
        <f>IFERROR(VLOOKUP(A284,Sheet1!B:D,3,0),0)</f>
        <v>0</v>
      </c>
      <c r="D284">
        <f>VLOOKUP(A284,'Stock statement'!$C$3:$R$320,16,0)</f>
        <v>0</v>
      </c>
      <c r="E284" s="145">
        <f t="shared" si="4"/>
        <v>0</v>
      </c>
    </row>
    <row r="285" spans="1:5">
      <c r="A285" s="88">
        <v>214401</v>
      </c>
      <c r="B285" s="45" t="s">
        <v>854</v>
      </c>
      <c r="C285" s="138">
        <f>IFERROR(VLOOKUP(A285,Sheet1!B:D,3,0),0)</f>
        <v>0</v>
      </c>
      <c r="D285">
        <f>VLOOKUP(A285,'Stock statement'!$C$3:$R$320,16,0)</f>
        <v>0</v>
      </c>
      <c r="E285" s="145">
        <f t="shared" si="4"/>
        <v>0</v>
      </c>
    </row>
    <row r="286" spans="1:5">
      <c r="A286" s="88">
        <v>214256</v>
      </c>
      <c r="B286" s="45" t="s">
        <v>405</v>
      </c>
      <c r="C286" s="138">
        <f>IFERROR(VLOOKUP(A286,Sheet1!B:D,3,0),0)</f>
        <v>3522.75</v>
      </c>
      <c r="D286">
        <f>VLOOKUP(A286,'Stock statement'!$C$3:$R$320,16,0)</f>
        <v>3522.75</v>
      </c>
      <c r="E286" s="145">
        <f t="shared" si="4"/>
        <v>0</v>
      </c>
    </row>
    <row r="287" spans="1:5">
      <c r="A287" s="88">
        <v>214430</v>
      </c>
      <c r="B287" s="45" t="s">
        <v>855</v>
      </c>
      <c r="C287" s="138">
        <f>IFERROR(VLOOKUP(A287,Sheet1!B:D,3,0),0)</f>
        <v>1205</v>
      </c>
      <c r="D287">
        <f>VLOOKUP(A287,'Stock statement'!$C$3:$R$320,16,0)</f>
        <v>1205</v>
      </c>
      <c r="E287" s="145">
        <f t="shared" si="4"/>
        <v>0</v>
      </c>
    </row>
    <row r="288" spans="1:5">
      <c r="A288" s="88">
        <v>214442</v>
      </c>
      <c r="B288" s="45" t="s">
        <v>448</v>
      </c>
      <c r="C288" s="138">
        <f>IFERROR(VLOOKUP(A288,Sheet1!B:D,3,0),0)</f>
        <v>2235</v>
      </c>
      <c r="D288">
        <f>VLOOKUP(A288,'Stock statement'!$C$3:$R$320,16,0)</f>
        <v>2235</v>
      </c>
      <c r="E288" s="145">
        <f t="shared" si="4"/>
        <v>0</v>
      </c>
    </row>
    <row r="289" spans="1:5">
      <c r="A289" s="88">
        <v>214331</v>
      </c>
      <c r="B289" s="45" t="s">
        <v>856</v>
      </c>
      <c r="C289" s="138">
        <f>IFERROR(VLOOKUP(A289,Sheet1!B:D,3,0),0)</f>
        <v>7000</v>
      </c>
      <c r="D289">
        <f>VLOOKUP(A289,'Stock statement'!$C$3:$R$320,16,0)</f>
        <v>7000</v>
      </c>
      <c r="E289" s="145">
        <f t="shared" si="4"/>
        <v>0</v>
      </c>
    </row>
    <row r="290" spans="1:5">
      <c r="A290" s="88">
        <v>214302</v>
      </c>
      <c r="B290" s="45" t="s">
        <v>857</v>
      </c>
      <c r="C290" s="138">
        <f>IFERROR(VLOOKUP(A290,Sheet1!B:D,3,0),0)</f>
        <v>1500</v>
      </c>
      <c r="D290">
        <f>VLOOKUP(A290,'Stock statement'!$C$3:$R$320,16,0)</f>
        <v>1500</v>
      </c>
      <c r="E290" s="145">
        <f t="shared" si="4"/>
        <v>0</v>
      </c>
    </row>
    <row r="291" spans="1:5">
      <c r="A291" s="88">
        <v>214303</v>
      </c>
      <c r="B291" s="45" t="s">
        <v>858</v>
      </c>
      <c r="C291" s="138">
        <f>IFERROR(VLOOKUP(A291,Sheet1!B:D,3,0),0)</f>
        <v>5200</v>
      </c>
      <c r="D291">
        <f>VLOOKUP(A291,'Stock statement'!$C$3:$R$320,16,0)</f>
        <v>5200</v>
      </c>
      <c r="E291" s="145">
        <f t="shared" si="4"/>
        <v>0</v>
      </c>
    </row>
    <row r="292" spans="1:5">
      <c r="A292" s="94">
        <v>211679</v>
      </c>
      <c r="B292" s="45" t="s">
        <v>698</v>
      </c>
      <c r="C292" s="138">
        <f>IFERROR(VLOOKUP(A292,Sheet1!B:D,3,0),0)</f>
        <v>3500</v>
      </c>
      <c r="D292">
        <f>VLOOKUP(A292,'Stock statement'!$C$3:$R$320,16,0)</f>
        <v>3500</v>
      </c>
      <c r="E292" s="145">
        <f t="shared" si="4"/>
        <v>0</v>
      </c>
    </row>
    <row r="293" spans="1:5">
      <c r="A293" s="88">
        <v>214393</v>
      </c>
      <c r="B293" s="45" t="s">
        <v>859</v>
      </c>
      <c r="C293" s="138">
        <f>IFERROR(VLOOKUP(A293,Sheet1!B:D,3,0),0)</f>
        <v>2500</v>
      </c>
      <c r="D293">
        <f>VLOOKUP(A293,'Stock statement'!$C$3:$R$320,16,0)</f>
        <v>2500</v>
      </c>
      <c r="E293" s="145">
        <f t="shared" si="4"/>
        <v>0</v>
      </c>
    </row>
    <row r="294" spans="1:5">
      <c r="A294" s="88">
        <v>214408</v>
      </c>
      <c r="B294" s="45" t="s">
        <v>425</v>
      </c>
      <c r="C294" s="138">
        <f>IFERROR(VLOOKUP(A294,Sheet1!B:D,3,0),0)</f>
        <v>80</v>
      </c>
      <c r="D294">
        <f>VLOOKUP(A294,'Stock statement'!$C$3:$R$320,16,0)</f>
        <v>80</v>
      </c>
      <c r="E294" s="145">
        <f t="shared" si="4"/>
        <v>0</v>
      </c>
    </row>
    <row r="295" spans="1:5">
      <c r="A295" s="88">
        <v>214409</v>
      </c>
      <c r="B295" s="45" t="s">
        <v>860</v>
      </c>
      <c r="C295" s="138">
        <f>IFERROR(VLOOKUP(A295,Sheet1!B:D,3,0),0)</f>
        <v>230</v>
      </c>
      <c r="D295">
        <f>VLOOKUP(A295,'Stock statement'!$C$3:$R$320,16,0)</f>
        <v>230</v>
      </c>
      <c r="E295" s="145">
        <f t="shared" si="4"/>
        <v>0</v>
      </c>
    </row>
    <row r="296" spans="1:5">
      <c r="A296" s="72">
        <v>115321</v>
      </c>
      <c r="B296" s="63" t="s">
        <v>421</v>
      </c>
      <c r="C296" s="138">
        <f>IFERROR(VLOOKUP(A296,Sheet1!B:D,3,0),0)</f>
        <v>76.5</v>
      </c>
      <c r="D296">
        <f>VLOOKUP(A296,'Stock statement'!$C$3:$R$320,16,0)</f>
        <v>76.5</v>
      </c>
      <c r="E296" s="145">
        <f t="shared" si="4"/>
        <v>0</v>
      </c>
    </row>
    <row r="297" spans="1:5">
      <c r="A297" s="136">
        <v>214394</v>
      </c>
      <c r="B297" s="5" t="s">
        <v>427</v>
      </c>
      <c r="C297" s="138">
        <f>IFERROR(VLOOKUP(A297,Sheet1!B:D,3,0),0)</f>
        <v>20000</v>
      </c>
      <c r="D297">
        <f>VLOOKUP(A297,'Stock statement'!$C$3:$R$320,16,0)</f>
        <v>20000</v>
      </c>
      <c r="E297" s="145">
        <f t="shared" si="4"/>
        <v>0</v>
      </c>
    </row>
    <row r="298" spans="1:5">
      <c r="A298" s="72">
        <v>214403</v>
      </c>
      <c r="B298" s="4" t="s">
        <v>428</v>
      </c>
      <c r="C298" s="138">
        <f>IFERROR(VLOOKUP(A298,Sheet1!B:D,3,0),0)</f>
        <v>11000</v>
      </c>
      <c r="D298">
        <f>VLOOKUP(A298,'Stock statement'!$C$3:$R$320,16,0)</f>
        <v>11000</v>
      </c>
      <c r="E298" s="145">
        <f t="shared" si="4"/>
        <v>0</v>
      </c>
    </row>
    <row r="299" spans="1:5">
      <c r="A299" s="72">
        <v>214404</v>
      </c>
      <c r="B299" s="4" t="s">
        <v>429</v>
      </c>
      <c r="C299" s="138">
        <f>IFERROR(VLOOKUP(A299,Sheet1!B:D,3,0),0)</f>
        <v>11000</v>
      </c>
      <c r="D299">
        <f>VLOOKUP(A299,'Stock statement'!$C$3:$R$320,16,0)</f>
        <v>11000</v>
      </c>
      <c r="E299" s="145">
        <f t="shared" si="4"/>
        <v>0</v>
      </c>
    </row>
    <row r="300" spans="1:5">
      <c r="A300" s="72">
        <v>115379</v>
      </c>
      <c r="B300" s="63" t="s">
        <v>490</v>
      </c>
      <c r="C300" s="138">
        <f>IFERROR(VLOOKUP(A300,Sheet1!B:D,3,0),0)</f>
        <v>300</v>
      </c>
      <c r="D300">
        <f>VLOOKUP(A300,'Stock statement'!$C$3:$R$382,16,0)</f>
        <v>300</v>
      </c>
      <c r="E300" s="145">
        <f t="shared" si="4"/>
        <v>0</v>
      </c>
    </row>
    <row r="301" spans="1:5">
      <c r="A301" s="72">
        <v>214687</v>
      </c>
      <c r="B301" s="59" t="s">
        <v>866</v>
      </c>
      <c r="C301" s="138">
        <f>IFERROR(VLOOKUP(A301,Sheet1!B:D,3,0),0)</f>
        <v>1099</v>
      </c>
      <c r="D301">
        <f>VLOOKUP(A301,'Stock statement'!$C$3:$R$382,16,0)</f>
        <v>1099</v>
      </c>
      <c r="E301" s="145">
        <f t="shared" si="4"/>
        <v>0</v>
      </c>
    </row>
    <row r="302" spans="1:5">
      <c r="A302" s="72">
        <v>214727</v>
      </c>
      <c r="B302" s="4" t="s">
        <v>867</v>
      </c>
      <c r="C302" s="138">
        <f>IFERROR(VLOOKUP(A302,Sheet1!B:D,3,0),0)</f>
        <v>0</v>
      </c>
      <c r="D302">
        <f>VLOOKUP(A302,'Stock statement'!$C$3:$R$382,16,0)</f>
        <v>0</v>
      </c>
      <c r="E302" s="145">
        <f t="shared" si="4"/>
        <v>0</v>
      </c>
    </row>
    <row r="303" spans="1:5">
      <c r="A303" s="72">
        <v>214669</v>
      </c>
      <c r="B303" s="4" t="s">
        <v>868</v>
      </c>
      <c r="C303" s="138">
        <f>IFERROR(VLOOKUP(A303,Sheet1!B:D,3,0),0)</f>
        <v>12500</v>
      </c>
      <c r="D303">
        <f>VLOOKUP(A303,'Stock statement'!$C$3:$R$382,16,0)</f>
        <v>12500</v>
      </c>
      <c r="E303" s="145">
        <f t="shared" si="4"/>
        <v>0</v>
      </c>
    </row>
    <row r="304" spans="1:5">
      <c r="A304" s="72">
        <v>214668</v>
      </c>
      <c r="B304" s="4" t="s">
        <v>869</v>
      </c>
      <c r="C304" s="138">
        <f>IFERROR(VLOOKUP(A304,Sheet1!B:D,3,0),0)</f>
        <v>15000</v>
      </c>
      <c r="D304">
        <f>VLOOKUP(A304,'Stock statement'!$C$3:$R$382,16,0)</f>
        <v>15000</v>
      </c>
      <c r="E304" s="145">
        <f t="shared" ref="E304:E314" si="5">C304-D304</f>
        <v>0</v>
      </c>
    </row>
    <row r="305" spans="1:5">
      <c r="A305" s="72">
        <v>214709</v>
      </c>
      <c r="B305" s="4" t="s">
        <v>870</v>
      </c>
      <c r="C305" s="138">
        <f>IFERROR(VLOOKUP(A305,Sheet1!B:D,3,0),0)</f>
        <v>620</v>
      </c>
      <c r="D305">
        <f>VLOOKUP(A305,'Stock statement'!$C$3:$R$382,16,0)</f>
        <v>620</v>
      </c>
      <c r="E305" s="145">
        <f t="shared" si="5"/>
        <v>0</v>
      </c>
    </row>
    <row r="306" spans="1:5">
      <c r="A306" s="72">
        <v>214405</v>
      </c>
      <c r="B306" s="5" t="s">
        <v>863</v>
      </c>
      <c r="C306" s="138">
        <f>IFERROR(VLOOKUP(A306,Sheet1!B:D,3,0),0)</f>
        <v>11000</v>
      </c>
      <c r="D306">
        <f>VLOOKUP(A306,'Stock statement'!$C$3:$R$382,16,0)</f>
        <v>11000</v>
      </c>
      <c r="E306" s="145">
        <f t="shared" si="5"/>
        <v>0</v>
      </c>
    </row>
    <row r="307" spans="1:5">
      <c r="A307" s="72">
        <v>214406</v>
      </c>
      <c r="B307" s="5" t="s">
        <v>864</v>
      </c>
      <c r="C307" s="138">
        <f>IFERROR(VLOOKUP(A307,Sheet1!B:D,3,0),0)</f>
        <v>11000</v>
      </c>
      <c r="D307">
        <f>VLOOKUP(A307,'Stock statement'!$C$3:$R$382,16,0)</f>
        <v>11000</v>
      </c>
      <c r="E307" s="145">
        <f t="shared" si="5"/>
        <v>0</v>
      </c>
    </row>
    <row r="308" spans="1:5">
      <c r="A308" s="72">
        <v>214808</v>
      </c>
      <c r="B308" s="5" t="s">
        <v>453</v>
      </c>
      <c r="C308" s="138">
        <f>IFERROR(VLOOKUP(A308,Sheet1!B:D,3,0),0)</f>
        <v>17028</v>
      </c>
      <c r="D308">
        <f>VLOOKUP(A308,'Stock statement'!$C$3:$R$382,16,0)</f>
        <v>17028</v>
      </c>
      <c r="E308" s="145">
        <f t="shared" si="5"/>
        <v>0</v>
      </c>
    </row>
    <row r="309" spans="1:5">
      <c r="A309" s="72">
        <v>214673</v>
      </c>
      <c r="B309" s="5" t="s">
        <v>504</v>
      </c>
      <c r="C309" s="138">
        <f>IFERROR(VLOOKUP(A309,Sheet1!B:D,3,0),0)</f>
        <v>7000</v>
      </c>
      <c r="D309">
        <f>VLOOKUP(A309,'Stock statement'!$C$3:$R$382,16,0)</f>
        <v>7000</v>
      </c>
      <c r="E309" s="145">
        <f t="shared" si="5"/>
        <v>0</v>
      </c>
    </row>
    <row r="310" spans="1:5">
      <c r="A310" s="72">
        <v>214713</v>
      </c>
      <c r="B310" s="5" t="s">
        <v>871</v>
      </c>
      <c r="C310" s="138">
        <f>IFERROR(VLOOKUP(A310,Sheet1!B:D,3,0),0)</f>
        <v>2625</v>
      </c>
      <c r="D310">
        <f>VLOOKUP(A310,'Stock statement'!$C$3:$R$382,16,0)</f>
        <v>2625</v>
      </c>
      <c r="E310" s="145">
        <f t="shared" si="5"/>
        <v>0</v>
      </c>
    </row>
    <row r="311" spans="1:5">
      <c r="A311" s="72">
        <v>214703</v>
      </c>
      <c r="B311" s="5" t="s">
        <v>872</v>
      </c>
      <c r="C311" s="138">
        <f>IFERROR(VLOOKUP(A311,Sheet1!B:D,3,0),0)</f>
        <v>2625</v>
      </c>
      <c r="D311">
        <f>VLOOKUP(A311,'Stock statement'!$C$3:$R$382,16,0)</f>
        <v>2625</v>
      </c>
      <c r="E311" s="145">
        <f t="shared" si="5"/>
        <v>0</v>
      </c>
    </row>
    <row r="312" spans="1:5">
      <c r="A312" s="72">
        <v>214704</v>
      </c>
      <c r="B312" s="5" t="s">
        <v>873</v>
      </c>
      <c r="C312" s="138">
        <f>IFERROR(VLOOKUP(A312,Sheet1!B:D,3,0),0)</f>
        <v>2625</v>
      </c>
      <c r="D312">
        <f>VLOOKUP(A312,'Stock statement'!$C$3:$R$382,16,0)</f>
        <v>2625</v>
      </c>
      <c r="E312" s="145">
        <f t="shared" si="5"/>
        <v>0</v>
      </c>
    </row>
    <row r="313" spans="1:5">
      <c r="A313" s="72">
        <v>214701</v>
      </c>
      <c r="B313" s="4" t="s">
        <v>2149</v>
      </c>
      <c r="C313" s="138">
        <f>IFERROR(VLOOKUP(A313,Sheet1!B:D,3,0),0)</f>
        <v>9000</v>
      </c>
      <c r="D313">
        <f>VLOOKUP(A313,'Stock statement'!$C$3:$R$382,16,0)</f>
        <v>9000</v>
      </c>
      <c r="E313" s="145">
        <f t="shared" si="5"/>
        <v>0</v>
      </c>
    </row>
    <row r="314" spans="1:5">
      <c r="A314" s="72">
        <v>214702</v>
      </c>
      <c r="B314" s="4" t="s">
        <v>2150</v>
      </c>
      <c r="C314" s="138">
        <f>IFERROR(VLOOKUP(A314,Sheet1!B:D,3,0),0)</f>
        <v>9000</v>
      </c>
      <c r="D314">
        <f>VLOOKUP(A314,'Stock statement'!$C$3:$R$382,16,0)</f>
        <v>9000</v>
      </c>
      <c r="E314" s="145">
        <f t="shared" si="5"/>
        <v>0</v>
      </c>
    </row>
    <row r="315" spans="1:5">
      <c r="A315" s="72">
        <v>214686</v>
      </c>
      <c r="B315" s="4" t="s">
        <v>460</v>
      </c>
      <c r="C315" s="138">
        <f>IFERROR(VLOOKUP(A315,Sheet1!B:D,3,0),0)</f>
        <v>9983</v>
      </c>
      <c r="D315" s="3">
        <f>VLOOKUP(A315,'Stock statement'!$C$3:$R$382,16,0)</f>
        <v>9983</v>
      </c>
      <c r="E315" s="145">
        <f t="shared" ref="E315" si="6">C315-D315</f>
        <v>0</v>
      </c>
    </row>
    <row r="316" spans="1:5">
      <c r="A316" s="72">
        <v>214767</v>
      </c>
      <c r="B316" s="4" t="s">
        <v>458</v>
      </c>
      <c r="C316" s="138">
        <f>IFERROR(VLOOKUP(A316,Sheet1!B:D,3,0),0)</f>
        <v>8520</v>
      </c>
      <c r="D316">
        <f>VLOOKUP(A316,'Stock statement'!$C$3:$R$382,16,0)</f>
        <v>8520</v>
      </c>
      <c r="E316" s="145">
        <f t="shared" ref="E316:E319" si="7">C316-D316</f>
        <v>0</v>
      </c>
    </row>
    <row r="317" spans="1:5">
      <c r="A317" s="72">
        <v>214768</v>
      </c>
      <c r="B317" s="4" t="s">
        <v>459</v>
      </c>
      <c r="C317" s="138">
        <f>IFERROR(VLOOKUP(A317,Sheet1!B:D,3,0),0)</f>
        <v>24351</v>
      </c>
      <c r="D317">
        <f>VLOOKUP(A317,'Stock statement'!$C$3:$R$382,16,0)</f>
        <v>24351</v>
      </c>
      <c r="E317" s="145">
        <f t="shared" si="7"/>
        <v>0</v>
      </c>
    </row>
    <row r="318" spans="1:5">
      <c r="A318" s="72">
        <v>214766</v>
      </c>
      <c r="B318" s="4" t="s">
        <v>2151</v>
      </c>
      <c r="C318" s="138">
        <f>IFERROR(VLOOKUP(A318,Sheet1!B:D,3,0),0)</f>
        <v>240</v>
      </c>
      <c r="D318">
        <f>VLOOKUP(A318,'Stock statement'!$C$3:$R$382,16,0)</f>
        <v>240</v>
      </c>
      <c r="E318" s="145">
        <f t="shared" si="7"/>
        <v>0</v>
      </c>
    </row>
    <row r="319" spans="1:5" ht="13.9" customHeight="1">
      <c r="A319" s="72">
        <v>214765</v>
      </c>
      <c r="B319" s="4" t="s">
        <v>2152</v>
      </c>
      <c r="C319" s="138">
        <f>IFERROR(VLOOKUP(A319,Sheet1!B:D,3,0),0)</f>
        <v>120</v>
      </c>
      <c r="D319">
        <f>VLOOKUP(A319,'Stock statement'!$C$3:$R$382,16,0)</f>
        <v>120</v>
      </c>
      <c r="E319" s="145">
        <f t="shared" si="7"/>
        <v>0</v>
      </c>
    </row>
    <row r="320" spans="1:5" ht="13.9" customHeight="1">
      <c r="A320" s="72">
        <v>115448</v>
      </c>
      <c r="B320" s="4" t="s">
        <v>874</v>
      </c>
      <c r="C320" s="138">
        <f>IFERROR(VLOOKUP(A320,Sheet1!B:D,3,0),0)</f>
        <v>0</v>
      </c>
      <c r="D320">
        <f>VLOOKUP(A320,'Stock statement'!$C$3:$R$382,16,0)</f>
        <v>0</v>
      </c>
      <c r="E320" s="145">
        <f t="shared" ref="E320:E323" si="8">C320-D320</f>
        <v>0</v>
      </c>
    </row>
    <row r="321" spans="1:5" ht="13.9" customHeight="1">
      <c r="A321" s="72">
        <v>214856</v>
      </c>
      <c r="B321" s="4" t="s">
        <v>875</v>
      </c>
      <c r="C321" s="138">
        <f>IFERROR(VLOOKUP(A321,Sheet1!B:D,3,0),0)</f>
        <v>0</v>
      </c>
      <c r="D321">
        <f>VLOOKUP(A321,'Stock statement'!$C$3:$R$382,16,0)</f>
        <v>0</v>
      </c>
      <c r="E321" s="145">
        <f t="shared" si="8"/>
        <v>0</v>
      </c>
    </row>
    <row r="322" spans="1:5" ht="13.9" customHeight="1">
      <c r="A322" s="72">
        <v>214851</v>
      </c>
      <c r="B322" s="4" t="s">
        <v>876</v>
      </c>
      <c r="C322" s="138">
        <f>IFERROR(VLOOKUP(A322,Sheet1!B:D,3,0),0)</f>
        <v>0</v>
      </c>
      <c r="D322">
        <f>VLOOKUP(A322,'Stock statement'!$C$3:$R$382,16,0)</f>
        <v>0</v>
      </c>
      <c r="E322" s="145">
        <f t="shared" si="8"/>
        <v>0</v>
      </c>
    </row>
    <row r="323" spans="1:5" ht="13.9" customHeight="1">
      <c r="A323" s="72">
        <v>214852</v>
      </c>
      <c r="B323" s="4" t="s">
        <v>877</v>
      </c>
      <c r="C323" s="138">
        <f>IFERROR(VLOOKUP(A323,Sheet1!B:D,3,0),0)</f>
        <v>0</v>
      </c>
      <c r="D323">
        <f>VLOOKUP(A323,'Stock statement'!$C$3:$R$382,16,0)</f>
        <v>0</v>
      </c>
      <c r="E323" s="145">
        <f t="shared" si="8"/>
        <v>0</v>
      </c>
    </row>
    <row r="324" spans="1:5" ht="13.9" customHeight="1">
      <c r="A324" s="72">
        <v>214685</v>
      </c>
      <c r="B324" s="59" t="s">
        <v>882</v>
      </c>
      <c r="C324" s="138">
        <f>IFERROR(VLOOKUP(A324,Sheet1!B:D,3,0),0)</f>
        <v>0</v>
      </c>
      <c r="D324">
        <f>VLOOKUP(A324,'Stock statement'!$C$3:$R$382,16,0)</f>
        <v>0</v>
      </c>
      <c r="E324" s="145">
        <f t="shared" ref="E324:E333" si="9">C324-D324</f>
        <v>0</v>
      </c>
    </row>
    <row r="325" spans="1:5" ht="13.9" customHeight="1">
      <c r="A325" s="72">
        <v>214684</v>
      </c>
      <c r="B325" s="59" t="s">
        <v>883</v>
      </c>
      <c r="C325" s="138">
        <f>IFERROR(VLOOKUP(A325,Sheet1!B:D,3,0),0)</f>
        <v>882</v>
      </c>
      <c r="D325">
        <f>VLOOKUP(A325,'Stock statement'!$C$3:$R$382,16,0)</f>
        <v>882</v>
      </c>
      <c r="E325" s="145">
        <f t="shared" si="9"/>
        <v>0</v>
      </c>
    </row>
    <row r="326" spans="1:5" ht="13.9" customHeight="1">
      <c r="A326" s="72">
        <v>214893</v>
      </c>
      <c r="B326" s="59" t="s">
        <v>879</v>
      </c>
      <c r="C326" s="138">
        <f>IFERROR(VLOOKUP(A326,Sheet1!B:D,3,0),0)</f>
        <v>0</v>
      </c>
      <c r="D326">
        <f>VLOOKUP(A326,'Stock statement'!$C$3:$R$382,16,0)</f>
        <v>0</v>
      </c>
      <c r="E326" s="145">
        <f t="shared" si="9"/>
        <v>0</v>
      </c>
    </row>
    <row r="327" spans="1:5" ht="13.9" customHeight="1">
      <c r="A327" s="72">
        <v>214714</v>
      </c>
      <c r="B327" s="4" t="s">
        <v>513</v>
      </c>
      <c r="C327" s="138">
        <f>IFERROR(VLOOKUP(A327,Sheet1!B:D,3,0),0)</f>
        <v>8125</v>
      </c>
      <c r="D327">
        <f>VLOOKUP(A327,'Stock statement'!$C$3:$R$382,16,0)</f>
        <v>8125</v>
      </c>
      <c r="E327" s="145">
        <f t="shared" si="9"/>
        <v>0</v>
      </c>
    </row>
    <row r="328" spans="1:5" ht="13.9" customHeight="1">
      <c r="A328" s="72">
        <v>214705</v>
      </c>
      <c r="B328" s="4" t="s">
        <v>510</v>
      </c>
      <c r="C328" s="138">
        <f>IFERROR(VLOOKUP(A328,Sheet1!B:D,3,0),0)</f>
        <v>420</v>
      </c>
      <c r="D328">
        <f>VLOOKUP(A328,'Stock statement'!$C$3:$R$382,16,0)</f>
        <v>420</v>
      </c>
      <c r="E328" s="145">
        <f t="shared" si="9"/>
        <v>0</v>
      </c>
    </row>
    <row r="329" spans="1:5" ht="13.9" customHeight="1">
      <c r="A329" s="72">
        <v>214706</v>
      </c>
      <c r="B329" s="4" t="s">
        <v>2153</v>
      </c>
      <c r="C329" s="138">
        <f>IFERROR(VLOOKUP(A329,Sheet1!B:D,3,0),0)</f>
        <v>680</v>
      </c>
      <c r="D329">
        <f>VLOOKUP(A329,'Stock statement'!$C$3:$R$382,16,0)</f>
        <v>680</v>
      </c>
      <c r="E329" s="145">
        <f t="shared" si="9"/>
        <v>0</v>
      </c>
    </row>
    <row r="330" spans="1:5" ht="13.9" customHeight="1">
      <c r="A330" s="72">
        <v>214888</v>
      </c>
      <c r="B330" t="s">
        <v>2154</v>
      </c>
      <c r="C330" s="138">
        <f>IFERROR(VLOOKUP(A330,Sheet1!B:D,3,0),0)</f>
        <v>11375</v>
      </c>
      <c r="D330">
        <f>VLOOKUP(A330,'Stock statement'!$C$3:$R$382,16,0)</f>
        <v>11375</v>
      </c>
      <c r="E330" s="145">
        <f t="shared" si="9"/>
        <v>0</v>
      </c>
    </row>
    <row r="331" spans="1:5" ht="13.9" customHeight="1">
      <c r="A331" s="72">
        <v>214672</v>
      </c>
      <c r="B331" t="s">
        <v>2155</v>
      </c>
      <c r="C331" s="138">
        <f>IFERROR(VLOOKUP(A331,Sheet1!B:D,3,0),0)</f>
        <v>7360</v>
      </c>
      <c r="D331">
        <f>VLOOKUP(A331,'Stock statement'!$C$3:$R$382,16,0)</f>
        <v>7360</v>
      </c>
      <c r="E331" s="145">
        <f t="shared" si="9"/>
        <v>0</v>
      </c>
    </row>
    <row r="332" spans="1:5" ht="13.9" customHeight="1">
      <c r="A332" s="72">
        <v>214666</v>
      </c>
      <c r="B332" t="s">
        <v>2156</v>
      </c>
      <c r="C332" s="138">
        <f>IFERROR(VLOOKUP(A332,Sheet1!B:D,3,0),0)</f>
        <v>5000</v>
      </c>
      <c r="D332">
        <f>VLOOKUP(A332,'Stock statement'!$C$3:$R$382,16,0)</f>
        <v>5000</v>
      </c>
      <c r="E332" s="145">
        <f t="shared" si="9"/>
        <v>0</v>
      </c>
    </row>
    <row r="333" spans="1:5" ht="13.9" customHeight="1">
      <c r="A333" s="72">
        <v>214667</v>
      </c>
      <c r="B333" t="s">
        <v>2157</v>
      </c>
      <c r="C333" s="138">
        <f>IFERROR(VLOOKUP(A333,Sheet1!B:D,3,0),0)</f>
        <v>5000</v>
      </c>
      <c r="D333">
        <f>VLOOKUP(A333,'Stock statement'!$C$3:$R$382,16,0)</f>
        <v>5000</v>
      </c>
      <c r="E333" s="145">
        <f t="shared" si="9"/>
        <v>0</v>
      </c>
    </row>
    <row r="334" spans="1:5">
      <c r="A334" s="72">
        <v>214965</v>
      </c>
      <c r="B334" s="5" t="s">
        <v>900</v>
      </c>
      <c r="C334" s="138">
        <f>IFERROR(VLOOKUP(A334,Sheet1!B:D,3,0),0)</f>
        <v>80</v>
      </c>
      <c r="D334">
        <f>VLOOKUP(A334,'Stock statement'!$C$3:$R$382,16,0)</f>
        <v>80</v>
      </c>
    </row>
    <row r="335" spans="1:5">
      <c r="A335" s="5">
        <v>214967</v>
      </c>
      <c r="B335" s="5" t="s">
        <v>540</v>
      </c>
      <c r="C335" s="138">
        <f>IFERROR(VLOOKUP(A335,Sheet1!B:D,3,0),0)</f>
        <v>120</v>
      </c>
      <c r="D335">
        <f>VLOOKUP(A335,'Stock statement'!$C$3:$R$382,16,0)</f>
        <v>120</v>
      </c>
    </row>
    <row r="336" spans="1:5">
      <c r="A336" s="72">
        <v>214968</v>
      </c>
      <c r="B336" s="5" t="s">
        <v>2158</v>
      </c>
      <c r="C336" s="138">
        <f>IFERROR(VLOOKUP(A336,Sheet1!B:D,3,0),0)</f>
        <v>50</v>
      </c>
      <c r="D336">
        <f>VLOOKUP(A336,'Stock statement'!$C$3:$R$382,16,0)</f>
        <v>50</v>
      </c>
    </row>
    <row r="337" spans="1:5">
      <c r="A337" s="72">
        <v>214966</v>
      </c>
      <c r="B337" s="5" t="s">
        <v>536</v>
      </c>
      <c r="C337" s="138">
        <f>IFERROR(VLOOKUP(A337,Sheet1!B:D,3,0),0)</f>
        <v>170</v>
      </c>
      <c r="D337">
        <f>VLOOKUP(A337,'Stock statement'!$C$3:$R$382,16,0)</f>
        <v>170</v>
      </c>
    </row>
    <row r="338" spans="1:5">
      <c r="A338" s="72">
        <v>213468</v>
      </c>
      <c r="B338" s="180" t="s">
        <v>892</v>
      </c>
      <c r="C338" s="138">
        <f>IFERROR(VLOOKUP(A338,Sheet1!B:D,3,0),0)</f>
        <v>6550</v>
      </c>
      <c r="D338">
        <f>VLOOKUP(A338,'Stock statement'!$C$3:$R$382,16,0)</f>
        <v>6550</v>
      </c>
    </row>
    <row r="339" spans="1:5">
      <c r="A339" s="72">
        <v>214879</v>
      </c>
      <c r="B339" s="5" t="s">
        <v>538</v>
      </c>
      <c r="C339" s="138">
        <f>IFERROR(VLOOKUP(A339,Sheet1!B:D,3,0),0)</f>
        <v>2200</v>
      </c>
      <c r="D339">
        <f>VLOOKUP(A339,'Stock statement'!$C$3:$R$382,16,0)</f>
        <v>2200</v>
      </c>
    </row>
    <row r="340" spans="1:5">
      <c r="A340" s="5">
        <v>214878</v>
      </c>
      <c r="B340" s="5" t="s">
        <v>880</v>
      </c>
      <c r="C340" s="138">
        <f>IFERROR(VLOOKUP(A340,Sheet1!B:D,3,0),0)</f>
        <v>1320</v>
      </c>
      <c r="D340">
        <f>VLOOKUP(A340,'Stock statement'!$C$3:$R$382,16,0)</f>
        <v>1320</v>
      </c>
      <c r="E340" s="145">
        <f t="shared" ref="E340:E348" si="10">C340-D340</f>
        <v>0</v>
      </c>
    </row>
    <row r="341" spans="1:5">
      <c r="A341" s="5">
        <v>214880</v>
      </c>
      <c r="B341" s="5" t="s">
        <v>541</v>
      </c>
      <c r="C341" s="138">
        <f>IFERROR(VLOOKUP(A341,Sheet1!B:D,3,0),0)</f>
        <v>2200</v>
      </c>
      <c r="D341">
        <f>VLOOKUP(A341,'Stock statement'!$C$3:$R$382,16,0)</f>
        <v>2200</v>
      </c>
      <c r="E341" s="145">
        <f t="shared" si="10"/>
        <v>0</v>
      </c>
    </row>
    <row r="342" spans="1:5">
      <c r="A342" s="5">
        <v>214881</v>
      </c>
      <c r="B342" s="5" t="s">
        <v>881</v>
      </c>
      <c r="C342" s="138">
        <f>IFERROR(VLOOKUP(A342,Sheet1!B:D,3,0),0)</f>
        <v>760</v>
      </c>
      <c r="D342">
        <f>VLOOKUP(A342,'Stock statement'!$C$3:$R$382,16,0)</f>
        <v>760</v>
      </c>
      <c r="E342" s="145">
        <f t="shared" si="10"/>
        <v>0</v>
      </c>
    </row>
    <row r="343" spans="1:5">
      <c r="A343" s="143">
        <v>214970</v>
      </c>
      <c r="B343" s="4" t="s">
        <v>895</v>
      </c>
      <c r="C343" s="138">
        <f>IFERROR(VLOOKUP(A343,Sheet1!B:D,3,0),0)</f>
        <v>1099</v>
      </c>
      <c r="D343">
        <f>VLOOKUP(A343,'Stock statement'!$C$3:$R$382,16,0)</f>
        <v>1099</v>
      </c>
      <c r="E343" s="145">
        <f t="shared" si="10"/>
        <v>0</v>
      </c>
    </row>
    <row r="344" spans="1:5">
      <c r="A344" s="143">
        <v>214977</v>
      </c>
      <c r="B344" s="59" t="s">
        <v>901</v>
      </c>
      <c r="C344" s="138">
        <f>IFERROR(VLOOKUP(A344,Sheet1!B:D,3,0),0)</f>
        <v>5280</v>
      </c>
      <c r="D344">
        <f>VLOOKUP(A344,'Stock statement'!$C$3:$R$382,16,0)</f>
        <v>5280</v>
      </c>
      <c r="E344" s="145">
        <f t="shared" si="10"/>
        <v>0</v>
      </c>
    </row>
    <row r="345" spans="1:5">
      <c r="A345" s="179">
        <v>214978</v>
      </c>
      <c r="B345" s="59" t="s">
        <v>902</v>
      </c>
      <c r="C345" s="138">
        <f>IFERROR(VLOOKUP(A345,Sheet1!B:D,3,0),0)</f>
        <v>20160</v>
      </c>
      <c r="D345">
        <f>VLOOKUP(A345,'Stock statement'!$C$3:$R$382,16,0)</f>
        <v>20160</v>
      </c>
      <c r="E345" s="145">
        <f t="shared" si="10"/>
        <v>0</v>
      </c>
    </row>
    <row r="346" spans="1:5">
      <c r="A346" s="143">
        <v>214954</v>
      </c>
      <c r="B346" s="59" t="s">
        <v>527</v>
      </c>
      <c r="C346" s="138">
        <f>IFERROR(VLOOKUP(A346,Sheet1!B:D,3,0),0)</f>
        <v>0</v>
      </c>
      <c r="D346">
        <f>VLOOKUP(A346,'Stock statement'!$C$3:$R$382,16,0)</f>
        <v>0</v>
      </c>
      <c r="E346" s="145">
        <f t="shared" si="10"/>
        <v>0</v>
      </c>
    </row>
    <row r="347" spans="1:5">
      <c r="A347" s="143">
        <v>214961</v>
      </c>
      <c r="B347" s="4" t="s">
        <v>896</v>
      </c>
      <c r="C347" s="138">
        <f>IFERROR(VLOOKUP(A347,Sheet1!B:D,3,0),0)</f>
        <v>6940</v>
      </c>
      <c r="D347">
        <f>VLOOKUP(A347,'Stock statement'!$C$3:$R$382,16,0)</f>
        <v>6940</v>
      </c>
      <c r="E347" s="145">
        <f t="shared" si="10"/>
        <v>0</v>
      </c>
    </row>
    <row r="348" spans="1:5">
      <c r="A348" s="143">
        <v>214962</v>
      </c>
      <c r="B348" s="4" t="s">
        <v>897</v>
      </c>
      <c r="C348" s="138">
        <f>IFERROR(VLOOKUP(A348,Sheet1!B:D,3,0),0)</f>
        <v>16378</v>
      </c>
      <c r="D348">
        <f>VLOOKUP(A348,'Stock statement'!$C$3:$R$382,16,0)</f>
        <v>16378</v>
      </c>
      <c r="E348" s="145">
        <f t="shared" si="10"/>
        <v>0</v>
      </c>
    </row>
    <row r="349" spans="1:5">
      <c r="A349" s="143">
        <v>214979</v>
      </c>
      <c r="B349" s="4" t="s">
        <v>528</v>
      </c>
      <c r="C349" s="138">
        <f>IFERROR(VLOOKUP(A349,Sheet1!B:D,3,0),0)</f>
        <v>0</v>
      </c>
      <c r="D349">
        <f>VLOOKUP(A349,'Stock statement'!$C$3:$R$382,16,0)</f>
        <v>0</v>
      </c>
      <c r="E349" s="145">
        <f t="shared" ref="E349:E355" si="11">C349-D349</f>
        <v>0</v>
      </c>
    </row>
    <row r="350" spans="1:5">
      <c r="A350" s="5">
        <v>214989</v>
      </c>
      <c r="B350" s="5" t="s">
        <v>543</v>
      </c>
      <c r="C350" s="138">
        <f>IFERROR(VLOOKUP(A350,Sheet1!B:D,3,0),0)</f>
        <v>0</v>
      </c>
      <c r="D350">
        <f>VLOOKUP(A350,'Stock statement'!$C$3:$R$382,16,0)</f>
        <v>0</v>
      </c>
      <c r="E350" s="145">
        <f t="shared" si="11"/>
        <v>0</v>
      </c>
    </row>
    <row r="351" spans="1:5">
      <c r="A351" s="5">
        <v>214990</v>
      </c>
      <c r="B351" s="5" t="s">
        <v>904</v>
      </c>
      <c r="C351" s="138">
        <f>IFERROR(VLOOKUP(A351,Sheet1!B:D,3,0),0)</f>
        <v>5173.51</v>
      </c>
      <c r="D351">
        <f>VLOOKUP(A351,'Stock statement'!$C$3:$R$382,16,0)</f>
        <v>5173.51</v>
      </c>
      <c r="E351" s="145">
        <f t="shared" si="11"/>
        <v>0</v>
      </c>
    </row>
    <row r="352" spans="1:5">
      <c r="A352" s="5">
        <v>215015</v>
      </c>
      <c r="B352" s="5" t="s">
        <v>905</v>
      </c>
      <c r="C352" s="138">
        <f>IFERROR(VLOOKUP(A352,Sheet1!B:D,3,0),0)</f>
        <v>13441</v>
      </c>
      <c r="D352">
        <f>VLOOKUP(A352,'Stock statement'!$C$3:$R$382,16,0)</f>
        <v>13441</v>
      </c>
      <c r="E352" s="145">
        <f t="shared" si="11"/>
        <v>0</v>
      </c>
    </row>
    <row r="353" spans="1:5">
      <c r="A353" s="5">
        <v>215016</v>
      </c>
      <c r="B353" s="5" t="s">
        <v>906</v>
      </c>
      <c r="C353" s="138">
        <f>IFERROR(VLOOKUP(A353,Sheet1!B:D,3,0),0)</f>
        <v>0</v>
      </c>
      <c r="D353">
        <f>VLOOKUP(A353,'Stock statement'!$C$3:$R$382,16,0)</f>
        <v>0</v>
      </c>
      <c r="E353" s="145">
        <f t="shared" si="11"/>
        <v>0</v>
      </c>
    </row>
    <row r="354" spans="1:5">
      <c r="A354" s="5">
        <v>215007</v>
      </c>
      <c r="B354" s="5" t="s">
        <v>907</v>
      </c>
      <c r="C354" s="138">
        <f>IFERROR(VLOOKUP(A354,Sheet1!B:D,3,0),0)</f>
        <v>1042</v>
      </c>
      <c r="D354">
        <f>VLOOKUP(A354,'Stock statement'!$C$3:$R$382,16,0)</f>
        <v>1042</v>
      </c>
      <c r="E354" s="145">
        <f t="shared" si="11"/>
        <v>0</v>
      </c>
    </row>
    <row r="355" spans="1:5">
      <c r="A355" s="5">
        <v>215014</v>
      </c>
      <c r="B355" s="5" t="s">
        <v>908</v>
      </c>
      <c r="C355" s="138">
        <f>IFERROR(VLOOKUP(A355,Sheet1!B:D,3,0),0)</f>
        <v>855.8</v>
      </c>
      <c r="D355">
        <f>VLOOKUP(A355,'Stock statement'!$C$3:$R$382,16,0)</f>
        <v>855.8</v>
      </c>
      <c r="E355" s="145">
        <f t="shared" si="11"/>
        <v>0</v>
      </c>
    </row>
    <row r="356" spans="1:5">
      <c r="A356" s="5">
        <v>214959</v>
      </c>
      <c r="B356" s="5" t="s">
        <v>894</v>
      </c>
      <c r="C356" s="138">
        <f>IFERROR(VLOOKUP(A356,Sheet1!B:D,3,0),0)</f>
        <v>6160</v>
      </c>
      <c r="D356">
        <f>VLOOKUP(A356,'Stock statement'!$C$3:$R$382,16,0)</f>
        <v>6160</v>
      </c>
      <c r="E356" s="71">
        <f t="shared" ref="E356" si="12">SUM(E2:E355)</f>
        <v>0</v>
      </c>
    </row>
    <row r="357" spans="1:5">
      <c r="C357" s="71">
        <f>SUM(C2:C356)</f>
        <v>1735873.2870000002</v>
      </c>
      <c r="D357" s="71">
        <f>SUM(D2:D356)</f>
        <v>1735873.2870000002</v>
      </c>
    </row>
  </sheetData>
  <autoFilter ref="A1:E1" xr:uid="{00000000-0009-0000-0000-000006000000}"/>
  <conditionalFormatting sqref="A1">
    <cfRule type="duplicateValues" dxfId="42" priority="63"/>
  </conditionalFormatting>
  <conditionalFormatting sqref="A157">
    <cfRule type="duplicateValues" dxfId="41" priority="36"/>
  </conditionalFormatting>
  <conditionalFormatting sqref="A102">
    <cfRule type="duplicateValues" dxfId="40" priority="32"/>
  </conditionalFormatting>
  <conditionalFormatting sqref="A78">
    <cfRule type="duplicateValues" dxfId="39" priority="28"/>
  </conditionalFormatting>
  <conditionalFormatting sqref="A240">
    <cfRule type="duplicateValues" dxfId="38" priority="24"/>
  </conditionalFormatting>
  <conditionalFormatting sqref="A64">
    <cfRule type="duplicateValues" dxfId="37" priority="43"/>
  </conditionalFormatting>
  <conditionalFormatting sqref="A201">
    <cfRule type="duplicateValues" dxfId="36" priority="42"/>
  </conditionalFormatting>
  <conditionalFormatting sqref="A202">
    <cfRule type="duplicateValues" dxfId="35" priority="41"/>
  </conditionalFormatting>
  <conditionalFormatting sqref="A157">
    <cfRule type="duplicateValues" dxfId="34" priority="38" stopIfTrue="1"/>
  </conditionalFormatting>
  <conditionalFormatting sqref="A157">
    <cfRule type="duplicateValues" dxfId="33" priority="37"/>
  </conditionalFormatting>
  <conditionalFormatting sqref="A157">
    <cfRule type="duplicateValues" dxfId="32" priority="39"/>
  </conditionalFormatting>
  <conditionalFormatting sqref="A102">
    <cfRule type="duplicateValues" dxfId="31" priority="34" stopIfTrue="1"/>
  </conditionalFormatting>
  <conditionalFormatting sqref="A102">
    <cfRule type="duplicateValues" dxfId="30" priority="33"/>
  </conditionalFormatting>
  <conditionalFormatting sqref="A102">
    <cfRule type="duplicateValues" dxfId="29" priority="35"/>
  </conditionalFormatting>
  <conditionalFormatting sqref="A78">
    <cfRule type="duplicateValues" dxfId="28" priority="30" stopIfTrue="1"/>
  </conditionalFormatting>
  <conditionalFormatting sqref="A78">
    <cfRule type="duplicateValues" dxfId="27" priority="29"/>
  </conditionalFormatting>
  <conditionalFormatting sqref="A78">
    <cfRule type="duplicateValues" dxfId="26" priority="31"/>
  </conditionalFormatting>
  <conditionalFormatting sqref="A153">
    <cfRule type="duplicateValues" dxfId="25" priority="27"/>
  </conditionalFormatting>
  <conditionalFormatting sqref="A152">
    <cfRule type="duplicateValues" dxfId="24" priority="26"/>
  </conditionalFormatting>
  <conditionalFormatting sqref="A138">
    <cfRule type="duplicateValues" dxfId="23" priority="25"/>
  </conditionalFormatting>
  <conditionalFormatting sqref="C273:C279 C281:C296 C331:C355">
    <cfRule type="cellIs" dxfId="22" priority="22" operator="lessThan">
      <formula>0</formula>
    </cfRule>
  </conditionalFormatting>
  <conditionalFormatting sqref="C280">
    <cfRule type="cellIs" dxfId="21" priority="21" operator="lessThan">
      <formula>0</formula>
    </cfRule>
  </conditionalFormatting>
  <conditionalFormatting sqref="C297">
    <cfRule type="cellIs" dxfId="20" priority="20" operator="lessThan">
      <formula>0</formula>
    </cfRule>
  </conditionalFormatting>
  <conditionalFormatting sqref="C298">
    <cfRule type="cellIs" dxfId="19" priority="19" operator="lessThan">
      <formula>0</formula>
    </cfRule>
  </conditionalFormatting>
  <conditionalFormatting sqref="C299">
    <cfRule type="cellIs" dxfId="18" priority="18" operator="lessThan">
      <formula>0</formula>
    </cfRule>
  </conditionalFormatting>
  <conditionalFormatting sqref="C300:C314 C316:C322">
    <cfRule type="cellIs" dxfId="17" priority="17" operator="lessThan">
      <formula>0</formula>
    </cfRule>
  </conditionalFormatting>
  <conditionalFormatting sqref="C315:C322">
    <cfRule type="cellIs" dxfId="16" priority="16" operator="lessThan">
      <formula>0</formula>
    </cfRule>
  </conditionalFormatting>
  <conditionalFormatting sqref="B320:B322">
    <cfRule type="duplicateValues" dxfId="15" priority="12" stopIfTrue="1"/>
  </conditionalFormatting>
  <conditionalFormatting sqref="B320:B322">
    <cfRule type="duplicateValues" dxfId="14" priority="13"/>
  </conditionalFormatting>
  <conditionalFormatting sqref="C323">
    <cfRule type="cellIs" dxfId="13" priority="11" operator="lessThan">
      <formula>0</formula>
    </cfRule>
  </conditionalFormatting>
  <conditionalFormatting sqref="C323">
    <cfRule type="cellIs" dxfId="12" priority="10" operator="lessThan">
      <formula>0</formula>
    </cfRule>
  </conditionalFormatting>
  <conditionalFormatting sqref="B323">
    <cfRule type="duplicateValues" dxfId="11" priority="8" stopIfTrue="1"/>
  </conditionalFormatting>
  <conditionalFormatting sqref="B323">
    <cfRule type="duplicateValues" dxfId="10" priority="9"/>
  </conditionalFormatting>
  <conditionalFormatting sqref="A350:A355">
    <cfRule type="duplicateValues" dxfId="9" priority="5"/>
  </conditionalFormatting>
  <conditionalFormatting sqref="A356">
    <cfRule type="duplicateValues" dxfId="8" priority="2"/>
  </conditionalFormatting>
  <conditionalFormatting sqref="B356">
    <cfRule type="duplicateValues" dxfId="7" priority="3" stopIfTrue="1"/>
  </conditionalFormatting>
  <conditionalFormatting sqref="B356">
    <cfRule type="duplicateValues" dxfId="6" priority="4"/>
  </conditionalFormatting>
  <conditionalFormatting sqref="C356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I264"/>
  <sheetViews>
    <sheetView workbookViewId="0">
      <selection activeCell="B135" sqref="B135"/>
    </sheetView>
  </sheetViews>
  <sheetFormatPr defaultRowHeight="14.45"/>
  <cols>
    <col min="1" max="1" width="11.7109375" customWidth="1"/>
    <col min="2" max="2" width="8.85546875" style="15" bestFit="1" customWidth="1"/>
    <col min="3" max="3" width="69.140625" bestFit="1" customWidth="1"/>
    <col min="4" max="5" width="12.5703125" bestFit="1" customWidth="1"/>
    <col min="6" max="6" width="11.7109375" customWidth="1"/>
  </cols>
  <sheetData>
    <row r="1" spans="1:6" ht="27.6">
      <c r="A1" s="139" t="s">
        <v>2159</v>
      </c>
      <c r="B1" s="177" t="s">
        <v>2160</v>
      </c>
      <c r="C1" s="139" t="s">
        <v>2161</v>
      </c>
      <c r="D1" s="140" t="s">
        <v>2162</v>
      </c>
      <c r="E1" s="140" t="s">
        <v>2163</v>
      </c>
      <c r="F1" s="140" t="s">
        <v>2164</v>
      </c>
    </row>
    <row r="2" spans="1:6" hidden="1">
      <c r="A2" s="59"/>
      <c r="B2" s="141">
        <v>110184</v>
      </c>
      <c r="C2" s="143" t="s">
        <v>372</v>
      </c>
      <c r="D2" s="4">
        <v>13.83</v>
      </c>
      <c r="E2" s="4">
        <f>VLOOKUP(B2,'Monthly Op &amp; Clo Stock (invoic)'!A:C,3,0)</f>
        <v>13.83</v>
      </c>
      <c r="F2" s="144">
        <f>D2-E2</f>
        <v>0</v>
      </c>
    </row>
    <row r="3" spans="1:6" hidden="1">
      <c r="A3" s="59"/>
      <c r="B3" s="141">
        <v>118322</v>
      </c>
      <c r="C3" s="143" t="s">
        <v>2079</v>
      </c>
      <c r="D3" s="144">
        <v>0</v>
      </c>
      <c r="E3" s="4">
        <f>VLOOKUP(B3,'Monthly Op &amp; Clo Stock (invoic)'!A:C,3,0)</f>
        <v>0</v>
      </c>
      <c r="F3" s="144">
        <f t="shared" ref="F3:F63" si="0">D3-E3</f>
        <v>0</v>
      </c>
    </row>
    <row r="4" spans="1:6" hidden="1">
      <c r="A4" s="59"/>
      <c r="B4" s="141">
        <v>110982</v>
      </c>
      <c r="C4" s="143" t="s">
        <v>374</v>
      </c>
      <c r="D4" s="4">
        <v>18.68</v>
      </c>
      <c r="E4" s="4">
        <f>VLOOKUP(B4,'Monthly Op &amp; Clo Stock (invoic)'!A:C,3,0)</f>
        <v>18.68</v>
      </c>
      <c r="F4" s="144">
        <f t="shared" si="0"/>
        <v>0</v>
      </c>
    </row>
    <row r="5" spans="1:6" hidden="1">
      <c r="A5" s="59"/>
      <c r="B5" s="141">
        <v>110021</v>
      </c>
      <c r="C5" s="143" t="s">
        <v>165</v>
      </c>
      <c r="D5" s="4">
        <v>1.79</v>
      </c>
      <c r="E5" s="4">
        <f>VLOOKUP(B5,'Monthly Op &amp; Clo Stock (invoic)'!A:C,3,0)</f>
        <v>1.79</v>
      </c>
      <c r="F5" s="144">
        <f t="shared" si="0"/>
        <v>0</v>
      </c>
    </row>
    <row r="6" spans="1:6" hidden="1">
      <c r="A6" s="59"/>
      <c r="B6" s="141">
        <v>110918</v>
      </c>
      <c r="C6" s="143" t="s">
        <v>497</v>
      </c>
      <c r="D6" s="4">
        <v>13.2</v>
      </c>
      <c r="E6" s="4">
        <f>VLOOKUP(B6,'Monthly Op &amp; Clo Stock (invoic)'!A:C,3,0)</f>
        <v>13.2</v>
      </c>
      <c r="F6" s="144">
        <f t="shared" si="0"/>
        <v>0</v>
      </c>
    </row>
    <row r="7" spans="1:6" hidden="1">
      <c r="A7" s="59"/>
      <c r="B7" s="141">
        <v>111233</v>
      </c>
      <c r="C7" s="143" t="s">
        <v>578</v>
      </c>
      <c r="D7" s="4">
        <v>8524.4500000000007</v>
      </c>
      <c r="E7" s="4">
        <f>VLOOKUP(B7,'Monthly Op &amp; Clo Stock (invoic)'!A:C,3,0)</f>
        <v>8524.4500000000007</v>
      </c>
      <c r="F7" s="144">
        <f t="shared" si="0"/>
        <v>0</v>
      </c>
    </row>
    <row r="8" spans="1:6" hidden="1">
      <c r="A8" s="59"/>
      <c r="B8" s="141">
        <v>110054</v>
      </c>
      <c r="C8" s="143" t="s">
        <v>156</v>
      </c>
      <c r="D8" s="4">
        <v>35000</v>
      </c>
      <c r="E8" s="4">
        <f>VLOOKUP(B8,'Monthly Op &amp; Clo Stock (invoic)'!A:C,3,0)</f>
        <v>35000</v>
      </c>
      <c r="F8" s="144">
        <f t="shared" si="0"/>
        <v>0</v>
      </c>
    </row>
    <row r="9" spans="1:6" hidden="1">
      <c r="A9" s="59"/>
      <c r="B9" s="141">
        <v>110017</v>
      </c>
      <c r="C9" s="143" t="s">
        <v>310</v>
      </c>
      <c r="D9" s="4">
        <v>2400.11</v>
      </c>
      <c r="E9" s="4">
        <f>VLOOKUP(B9,'Monthly Op &amp; Clo Stock (invoic)'!A:C,3,0)</f>
        <v>2400.11</v>
      </c>
      <c r="F9" s="144">
        <f t="shared" si="0"/>
        <v>0</v>
      </c>
    </row>
    <row r="10" spans="1:6" hidden="1">
      <c r="A10" s="59"/>
      <c r="B10" s="141">
        <v>111257</v>
      </c>
      <c r="C10" s="143" t="s">
        <v>391</v>
      </c>
      <c r="D10" s="4">
        <v>200.58999999999997</v>
      </c>
      <c r="E10" s="4">
        <f>VLOOKUP(B10,'Monthly Op &amp; Clo Stock (invoic)'!A:C,3,0)</f>
        <v>200.58999999999997</v>
      </c>
      <c r="F10" s="144">
        <f t="shared" si="0"/>
        <v>0</v>
      </c>
    </row>
    <row r="11" spans="1:6" hidden="1">
      <c r="A11" s="59"/>
      <c r="B11" s="141">
        <v>110921</v>
      </c>
      <c r="C11" s="143" t="s">
        <v>579</v>
      </c>
      <c r="D11" s="4">
        <v>148.91</v>
      </c>
      <c r="E11" s="4">
        <f>VLOOKUP(B11,'Monthly Op &amp; Clo Stock (invoic)'!A:C,3,0)</f>
        <v>148.91</v>
      </c>
      <c r="F11" s="144">
        <f t="shared" si="0"/>
        <v>0</v>
      </c>
    </row>
    <row r="12" spans="1:6" hidden="1">
      <c r="A12" s="59"/>
      <c r="B12" s="141">
        <v>110004</v>
      </c>
      <c r="C12" s="143" t="s">
        <v>150</v>
      </c>
      <c r="D12" s="4">
        <v>253.25</v>
      </c>
      <c r="E12" s="4">
        <f>VLOOKUP(B12,'Monthly Op &amp; Clo Stock (invoic)'!A:C,3,0)</f>
        <v>253.25</v>
      </c>
      <c r="F12" s="144">
        <f t="shared" si="0"/>
        <v>0</v>
      </c>
    </row>
    <row r="13" spans="1:6" hidden="1">
      <c r="A13" s="59"/>
      <c r="B13" s="141">
        <v>110019</v>
      </c>
      <c r="C13" s="185" t="s">
        <v>580</v>
      </c>
      <c r="D13" s="4">
        <v>7.3</v>
      </c>
      <c r="E13" s="4">
        <f>VLOOKUP(B13,'Monthly Op &amp; Clo Stock (invoic)'!A:C,3,0)</f>
        <v>7.3</v>
      </c>
      <c r="F13" s="144">
        <f t="shared" si="0"/>
        <v>0</v>
      </c>
    </row>
    <row r="14" spans="1:6" hidden="1">
      <c r="A14" s="59"/>
      <c r="B14" s="141">
        <v>110020</v>
      </c>
      <c r="C14" s="185" t="s">
        <v>442</v>
      </c>
      <c r="D14" s="4">
        <v>6525</v>
      </c>
      <c r="E14" s="4">
        <f>VLOOKUP(B14,'Monthly Op &amp; Clo Stock (invoic)'!A:C,3,0)</f>
        <v>6525</v>
      </c>
      <c r="F14" s="144">
        <f t="shared" si="0"/>
        <v>0</v>
      </c>
    </row>
    <row r="15" spans="1:6" hidden="1">
      <c r="A15" s="59"/>
      <c r="B15" s="141">
        <v>110941</v>
      </c>
      <c r="C15" s="143" t="s">
        <v>581</v>
      </c>
      <c r="D15" s="4">
        <v>21.82</v>
      </c>
      <c r="E15" s="4">
        <f>VLOOKUP(B15,'Monthly Op &amp; Clo Stock (invoic)'!A:C,3,0)</f>
        <v>21.82</v>
      </c>
      <c r="F15" s="144">
        <f t="shared" si="0"/>
        <v>0</v>
      </c>
    </row>
    <row r="16" spans="1:6" hidden="1">
      <c r="A16" s="59"/>
      <c r="B16" s="141">
        <v>110001</v>
      </c>
      <c r="C16" s="143" t="s">
        <v>447</v>
      </c>
      <c r="D16" s="4">
        <v>0</v>
      </c>
      <c r="E16" s="4">
        <f>VLOOKUP(B16,'Monthly Op &amp; Clo Stock (invoic)'!A:C,3,0)</f>
        <v>0</v>
      </c>
      <c r="F16" s="144">
        <f t="shared" si="0"/>
        <v>0</v>
      </c>
    </row>
    <row r="17" spans="1:6" hidden="1">
      <c r="A17" s="59"/>
      <c r="B17" s="141">
        <v>110022</v>
      </c>
      <c r="C17" s="143" t="s">
        <v>1561</v>
      </c>
      <c r="D17" s="4">
        <v>1003.04</v>
      </c>
      <c r="E17" s="4">
        <f>VLOOKUP(B17,'Monthly Op &amp; Clo Stock (invoic)'!A:C,3,0)</f>
        <v>1003.04</v>
      </c>
      <c r="F17" s="144">
        <f t="shared" si="0"/>
        <v>0</v>
      </c>
    </row>
    <row r="18" spans="1:6" hidden="1">
      <c r="A18" s="59"/>
      <c r="B18" s="141">
        <v>110873</v>
      </c>
      <c r="C18" s="143" t="s">
        <v>443</v>
      </c>
      <c r="D18" s="4">
        <v>1625</v>
      </c>
      <c r="E18" s="4">
        <f>VLOOKUP(B18,'Monthly Op &amp; Clo Stock (invoic)'!A:C,3,0)</f>
        <v>1625</v>
      </c>
      <c r="F18" s="144">
        <f t="shared" si="0"/>
        <v>0</v>
      </c>
    </row>
    <row r="19" spans="1:6" hidden="1">
      <c r="A19" s="59"/>
      <c r="B19" s="141">
        <v>110929</v>
      </c>
      <c r="C19" s="143" t="s">
        <v>392</v>
      </c>
      <c r="D19" s="4">
        <v>48.989999999999995</v>
      </c>
      <c r="E19" s="4">
        <f>VLOOKUP(B19,'Monthly Op &amp; Clo Stock (invoic)'!A:C,3,0)</f>
        <v>48.989999999999995</v>
      </c>
      <c r="F19" s="144">
        <f t="shared" si="0"/>
        <v>0</v>
      </c>
    </row>
    <row r="20" spans="1:6" hidden="1">
      <c r="A20" s="59"/>
      <c r="B20" s="141">
        <v>110814</v>
      </c>
      <c r="C20" s="143" t="s">
        <v>2165</v>
      </c>
      <c r="D20" s="4">
        <v>630</v>
      </c>
      <c r="E20" s="4">
        <f>VLOOKUP(B20,'Monthly Op &amp; Clo Stock (invoic)'!A:C,3,0)</f>
        <v>630</v>
      </c>
      <c r="F20" s="144">
        <f t="shared" si="0"/>
        <v>0</v>
      </c>
    </row>
    <row r="21" spans="1:6" hidden="1">
      <c r="A21" s="59"/>
      <c r="B21" s="141">
        <v>111253</v>
      </c>
      <c r="C21" s="143" t="s">
        <v>585</v>
      </c>
      <c r="D21" s="4">
        <v>1257.5</v>
      </c>
      <c r="E21" s="4">
        <f>VLOOKUP(B21,'Monthly Op &amp; Clo Stock (invoic)'!A:C,3,0)</f>
        <v>1257.5</v>
      </c>
      <c r="F21" s="144">
        <f t="shared" si="0"/>
        <v>0</v>
      </c>
    </row>
    <row r="22" spans="1:6" hidden="1">
      <c r="A22" s="59"/>
      <c r="B22" s="141">
        <v>111316</v>
      </c>
      <c r="C22" s="4" t="s">
        <v>2166</v>
      </c>
      <c r="D22" s="171">
        <v>0</v>
      </c>
      <c r="E22" s="4">
        <f>VLOOKUP(B22,'Monthly Op &amp; Clo Stock (invoic)'!A:C,3,0)</f>
        <v>0</v>
      </c>
      <c r="F22" s="144">
        <f t="shared" si="0"/>
        <v>0</v>
      </c>
    </row>
    <row r="23" spans="1:6" hidden="1">
      <c r="A23" s="59"/>
      <c r="B23" s="141">
        <v>110852</v>
      </c>
      <c r="C23" s="143" t="s">
        <v>418</v>
      </c>
      <c r="D23" s="4">
        <v>2300</v>
      </c>
      <c r="E23" s="4">
        <f>VLOOKUP(B23,'Monthly Op &amp; Clo Stock (invoic)'!A:C,3,0)</f>
        <v>2300</v>
      </c>
      <c r="F23" s="144">
        <f t="shared" si="0"/>
        <v>0</v>
      </c>
    </row>
    <row r="24" spans="1:6" hidden="1">
      <c r="A24" s="59"/>
      <c r="B24" s="141">
        <v>110928</v>
      </c>
      <c r="C24" s="143" t="s">
        <v>2167</v>
      </c>
      <c r="D24" s="4">
        <v>74.650000000000006</v>
      </c>
      <c r="E24" s="4">
        <f>VLOOKUP(B24,'Monthly Op &amp; Clo Stock (invoic)'!A:C,3,0)</f>
        <v>74.650000000000006</v>
      </c>
      <c r="F24" s="144">
        <f t="shared" si="0"/>
        <v>0</v>
      </c>
    </row>
    <row r="25" spans="1:6" hidden="1">
      <c r="A25" s="59"/>
      <c r="B25" s="141">
        <v>110930</v>
      </c>
      <c r="C25" s="143" t="s">
        <v>2168</v>
      </c>
      <c r="D25" s="4">
        <v>214.93</v>
      </c>
      <c r="E25" s="4">
        <f>VLOOKUP(B25,'Monthly Op &amp; Clo Stock (invoic)'!A:C,3,0)</f>
        <v>214.93</v>
      </c>
      <c r="F25" s="144">
        <f t="shared" si="0"/>
        <v>0</v>
      </c>
    </row>
    <row r="26" spans="1:6" hidden="1">
      <c r="A26" s="59"/>
      <c r="B26" s="141">
        <v>110933</v>
      </c>
      <c r="C26" s="143" t="s">
        <v>2169</v>
      </c>
      <c r="D26" s="4">
        <v>38.950000000000003</v>
      </c>
      <c r="E26" s="4">
        <f>VLOOKUP(B26,'Monthly Op &amp; Clo Stock (invoic)'!A:C,3,0)</f>
        <v>38.950000000000003</v>
      </c>
      <c r="F26" s="144">
        <f t="shared" si="0"/>
        <v>0</v>
      </c>
    </row>
    <row r="27" spans="1:6" hidden="1">
      <c r="A27" s="59"/>
      <c r="B27" s="141">
        <v>110053</v>
      </c>
      <c r="C27" s="143" t="s">
        <v>444</v>
      </c>
      <c r="D27" s="4">
        <v>2136.415</v>
      </c>
      <c r="E27" s="4">
        <f>VLOOKUP(B27,'Monthly Op &amp; Clo Stock (invoic)'!A:C,3,0)</f>
        <v>2136.415</v>
      </c>
      <c r="F27" s="144">
        <f t="shared" si="0"/>
        <v>0</v>
      </c>
    </row>
    <row r="28" spans="1:6" hidden="1">
      <c r="A28" s="59"/>
      <c r="B28" s="141">
        <v>110578</v>
      </c>
      <c r="C28" s="143" t="s">
        <v>592</v>
      </c>
      <c r="D28" s="4">
        <v>163</v>
      </c>
      <c r="E28" s="4">
        <f>VLOOKUP(B28,'Monthly Op &amp; Clo Stock (invoic)'!A:C,3,0)</f>
        <v>163</v>
      </c>
      <c r="F28" s="144">
        <f t="shared" si="0"/>
        <v>0</v>
      </c>
    </row>
    <row r="29" spans="1:6" hidden="1">
      <c r="A29" s="59"/>
      <c r="B29" s="141">
        <v>111242</v>
      </c>
      <c r="C29" s="143" t="s">
        <v>593</v>
      </c>
      <c r="D29" s="171">
        <f>1008.35-60</f>
        <v>948.35</v>
      </c>
      <c r="E29" s="4">
        <f>VLOOKUP(B29,'Monthly Op &amp; Clo Stock (invoic)'!A:C,3,0)</f>
        <v>948.35</v>
      </c>
      <c r="F29" s="144">
        <f t="shared" si="0"/>
        <v>0</v>
      </c>
    </row>
    <row r="30" spans="1:6" hidden="1">
      <c r="A30" s="59"/>
      <c r="B30" s="141">
        <v>110908</v>
      </c>
      <c r="C30" s="143" t="s">
        <v>594</v>
      </c>
      <c r="D30" s="171">
        <v>531.5</v>
      </c>
      <c r="E30" s="4">
        <f>VLOOKUP(B30,'Monthly Op &amp; Clo Stock (invoic)'!A:C,3,0)</f>
        <v>531.5</v>
      </c>
      <c r="F30" s="144">
        <f t="shared" si="0"/>
        <v>0</v>
      </c>
    </row>
    <row r="31" spans="1:6" hidden="1">
      <c r="A31" s="59"/>
      <c r="B31" s="141">
        <v>110909</v>
      </c>
      <c r="C31" s="143" t="s">
        <v>596</v>
      </c>
      <c r="D31" s="171">
        <v>0</v>
      </c>
      <c r="E31" s="4">
        <f>VLOOKUP(B31,'Monthly Op &amp; Clo Stock (invoic)'!A:C,3,0)</f>
        <v>0</v>
      </c>
      <c r="F31" s="144">
        <f t="shared" si="0"/>
        <v>0</v>
      </c>
    </row>
    <row r="32" spans="1:6" hidden="1">
      <c r="A32" s="59"/>
      <c r="B32" s="141">
        <v>110927</v>
      </c>
      <c r="C32" s="143" t="s">
        <v>597</v>
      </c>
      <c r="D32" s="171">
        <v>130.32</v>
      </c>
      <c r="E32" s="4">
        <f>VLOOKUP(B32,'Monthly Op &amp; Clo Stock (invoic)'!A:C,3,0)</f>
        <v>130.32</v>
      </c>
      <c r="F32" s="144">
        <f t="shared" si="0"/>
        <v>0</v>
      </c>
    </row>
    <row r="33" spans="1:6" hidden="1">
      <c r="A33" s="59"/>
      <c r="B33" s="141">
        <v>110920</v>
      </c>
      <c r="C33" s="143" t="s">
        <v>598</v>
      </c>
      <c r="D33" s="171">
        <v>68.899999999999991</v>
      </c>
      <c r="E33" s="4">
        <f>VLOOKUP(B33,'Monthly Op &amp; Clo Stock (invoic)'!A:C,3,0)</f>
        <v>68.899999999999991</v>
      </c>
      <c r="F33" s="144">
        <f t="shared" si="0"/>
        <v>0</v>
      </c>
    </row>
    <row r="34" spans="1:6" hidden="1">
      <c r="A34" s="59"/>
      <c r="B34" s="141">
        <v>110919</v>
      </c>
      <c r="C34" s="143" t="s">
        <v>599</v>
      </c>
      <c r="D34" s="171">
        <v>75.37</v>
      </c>
      <c r="E34" s="4">
        <f>VLOOKUP(B34,'Monthly Op &amp; Clo Stock (invoic)'!A:C,3,0)</f>
        <v>75.37</v>
      </c>
      <c r="F34" s="144">
        <f t="shared" si="0"/>
        <v>0</v>
      </c>
    </row>
    <row r="35" spans="1:6" hidden="1">
      <c r="A35" s="59"/>
      <c r="B35" s="141">
        <v>110057</v>
      </c>
      <c r="C35" s="143" t="s">
        <v>445</v>
      </c>
      <c r="D35" s="171">
        <v>224.34</v>
      </c>
      <c r="E35" s="4">
        <f>VLOOKUP(B35,'Monthly Op &amp; Clo Stock (invoic)'!A:C,3,0)</f>
        <v>224.34</v>
      </c>
      <c r="F35" s="144">
        <f t="shared" si="0"/>
        <v>0</v>
      </c>
    </row>
    <row r="36" spans="1:6" hidden="1">
      <c r="A36" s="59"/>
      <c r="B36" s="141">
        <v>110922</v>
      </c>
      <c r="C36" s="143" t="s">
        <v>600</v>
      </c>
      <c r="D36" s="171">
        <v>3.6</v>
      </c>
      <c r="E36" s="4">
        <f>VLOOKUP(B36,'Monthly Op &amp; Clo Stock (invoic)'!A:C,3,0)</f>
        <v>3.6</v>
      </c>
      <c r="F36" s="144">
        <f t="shared" si="0"/>
        <v>0</v>
      </c>
    </row>
    <row r="37" spans="1:6" hidden="1">
      <c r="A37" s="59"/>
      <c r="B37" s="141">
        <v>110981</v>
      </c>
      <c r="C37" s="143" t="s">
        <v>370</v>
      </c>
      <c r="D37" s="171">
        <v>985</v>
      </c>
      <c r="E37" s="4">
        <f>VLOOKUP(B37,'Monthly Op &amp; Clo Stock (invoic)'!A:C,3,0)</f>
        <v>985</v>
      </c>
      <c r="F37" s="144">
        <f t="shared" si="0"/>
        <v>0</v>
      </c>
    </row>
    <row r="38" spans="1:6" hidden="1">
      <c r="A38" s="59"/>
      <c r="B38" s="141">
        <v>110985</v>
      </c>
      <c r="C38" s="143" t="s">
        <v>601</v>
      </c>
      <c r="D38" s="171">
        <v>174</v>
      </c>
      <c r="E38" s="4">
        <f>VLOOKUP(B38,'Monthly Op &amp; Clo Stock (invoic)'!A:C,3,0)</f>
        <v>174</v>
      </c>
      <c r="F38" s="144">
        <f t="shared" si="0"/>
        <v>0</v>
      </c>
    </row>
    <row r="39" spans="1:6" hidden="1">
      <c r="A39" s="59"/>
      <c r="B39" s="141">
        <v>111232</v>
      </c>
      <c r="C39" s="143" t="s">
        <v>441</v>
      </c>
      <c r="D39" s="171">
        <v>90000</v>
      </c>
      <c r="E39" s="4">
        <f>VLOOKUP(B39,'Monthly Op &amp; Clo Stock (invoic)'!A:C,3,0)</f>
        <v>90000</v>
      </c>
      <c r="F39" s="144">
        <f t="shared" si="0"/>
        <v>0</v>
      </c>
    </row>
    <row r="40" spans="1:6" hidden="1">
      <c r="A40" s="59"/>
      <c r="B40" s="141">
        <v>111237</v>
      </c>
      <c r="C40" s="143" t="s">
        <v>446</v>
      </c>
      <c r="D40" s="171">
        <v>3300</v>
      </c>
      <c r="E40" s="4">
        <f>VLOOKUP(B40,'Monthly Op &amp; Clo Stock (invoic)'!A:C,3,0)</f>
        <v>3300</v>
      </c>
      <c r="F40" s="144">
        <f t="shared" si="0"/>
        <v>0</v>
      </c>
    </row>
    <row r="41" spans="1:6" hidden="1">
      <c r="A41" s="59"/>
      <c r="B41" s="141">
        <v>110018</v>
      </c>
      <c r="C41" s="143" t="s">
        <v>364</v>
      </c>
      <c r="D41" s="171">
        <f>1095.99-200</f>
        <v>895.99</v>
      </c>
      <c r="E41" s="4">
        <f>VLOOKUP(B41,'Monthly Op &amp; Clo Stock (invoic)'!A:C,3,0)</f>
        <v>895.99</v>
      </c>
      <c r="F41" s="144">
        <f t="shared" si="0"/>
        <v>0</v>
      </c>
    </row>
    <row r="42" spans="1:6" hidden="1">
      <c r="A42" s="142"/>
      <c r="B42" s="141">
        <v>111254</v>
      </c>
      <c r="C42" s="143" t="s">
        <v>2170</v>
      </c>
      <c r="D42" s="171">
        <f>155.24-13</f>
        <v>142.24</v>
      </c>
      <c r="E42" s="4">
        <f>VLOOKUP(B42,'Monthly Op &amp; Clo Stock (invoic)'!A:C,3,0)</f>
        <v>142.24</v>
      </c>
      <c r="F42" s="144">
        <f t="shared" si="0"/>
        <v>0</v>
      </c>
    </row>
    <row r="43" spans="1:6" hidden="1">
      <c r="A43" s="142"/>
      <c r="B43" s="141">
        <v>110040</v>
      </c>
      <c r="C43" s="143" t="s">
        <v>2171</v>
      </c>
      <c r="D43" s="171">
        <v>435.46</v>
      </c>
      <c r="E43" s="4">
        <f>VLOOKUP(B43,'Monthly Op &amp; Clo Stock (invoic)'!A:C,3,0)</f>
        <v>435.46</v>
      </c>
      <c r="F43" s="144">
        <f t="shared" si="0"/>
        <v>0</v>
      </c>
    </row>
    <row r="44" spans="1:6" hidden="1">
      <c r="A44" s="142"/>
      <c r="B44" s="141">
        <v>110976</v>
      </c>
      <c r="C44" s="143" t="s">
        <v>2172</v>
      </c>
      <c r="D44" s="171">
        <v>0</v>
      </c>
      <c r="E44" s="4">
        <f>VLOOKUP(B44,'Monthly Op &amp; Clo Stock (invoic)'!A:C,3,0)</f>
        <v>0</v>
      </c>
      <c r="F44" s="144">
        <f t="shared" si="0"/>
        <v>0</v>
      </c>
    </row>
    <row r="45" spans="1:6" hidden="1">
      <c r="A45" s="142"/>
      <c r="B45" s="141">
        <v>110979</v>
      </c>
      <c r="C45" s="143" t="s">
        <v>761</v>
      </c>
      <c r="D45" s="171">
        <v>0</v>
      </c>
      <c r="E45" s="4">
        <f>VLOOKUP(B45,'Monthly Op &amp; Clo Stock (invoic)'!A:C,3,0)</f>
        <v>0</v>
      </c>
      <c r="F45" s="144">
        <f t="shared" si="0"/>
        <v>0</v>
      </c>
    </row>
    <row r="46" spans="1:6" hidden="1">
      <c r="A46" s="142"/>
      <c r="B46" s="141">
        <v>110978</v>
      </c>
      <c r="C46" s="143" t="s">
        <v>368</v>
      </c>
      <c r="D46" s="171">
        <v>1924.95</v>
      </c>
      <c r="E46" s="4">
        <f>VLOOKUP(B46,'Monthly Op &amp; Clo Stock (invoic)'!A:C,3,0)</f>
        <v>1924.95</v>
      </c>
      <c r="F46" s="144">
        <f t="shared" si="0"/>
        <v>0</v>
      </c>
    </row>
    <row r="47" spans="1:6" hidden="1">
      <c r="A47" s="142"/>
      <c r="B47" s="141">
        <v>111300</v>
      </c>
      <c r="C47" s="4" t="s">
        <v>1271</v>
      </c>
      <c r="D47" s="171">
        <v>576.25</v>
      </c>
      <c r="E47" s="4">
        <f>VLOOKUP(B47,'Monthly Op &amp; Clo Stock (invoic)'!A:C,3,0)</f>
        <v>576.25</v>
      </c>
      <c r="F47" s="144">
        <f t="shared" si="0"/>
        <v>0</v>
      </c>
    </row>
    <row r="48" spans="1:6" hidden="1">
      <c r="A48" s="142"/>
      <c r="B48" s="141">
        <v>111265</v>
      </c>
      <c r="C48" s="142" t="s">
        <v>606</v>
      </c>
      <c r="D48" s="171">
        <v>0</v>
      </c>
      <c r="E48" s="4">
        <f>VLOOKUP(B48,'Monthly Op &amp; Clo Stock (invoic)'!A:C,3,0)</f>
        <v>0</v>
      </c>
      <c r="F48" s="144">
        <f t="shared" si="0"/>
        <v>0</v>
      </c>
    </row>
    <row r="49" spans="1:6" hidden="1">
      <c r="A49" s="142"/>
      <c r="B49" s="141">
        <v>111261</v>
      </c>
      <c r="C49" s="143" t="s">
        <v>607</v>
      </c>
      <c r="D49" s="171">
        <f>19.7-4</f>
        <v>15.7</v>
      </c>
      <c r="E49" s="4">
        <f>VLOOKUP(B49,'Monthly Op &amp; Clo Stock (invoic)'!A:C,3,0)</f>
        <v>15.7</v>
      </c>
      <c r="F49" s="144">
        <f t="shared" si="0"/>
        <v>0</v>
      </c>
    </row>
    <row r="50" spans="1:6" hidden="1">
      <c r="A50" s="142"/>
      <c r="B50" s="141">
        <v>111318</v>
      </c>
      <c r="C50" s="4" t="s">
        <v>608</v>
      </c>
      <c r="D50" s="171">
        <v>8.02</v>
      </c>
      <c r="E50" s="4">
        <f>VLOOKUP(B50,'Monthly Op &amp; Clo Stock (invoic)'!A:C,3,0)</f>
        <v>8.02</v>
      </c>
      <c r="F50" s="144">
        <f t="shared" si="0"/>
        <v>0</v>
      </c>
    </row>
    <row r="51" spans="1:6" hidden="1">
      <c r="A51" s="59"/>
      <c r="B51" s="141">
        <v>111299</v>
      </c>
      <c r="C51" s="142" t="s">
        <v>353</v>
      </c>
      <c r="D51" s="171">
        <v>18.53</v>
      </c>
      <c r="E51" s="4">
        <f>VLOOKUP(B51,'Monthly Op &amp; Clo Stock (invoic)'!A:C,3,0)</f>
        <v>18.53</v>
      </c>
      <c r="F51" s="144">
        <f t="shared" si="0"/>
        <v>0</v>
      </c>
    </row>
    <row r="52" spans="1:6" hidden="1">
      <c r="A52" s="59"/>
      <c r="B52" s="141">
        <v>111416</v>
      </c>
      <c r="C52" s="142" t="s">
        <v>2173</v>
      </c>
      <c r="D52" s="171">
        <v>0</v>
      </c>
      <c r="E52" s="4">
        <f>VLOOKUP(B52,'Monthly Op &amp; Clo Stock (invoic)'!A:C,3,0)</f>
        <v>0</v>
      </c>
      <c r="F52" s="144">
        <f t="shared" si="0"/>
        <v>0</v>
      </c>
    </row>
    <row r="53" spans="1:6" hidden="1">
      <c r="A53" s="59"/>
      <c r="B53" s="141">
        <v>111245</v>
      </c>
      <c r="C53" s="186" t="s">
        <v>610</v>
      </c>
      <c r="D53" s="171">
        <v>0</v>
      </c>
      <c r="E53" s="4">
        <f>VLOOKUP(B53,'Monthly Op &amp; Clo Stock (invoic)'!A:C,3,0)</f>
        <v>0</v>
      </c>
      <c r="F53" s="144">
        <f t="shared" si="0"/>
        <v>0</v>
      </c>
    </row>
    <row r="54" spans="1:6" hidden="1">
      <c r="A54" s="59"/>
      <c r="B54" s="141">
        <v>111408</v>
      </c>
      <c r="C54" s="142" t="s">
        <v>611</v>
      </c>
      <c r="D54" s="171">
        <v>2.5</v>
      </c>
      <c r="E54" s="4">
        <f>VLOOKUP(B54,'Monthly Op &amp; Clo Stock (invoic)'!A:C,3,0)</f>
        <v>2.5</v>
      </c>
      <c r="F54" s="144">
        <f t="shared" si="0"/>
        <v>0</v>
      </c>
    </row>
    <row r="55" spans="1:6" hidden="1">
      <c r="A55" s="59"/>
      <c r="B55" s="141">
        <v>111598</v>
      </c>
      <c r="C55" s="4" t="s">
        <v>612</v>
      </c>
      <c r="D55" s="171">
        <v>0</v>
      </c>
      <c r="E55" s="4">
        <f>VLOOKUP(B55,'Monthly Op &amp; Clo Stock (invoic)'!A:C,3,0)</f>
        <v>0</v>
      </c>
      <c r="F55" s="144">
        <f t="shared" si="0"/>
        <v>0</v>
      </c>
    </row>
    <row r="56" spans="1:6" hidden="1">
      <c r="A56" s="59"/>
      <c r="B56" s="141">
        <v>111264</v>
      </c>
      <c r="C56" s="4" t="s">
        <v>2174</v>
      </c>
      <c r="D56" s="4">
        <v>115</v>
      </c>
      <c r="E56" s="4">
        <f>VLOOKUP(B56,'Monthly Op &amp; Clo Stock (invoic)'!A:C,3,0)</f>
        <v>115</v>
      </c>
      <c r="F56" s="144">
        <f t="shared" si="0"/>
        <v>0</v>
      </c>
    </row>
    <row r="57" spans="1:6" hidden="1">
      <c r="A57" s="59"/>
      <c r="B57" s="141">
        <v>118219</v>
      </c>
      <c r="C57" s="4" t="s">
        <v>614</v>
      </c>
      <c r="D57" s="4">
        <v>4.99</v>
      </c>
      <c r="E57" s="4">
        <f>VLOOKUP(B57,'Monthly Op &amp; Clo Stock (invoic)'!A:C,3,0)</f>
        <v>4.99</v>
      </c>
      <c r="F57" s="144">
        <f t="shared" si="0"/>
        <v>0</v>
      </c>
    </row>
    <row r="58" spans="1:6" hidden="1">
      <c r="A58" s="59"/>
      <c r="B58" s="141">
        <v>111266</v>
      </c>
      <c r="C58" s="63" t="s">
        <v>615</v>
      </c>
      <c r="D58" s="4">
        <v>4.26</v>
      </c>
      <c r="E58" s="4">
        <f>VLOOKUP(B58,'Monthly Op &amp; Clo Stock (invoic)'!A:C,3,0)</f>
        <v>4.26</v>
      </c>
      <c r="F58" s="144">
        <f t="shared" si="0"/>
        <v>0</v>
      </c>
    </row>
    <row r="59" spans="1:6" hidden="1">
      <c r="A59" s="59"/>
      <c r="B59" s="141">
        <v>110261</v>
      </c>
      <c r="C59" s="63" t="s">
        <v>2175</v>
      </c>
      <c r="D59" s="4">
        <v>250</v>
      </c>
      <c r="E59" s="4">
        <f>VLOOKUP(B59,'Monthly Op &amp; Clo Stock (invoic)'!A:C,3,0)</f>
        <v>250</v>
      </c>
      <c r="F59" s="144">
        <f t="shared" si="0"/>
        <v>0</v>
      </c>
    </row>
    <row r="60" spans="1:6" hidden="1">
      <c r="A60" s="59"/>
      <c r="B60" s="141">
        <v>118370</v>
      </c>
      <c r="C60" s="143" t="s">
        <v>2176</v>
      </c>
      <c r="D60" s="4">
        <v>15.75</v>
      </c>
      <c r="E60" s="4">
        <f>VLOOKUP(B60,'Monthly Op &amp; Clo Stock (invoic)'!A:C,3,0)</f>
        <v>15.75</v>
      </c>
      <c r="F60" s="144">
        <f t="shared" si="0"/>
        <v>0</v>
      </c>
    </row>
    <row r="61" spans="1:6" hidden="1">
      <c r="A61" s="59"/>
      <c r="B61" s="141">
        <v>230701</v>
      </c>
      <c r="C61" s="4" t="s">
        <v>617</v>
      </c>
      <c r="D61" s="4">
        <v>2235.0500000000002</v>
      </c>
      <c r="E61" s="4">
        <f>VLOOKUP(B61,'Monthly Op &amp; Clo Stock (invoic)'!A:C,3,0)</f>
        <v>2235.0500000000002</v>
      </c>
      <c r="F61" s="144">
        <f t="shared" si="0"/>
        <v>0</v>
      </c>
    </row>
    <row r="62" spans="1:6" hidden="1">
      <c r="A62" s="59"/>
      <c r="B62" s="141">
        <v>118232</v>
      </c>
      <c r="C62" s="187" t="s">
        <v>2177</v>
      </c>
      <c r="D62" s="4">
        <v>5.3</v>
      </c>
      <c r="E62" s="4">
        <f>VLOOKUP(B62,'Monthly Op &amp; Clo Stock (invoic)'!A:C,3,0)</f>
        <v>5.3</v>
      </c>
      <c r="F62" s="144">
        <f t="shared" si="0"/>
        <v>0</v>
      </c>
    </row>
    <row r="63" spans="1:6" hidden="1">
      <c r="A63" s="59"/>
      <c r="B63" s="141">
        <v>114201</v>
      </c>
      <c r="C63" s="63" t="s">
        <v>2178</v>
      </c>
      <c r="D63" s="4">
        <v>72.5</v>
      </c>
      <c r="E63" s="4">
        <f>VLOOKUP(B63,'Monthly Op &amp; Clo Stock (invoic)'!A:C,3,0)</f>
        <v>72.5</v>
      </c>
      <c r="F63" s="144">
        <f t="shared" si="0"/>
        <v>0</v>
      </c>
    </row>
    <row r="64" spans="1:6" hidden="1">
      <c r="A64" s="59"/>
      <c r="B64" s="141">
        <v>114270</v>
      </c>
      <c r="C64" s="45" t="s">
        <v>619</v>
      </c>
      <c r="D64" s="4">
        <v>9.83</v>
      </c>
      <c r="E64" s="4">
        <f>VLOOKUP(B64,'Monthly Op &amp; Clo Stock (invoic)'!A:C,3,0)</f>
        <v>9.83</v>
      </c>
      <c r="F64" s="144">
        <f t="shared" ref="F64:F126" si="1">D64-E64</f>
        <v>0</v>
      </c>
    </row>
    <row r="65" spans="1:9" hidden="1">
      <c r="A65" s="59"/>
      <c r="B65" s="141">
        <v>114273</v>
      </c>
      <c r="C65" s="4" t="s">
        <v>422</v>
      </c>
      <c r="D65" s="4">
        <v>375</v>
      </c>
      <c r="E65" s="4">
        <f>VLOOKUP(B65,'Monthly Op &amp; Clo Stock (invoic)'!A:C,3,0)</f>
        <v>375</v>
      </c>
      <c r="F65" s="144">
        <f t="shared" si="1"/>
        <v>0</v>
      </c>
    </row>
    <row r="66" spans="1:9" hidden="1">
      <c r="A66" s="59"/>
      <c r="B66" s="141">
        <v>114271</v>
      </c>
      <c r="C66" s="4" t="s">
        <v>419</v>
      </c>
      <c r="D66" s="4">
        <f>403-300</f>
        <v>103</v>
      </c>
      <c r="E66" s="4">
        <f>VLOOKUP(B66,'Monthly Op &amp; Clo Stock (invoic)'!A:C,3,0)</f>
        <v>103</v>
      </c>
      <c r="F66" s="144">
        <f t="shared" si="1"/>
        <v>0</v>
      </c>
    </row>
    <row r="67" spans="1:9" hidden="1">
      <c r="A67" s="59"/>
      <c r="B67" s="141">
        <v>114476</v>
      </c>
      <c r="C67" s="45" t="s">
        <v>2083</v>
      </c>
      <c r="D67" s="4">
        <v>1282.44</v>
      </c>
      <c r="E67" s="4">
        <f>VLOOKUP(B67,'Monthly Op &amp; Clo Stock (invoic)'!A:C,3,0)</f>
        <v>1282.44</v>
      </c>
      <c r="F67" s="144">
        <f t="shared" si="1"/>
        <v>0</v>
      </c>
    </row>
    <row r="68" spans="1:9" hidden="1">
      <c r="A68" s="59"/>
      <c r="B68" s="141">
        <v>114601</v>
      </c>
      <c r="C68" s="143" t="s">
        <v>2084</v>
      </c>
      <c r="D68" s="4">
        <v>160.75</v>
      </c>
      <c r="E68" s="4">
        <f>VLOOKUP(B68,'Monthly Op &amp; Clo Stock (invoic)'!A:C,3,0)</f>
        <v>160.75</v>
      </c>
      <c r="F68" s="144">
        <f t="shared" si="1"/>
        <v>0</v>
      </c>
    </row>
    <row r="69" spans="1:9" hidden="1">
      <c r="A69" s="59"/>
      <c r="B69" s="141">
        <v>114604</v>
      </c>
      <c r="C69" s="4" t="s">
        <v>2085</v>
      </c>
      <c r="D69" s="4">
        <v>39.549999999999997</v>
      </c>
      <c r="E69" s="4">
        <f>VLOOKUP(B69,'Monthly Op &amp; Clo Stock (invoic)'!A:C,3,0)</f>
        <v>39.549999999999997</v>
      </c>
      <c r="F69" s="144">
        <f t="shared" si="1"/>
        <v>0</v>
      </c>
    </row>
    <row r="70" spans="1:9" hidden="1">
      <c r="A70" s="59"/>
      <c r="B70" s="141">
        <v>114600</v>
      </c>
      <c r="C70" s="185" t="s">
        <v>553</v>
      </c>
      <c r="D70" s="4">
        <v>94.1</v>
      </c>
      <c r="E70" s="4">
        <f>VLOOKUP(B70,'Monthly Op &amp; Clo Stock (invoic)'!A:C,3,0)</f>
        <v>94.1</v>
      </c>
      <c r="F70" s="144">
        <f t="shared" si="1"/>
        <v>0</v>
      </c>
    </row>
    <row r="71" spans="1:9" hidden="1">
      <c r="A71" s="59"/>
      <c r="B71" s="141">
        <v>114603</v>
      </c>
      <c r="C71" s="188" t="s">
        <v>558</v>
      </c>
      <c r="D71" s="4">
        <f>18.55-14</f>
        <v>4.5500000000000007</v>
      </c>
      <c r="E71" s="4">
        <f>VLOOKUP(B71,'Monthly Op &amp; Clo Stock (invoic)'!A:C,3,0)</f>
        <v>4.5500000000000007</v>
      </c>
      <c r="F71" s="144">
        <f t="shared" si="1"/>
        <v>0</v>
      </c>
    </row>
    <row r="72" spans="1:9" hidden="1">
      <c r="A72" s="59"/>
      <c r="B72" s="141">
        <v>111275</v>
      </c>
      <c r="C72" s="4" t="s">
        <v>560</v>
      </c>
      <c r="D72" s="59">
        <v>0</v>
      </c>
      <c r="E72" s="4">
        <f>VLOOKUP(B72,'Monthly Op &amp; Clo Stock (invoic)'!A:C,3,0)</f>
        <v>0</v>
      </c>
      <c r="F72" s="144">
        <f t="shared" si="1"/>
        <v>0</v>
      </c>
    </row>
    <row r="73" spans="1:9" hidden="1">
      <c r="A73" s="59"/>
      <c r="B73" s="141">
        <v>114602</v>
      </c>
      <c r="C73" s="4" t="s">
        <v>556</v>
      </c>
      <c r="D73" s="59">
        <v>0.18</v>
      </c>
      <c r="E73" s="4">
        <f>VLOOKUP(B73,'Monthly Op &amp; Clo Stock (invoic)'!A:C,3,0)</f>
        <v>0.18</v>
      </c>
      <c r="F73" s="144">
        <f t="shared" si="1"/>
        <v>0</v>
      </c>
      <c r="I73" s="141"/>
    </row>
    <row r="74" spans="1:9" hidden="1">
      <c r="A74" s="59"/>
      <c r="B74" s="141">
        <v>114276</v>
      </c>
      <c r="C74" s="4" t="s">
        <v>775</v>
      </c>
      <c r="D74" s="59">
        <v>12.56</v>
      </c>
      <c r="E74" s="4">
        <f>VLOOKUP(B74,'Monthly Op &amp; Clo Stock (invoic)'!A:C,3,0)</f>
        <v>12.56</v>
      </c>
      <c r="F74" s="144">
        <f t="shared" si="1"/>
        <v>0</v>
      </c>
    </row>
    <row r="75" spans="1:9" hidden="1">
      <c r="B75" s="141">
        <v>114588</v>
      </c>
      <c r="C75" s="4" t="s">
        <v>762</v>
      </c>
      <c r="D75" s="189">
        <v>0</v>
      </c>
      <c r="E75" s="4">
        <f>VLOOKUP(B75,'Monthly Op &amp; Clo Stock (invoic)'!A:C,3,0)</f>
        <v>0</v>
      </c>
      <c r="F75" s="144">
        <f t="shared" si="1"/>
        <v>0</v>
      </c>
    </row>
    <row r="76" spans="1:9" hidden="1">
      <c r="B76" s="141">
        <v>115071</v>
      </c>
      <c r="C76" s="4" t="s">
        <v>311</v>
      </c>
      <c r="D76" s="59">
        <v>504.57</v>
      </c>
      <c r="E76" s="4">
        <f>VLOOKUP(B76,'Monthly Op &amp; Clo Stock (invoic)'!A:C,3,0)</f>
        <v>504.57</v>
      </c>
      <c r="F76" s="144">
        <f t="shared" si="1"/>
        <v>0</v>
      </c>
    </row>
    <row r="77" spans="1:9" hidden="1">
      <c r="B77" s="193">
        <v>213441</v>
      </c>
      <c r="C77" s="4" t="s">
        <v>2179</v>
      </c>
      <c r="D77" s="189">
        <v>0</v>
      </c>
      <c r="E77" s="4">
        <f>VLOOKUP(B77,'Monthly Op &amp; Clo Stock (invoic)'!A:C,3,0)</f>
        <v>0</v>
      </c>
      <c r="F77" s="144">
        <f t="shared" si="1"/>
        <v>0</v>
      </c>
    </row>
    <row r="78" spans="1:9" hidden="1">
      <c r="B78" s="143">
        <v>110451</v>
      </c>
      <c r="C78" s="4" t="s">
        <v>822</v>
      </c>
      <c r="D78" s="189">
        <v>0</v>
      </c>
      <c r="E78" s="4">
        <f>VLOOKUP(B78,'Monthly Op &amp; Clo Stock (invoic)'!A:C,3,0)</f>
        <v>0</v>
      </c>
      <c r="F78" s="144">
        <f t="shared" si="1"/>
        <v>0</v>
      </c>
    </row>
    <row r="79" spans="1:9" hidden="1">
      <c r="B79" s="143">
        <v>115133</v>
      </c>
      <c r="C79" s="4" t="s">
        <v>2142</v>
      </c>
      <c r="D79" s="189">
        <v>0</v>
      </c>
      <c r="E79" s="4">
        <f>VLOOKUP(B79,'Monthly Op &amp; Clo Stock (invoic)'!A:C,3,0)</f>
        <v>0</v>
      </c>
      <c r="F79" s="144">
        <f t="shared" si="1"/>
        <v>0</v>
      </c>
    </row>
    <row r="80" spans="1:9" hidden="1">
      <c r="B80" s="143">
        <v>114030</v>
      </c>
      <c r="C80" s="4" t="s">
        <v>817</v>
      </c>
      <c r="D80" s="59">
        <v>0.82</v>
      </c>
      <c r="E80" s="4">
        <f>VLOOKUP(B80,'Monthly Op &amp; Clo Stock (invoic)'!A:C,3,0)</f>
        <v>0.82</v>
      </c>
      <c r="F80" s="144">
        <f t="shared" si="1"/>
        <v>0</v>
      </c>
    </row>
    <row r="81" spans="2:6" hidden="1">
      <c r="B81" s="143">
        <v>115150</v>
      </c>
      <c r="C81" s="4" t="s">
        <v>159</v>
      </c>
      <c r="D81" s="59">
        <v>2582.7399999999998</v>
      </c>
      <c r="E81" s="4">
        <f>VLOOKUP(B81,'Monthly Op &amp; Clo Stock (invoic)'!A:C,3,0)</f>
        <v>2582.7399999999998</v>
      </c>
      <c r="F81" s="144">
        <f t="shared" si="1"/>
        <v>0</v>
      </c>
    </row>
    <row r="82" spans="2:6" hidden="1">
      <c r="B82" s="143">
        <v>115152</v>
      </c>
      <c r="C82" s="4" t="s">
        <v>420</v>
      </c>
      <c r="D82" s="59">
        <v>357.7</v>
      </c>
      <c r="E82" s="4">
        <f>VLOOKUP(B82,'Monthly Op &amp; Clo Stock (invoic)'!A:C,3,0)</f>
        <v>357.7</v>
      </c>
      <c r="F82" s="144">
        <f t="shared" si="1"/>
        <v>0</v>
      </c>
    </row>
    <row r="83" spans="2:6" hidden="1">
      <c r="B83" s="136">
        <v>115322</v>
      </c>
      <c r="C83" s="4" t="s">
        <v>423</v>
      </c>
      <c r="D83" s="189">
        <v>0</v>
      </c>
      <c r="E83" s="4">
        <f>VLOOKUP(B83,'Monthly Op &amp; Clo Stock (invoic)'!A:C,3,0)</f>
        <v>0</v>
      </c>
      <c r="F83" s="144">
        <f t="shared" si="1"/>
        <v>0</v>
      </c>
    </row>
    <row r="84" spans="2:6" hidden="1">
      <c r="B84" s="143">
        <v>115323</v>
      </c>
      <c r="C84" s="4" t="s">
        <v>424</v>
      </c>
      <c r="D84" s="59">
        <v>1.3</v>
      </c>
      <c r="E84" s="4">
        <f>VLOOKUP(B84,'Monthly Op &amp; Clo Stock (invoic)'!A:C,3,0)</f>
        <v>1.3</v>
      </c>
      <c r="F84" s="144">
        <f t="shared" si="1"/>
        <v>0</v>
      </c>
    </row>
    <row r="85" spans="2:6" hidden="1">
      <c r="B85" s="72">
        <v>115321</v>
      </c>
      <c r="C85" s="63" t="s">
        <v>421</v>
      </c>
      <c r="D85" s="59">
        <v>76.5</v>
      </c>
      <c r="E85" s="4">
        <f>VLOOKUP(B85,'Monthly Op &amp; Clo Stock (invoic)'!A:C,3,0)</f>
        <v>76.5</v>
      </c>
      <c r="F85" s="144">
        <f t="shared" si="1"/>
        <v>0</v>
      </c>
    </row>
    <row r="86" spans="2:6" hidden="1">
      <c r="B86" s="141">
        <v>115379</v>
      </c>
      <c r="C86" s="63" t="s">
        <v>490</v>
      </c>
      <c r="D86" s="59">
        <v>300</v>
      </c>
      <c r="E86" s="4">
        <f>VLOOKUP(B86,'Monthly Op &amp; Clo Stock (invoic)'!A:C,3,0)</f>
        <v>300</v>
      </c>
      <c r="F86" s="144">
        <f t="shared" si="1"/>
        <v>0</v>
      </c>
    </row>
    <row r="87" spans="2:6" hidden="1">
      <c r="B87" s="190">
        <v>220393</v>
      </c>
      <c r="C87" s="50" t="s">
        <v>703</v>
      </c>
      <c r="D87" s="59">
        <v>6080</v>
      </c>
      <c r="E87" s="4">
        <f>VLOOKUP(B87,'Monthly Op &amp; Clo Stock (invoic)'!A:C,3,0)</f>
        <v>6080</v>
      </c>
      <c r="F87" s="144">
        <f t="shared" si="1"/>
        <v>0</v>
      </c>
    </row>
    <row r="88" spans="2:6">
      <c r="B88" s="194">
        <v>214391</v>
      </c>
      <c r="C88" s="50" t="s">
        <v>843</v>
      </c>
      <c r="D88" s="189">
        <v>0</v>
      </c>
      <c r="E88" s="4">
        <f>VLOOKUP(B88,'Monthly Op &amp; Clo Stock (invoic)'!A:C,3,0)</f>
        <v>0</v>
      </c>
      <c r="F88" s="144">
        <f t="shared" si="1"/>
        <v>0</v>
      </c>
    </row>
    <row r="89" spans="2:6">
      <c r="B89" s="194">
        <v>214970</v>
      </c>
      <c r="C89" s="50" t="s">
        <v>895</v>
      </c>
      <c r="D89" s="59">
        <v>1099</v>
      </c>
      <c r="E89" s="4">
        <f>VLOOKUP(B89,'Monthly Op &amp; Clo Stock (invoic)'!A:C,3,0)</f>
        <v>1099</v>
      </c>
      <c r="F89" s="144">
        <f t="shared" si="1"/>
        <v>0</v>
      </c>
    </row>
    <row r="90" spans="2:6">
      <c r="B90" s="195">
        <v>212797</v>
      </c>
      <c r="C90" s="198" t="s">
        <v>755</v>
      </c>
      <c r="D90" s="59">
        <v>521</v>
      </c>
      <c r="E90" s="4">
        <f>VLOOKUP(B90,'Monthly Op &amp; Clo Stock (invoic)'!A:C,3,0)</f>
        <v>521</v>
      </c>
      <c r="F90" s="144">
        <f t="shared" si="1"/>
        <v>0</v>
      </c>
    </row>
    <row r="91" spans="2:6">
      <c r="B91" s="194">
        <v>214687</v>
      </c>
      <c r="C91" s="50" t="s">
        <v>866</v>
      </c>
      <c r="D91" s="59">
        <f>2707-1608</f>
        <v>1099</v>
      </c>
      <c r="E91" s="4">
        <f>VLOOKUP(B91,'Monthly Op &amp; Clo Stock (invoic)'!A:C,3,0)</f>
        <v>1099</v>
      </c>
      <c r="F91" s="144">
        <f t="shared" si="1"/>
        <v>0</v>
      </c>
    </row>
    <row r="92" spans="2:6">
      <c r="B92" s="194">
        <v>214686</v>
      </c>
      <c r="C92" s="50" t="s">
        <v>460</v>
      </c>
      <c r="D92" s="59">
        <v>9983</v>
      </c>
      <c r="E92" s="4">
        <f>VLOOKUP(B92,'Monthly Op &amp; Clo Stock (invoic)'!A:C,3,0)</f>
        <v>9983</v>
      </c>
      <c r="F92" s="144">
        <f t="shared" si="1"/>
        <v>0</v>
      </c>
    </row>
    <row r="93" spans="2:6">
      <c r="B93" s="196">
        <v>214044</v>
      </c>
      <c r="C93" s="198" t="s">
        <v>380</v>
      </c>
      <c r="D93" s="59">
        <v>1941</v>
      </c>
      <c r="E93" s="4">
        <f>VLOOKUP(B93,'Monthly Op &amp; Clo Stock (invoic)'!A:C,3,0)</f>
        <v>1941</v>
      </c>
      <c r="F93" s="144">
        <f t="shared" si="1"/>
        <v>0</v>
      </c>
    </row>
    <row r="94" spans="2:6" hidden="1">
      <c r="B94" s="194">
        <v>214083</v>
      </c>
      <c r="C94" s="50" t="s">
        <v>378</v>
      </c>
      <c r="D94" s="189">
        <v>0</v>
      </c>
      <c r="E94" s="4">
        <f>VLOOKUP(B94,'Monthly Op &amp; Clo Stock (invoic)'!A:C,3,0)</f>
        <v>0</v>
      </c>
      <c r="F94" s="144">
        <f t="shared" si="1"/>
        <v>0</v>
      </c>
    </row>
    <row r="95" spans="2:6" hidden="1">
      <c r="B95" s="194">
        <v>214082</v>
      </c>
      <c r="C95" s="50" t="s">
        <v>379</v>
      </c>
      <c r="D95" s="189">
        <v>0</v>
      </c>
      <c r="E95" s="4">
        <f>VLOOKUP(B95,'Monthly Op &amp; Clo Stock (invoic)'!A:C,3,0)</f>
        <v>0</v>
      </c>
      <c r="F95" s="144">
        <f t="shared" si="1"/>
        <v>0</v>
      </c>
    </row>
    <row r="96" spans="2:6" hidden="1">
      <c r="B96" s="190">
        <v>229850</v>
      </c>
      <c r="C96" s="50" t="s">
        <v>716</v>
      </c>
      <c r="D96" s="59">
        <v>38</v>
      </c>
      <c r="E96" s="4">
        <f>VLOOKUP(B96,'Monthly Op &amp; Clo Stock (invoic)'!A:C,3,0)</f>
        <v>38</v>
      </c>
      <c r="F96" s="144">
        <f t="shared" si="1"/>
        <v>0</v>
      </c>
    </row>
    <row r="97" spans="2:6" hidden="1">
      <c r="B97" s="190">
        <v>229851</v>
      </c>
      <c r="C97" s="50" t="s">
        <v>718</v>
      </c>
      <c r="D97" s="59">
        <v>1524</v>
      </c>
      <c r="E97" s="4">
        <f>VLOOKUP(B97,'Monthly Op &amp; Clo Stock (invoic)'!A:C,3,0)</f>
        <v>1524</v>
      </c>
      <c r="F97" s="144">
        <f t="shared" si="1"/>
        <v>0</v>
      </c>
    </row>
    <row r="98" spans="2:6" hidden="1">
      <c r="B98" s="190">
        <v>212374</v>
      </c>
      <c r="C98" s="50" t="s">
        <v>2138</v>
      </c>
      <c r="D98" s="59">
        <v>1400</v>
      </c>
      <c r="E98" s="4">
        <f>VLOOKUP(B98,'Monthly Op &amp; Clo Stock (invoic)'!A:C,3,0)</f>
        <v>1400</v>
      </c>
      <c r="F98" s="144">
        <f t="shared" si="1"/>
        <v>0</v>
      </c>
    </row>
    <row r="99" spans="2:6" hidden="1">
      <c r="B99" s="190">
        <v>212375</v>
      </c>
      <c r="C99" s="50" t="s">
        <v>2139</v>
      </c>
      <c r="D99" s="189">
        <v>0</v>
      </c>
      <c r="E99" s="4">
        <f>VLOOKUP(B99,'Monthly Op &amp; Clo Stock (invoic)'!A:C,3,0)</f>
        <v>0</v>
      </c>
      <c r="F99" s="144">
        <f t="shared" si="1"/>
        <v>0</v>
      </c>
    </row>
    <row r="100" spans="2:6" hidden="1">
      <c r="B100" s="190">
        <v>214767</v>
      </c>
      <c r="C100" s="50" t="s">
        <v>458</v>
      </c>
      <c r="D100" s="59">
        <v>8520</v>
      </c>
      <c r="E100" s="4">
        <f>VLOOKUP(B100,'Monthly Op &amp; Clo Stock (invoic)'!A:C,3,0)</f>
        <v>8520</v>
      </c>
      <c r="F100" s="144">
        <f t="shared" si="1"/>
        <v>0</v>
      </c>
    </row>
    <row r="101" spans="2:6" hidden="1">
      <c r="B101" s="190">
        <v>214768</v>
      </c>
      <c r="C101" s="50" t="s">
        <v>459</v>
      </c>
      <c r="D101" s="59">
        <v>24351</v>
      </c>
      <c r="E101" s="4">
        <f>VLOOKUP(B101,'Monthly Op &amp; Clo Stock (invoic)'!A:C,3,0)</f>
        <v>24351</v>
      </c>
      <c r="F101" s="144">
        <f t="shared" si="1"/>
        <v>0</v>
      </c>
    </row>
    <row r="102" spans="2:6" hidden="1">
      <c r="B102" s="190">
        <v>214766</v>
      </c>
      <c r="C102" s="50" t="s">
        <v>2151</v>
      </c>
      <c r="D102" s="4">
        <v>240</v>
      </c>
      <c r="E102" s="4">
        <f>VLOOKUP(B102,'Monthly Op &amp; Clo Stock (invoic)'!A:C,3,0)</f>
        <v>240</v>
      </c>
      <c r="F102" s="144">
        <f t="shared" si="1"/>
        <v>0</v>
      </c>
    </row>
    <row r="103" spans="2:6" hidden="1">
      <c r="B103" s="190">
        <v>214765</v>
      </c>
      <c r="C103" s="50" t="s">
        <v>2152</v>
      </c>
      <c r="D103" s="59">
        <v>120</v>
      </c>
      <c r="E103" s="4">
        <f>VLOOKUP(B103,'Monthly Op &amp; Clo Stock (invoic)'!A:C,3,0)</f>
        <v>120</v>
      </c>
      <c r="F103" s="144">
        <f t="shared" si="1"/>
        <v>0</v>
      </c>
    </row>
    <row r="104" spans="2:6" hidden="1">
      <c r="B104" s="196">
        <v>213863</v>
      </c>
      <c r="C104" s="50" t="s">
        <v>399</v>
      </c>
      <c r="D104" s="59">
        <v>880</v>
      </c>
      <c r="E104" s="4">
        <f>VLOOKUP(B104,'Monthly Op &amp; Clo Stock (invoic)'!A:C,3,0)</f>
        <v>880</v>
      </c>
      <c r="F104" s="144">
        <f t="shared" si="1"/>
        <v>0</v>
      </c>
    </row>
    <row r="105" spans="2:6" hidden="1">
      <c r="B105" s="196">
        <v>213864</v>
      </c>
      <c r="C105" s="50" t="s">
        <v>400</v>
      </c>
      <c r="D105" s="59">
        <v>780</v>
      </c>
      <c r="E105" s="4">
        <f>VLOOKUP(B105,'Monthly Op &amp; Clo Stock (invoic)'!A:C,3,0)</f>
        <v>780</v>
      </c>
      <c r="F105" s="144">
        <f t="shared" si="1"/>
        <v>0</v>
      </c>
    </row>
    <row r="106" spans="2:6" hidden="1">
      <c r="B106" s="194">
        <v>214022</v>
      </c>
      <c r="C106" s="50" t="s">
        <v>388</v>
      </c>
      <c r="D106" s="59">
        <v>480</v>
      </c>
      <c r="E106" s="4">
        <f>VLOOKUP(B106,'Monthly Op &amp; Clo Stock (invoic)'!A:C,3,0)</f>
        <v>480</v>
      </c>
      <c r="F106" s="144">
        <f t="shared" si="1"/>
        <v>0</v>
      </c>
    </row>
    <row r="107" spans="2:6" hidden="1">
      <c r="B107" s="196">
        <v>214021</v>
      </c>
      <c r="C107" s="50" t="s">
        <v>389</v>
      </c>
      <c r="D107" s="59">
        <v>1640</v>
      </c>
      <c r="E107" s="4">
        <f>VLOOKUP(B107,'Monthly Op &amp; Clo Stock (invoic)'!A:C,3,0)</f>
        <v>1640</v>
      </c>
      <c r="F107" s="144">
        <f t="shared" si="1"/>
        <v>0</v>
      </c>
    </row>
    <row r="108" spans="2:6" hidden="1">
      <c r="B108" s="194">
        <v>214977</v>
      </c>
      <c r="C108" s="50" t="s">
        <v>901</v>
      </c>
      <c r="D108" s="59">
        <v>5280</v>
      </c>
      <c r="E108" s="4">
        <f>VLOOKUP(B108,'Monthly Op &amp; Clo Stock (invoic)'!A:C,3,0)</f>
        <v>5280</v>
      </c>
      <c r="F108" s="144">
        <f t="shared" si="1"/>
        <v>0</v>
      </c>
    </row>
    <row r="109" spans="2:6" hidden="1">
      <c r="B109" s="194">
        <v>214978</v>
      </c>
      <c r="C109" s="50" t="s">
        <v>902</v>
      </c>
      <c r="D109" s="59">
        <v>20160</v>
      </c>
      <c r="E109" s="4">
        <f>VLOOKUP(B109,'Monthly Op &amp; Clo Stock (invoic)'!A:C,3,0)</f>
        <v>20160</v>
      </c>
      <c r="F109" s="144">
        <f t="shared" si="1"/>
        <v>0</v>
      </c>
    </row>
    <row r="110" spans="2:6" hidden="1">
      <c r="B110" s="196">
        <v>213874</v>
      </c>
      <c r="C110" s="50" t="s">
        <v>395</v>
      </c>
      <c r="D110" s="59">
        <v>187</v>
      </c>
      <c r="E110" s="4">
        <f>VLOOKUP(B110,'Monthly Op &amp; Clo Stock (invoic)'!A:C,3,0)</f>
        <v>187</v>
      </c>
      <c r="F110" s="144">
        <f t="shared" si="1"/>
        <v>0</v>
      </c>
    </row>
    <row r="111" spans="2:6" hidden="1">
      <c r="B111" s="196">
        <v>213873</v>
      </c>
      <c r="C111" s="50" t="s">
        <v>396</v>
      </c>
      <c r="D111" s="59">
        <v>1168</v>
      </c>
      <c r="E111" s="4">
        <f>VLOOKUP(B111,'Monthly Op &amp; Clo Stock (invoic)'!A:C,3,0)</f>
        <v>1168</v>
      </c>
      <c r="F111" s="144">
        <f t="shared" si="1"/>
        <v>0</v>
      </c>
    </row>
    <row r="112" spans="2:6" hidden="1">
      <c r="B112" s="197">
        <v>211657</v>
      </c>
      <c r="C112" s="50" t="s">
        <v>724</v>
      </c>
      <c r="D112" s="189">
        <v>2680</v>
      </c>
      <c r="E112" s="4">
        <f>VLOOKUP(B112,'Monthly Op &amp; Clo Stock (invoic)'!A:C,3,0)</f>
        <v>2680</v>
      </c>
      <c r="F112" s="144">
        <f t="shared" si="1"/>
        <v>0</v>
      </c>
    </row>
    <row r="113" spans="2:6" hidden="1">
      <c r="B113" s="197">
        <v>211655</v>
      </c>
      <c r="C113" s="50" t="s">
        <v>726</v>
      </c>
      <c r="D113" s="189">
        <v>11000</v>
      </c>
      <c r="E113" s="4">
        <f>VLOOKUP(B113,'Monthly Op &amp; Clo Stock (invoic)'!A:C,3,0)</f>
        <v>11000</v>
      </c>
      <c r="F113" s="144">
        <f t="shared" si="1"/>
        <v>0</v>
      </c>
    </row>
    <row r="114" spans="2:6">
      <c r="B114" s="195">
        <v>211696</v>
      </c>
      <c r="C114" s="198" t="s">
        <v>2180</v>
      </c>
      <c r="D114" s="59">
        <v>0</v>
      </c>
      <c r="E114" s="4">
        <f>VLOOKUP(B114,'Monthly Op &amp; Clo Stock (invoic)'!A:C,3,0)</f>
        <v>0</v>
      </c>
      <c r="F114" s="144">
        <f t="shared" si="1"/>
        <v>0</v>
      </c>
    </row>
    <row r="115" spans="2:6">
      <c r="B115" s="194">
        <v>214990</v>
      </c>
      <c r="C115" s="50" t="s">
        <v>904</v>
      </c>
      <c r="D115" s="59">
        <v>5173.51</v>
      </c>
      <c r="E115" s="4">
        <f>VLOOKUP(B115,'Monthly Op &amp; Clo Stock (invoic)'!A:C,3,0)</f>
        <v>5173.51</v>
      </c>
      <c r="F115" s="144">
        <f t="shared" si="1"/>
        <v>0</v>
      </c>
    </row>
    <row r="116" spans="2:6">
      <c r="B116" s="190">
        <v>211697</v>
      </c>
      <c r="C116" s="198" t="s">
        <v>2181</v>
      </c>
      <c r="D116" s="59">
        <v>1383</v>
      </c>
      <c r="E116" s="4">
        <f>VLOOKUP(B116,'Monthly Op &amp; Clo Stock (invoic)'!A:C,3,0)</f>
        <v>1383</v>
      </c>
      <c r="F116" s="144">
        <f t="shared" si="1"/>
        <v>0</v>
      </c>
    </row>
    <row r="117" spans="2:6">
      <c r="B117" s="195">
        <v>211698</v>
      </c>
      <c r="C117" s="198" t="s">
        <v>2182</v>
      </c>
      <c r="D117" s="59">
        <v>0</v>
      </c>
      <c r="E117" s="4">
        <f>VLOOKUP(B117,'Monthly Op &amp; Clo Stock (invoic)'!A:C,3,0)</f>
        <v>0</v>
      </c>
      <c r="F117" s="144">
        <f t="shared" si="1"/>
        <v>0</v>
      </c>
    </row>
    <row r="118" spans="2:6">
      <c r="B118" s="5">
        <v>215014</v>
      </c>
      <c r="C118" s="50" t="s">
        <v>2183</v>
      </c>
      <c r="D118" s="59">
        <v>855.8</v>
      </c>
      <c r="E118" s="4">
        <f>VLOOKUP(B118,'Monthly Op &amp; Clo Stock (invoic)'!A:C,3,0)</f>
        <v>855.8</v>
      </c>
      <c r="F118" s="144">
        <f t="shared" si="1"/>
        <v>0</v>
      </c>
    </row>
    <row r="119" spans="2:6">
      <c r="B119" s="194">
        <v>214255</v>
      </c>
      <c r="C119" s="198" t="s">
        <v>381</v>
      </c>
      <c r="D119" s="59">
        <v>25255.82</v>
      </c>
      <c r="E119" s="4">
        <f>VLOOKUP(B119,'Monthly Op &amp; Clo Stock (invoic)'!A:C,3,0)</f>
        <v>25255.82</v>
      </c>
      <c r="F119" s="144">
        <f t="shared" si="1"/>
        <v>0</v>
      </c>
    </row>
    <row r="120" spans="2:6">
      <c r="B120" s="194">
        <v>214256</v>
      </c>
      <c r="C120" s="50" t="s">
        <v>405</v>
      </c>
      <c r="D120" s="59">
        <v>3522.75</v>
      </c>
      <c r="E120" s="4">
        <f>VLOOKUP(B120,'Monthly Op &amp; Clo Stock (invoic)'!A:C,3,0)</f>
        <v>3522.75</v>
      </c>
      <c r="F120" s="144">
        <f t="shared" si="1"/>
        <v>0</v>
      </c>
    </row>
    <row r="121" spans="2:6">
      <c r="B121" s="194">
        <v>214258</v>
      </c>
      <c r="C121" s="50" t="s">
        <v>402</v>
      </c>
      <c r="D121" s="59">
        <v>4969.34</v>
      </c>
      <c r="E121" s="4">
        <f>VLOOKUP(B121,'Monthly Op &amp; Clo Stock (invoic)'!A:C,3,0)</f>
        <v>4969.34</v>
      </c>
      <c r="F121" s="144">
        <f t="shared" si="1"/>
        <v>0</v>
      </c>
    </row>
    <row r="122" spans="2:6">
      <c r="B122" s="190">
        <v>211671</v>
      </c>
      <c r="C122" s="198" t="s">
        <v>317</v>
      </c>
      <c r="D122" s="59">
        <f>2200-700</f>
        <v>1500</v>
      </c>
      <c r="E122" s="4">
        <f>VLOOKUP(B122,'Monthly Op &amp; Clo Stock (invoic)'!A:C,3,0)</f>
        <v>1500</v>
      </c>
      <c r="F122" s="144">
        <f t="shared" si="1"/>
        <v>0</v>
      </c>
    </row>
    <row r="123" spans="2:6">
      <c r="B123" s="194">
        <v>214954</v>
      </c>
      <c r="C123" s="50" t="s">
        <v>527</v>
      </c>
      <c r="D123" s="189">
        <v>0</v>
      </c>
      <c r="E123" s="4">
        <f>VLOOKUP(B123,'Monthly Op &amp; Clo Stock (invoic)'!A:C,3,0)</f>
        <v>0</v>
      </c>
      <c r="F123" s="144">
        <f t="shared" si="1"/>
        <v>0</v>
      </c>
    </row>
    <row r="124" spans="2:6">
      <c r="B124" s="190">
        <v>229935</v>
      </c>
      <c r="C124" s="199" t="s">
        <v>549</v>
      </c>
      <c r="D124" s="59">
        <v>0</v>
      </c>
      <c r="E124" s="4">
        <f>VLOOKUP(B124,'Monthly Op &amp; Clo Stock (invoic)'!A:C,3,0)</f>
        <v>0</v>
      </c>
      <c r="F124" s="144">
        <f t="shared" si="1"/>
        <v>0</v>
      </c>
    </row>
    <row r="125" spans="2:6">
      <c r="B125" s="190">
        <v>229937</v>
      </c>
      <c r="C125" s="199" t="s">
        <v>730</v>
      </c>
      <c r="D125" s="189">
        <v>0</v>
      </c>
      <c r="E125" s="4">
        <f>VLOOKUP(B125,'Monthly Op &amp; Clo Stock (invoic)'!A:C,3,0)</f>
        <v>0</v>
      </c>
      <c r="F125" s="144">
        <f t="shared" si="1"/>
        <v>0</v>
      </c>
    </row>
    <row r="126" spans="2:6">
      <c r="B126" s="190">
        <v>213012</v>
      </c>
      <c r="C126" s="198" t="s">
        <v>2184</v>
      </c>
      <c r="D126" s="189">
        <v>0</v>
      </c>
      <c r="E126" s="4">
        <f>VLOOKUP(B126,'Monthly Op &amp; Clo Stock (invoic)'!A:C,3,0)</f>
        <v>0</v>
      </c>
      <c r="F126" s="144">
        <f t="shared" si="1"/>
        <v>0</v>
      </c>
    </row>
    <row r="127" spans="2:6" hidden="1">
      <c r="B127" s="190">
        <v>213052</v>
      </c>
      <c r="C127" s="50" t="s">
        <v>2185</v>
      </c>
      <c r="D127" s="189">
        <v>670</v>
      </c>
      <c r="E127" s="4">
        <f>VLOOKUP(B127,'Monthly Op &amp; Clo Stock (invoic)'!A:C,3,0)</f>
        <v>670</v>
      </c>
      <c r="F127" s="144">
        <f t="shared" ref="F127:F189" si="2">D127-E127</f>
        <v>0</v>
      </c>
    </row>
    <row r="128" spans="2:6">
      <c r="B128" s="190">
        <v>212955</v>
      </c>
      <c r="C128" s="198" t="s">
        <v>2125</v>
      </c>
      <c r="D128" s="59">
        <v>0</v>
      </c>
      <c r="E128" s="4">
        <f>VLOOKUP(B128,'Monthly Op &amp; Clo Stock (invoic)'!A:C,3,0)</f>
        <v>0</v>
      </c>
      <c r="F128" s="144">
        <f t="shared" si="2"/>
        <v>0</v>
      </c>
    </row>
    <row r="129" spans="2:6" hidden="1">
      <c r="B129" s="190">
        <v>213059</v>
      </c>
      <c r="C129" s="50" t="s">
        <v>2126</v>
      </c>
      <c r="D129" s="59">
        <v>0</v>
      </c>
      <c r="E129" s="4">
        <f>VLOOKUP(B129,'Monthly Op &amp; Clo Stock (invoic)'!A:C,3,0)</f>
        <v>0</v>
      </c>
      <c r="F129" s="144">
        <f t="shared" si="2"/>
        <v>0</v>
      </c>
    </row>
    <row r="130" spans="2:6" hidden="1">
      <c r="B130" s="190">
        <v>213075</v>
      </c>
      <c r="C130" s="50" t="s">
        <v>2127</v>
      </c>
      <c r="D130" s="59">
        <v>0</v>
      </c>
      <c r="E130" s="4">
        <f>VLOOKUP(B130,'Monthly Op &amp; Clo Stock (invoic)'!A:C,3,0)</f>
        <v>0</v>
      </c>
      <c r="F130" s="144">
        <f t="shared" si="2"/>
        <v>0</v>
      </c>
    </row>
    <row r="131" spans="2:6">
      <c r="B131" s="190">
        <v>213867</v>
      </c>
      <c r="C131" s="198" t="s">
        <v>563</v>
      </c>
      <c r="D131" s="59">
        <v>132.20200000000048</v>
      </c>
      <c r="E131" s="4">
        <f>VLOOKUP(B131,'Monthly Op &amp; Clo Stock (invoic)'!A:C,3,0)</f>
        <v>132.20200000000048</v>
      </c>
      <c r="F131" s="144">
        <f t="shared" si="2"/>
        <v>0</v>
      </c>
    </row>
    <row r="132" spans="2:6">
      <c r="B132" s="195">
        <v>213504</v>
      </c>
      <c r="C132" s="198" t="s">
        <v>431</v>
      </c>
      <c r="D132" s="59">
        <v>772</v>
      </c>
      <c r="E132" s="4">
        <f>VLOOKUP(B132,'Monthly Op &amp; Clo Stock (invoic)'!A:C,3,0)</f>
        <v>772</v>
      </c>
      <c r="F132" s="144">
        <f t="shared" si="2"/>
        <v>0</v>
      </c>
    </row>
    <row r="133" spans="2:6">
      <c r="B133" s="195">
        <v>213505</v>
      </c>
      <c r="C133" s="198" t="s">
        <v>438</v>
      </c>
      <c r="D133" s="59">
        <v>989</v>
      </c>
      <c r="E133" s="4">
        <f>VLOOKUP(B133,'Monthly Op &amp; Clo Stock (invoic)'!A:C,3,0)</f>
        <v>989</v>
      </c>
      <c r="F133" s="144">
        <f t="shared" si="2"/>
        <v>0</v>
      </c>
    </row>
    <row r="134" spans="2:6">
      <c r="B134" s="195">
        <v>213506</v>
      </c>
      <c r="C134" s="199" t="s">
        <v>435</v>
      </c>
      <c r="D134" s="189">
        <v>347</v>
      </c>
      <c r="E134" s="4">
        <f>VLOOKUP(B134,'Monthly Op &amp; Clo Stock (invoic)'!A:C,3,0)</f>
        <v>347</v>
      </c>
      <c r="F134" s="144">
        <f t="shared" si="2"/>
        <v>0</v>
      </c>
    </row>
    <row r="135" spans="2:6">
      <c r="B135" s="157">
        <v>213507</v>
      </c>
      <c r="C135" s="50" t="s">
        <v>882</v>
      </c>
      <c r="D135" s="59">
        <v>1160</v>
      </c>
      <c r="E135" s="4">
        <f>VLOOKUP(B135,'Monthly Op &amp; Clo Stock (invoic)'!A:C,3,0)</f>
        <v>1160</v>
      </c>
      <c r="F135" s="144">
        <f t="shared" si="2"/>
        <v>0</v>
      </c>
    </row>
    <row r="136" spans="2:6">
      <c r="B136" s="194">
        <v>214684</v>
      </c>
      <c r="C136" s="50" t="s">
        <v>883</v>
      </c>
      <c r="D136" s="59">
        <v>882</v>
      </c>
      <c r="E136" s="4">
        <f>VLOOKUP(B136,'Monthly Op &amp; Clo Stock (invoic)'!A:C,3,0)</f>
        <v>882</v>
      </c>
      <c r="F136" s="144">
        <f t="shared" si="2"/>
        <v>0</v>
      </c>
    </row>
    <row r="137" spans="2:6">
      <c r="B137" s="190">
        <v>213022</v>
      </c>
      <c r="C137" s="198" t="s">
        <v>2128</v>
      </c>
      <c r="D137" s="189">
        <v>493</v>
      </c>
      <c r="E137" s="4">
        <f>VLOOKUP(B137,'Monthly Op &amp; Clo Stock (invoic)'!A:C,3,0)</f>
        <v>493</v>
      </c>
      <c r="F137" s="144">
        <f t="shared" si="2"/>
        <v>0</v>
      </c>
    </row>
    <row r="138" spans="2:6">
      <c r="B138" s="190">
        <v>213023</v>
      </c>
      <c r="C138" s="198" t="s">
        <v>2129</v>
      </c>
      <c r="D138" s="189">
        <v>121.99999999999999</v>
      </c>
      <c r="E138" s="4">
        <f>VLOOKUP(B138,'Monthly Op &amp; Clo Stock (invoic)'!A:C,3,0)</f>
        <v>121.99999999999999</v>
      </c>
      <c r="F138" s="144">
        <f t="shared" si="2"/>
        <v>0</v>
      </c>
    </row>
    <row r="139" spans="2:6">
      <c r="B139" s="190">
        <v>213024</v>
      </c>
      <c r="C139" s="199" t="s">
        <v>2130</v>
      </c>
      <c r="D139" s="189">
        <v>0</v>
      </c>
      <c r="E139" s="4">
        <f>VLOOKUP(B139,'Monthly Op &amp; Clo Stock (invoic)'!A:C,3,0)</f>
        <v>0</v>
      </c>
      <c r="F139" s="144">
        <f t="shared" si="2"/>
        <v>0</v>
      </c>
    </row>
    <row r="140" spans="2:6" hidden="1">
      <c r="B140" s="194">
        <v>213101</v>
      </c>
      <c r="C140" s="56" t="s">
        <v>2131</v>
      </c>
      <c r="D140" s="189">
        <v>0</v>
      </c>
      <c r="E140" s="4">
        <f>VLOOKUP(B140,'Monthly Op &amp; Clo Stock (invoic)'!A:C,3,0)</f>
        <v>0</v>
      </c>
      <c r="F140" s="144">
        <f t="shared" si="2"/>
        <v>0</v>
      </c>
    </row>
    <row r="141" spans="2:6" hidden="1">
      <c r="B141" s="194">
        <v>213100</v>
      </c>
      <c r="C141" s="56" t="s">
        <v>2132</v>
      </c>
      <c r="D141" s="5">
        <v>0</v>
      </c>
      <c r="E141" s="4">
        <f>VLOOKUP(B141,'Monthly Op &amp; Clo Stock (invoic)'!A:C,3,0)</f>
        <v>0</v>
      </c>
      <c r="F141" s="144">
        <f t="shared" si="2"/>
        <v>0</v>
      </c>
    </row>
    <row r="142" spans="2:6" hidden="1">
      <c r="B142" s="194">
        <v>213104</v>
      </c>
      <c r="C142" s="56" t="s">
        <v>2133</v>
      </c>
      <c r="D142" s="5">
        <v>0</v>
      </c>
      <c r="E142" s="4">
        <f>VLOOKUP(B142,'Monthly Op &amp; Clo Stock (invoic)'!A:C,3,0)</f>
        <v>0</v>
      </c>
      <c r="F142" s="144">
        <f t="shared" si="2"/>
        <v>0</v>
      </c>
    </row>
    <row r="143" spans="2:6" hidden="1">
      <c r="B143" s="194">
        <v>213105</v>
      </c>
      <c r="C143" s="56" t="s">
        <v>2134</v>
      </c>
      <c r="D143" s="5">
        <v>0</v>
      </c>
      <c r="E143" s="4">
        <f>VLOOKUP(B143,'Monthly Op &amp; Clo Stock (invoic)'!A:C,3,0)</f>
        <v>0</v>
      </c>
      <c r="F143" s="144">
        <f t="shared" si="2"/>
        <v>0</v>
      </c>
    </row>
    <row r="144" spans="2:6" hidden="1">
      <c r="B144" s="194">
        <v>213102</v>
      </c>
      <c r="C144" s="56" t="s">
        <v>2135</v>
      </c>
      <c r="D144" s="5">
        <v>180</v>
      </c>
      <c r="E144" s="4">
        <f>VLOOKUP(B144,'Monthly Op &amp; Clo Stock (invoic)'!A:C,3,0)</f>
        <v>180</v>
      </c>
      <c r="F144" s="144">
        <f t="shared" si="2"/>
        <v>0</v>
      </c>
    </row>
    <row r="145" spans="2:6" hidden="1">
      <c r="B145" s="194">
        <v>213103</v>
      </c>
      <c r="C145" s="56" t="s">
        <v>2186</v>
      </c>
      <c r="D145" s="4">
        <v>1340</v>
      </c>
      <c r="E145" s="4">
        <f>VLOOKUP(B145,'Monthly Op &amp; Clo Stock (invoic)'!A:C,3,0)</f>
        <v>1340</v>
      </c>
      <c r="F145" s="144">
        <f t="shared" si="2"/>
        <v>0</v>
      </c>
    </row>
    <row r="146" spans="2:6" hidden="1">
      <c r="B146" s="190">
        <v>212473</v>
      </c>
      <c r="C146" s="56" t="s">
        <v>794</v>
      </c>
      <c r="D146" s="4">
        <v>1010</v>
      </c>
      <c r="E146" s="4">
        <f>VLOOKUP(B146,'Monthly Op &amp; Clo Stock (invoic)'!A:C,3,0)</f>
        <v>1010</v>
      </c>
      <c r="F146" s="144">
        <f t="shared" si="2"/>
        <v>0</v>
      </c>
    </row>
    <row r="147" spans="2:6" hidden="1">
      <c r="B147" s="190">
        <v>212477</v>
      </c>
      <c r="C147" s="56" t="s">
        <v>795</v>
      </c>
      <c r="D147" s="4">
        <v>388</v>
      </c>
      <c r="E147" s="4">
        <f>VLOOKUP(B147,'Monthly Op &amp; Clo Stock (invoic)'!A:C,3,0)</f>
        <v>388</v>
      </c>
      <c r="F147" s="144">
        <f t="shared" si="2"/>
        <v>0</v>
      </c>
    </row>
    <row r="148" spans="2:6" hidden="1">
      <c r="B148" s="190">
        <v>212475</v>
      </c>
      <c r="C148" s="56" t="s">
        <v>796</v>
      </c>
      <c r="D148" s="4">
        <v>850</v>
      </c>
      <c r="E148" s="4">
        <f>VLOOKUP(B148,'Monthly Op &amp; Clo Stock (invoic)'!A:C,3,0)</f>
        <v>850</v>
      </c>
      <c r="F148" s="144">
        <f t="shared" si="2"/>
        <v>0</v>
      </c>
    </row>
    <row r="149" spans="2:6" hidden="1">
      <c r="B149" s="190">
        <v>211712</v>
      </c>
      <c r="C149" s="56" t="s">
        <v>797</v>
      </c>
      <c r="D149" s="4">
        <v>640</v>
      </c>
      <c r="E149" s="4">
        <f>VLOOKUP(B149,'Monthly Op &amp; Clo Stock (invoic)'!A:C,3,0)</f>
        <v>640</v>
      </c>
      <c r="F149" s="144">
        <f t="shared" si="2"/>
        <v>0</v>
      </c>
    </row>
    <row r="150" spans="2:6" hidden="1">
      <c r="B150" s="190">
        <v>230240</v>
      </c>
      <c r="C150" s="50" t="s">
        <v>230</v>
      </c>
      <c r="D150" s="4">
        <v>0</v>
      </c>
      <c r="E150" s="4">
        <f>VLOOKUP(B150,'Monthly Op &amp; Clo Stock (invoic)'!A:C,3,0)</f>
        <v>0</v>
      </c>
      <c r="F150" s="144">
        <f t="shared" si="2"/>
        <v>0</v>
      </c>
    </row>
    <row r="151" spans="2:6" hidden="1">
      <c r="B151" s="190">
        <v>230241</v>
      </c>
      <c r="C151" s="50" t="s">
        <v>228</v>
      </c>
      <c r="D151" s="4">
        <v>2080</v>
      </c>
      <c r="E151" s="4">
        <f>VLOOKUP(B151,'Monthly Op &amp; Clo Stock (invoic)'!A:C,3,0)</f>
        <v>2080</v>
      </c>
      <c r="F151" s="144">
        <f t="shared" si="2"/>
        <v>0</v>
      </c>
    </row>
    <row r="152" spans="2:6" hidden="1">
      <c r="B152" s="190">
        <v>230242</v>
      </c>
      <c r="C152" s="50" t="s">
        <v>733</v>
      </c>
      <c r="D152" s="4">
        <v>290</v>
      </c>
      <c r="E152" s="4">
        <f>VLOOKUP(B152,'Monthly Op &amp; Clo Stock (invoic)'!A:C,3,0)</f>
        <v>290</v>
      </c>
      <c r="F152" s="144">
        <f t="shared" si="2"/>
        <v>0</v>
      </c>
    </row>
    <row r="153" spans="2:6" hidden="1">
      <c r="B153" s="194">
        <v>214961</v>
      </c>
      <c r="C153" s="50" t="s">
        <v>896</v>
      </c>
      <c r="D153" s="4">
        <v>6940</v>
      </c>
      <c r="E153" s="4">
        <f>VLOOKUP(B153,'Monthly Op &amp; Clo Stock (invoic)'!A:C,3,0)</f>
        <v>6940</v>
      </c>
      <c r="F153" s="144">
        <f t="shared" si="2"/>
        <v>0</v>
      </c>
    </row>
    <row r="154" spans="2:6" hidden="1">
      <c r="B154" s="194">
        <v>214962</v>
      </c>
      <c r="C154" s="50" t="s">
        <v>897</v>
      </c>
      <c r="D154" s="171">
        <v>16378</v>
      </c>
      <c r="E154" s="4">
        <f>VLOOKUP(B154,'Monthly Op &amp; Clo Stock (invoic)'!A:C,3,0)</f>
        <v>16378</v>
      </c>
      <c r="F154" s="144">
        <f t="shared" si="2"/>
        <v>0</v>
      </c>
    </row>
    <row r="155" spans="2:6" hidden="1">
      <c r="B155" s="194">
        <v>214376</v>
      </c>
      <c r="C155" s="50" t="s">
        <v>382</v>
      </c>
      <c r="D155" s="171">
        <v>9820</v>
      </c>
      <c r="E155" s="4">
        <f>VLOOKUP(B155,'Monthly Op &amp; Clo Stock (invoic)'!A:C,3,0)</f>
        <v>9820</v>
      </c>
      <c r="F155" s="144">
        <f t="shared" si="2"/>
        <v>0</v>
      </c>
    </row>
    <row r="156" spans="2:6" hidden="1">
      <c r="B156" s="194">
        <v>214377</v>
      </c>
      <c r="C156" s="50" t="s">
        <v>383</v>
      </c>
      <c r="D156" s="4">
        <v>12820</v>
      </c>
      <c r="E156" s="4">
        <f>VLOOKUP(B156,'Monthly Op &amp; Clo Stock (invoic)'!A:C,3,0)</f>
        <v>12820</v>
      </c>
      <c r="F156" s="144">
        <f t="shared" si="2"/>
        <v>0</v>
      </c>
    </row>
    <row r="157" spans="2:6" hidden="1">
      <c r="B157" s="194">
        <v>214851</v>
      </c>
      <c r="C157" s="50" t="s">
        <v>2187</v>
      </c>
      <c r="D157" s="171">
        <v>0</v>
      </c>
      <c r="E157" s="4">
        <f>VLOOKUP(B157,'Monthly Op &amp; Clo Stock (invoic)'!A:C,3,0)</f>
        <v>0</v>
      </c>
      <c r="F157" s="144">
        <f t="shared" si="2"/>
        <v>0</v>
      </c>
    </row>
    <row r="158" spans="2:6" hidden="1">
      <c r="B158" s="194">
        <v>214852</v>
      </c>
      <c r="C158" s="50" t="s">
        <v>2187</v>
      </c>
      <c r="D158" s="4">
        <v>0</v>
      </c>
      <c r="E158" s="4">
        <f>VLOOKUP(B158,'Monthly Op &amp; Clo Stock (invoic)'!A:C,3,0)</f>
        <v>0</v>
      </c>
      <c r="F158" s="144">
        <f t="shared" si="2"/>
        <v>0</v>
      </c>
    </row>
    <row r="159" spans="2:6" hidden="1">
      <c r="B159" s="194">
        <v>214959</v>
      </c>
      <c r="C159" s="50" t="s">
        <v>2188</v>
      </c>
      <c r="D159" s="4">
        <v>6160</v>
      </c>
      <c r="E159" s="4">
        <f>VLOOKUP(B159,'Monthly Op &amp; Clo Stock (invoic)'!A:C,3,0)</f>
        <v>6160</v>
      </c>
      <c r="F159" s="144">
        <f t="shared" si="2"/>
        <v>0</v>
      </c>
    </row>
    <row r="160" spans="2:6" hidden="1">
      <c r="B160" s="194">
        <v>214378</v>
      </c>
      <c r="C160" s="50" t="s">
        <v>406</v>
      </c>
      <c r="D160" s="171">
        <v>4020</v>
      </c>
      <c r="E160" s="4">
        <f>VLOOKUP(B160,'Monthly Op &amp; Clo Stock (invoic)'!A:C,3,0)</f>
        <v>4020</v>
      </c>
      <c r="F160" s="144">
        <f t="shared" si="2"/>
        <v>0</v>
      </c>
    </row>
    <row r="161" spans="2:6" hidden="1">
      <c r="B161" s="194">
        <v>214379</v>
      </c>
      <c r="C161" s="50" t="s">
        <v>403</v>
      </c>
      <c r="D161" s="4">
        <v>4000</v>
      </c>
      <c r="E161" s="4">
        <f>VLOOKUP(B161,'Monthly Op &amp; Clo Stock (invoic)'!A:C,3,0)</f>
        <v>4000</v>
      </c>
      <c r="F161" s="144">
        <f t="shared" si="2"/>
        <v>0</v>
      </c>
    </row>
    <row r="162" spans="2:6" hidden="1">
      <c r="B162" s="194">
        <v>211673</v>
      </c>
      <c r="C162" s="50" t="s">
        <v>318</v>
      </c>
      <c r="D162" s="171">
        <v>2240</v>
      </c>
      <c r="E162" s="4">
        <f>VLOOKUP(B162,'Monthly Op &amp; Clo Stock (invoic)'!A:C,3,0)</f>
        <v>2240</v>
      </c>
      <c r="F162" s="144">
        <f t="shared" si="2"/>
        <v>0</v>
      </c>
    </row>
    <row r="163" spans="2:6" hidden="1">
      <c r="B163" s="194">
        <v>214979</v>
      </c>
      <c r="C163" s="50" t="s">
        <v>528</v>
      </c>
      <c r="D163" s="4">
        <v>0</v>
      </c>
      <c r="E163" s="4">
        <f>VLOOKUP(B163,'Monthly Op &amp; Clo Stock (invoic)'!A:C,3,0)</f>
        <v>0</v>
      </c>
      <c r="F163" s="144">
        <f t="shared" si="2"/>
        <v>0</v>
      </c>
    </row>
    <row r="164" spans="2:6" hidden="1">
      <c r="B164" s="194">
        <v>214430</v>
      </c>
      <c r="C164" s="50" t="s">
        <v>855</v>
      </c>
      <c r="D164" s="4">
        <v>1205</v>
      </c>
      <c r="E164" s="4">
        <f>VLOOKUP(B164,'Monthly Op &amp; Clo Stock (invoic)'!A:C,3,0)</f>
        <v>1205</v>
      </c>
      <c r="F164" s="144">
        <f t="shared" si="2"/>
        <v>0</v>
      </c>
    </row>
    <row r="165" spans="2:6" hidden="1">
      <c r="B165" s="194">
        <v>214442</v>
      </c>
      <c r="C165" s="50" t="s">
        <v>448</v>
      </c>
      <c r="D165" s="4">
        <v>2235</v>
      </c>
      <c r="E165" s="4">
        <f>VLOOKUP(B165,'Monthly Op &amp; Clo Stock (invoic)'!A:C,3,0)</f>
        <v>2235</v>
      </c>
      <c r="F165" s="144">
        <f t="shared" si="2"/>
        <v>0</v>
      </c>
    </row>
    <row r="166" spans="2:6" hidden="1">
      <c r="B166" s="194">
        <v>215015</v>
      </c>
      <c r="C166" s="50" t="s">
        <v>905</v>
      </c>
      <c r="D166" s="4">
        <v>13441</v>
      </c>
      <c r="E166" s="4">
        <f>VLOOKUP(B166,'Monthly Op &amp; Clo Stock (invoic)'!A:C,3,0)</f>
        <v>13441</v>
      </c>
      <c r="F166" s="144">
        <f t="shared" si="2"/>
        <v>0</v>
      </c>
    </row>
    <row r="167" spans="2:6" hidden="1">
      <c r="B167" s="194">
        <v>215007</v>
      </c>
      <c r="C167" s="50" t="s">
        <v>907</v>
      </c>
      <c r="D167" s="4">
        <v>1042</v>
      </c>
      <c r="E167" s="4">
        <f>VLOOKUP(B167,'Monthly Op &amp; Clo Stock (invoic)'!A:C,3,0)</f>
        <v>1042</v>
      </c>
      <c r="F167" s="144">
        <f t="shared" si="2"/>
        <v>0</v>
      </c>
    </row>
    <row r="168" spans="2:6" hidden="1">
      <c r="B168" s="194">
        <v>230067</v>
      </c>
      <c r="C168" s="56" t="s">
        <v>551</v>
      </c>
      <c r="D168" s="4">
        <v>0</v>
      </c>
      <c r="E168" s="4">
        <f>VLOOKUP(B168,'Monthly Op &amp; Clo Stock (invoic)'!A:C,3,0)</f>
        <v>0</v>
      </c>
      <c r="F168" s="144">
        <f t="shared" si="2"/>
        <v>0</v>
      </c>
    </row>
    <row r="169" spans="2:6" hidden="1">
      <c r="B169" s="194">
        <v>230069</v>
      </c>
      <c r="C169" s="56" t="s">
        <v>736</v>
      </c>
      <c r="D169" s="4">
        <v>0</v>
      </c>
      <c r="E169" s="4">
        <f>VLOOKUP(B169,'Monthly Op &amp; Clo Stock (invoic)'!A:C,3,0)</f>
        <v>0</v>
      </c>
      <c r="F169" s="144">
        <f t="shared" si="2"/>
        <v>0</v>
      </c>
    </row>
    <row r="170" spans="2:6" hidden="1">
      <c r="B170" s="194">
        <v>222463</v>
      </c>
      <c r="C170" s="4" t="s">
        <v>622</v>
      </c>
      <c r="D170" s="4">
        <v>520</v>
      </c>
      <c r="E170" s="4">
        <f>VLOOKUP(B170,'Monthly Op &amp; Clo Stock (invoic)'!A:C,3,0)</f>
        <v>520</v>
      </c>
      <c r="F170" s="144">
        <f t="shared" si="2"/>
        <v>0</v>
      </c>
    </row>
    <row r="171" spans="2:6" hidden="1">
      <c r="B171" s="194">
        <v>222464</v>
      </c>
      <c r="C171" s="4" t="s">
        <v>623</v>
      </c>
      <c r="D171" s="4">
        <v>17000</v>
      </c>
      <c r="E171" s="4">
        <f>VLOOKUP(B171,'Monthly Op &amp; Clo Stock (invoic)'!A:C,3,0)</f>
        <v>17000</v>
      </c>
      <c r="F171" s="144">
        <f t="shared" si="2"/>
        <v>0</v>
      </c>
    </row>
    <row r="172" spans="2:6" hidden="1">
      <c r="B172" s="194">
        <v>214331</v>
      </c>
      <c r="C172" s="4" t="s">
        <v>856</v>
      </c>
      <c r="D172" s="4">
        <v>7000</v>
      </c>
      <c r="E172" s="4">
        <f>VLOOKUP(B172,'Monthly Op &amp; Clo Stock (invoic)'!A:C,3,0)</f>
        <v>7000</v>
      </c>
      <c r="F172" s="144">
        <f t="shared" si="2"/>
        <v>0</v>
      </c>
    </row>
    <row r="173" spans="2:6" hidden="1">
      <c r="B173" s="194">
        <v>222466</v>
      </c>
      <c r="C173" s="4" t="s">
        <v>626</v>
      </c>
      <c r="D173" s="4">
        <v>9900</v>
      </c>
      <c r="E173" s="4">
        <f>VLOOKUP(B173,'Monthly Op &amp; Clo Stock (invoic)'!A:C,3,0)</f>
        <v>9900</v>
      </c>
      <c r="F173" s="144">
        <f t="shared" si="2"/>
        <v>0</v>
      </c>
    </row>
    <row r="174" spans="2:6" hidden="1">
      <c r="B174" s="194">
        <v>214302</v>
      </c>
      <c r="C174" s="4" t="s">
        <v>857</v>
      </c>
      <c r="D174" s="4">
        <v>1500</v>
      </c>
      <c r="E174" s="4">
        <f>VLOOKUP(B174,'Monthly Op &amp; Clo Stock (invoic)'!A:C,3,0)</f>
        <v>1500</v>
      </c>
      <c r="F174" s="144">
        <f t="shared" si="2"/>
        <v>0</v>
      </c>
    </row>
    <row r="175" spans="2:6" hidden="1">
      <c r="B175" s="194">
        <v>214303</v>
      </c>
      <c r="C175" s="4" t="s">
        <v>858</v>
      </c>
      <c r="D175" s="4">
        <v>5200</v>
      </c>
      <c r="E175" s="4">
        <f>VLOOKUP(B175,'Monthly Op &amp; Clo Stock (invoic)'!A:C,3,0)</f>
        <v>5200</v>
      </c>
      <c r="F175" s="144">
        <f t="shared" si="2"/>
        <v>0</v>
      </c>
    </row>
    <row r="176" spans="2:6" hidden="1">
      <c r="B176" s="194">
        <v>213771</v>
      </c>
      <c r="C176" s="4" t="s">
        <v>631</v>
      </c>
      <c r="D176" s="4">
        <v>640</v>
      </c>
      <c r="E176" s="4">
        <f>VLOOKUP(B176,'Monthly Op &amp; Clo Stock (invoic)'!A:C,3,0)</f>
        <v>640</v>
      </c>
      <c r="F176" s="144">
        <f t="shared" si="2"/>
        <v>0</v>
      </c>
    </row>
    <row r="177" spans="2:6" hidden="1">
      <c r="B177" s="194">
        <v>222470</v>
      </c>
      <c r="C177" s="4" t="s">
        <v>632</v>
      </c>
      <c r="D177" s="4">
        <v>41000</v>
      </c>
      <c r="E177" s="4">
        <f>VLOOKUP(B177,'Monthly Op &amp; Clo Stock (invoic)'!A:C,3,0)</f>
        <v>41000</v>
      </c>
      <c r="F177" s="144">
        <f t="shared" si="2"/>
        <v>0</v>
      </c>
    </row>
    <row r="178" spans="2:6" hidden="1">
      <c r="B178" s="194">
        <v>229099</v>
      </c>
      <c r="C178" s="4" t="s">
        <v>633</v>
      </c>
      <c r="D178" s="4">
        <f>5250-4000</f>
        <v>1250</v>
      </c>
      <c r="E178" s="4">
        <f>VLOOKUP(B178,'Monthly Op &amp; Clo Stock (invoic)'!A:C,3,0)</f>
        <v>1250</v>
      </c>
      <c r="F178" s="144">
        <f t="shared" si="2"/>
        <v>0</v>
      </c>
    </row>
    <row r="179" spans="2:6" hidden="1">
      <c r="B179" s="194">
        <v>222472</v>
      </c>
      <c r="C179" s="4" t="s">
        <v>634</v>
      </c>
      <c r="D179" s="4">
        <v>10000</v>
      </c>
      <c r="E179" s="4">
        <f>VLOOKUP(B179,'Monthly Op &amp; Clo Stock (invoic)'!A:C,3,0)</f>
        <v>10000</v>
      </c>
      <c r="F179" s="144">
        <f t="shared" si="2"/>
        <v>0</v>
      </c>
    </row>
    <row r="180" spans="2:6" hidden="1">
      <c r="B180" s="194">
        <v>222473</v>
      </c>
      <c r="C180" s="4" t="s">
        <v>635</v>
      </c>
      <c r="D180" s="4">
        <v>57600</v>
      </c>
      <c r="E180" s="4">
        <f>VLOOKUP(B180,'Monthly Op &amp; Clo Stock (invoic)'!A:C,3,0)</f>
        <v>57600</v>
      </c>
      <c r="F180" s="144">
        <f t="shared" si="2"/>
        <v>0</v>
      </c>
    </row>
    <row r="181" spans="2:6" hidden="1">
      <c r="B181" s="194">
        <v>214305</v>
      </c>
      <c r="C181" s="4" t="s">
        <v>416</v>
      </c>
      <c r="D181" s="4">
        <v>115200</v>
      </c>
      <c r="E181" s="4">
        <f>VLOOKUP(B181,'Monthly Op &amp; Clo Stock (invoic)'!A:C,3,0)</f>
        <v>115200</v>
      </c>
      <c r="F181" s="144">
        <f t="shared" si="2"/>
        <v>0</v>
      </c>
    </row>
    <row r="182" spans="2:6" hidden="1">
      <c r="B182" s="194">
        <v>222475</v>
      </c>
      <c r="C182" s="4" t="s">
        <v>638</v>
      </c>
      <c r="D182" s="4">
        <v>5400</v>
      </c>
      <c r="E182" s="4">
        <f>VLOOKUP(B182,'Monthly Op &amp; Clo Stock (invoic)'!A:C,3,0)</f>
        <v>5400</v>
      </c>
      <c r="F182" s="144">
        <f t="shared" si="2"/>
        <v>0</v>
      </c>
    </row>
    <row r="183" spans="2:6" hidden="1">
      <c r="B183" s="194">
        <v>222476</v>
      </c>
      <c r="C183" s="4" t="s">
        <v>639</v>
      </c>
      <c r="D183" s="4">
        <v>180</v>
      </c>
      <c r="E183" s="4">
        <f>VLOOKUP(B183,'Monthly Op &amp; Clo Stock (invoic)'!A:C,3,0)</f>
        <v>180</v>
      </c>
      <c r="F183" s="144">
        <f t="shared" si="2"/>
        <v>0</v>
      </c>
    </row>
    <row r="184" spans="2:6" hidden="1">
      <c r="B184" s="194">
        <v>211559</v>
      </c>
      <c r="C184" s="4" t="s">
        <v>640</v>
      </c>
      <c r="D184" s="4">
        <v>43000</v>
      </c>
      <c r="E184" s="4">
        <f>VLOOKUP(B184,'Monthly Op &amp; Clo Stock (invoic)'!A:C,3,0)</f>
        <v>43000</v>
      </c>
      <c r="F184" s="144">
        <f t="shared" si="2"/>
        <v>0</v>
      </c>
    </row>
    <row r="185" spans="2:6" hidden="1">
      <c r="B185" s="194">
        <v>229075</v>
      </c>
      <c r="C185" s="4" t="s">
        <v>641</v>
      </c>
      <c r="D185" s="4">
        <v>14800</v>
      </c>
      <c r="E185" s="4">
        <f>VLOOKUP(B185,'Monthly Op &amp; Clo Stock (invoic)'!A:C,3,0)</f>
        <v>14800</v>
      </c>
      <c r="F185" s="144">
        <f t="shared" si="2"/>
        <v>0</v>
      </c>
    </row>
    <row r="186" spans="2:6" hidden="1">
      <c r="B186" s="194">
        <v>214304</v>
      </c>
      <c r="C186" s="4" t="s">
        <v>847</v>
      </c>
      <c r="D186" s="4">
        <v>3000</v>
      </c>
      <c r="E186" s="4">
        <f>VLOOKUP(B186,'Monthly Op &amp; Clo Stock (invoic)'!A:C,3,0)</f>
        <v>3000</v>
      </c>
      <c r="F186" s="144">
        <f t="shared" si="2"/>
        <v>0</v>
      </c>
    </row>
    <row r="187" spans="2:6" hidden="1">
      <c r="B187" s="194">
        <v>214306</v>
      </c>
      <c r="C187" s="4" t="s">
        <v>848</v>
      </c>
      <c r="D187" s="4">
        <v>2000</v>
      </c>
      <c r="E187" s="4">
        <f>VLOOKUP(B187,'Monthly Op &amp; Clo Stock (invoic)'!A:C,3,0)</f>
        <v>2000</v>
      </c>
      <c r="F187" s="144">
        <f t="shared" si="2"/>
        <v>0</v>
      </c>
    </row>
    <row r="188" spans="2:6" hidden="1">
      <c r="B188" s="194">
        <v>229833</v>
      </c>
      <c r="C188" s="4" t="s">
        <v>647</v>
      </c>
      <c r="D188" s="4">
        <v>300</v>
      </c>
      <c r="E188" s="4">
        <f>VLOOKUP(B188,'Monthly Op &amp; Clo Stock (invoic)'!A:C,3,0)</f>
        <v>300</v>
      </c>
      <c r="F188" s="144">
        <f t="shared" si="2"/>
        <v>0</v>
      </c>
    </row>
    <row r="189" spans="2:6" hidden="1">
      <c r="B189" s="194">
        <v>229743</v>
      </c>
      <c r="C189" s="4" t="s">
        <v>649</v>
      </c>
      <c r="D189" s="4">
        <v>130500</v>
      </c>
      <c r="E189" s="4">
        <f>VLOOKUP(B189,'Monthly Op &amp; Clo Stock (invoic)'!A:C,3,0)</f>
        <v>130500</v>
      </c>
      <c r="F189" s="144">
        <f t="shared" si="2"/>
        <v>0</v>
      </c>
    </row>
    <row r="190" spans="2:6" hidden="1">
      <c r="B190" s="194">
        <v>229745</v>
      </c>
      <c r="C190" s="4" t="s">
        <v>650</v>
      </c>
      <c r="D190" s="4">
        <v>528</v>
      </c>
      <c r="E190" s="4">
        <f>VLOOKUP(B190,'Monthly Op &amp; Clo Stock (invoic)'!A:C,3,0)</f>
        <v>528</v>
      </c>
      <c r="F190" s="144">
        <f t="shared" ref="F190:F253" si="3">D190-E190</f>
        <v>0</v>
      </c>
    </row>
    <row r="191" spans="2:6" hidden="1">
      <c r="B191" s="194">
        <v>225003</v>
      </c>
      <c r="C191" s="4" t="s">
        <v>652</v>
      </c>
      <c r="D191" s="4">
        <f>5000-2000</f>
        <v>3000</v>
      </c>
      <c r="E191" s="4">
        <f>VLOOKUP(B191,'Monthly Op &amp; Clo Stock (invoic)'!A:C,3,0)</f>
        <v>3000</v>
      </c>
      <c r="F191" s="144">
        <f t="shared" si="3"/>
        <v>0</v>
      </c>
    </row>
    <row r="192" spans="2:6" hidden="1">
      <c r="B192" s="194">
        <v>229742</v>
      </c>
      <c r="C192" s="4" t="s">
        <v>653</v>
      </c>
      <c r="D192" s="4">
        <v>29600</v>
      </c>
      <c r="E192" s="4">
        <f>VLOOKUP(B192,'Monthly Op &amp; Clo Stock (invoic)'!A:C,3,0)</f>
        <v>29600</v>
      </c>
      <c r="F192" s="144">
        <f t="shared" si="3"/>
        <v>0</v>
      </c>
    </row>
    <row r="193" spans="2:6" hidden="1">
      <c r="B193" s="194">
        <v>229824</v>
      </c>
      <c r="C193" s="4" t="s">
        <v>655</v>
      </c>
      <c r="D193" s="4">
        <v>520</v>
      </c>
      <c r="E193" s="4">
        <f>VLOOKUP(B193,'Monthly Op &amp; Clo Stock (invoic)'!A:C,3,0)</f>
        <v>520</v>
      </c>
      <c r="F193" s="144">
        <f t="shared" si="3"/>
        <v>0</v>
      </c>
    </row>
    <row r="194" spans="2:6" hidden="1">
      <c r="B194" s="194">
        <v>229747</v>
      </c>
      <c r="C194" s="4" t="s">
        <v>656</v>
      </c>
      <c r="D194" s="4">
        <v>111000</v>
      </c>
      <c r="E194" s="4">
        <f>VLOOKUP(B194,'Monthly Op &amp; Clo Stock (invoic)'!A:C,3,0)</f>
        <v>111000</v>
      </c>
      <c r="F194" s="144">
        <f t="shared" si="3"/>
        <v>0</v>
      </c>
    </row>
    <row r="195" spans="2:6" hidden="1">
      <c r="B195" s="194">
        <v>229895</v>
      </c>
      <c r="C195" s="4" t="s">
        <v>657</v>
      </c>
      <c r="D195" s="4">
        <v>47500</v>
      </c>
      <c r="E195" s="4">
        <f>VLOOKUP(B195,'Monthly Op &amp; Clo Stock (invoic)'!A:C,3,0)</f>
        <v>47500</v>
      </c>
      <c r="F195" s="144">
        <f t="shared" si="3"/>
        <v>0</v>
      </c>
    </row>
    <row r="196" spans="2:6" hidden="1">
      <c r="B196" s="194">
        <v>229740</v>
      </c>
      <c r="C196" s="4" t="s">
        <v>658</v>
      </c>
      <c r="D196" s="4">
        <v>23500</v>
      </c>
      <c r="E196" s="4">
        <f>VLOOKUP(B196,'Monthly Op &amp; Clo Stock (invoic)'!A:C,3,0)</f>
        <v>23500</v>
      </c>
      <c r="F196" s="144">
        <f t="shared" si="3"/>
        <v>0</v>
      </c>
    </row>
    <row r="197" spans="2:6" hidden="1">
      <c r="B197" s="194">
        <v>229736</v>
      </c>
      <c r="C197" s="4" t="s">
        <v>659</v>
      </c>
      <c r="D197" s="4">
        <v>31500</v>
      </c>
      <c r="E197" s="4">
        <f>VLOOKUP(B197,'Monthly Op &amp; Clo Stock (invoic)'!A:C,3,0)</f>
        <v>31500</v>
      </c>
      <c r="F197" s="144">
        <f t="shared" si="3"/>
        <v>0</v>
      </c>
    </row>
    <row r="198" spans="2:6" hidden="1">
      <c r="B198" s="194">
        <v>229737</v>
      </c>
      <c r="C198" s="4" t="s">
        <v>661</v>
      </c>
      <c r="D198" s="4">
        <v>34000</v>
      </c>
      <c r="E198" s="4">
        <f>VLOOKUP(B198,'Monthly Op &amp; Clo Stock (invoic)'!A:C,3,0)</f>
        <v>34000</v>
      </c>
      <c r="F198" s="144">
        <f t="shared" si="3"/>
        <v>0</v>
      </c>
    </row>
    <row r="199" spans="2:6" hidden="1">
      <c r="B199" s="194">
        <v>229825</v>
      </c>
      <c r="C199" s="4" t="s">
        <v>663</v>
      </c>
      <c r="D199" s="4">
        <v>620</v>
      </c>
      <c r="E199" s="4">
        <f>VLOOKUP(B199,'Monthly Op &amp; Clo Stock (invoic)'!A:C,3,0)</f>
        <v>620</v>
      </c>
      <c r="F199" s="144">
        <f t="shared" si="3"/>
        <v>0</v>
      </c>
    </row>
    <row r="200" spans="2:6" hidden="1">
      <c r="B200" s="194">
        <v>229741</v>
      </c>
      <c r="C200" s="4" t="s">
        <v>665</v>
      </c>
      <c r="D200" s="4">
        <v>26885</v>
      </c>
      <c r="E200" s="4">
        <f>VLOOKUP(B200,'Monthly Op &amp; Clo Stock (invoic)'!A:C,3,0)</f>
        <v>26885</v>
      </c>
      <c r="F200" s="144">
        <f t="shared" si="3"/>
        <v>0</v>
      </c>
    </row>
    <row r="201" spans="2:6" hidden="1">
      <c r="B201" s="194">
        <v>229738</v>
      </c>
      <c r="C201" s="4" t="s">
        <v>666</v>
      </c>
      <c r="D201" s="4">
        <v>48500</v>
      </c>
      <c r="E201" s="4">
        <f>VLOOKUP(B201,'Monthly Op &amp; Clo Stock (invoic)'!A:C,3,0)</f>
        <v>48500</v>
      </c>
      <c r="F201" s="144">
        <f t="shared" si="3"/>
        <v>0</v>
      </c>
    </row>
    <row r="202" spans="2:6" hidden="1">
      <c r="B202" s="194">
        <v>229739</v>
      </c>
      <c r="C202" s="4" t="s">
        <v>667</v>
      </c>
      <c r="D202" s="4">
        <v>45500</v>
      </c>
      <c r="E202" s="4">
        <f>VLOOKUP(B202,'Monthly Op &amp; Clo Stock (invoic)'!A:C,3,0)</f>
        <v>45500</v>
      </c>
      <c r="F202" s="144">
        <f t="shared" si="3"/>
        <v>0</v>
      </c>
    </row>
    <row r="203" spans="2:6" hidden="1">
      <c r="B203" s="194">
        <v>229827</v>
      </c>
      <c r="C203" s="4" t="s">
        <v>669</v>
      </c>
      <c r="D203" s="4">
        <v>109</v>
      </c>
      <c r="E203" s="4">
        <f>VLOOKUP(B203,'Monthly Op &amp; Clo Stock (invoic)'!A:C,3,0)</f>
        <v>109</v>
      </c>
      <c r="F203" s="144">
        <f t="shared" si="3"/>
        <v>0</v>
      </c>
    </row>
    <row r="204" spans="2:6" hidden="1">
      <c r="B204" s="194">
        <v>229896</v>
      </c>
      <c r="C204" s="4" t="s">
        <v>671</v>
      </c>
      <c r="D204" s="4">
        <v>10500</v>
      </c>
      <c r="E204" s="4">
        <f>VLOOKUP(B204,'Monthly Op &amp; Clo Stock (invoic)'!A:C,3,0)</f>
        <v>10500</v>
      </c>
      <c r="F204" s="144">
        <f t="shared" si="3"/>
        <v>0</v>
      </c>
    </row>
    <row r="205" spans="2:6" hidden="1">
      <c r="B205" s="194">
        <v>229897</v>
      </c>
      <c r="C205" s="4" t="s">
        <v>673</v>
      </c>
      <c r="D205" s="4">
        <v>10500</v>
      </c>
      <c r="E205" s="4">
        <f>VLOOKUP(B205,'Monthly Op &amp; Clo Stock (invoic)'!A:C,3,0)</f>
        <v>10500</v>
      </c>
      <c r="F205" s="144">
        <f t="shared" si="3"/>
        <v>0</v>
      </c>
    </row>
    <row r="206" spans="2:6" hidden="1">
      <c r="B206" s="194">
        <v>229826</v>
      </c>
      <c r="C206" s="4" t="s">
        <v>675</v>
      </c>
      <c r="D206" s="4">
        <v>560</v>
      </c>
      <c r="E206" s="4">
        <f>VLOOKUP(B206,'Monthly Op &amp; Clo Stock (invoic)'!A:C,3,0)</f>
        <v>560</v>
      </c>
      <c r="F206" s="144">
        <f t="shared" si="3"/>
        <v>0</v>
      </c>
    </row>
    <row r="207" spans="2:6" hidden="1">
      <c r="B207" s="194">
        <v>229899</v>
      </c>
      <c r="C207" s="4" t="s">
        <v>677</v>
      </c>
      <c r="D207" s="4">
        <v>6500</v>
      </c>
      <c r="E207" s="4">
        <f>VLOOKUP(B207,'Monthly Op &amp; Clo Stock (invoic)'!A:C,3,0)</f>
        <v>6500</v>
      </c>
      <c r="F207" s="144">
        <f t="shared" si="3"/>
        <v>0</v>
      </c>
    </row>
    <row r="208" spans="2:6" hidden="1">
      <c r="B208" s="194">
        <v>229900</v>
      </c>
      <c r="C208" s="4" t="s">
        <v>679</v>
      </c>
      <c r="D208" s="4">
        <v>4000</v>
      </c>
      <c r="E208" s="4">
        <f>VLOOKUP(B208,'Monthly Op &amp; Clo Stock (invoic)'!A:C,3,0)</f>
        <v>4000</v>
      </c>
      <c r="F208" s="144">
        <f t="shared" si="3"/>
        <v>0</v>
      </c>
    </row>
    <row r="209" spans="2:6" hidden="1">
      <c r="B209" s="194">
        <v>229901</v>
      </c>
      <c r="C209" s="4" t="s">
        <v>681</v>
      </c>
      <c r="D209" s="4">
        <v>4500</v>
      </c>
      <c r="E209" s="4">
        <f>VLOOKUP(B209,'Monthly Op &amp; Clo Stock (invoic)'!A:C,3,0)</f>
        <v>4500</v>
      </c>
      <c r="F209" s="144">
        <f t="shared" si="3"/>
        <v>0</v>
      </c>
    </row>
    <row r="210" spans="2:6" hidden="1">
      <c r="B210" s="194">
        <v>230225</v>
      </c>
      <c r="C210" s="4" t="s">
        <v>682</v>
      </c>
      <c r="D210" s="4">
        <v>1180</v>
      </c>
      <c r="E210" s="4">
        <f>VLOOKUP(B210,'Monthly Op &amp; Clo Stock (invoic)'!A:C,3,0)</f>
        <v>1180</v>
      </c>
      <c r="F210" s="144">
        <f t="shared" si="3"/>
        <v>0</v>
      </c>
    </row>
    <row r="211" spans="2:6" hidden="1">
      <c r="B211" s="194">
        <v>229898</v>
      </c>
      <c r="C211" s="4" t="s">
        <v>683</v>
      </c>
      <c r="D211" s="4">
        <v>13500</v>
      </c>
      <c r="E211" s="4">
        <f>VLOOKUP(B211,'Monthly Op &amp; Clo Stock (invoic)'!A:C,3,0)</f>
        <v>13500</v>
      </c>
      <c r="F211" s="144">
        <f t="shared" si="3"/>
        <v>0</v>
      </c>
    </row>
    <row r="212" spans="2:6" hidden="1">
      <c r="B212" s="194">
        <v>225004</v>
      </c>
      <c r="C212" s="4" t="s">
        <v>684</v>
      </c>
      <c r="D212" s="4">
        <v>19500</v>
      </c>
      <c r="E212" s="4">
        <f>VLOOKUP(B212,'Monthly Op &amp; Clo Stock (invoic)'!A:C,3,0)</f>
        <v>19500</v>
      </c>
      <c r="F212" s="144">
        <f t="shared" si="3"/>
        <v>0</v>
      </c>
    </row>
    <row r="213" spans="2:6" hidden="1">
      <c r="B213" s="194">
        <v>225005</v>
      </c>
      <c r="C213" s="4" t="s">
        <v>685</v>
      </c>
      <c r="D213" s="4">
        <v>19500</v>
      </c>
      <c r="E213" s="4">
        <f>VLOOKUP(B213,'Monthly Op &amp; Clo Stock (invoic)'!A:C,3,0)</f>
        <v>19500</v>
      </c>
      <c r="F213" s="144">
        <f t="shared" si="3"/>
        <v>0</v>
      </c>
    </row>
    <row r="214" spans="2:6" hidden="1">
      <c r="B214" s="194">
        <v>229919</v>
      </c>
      <c r="C214" s="4" t="s">
        <v>686</v>
      </c>
      <c r="D214" s="4">
        <v>8100</v>
      </c>
      <c r="E214" s="4">
        <f>VLOOKUP(B214,'Monthly Op &amp; Clo Stock (invoic)'!A:C,3,0)</f>
        <v>8100</v>
      </c>
      <c r="F214" s="144">
        <f t="shared" si="3"/>
        <v>0</v>
      </c>
    </row>
    <row r="215" spans="2:6" hidden="1">
      <c r="B215" s="194">
        <v>230223</v>
      </c>
      <c r="C215" s="4" t="s">
        <v>690</v>
      </c>
      <c r="D215" s="4">
        <v>14000</v>
      </c>
      <c r="E215" s="4">
        <f>VLOOKUP(B215,'Monthly Op &amp; Clo Stock (invoic)'!A:C,3,0)</f>
        <v>14000</v>
      </c>
      <c r="F215" s="144">
        <f t="shared" si="3"/>
        <v>0</v>
      </c>
    </row>
    <row r="216" spans="2:6" hidden="1">
      <c r="B216" s="194">
        <v>230224</v>
      </c>
      <c r="C216" s="4" t="s">
        <v>692</v>
      </c>
      <c r="D216" s="4">
        <v>17000</v>
      </c>
      <c r="E216" s="4">
        <f>VLOOKUP(B216,'Monthly Op &amp; Clo Stock (invoic)'!A:C,3,0)</f>
        <v>17000</v>
      </c>
      <c r="F216" s="144">
        <f t="shared" si="3"/>
        <v>0</v>
      </c>
    </row>
    <row r="217" spans="2:6" hidden="1">
      <c r="B217" s="194">
        <v>229841</v>
      </c>
      <c r="C217" s="4" t="s">
        <v>693</v>
      </c>
      <c r="D217" s="4">
        <v>270</v>
      </c>
      <c r="E217" s="4">
        <f>VLOOKUP(B217,'Monthly Op &amp; Clo Stock (invoic)'!A:C,3,0)</f>
        <v>270</v>
      </c>
      <c r="F217" s="144">
        <f t="shared" si="3"/>
        <v>0</v>
      </c>
    </row>
    <row r="218" spans="2:6" hidden="1">
      <c r="B218" s="194">
        <v>211680</v>
      </c>
      <c r="C218" s="4" t="s">
        <v>694</v>
      </c>
      <c r="D218">
        <v>0</v>
      </c>
      <c r="E218" s="4">
        <f>VLOOKUP(B218,'Monthly Op &amp; Clo Stock (invoic)'!A:C,3,0)</f>
        <v>0</v>
      </c>
      <c r="F218" s="144">
        <f t="shared" si="3"/>
        <v>0</v>
      </c>
    </row>
    <row r="219" spans="2:6" hidden="1">
      <c r="B219" s="194">
        <v>211683</v>
      </c>
      <c r="C219" s="4" t="s">
        <v>695</v>
      </c>
      <c r="D219">
        <v>27000</v>
      </c>
      <c r="E219" s="4">
        <f>VLOOKUP(B219,'Monthly Op &amp; Clo Stock (invoic)'!A:C,3,0)</f>
        <v>27000</v>
      </c>
      <c r="F219" s="144">
        <f t="shared" si="3"/>
        <v>0</v>
      </c>
    </row>
    <row r="220" spans="2:6" hidden="1">
      <c r="B220" s="194">
        <v>211686</v>
      </c>
      <c r="C220" s="4" t="s">
        <v>696</v>
      </c>
      <c r="D220">
        <v>23500</v>
      </c>
      <c r="E220" s="4">
        <f>VLOOKUP(B220,'Monthly Op &amp; Clo Stock (invoic)'!A:C,3,0)</f>
        <v>23500</v>
      </c>
      <c r="F220" s="144">
        <f t="shared" si="3"/>
        <v>0</v>
      </c>
    </row>
    <row r="221" spans="2:6" hidden="1">
      <c r="B221" s="194">
        <v>211679</v>
      </c>
      <c r="C221" s="4" t="s">
        <v>698</v>
      </c>
      <c r="D221">
        <f>23500-20000</f>
        <v>3500</v>
      </c>
      <c r="E221" s="4">
        <f>VLOOKUP(B221,'Monthly Op &amp; Clo Stock (invoic)'!A:C,3,0)</f>
        <v>3500</v>
      </c>
      <c r="F221" s="144">
        <f t="shared" si="3"/>
        <v>0</v>
      </c>
    </row>
    <row r="222" spans="2:6" hidden="1">
      <c r="B222" s="194">
        <v>211687</v>
      </c>
      <c r="C222" s="4" t="s">
        <v>699</v>
      </c>
      <c r="D222">
        <v>240</v>
      </c>
      <c r="E222" s="4">
        <f>VLOOKUP(B222,'Monthly Op &amp; Clo Stock (invoic)'!A:C,3,0)</f>
        <v>240</v>
      </c>
      <c r="F222" s="144">
        <f t="shared" si="3"/>
        <v>0</v>
      </c>
    </row>
    <row r="223" spans="2:6" hidden="1">
      <c r="B223" s="194">
        <v>211675</v>
      </c>
      <c r="C223" s="4" t="s">
        <v>322</v>
      </c>
      <c r="D223">
        <v>21150</v>
      </c>
      <c r="E223" s="4">
        <f>VLOOKUP(B223,'Monthly Op &amp; Clo Stock (invoic)'!A:C,3,0)</f>
        <v>21150</v>
      </c>
      <c r="F223" s="144">
        <f t="shared" si="3"/>
        <v>0</v>
      </c>
    </row>
    <row r="224" spans="2:6" hidden="1">
      <c r="B224" s="194">
        <v>211682</v>
      </c>
      <c r="C224" s="4" t="s">
        <v>700</v>
      </c>
      <c r="D224">
        <v>10000</v>
      </c>
      <c r="E224" s="4">
        <f>VLOOKUP(B224,'Monthly Op &amp; Clo Stock (invoic)'!A:C,3,0)</f>
        <v>10000</v>
      </c>
      <c r="F224" s="144">
        <f t="shared" si="3"/>
        <v>0</v>
      </c>
    </row>
    <row r="225" spans="2:6" hidden="1">
      <c r="B225" s="194">
        <v>211685</v>
      </c>
      <c r="C225" s="4" t="s">
        <v>701</v>
      </c>
      <c r="D225">
        <v>8000</v>
      </c>
      <c r="E225" s="4">
        <f>VLOOKUP(B225,'Monthly Op &amp; Clo Stock (invoic)'!A:C,3,0)</f>
        <v>8000</v>
      </c>
      <c r="F225" s="144">
        <f t="shared" si="3"/>
        <v>0</v>
      </c>
    </row>
    <row r="226" spans="2:6" hidden="1">
      <c r="B226" s="194">
        <v>211684</v>
      </c>
      <c r="C226" s="4" t="s">
        <v>702</v>
      </c>
      <c r="D226">
        <v>380</v>
      </c>
      <c r="E226" s="4">
        <f>VLOOKUP(B226,'Monthly Op &amp; Clo Stock (invoic)'!A:C,3,0)</f>
        <v>380</v>
      </c>
      <c r="F226" s="144">
        <f t="shared" si="3"/>
        <v>0</v>
      </c>
    </row>
    <row r="227" spans="2:6" hidden="1">
      <c r="B227" s="194">
        <v>214713</v>
      </c>
      <c r="C227" s="4" t="s">
        <v>509</v>
      </c>
      <c r="D227">
        <v>2625</v>
      </c>
      <c r="E227" s="4">
        <f>VLOOKUP(B227,'Monthly Op &amp; Clo Stock (invoic)'!A:C,3,0)</f>
        <v>2625</v>
      </c>
      <c r="F227" s="144">
        <f t="shared" si="3"/>
        <v>0</v>
      </c>
    </row>
    <row r="228" spans="2:6" hidden="1">
      <c r="B228" s="194">
        <v>214714</v>
      </c>
      <c r="C228" s="4" t="s">
        <v>513</v>
      </c>
      <c r="D228">
        <v>8125</v>
      </c>
      <c r="E228" s="4">
        <f>VLOOKUP(B228,'Monthly Op &amp; Clo Stock (invoic)'!A:C,3,0)</f>
        <v>8125</v>
      </c>
      <c r="F228" s="144">
        <f t="shared" si="3"/>
        <v>0</v>
      </c>
    </row>
    <row r="229" spans="2:6" hidden="1">
      <c r="B229" s="194">
        <v>214704</v>
      </c>
      <c r="C229" s="4" t="s">
        <v>511</v>
      </c>
      <c r="D229">
        <v>2625</v>
      </c>
      <c r="E229" s="4">
        <f>VLOOKUP(B229,'Monthly Op &amp; Clo Stock (invoic)'!A:C,3,0)</f>
        <v>2625</v>
      </c>
      <c r="F229" s="144">
        <f t="shared" si="3"/>
        <v>0</v>
      </c>
    </row>
    <row r="230" spans="2:6" hidden="1">
      <c r="B230" s="194">
        <v>214703</v>
      </c>
      <c r="C230" s="4" t="s">
        <v>512</v>
      </c>
      <c r="D230">
        <v>2625</v>
      </c>
      <c r="E230" s="4">
        <f>VLOOKUP(B230,'Monthly Op &amp; Clo Stock (invoic)'!A:C,3,0)</f>
        <v>2625</v>
      </c>
      <c r="F230" s="144">
        <f t="shared" si="3"/>
        <v>0</v>
      </c>
    </row>
    <row r="231" spans="2:6" hidden="1">
      <c r="B231" s="194">
        <v>214705</v>
      </c>
      <c r="C231" s="4" t="s">
        <v>510</v>
      </c>
      <c r="D231">
        <v>420</v>
      </c>
      <c r="E231" s="4">
        <f>VLOOKUP(B231,'Monthly Op &amp; Clo Stock (invoic)'!A:C,3,0)</f>
        <v>420</v>
      </c>
      <c r="F231" s="144">
        <f t="shared" si="3"/>
        <v>0</v>
      </c>
    </row>
    <row r="232" spans="2:6" hidden="1">
      <c r="B232" s="170">
        <v>214706</v>
      </c>
      <c r="C232" s="4" t="s">
        <v>505</v>
      </c>
      <c r="D232">
        <v>680</v>
      </c>
      <c r="E232" s="4">
        <f>VLOOKUP(B232,'Monthly Op &amp; Clo Stock (invoic)'!A:C,3,0)</f>
        <v>680</v>
      </c>
      <c r="F232" s="144">
        <f t="shared" si="3"/>
        <v>0</v>
      </c>
    </row>
    <row r="233" spans="2:6" hidden="1">
      <c r="B233" s="194">
        <v>214673</v>
      </c>
      <c r="C233" s="4" t="s">
        <v>2189</v>
      </c>
      <c r="D233">
        <v>7000</v>
      </c>
      <c r="E233" s="4">
        <f>VLOOKUP(B233,'Monthly Op &amp; Clo Stock (invoic)'!A:C,3,0)</f>
        <v>7000</v>
      </c>
      <c r="F233" s="144">
        <f t="shared" si="3"/>
        <v>0</v>
      </c>
    </row>
    <row r="234" spans="2:6" hidden="1">
      <c r="B234" s="194">
        <v>214701</v>
      </c>
      <c r="C234" s="4" t="s">
        <v>2149</v>
      </c>
      <c r="D234">
        <v>9000</v>
      </c>
      <c r="E234" s="4">
        <f>VLOOKUP(B234,'Monthly Op &amp; Clo Stock (invoic)'!A:C,3,0)</f>
        <v>9000</v>
      </c>
      <c r="F234" s="144">
        <f t="shared" si="3"/>
        <v>0</v>
      </c>
    </row>
    <row r="235" spans="2:6" hidden="1">
      <c r="B235" s="194">
        <v>214702</v>
      </c>
      <c r="C235" s="4" t="s">
        <v>2150</v>
      </c>
      <c r="D235">
        <v>9000</v>
      </c>
      <c r="E235" s="4">
        <f>VLOOKUP(B235,'Monthly Op &amp; Clo Stock (invoic)'!A:C,3,0)</f>
        <v>9000</v>
      </c>
      <c r="F235" s="144">
        <f t="shared" si="3"/>
        <v>0</v>
      </c>
    </row>
    <row r="236" spans="2:6" hidden="1">
      <c r="B236" s="194">
        <v>214709</v>
      </c>
      <c r="C236" s="4" t="s">
        <v>870</v>
      </c>
      <c r="D236">
        <f>1920-1300</f>
        <v>620</v>
      </c>
      <c r="E236" s="4">
        <f>VLOOKUP(B236,'Monthly Op &amp; Clo Stock (invoic)'!A:C,3,0)</f>
        <v>620</v>
      </c>
      <c r="F236" s="144">
        <f t="shared" si="3"/>
        <v>0</v>
      </c>
    </row>
    <row r="237" spans="2:6" hidden="1">
      <c r="B237" s="194">
        <v>214808</v>
      </c>
      <c r="C237" s="4" t="s">
        <v>2190</v>
      </c>
      <c r="D237">
        <v>17028</v>
      </c>
      <c r="E237" s="4">
        <f>VLOOKUP(B237,'Monthly Op &amp; Clo Stock (invoic)'!A:C,3,0)</f>
        <v>17028</v>
      </c>
      <c r="F237" s="144">
        <f t="shared" si="3"/>
        <v>0</v>
      </c>
    </row>
    <row r="238" spans="2:6" hidden="1">
      <c r="B238" s="194">
        <v>214668</v>
      </c>
      <c r="C238" s="4" t="s">
        <v>868</v>
      </c>
      <c r="D238">
        <v>15000</v>
      </c>
      <c r="E238" s="4">
        <f>VLOOKUP(B238,'Monthly Op &amp; Clo Stock (invoic)'!A:C,3,0)</f>
        <v>15000</v>
      </c>
      <c r="F238" s="144">
        <f t="shared" si="3"/>
        <v>0</v>
      </c>
    </row>
    <row r="239" spans="2:6" hidden="1">
      <c r="B239" s="194">
        <v>214669</v>
      </c>
      <c r="C239" s="4" t="s">
        <v>869</v>
      </c>
      <c r="D239">
        <v>12500</v>
      </c>
      <c r="E239" s="4">
        <f>VLOOKUP(B239,'Monthly Op &amp; Clo Stock (invoic)'!A:C,3,0)</f>
        <v>12500</v>
      </c>
      <c r="F239" s="144">
        <f t="shared" si="3"/>
        <v>0</v>
      </c>
    </row>
    <row r="240" spans="2:6" hidden="1">
      <c r="B240" s="194">
        <v>214888</v>
      </c>
      <c r="C240" s="4" t="s">
        <v>2154</v>
      </c>
      <c r="D240">
        <v>11375</v>
      </c>
      <c r="E240" s="4">
        <f>VLOOKUP(B240,'Monthly Op &amp; Clo Stock (invoic)'!A:C,3,0)</f>
        <v>11375</v>
      </c>
      <c r="F240" s="144">
        <f t="shared" si="3"/>
        <v>0</v>
      </c>
    </row>
    <row r="241" spans="2:6" hidden="1">
      <c r="B241" s="194">
        <v>214672</v>
      </c>
      <c r="C241" s="4" t="s">
        <v>2155</v>
      </c>
      <c r="D241">
        <v>7360</v>
      </c>
      <c r="E241" s="4">
        <f>VLOOKUP(B241,'Monthly Op &amp; Clo Stock (invoic)'!A:C,3,0)</f>
        <v>7360</v>
      </c>
      <c r="F241" s="144">
        <f t="shared" si="3"/>
        <v>0</v>
      </c>
    </row>
    <row r="242" spans="2:6" hidden="1">
      <c r="B242" s="194">
        <v>214666</v>
      </c>
      <c r="C242" s="4" t="s">
        <v>2156</v>
      </c>
      <c r="D242">
        <v>5000</v>
      </c>
      <c r="E242" s="4">
        <f>VLOOKUP(B242,'Monthly Op &amp; Clo Stock (invoic)'!A:C,3,0)</f>
        <v>5000</v>
      </c>
      <c r="F242" s="144">
        <f t="shared" si="3"/>
        <v>0</v>
      </c>
    </row>
    <row r="243" spans="2:6" hidden="1">
      <c r="B243" s="194">
        <v>214667</v>
      </c>
      <c r="C243" s="4" t="s">
        <v>2157</v>
      </c>
      <c r="D243">
        <v>5000</v>
      </c>
      <c r="E243" s="4">
        <f>VLOOKUP(B243,'Monthly Op &amp; Clo Stock (invoic)'!A:C,3,0)</f>
        <v>5000</v>
      </c>
      <c r="F243" s="144">
        <f t="shared" si="3"/>
        <v>0</v>
      </c>
    </row>
    <row r="244" spans="2:6" hidden="1">
      <c r="B244" s="194">
        <v>213468</v>
      </c>
      <c r="C244" s="191" t="s">
        <v>892</v>
      </c>
      <c r="D244">
        <v>6550</v>
      </c>
      <c r="E244" s="4">
        <f>VLOOKUP(B244,'Monthly Op &amp; Clo Stock (invoic)'!A:C,3,0)</f>
        <v>6550</v>
      </c>
      <c r="F244" s="144">
        <f t="shared" si="3"/>
        <v>0</v>
      </c>
    </row>
    <row r="245" spans="2:6" hidden="1">
      <c r="B245" s="194">
        <v>214392</v>
      </c>
      <c r="C245" s="4" t="s">
        <v>426</v>
      </c>
      <c r="D245">
        <v>12330</v>
      </c>
      <c r="E245" s="4">
        <f>VLOOKUP(B245,'Monthly Op &amp; Clo Stock (invoic)'!A:C,3,0)</f>
        <v>12330</v>
      </c>
      <c r="F245" s="144">
        <f t="shared" si="3"/>
        <v>0</v>
      </c>
    </row>
    <row r="246" spans="2:6" hidden="1">
      <c r="B246" s="194">
        <v>214393</v>
      </c>
      <c r="C246" s="4" t="s">
        <v>859</v>
      </c>
      <c r="D246">
        <v>2500</v>
      </c>
      <c r="E246" s="4">
        <f>VLOOKUP(B246,'Monthly Op &amp; Clo Stock (invoic)'!A:C,3,0)</f>
        <v>2500</v>
      </c>
      <c r="F246" s="144">
        <f t="shared" si="3"/>
        <v>0</v>
      </c>
    </row>
    <row r="247" spans="2:6" hidden="1">
      <c r="B247" s="194">
        <v>214394</v>
      </c>
      <c r="C247" s="4" t="s">
        <v>2191</v>
      </c>
      <c r="D247">
        <f>24500-4500</f>
        <v>20000</v>
      </c>
      <c r="E247" s="4">
        <f>VLOOKUP(B247,'Monthly Op &amp; Clo Stock (invoic)'!A:C,3,0)</f>
        <v>20000</v>
      </c>
      <c r="F247" s="144">
        <f t="shared" si="3"/>
        <v>0</v>
      </c>
    </row>
    <row r="248" spans="2:6" hidden="1">
      <c r="B248" s="194">
        <v>214408</v>
      </c>
      <c r="C248" s="4" t="s">
        <v>425</v>
      </c>
      <c r="D248">
        <v>80</v>
      </c>
      <c r="E248" s="4">
        <f>VLOOKUP(B248,'Monthly Op &amp; Clo Stock (invoic)'!A:C,3,0)</f>
        <v>80</v>
      </c>
      <c r="F248" s="144">
        <f t="shared" si="3"/>
        <v>0</v>
      </c>
    </row>
    <row r="249" spans="2:6" hidden="1">
      <c r="B249" s="194">
        <v>214409</v>
      </c>
      <c r="C249" s="4" t="s">
        <v>860</v>
      </c>
      <c r="D249">
        <v>230</v>
      </c>
      <c r="E249" s="4">
        <f>VLOOKUP(B249,'Monthly Op &amp; Clo Stock (invoic)'!A:C,3,0)</f>
        <v>230</v>
      </c>
      <c r="F249" s="144">
        <f t="shared" si="3"/>
        <v>0</v>
      </c>
    </row>
    <row r="250" spans="2:6" hidden="1">
      <c r="B250" s="194">
        <v>214405</v>
      </c>
      <c r="C250" s="4" t="s">
        <v>863</v>
      </c>
      <c r="D250">
        <v>11000</v>
      </c>
      <c r="E250" s="4">
        <f>VLOOKUP(B250,'Monthly Op &amp; Clo Stock (invoic)'!A:C,3,0)</f>
        <v>11000</v>
      </c>
      <c r="F250" s="144">
        <f t="shared" si="3"/>
        <v>0</v>
      </c>
    </row>
    <row r="251" spans="2:6" hidden="1">
      <c r="B251" s="194">
        <v>214406</v>
      </c>
      <c r="C251" s="4" t="s">
        <v>864</v>
      </c>
      <c r="D251">
        <v>11000</v>
      </c>
      <c r="E251" s="4">
        <f>VLOOKUP(B251,'Monthly Op &amp; Clo Stock (invoic)'!A:C,3,0)</f>
        <v>11000</v>
      </c>
      <c r="F251" s="144">
        <f t="shared" si="3"/>
        <v>0</v>
      </c>
    </row>
    <row r="252" spans="2:6" hidden="1">
      <c r="B252" s="194">
        <v>214403</v>
      </c>
      <c r="C252" s="4" t="s">
        <v>428</v>
      </c>
      <c r="D252">
        <v>11000</v>
      </c>
      <c r="E252" s="4">
        <f>VLOOKUP(B252,'Monthly Op &amp; Clo Stock (invoic)'!A:C,3,0)</f>
        <v>11000</v>
      </c>
      <c r="F252" s="144">
        <f t="shared" si="3"/>
        <v>0</v>
      </c>
    </row>
    <row r="253" spans="2:6" hidden="1">
      <c r="B253" s="194">
        <v>214404</v>
      </c>
      <c r="C253" s="4" t="s">
        <v>429</v>
      </c>
      <c r="D253">
        <v>11000</v>
      </c>
      <c r="E253" s="4">
        <f>VLOOKUP(B253,'Monthly Op &amp; Clo Stock (invoic)'!A:C,3,0)</f>
        <v>11000</v>
      </c>
      <c r="F253" s="144">
        <f t="shared" si="3"/>
        <v>0</v>
      </c>
    </row>
    <row r="254" spans="2:6" hidden="1">
      <c r="B254" s="194">
        <v>214878</v>
      </c>
      <c r="C254" s="4" t="s">
        <v>880</v>
      </c>
      <c r="D254">
        <v>1320</v>
      </c>
      <c r="E254" s="4">
        <f>VLOOKUP(B254,'Monthly Op &amp; Clo Stock (invoic)'!A:C,3,0)</f>
        <v>1320</v>
      </c>
      <c r="F254" s="144">
        <f t="shared" ref="F254:F263" si="4">D254-E254</f>
        <v>0</v>
      </c>
    </row>
    <row r="255" spans="2:6" hidden="1">
      <c r="B255" s="194">
        <v>214880</v>
      </c>
      <c r="C255" s="4" t="s">
        <v>541</v>
      </c>
      <c r="D255">
        <v>2200</v>
      </c>
      <c r="E255" s="4">
        <f>VLOOKUP(B255,'Monthly Op &amp; Clo Stock (invoic)'!A:C,3,0)</f>
        <v>2200</v>
      </c>
      <c r="F255" s="144">
        <f t="shared" si="4"/>
        <v>0</v>
      </c>
    </row>
    <row r="256" spans="2:6" hidden="1">
      <c r="B256" s="194">
        <v>214881</v>
      </c>
      <c r="C256" s="4" t="s">
        <v>881</v>
      </c>
      <c r="D256">
        <v>760</v>
      </c>
      <c r="E256" s="4">
        <f>VLOOKUP(B256,'Monthly Op &amp; Clo Stock (invoic)'!A:C,3,0)</f>
        <v>760</v>
      </c>
      <c r="F256" s="144">
        <f t="shared" si="4"/>
        <v>0</v>
      </c>
    </row>
    <row r="257" spans="2:6" hidden="1">
      <c r="B257" s="143">
        <v>214879</v>
      </c>
      <c r="C257" s="4" t="s">
        <v>538</v>
      </c>
      <c r="D257">
        <v>2200</v>
      </c>
      <c r="E257" s="4">
        <f>VLOOKUP(B257,'Monthly Op &amp; Clo Stock (invoic)'!A:C,3,0)</f>
        <v>2200</v>
      </c>
      <c r="F257" s="144">
        <f t="shared" si="4"/>
        <v>0</v>
      </c>
    </row>
    <row r="258" spans="2:6" hidden="1">
      <c r="B258" s="201">
        <v>214965</v>
      </c>
      <c r="C258" s="202" t="s">
        <v>900</v>
      </c>
      <c r="D258">
        <v>80</v>
      </c>
      <c r="E258" s="202">
        <f>VLOOKUP(B258,'Monthly Op &amp; Clo Stock (invoic)'!A:C,3,0)</f>
        <v>80</v>
      </c>
      <c r="F258" s="203">
        <f t="shared" si="4"/>
        <v>0</v>
      </c>
    </row>
    <row r="259" spans="2:6" hidden="1">
      <c r="B259" s="200">
        <v>214967</v>
      </c>
      <c r="C259" s="4" t="s">
        <v>540</v>
      </c>
      <c r="D259" s="5">
        <v>120</v>
      </c>
      <c r="E259" s="4">
        <f>VLOOKUP(B259,'Monthly Op &amp; Clo Stock (invoic)'!A:C,3,0)</f>
        <v>120</v>
      </c>
      <c r="F259" s="144">
        <f t="shared" si="4"/>
        <v>0</v>
      </c>
    </row>
    <row r="260" spans="2:6" hidden="1">
      <c r="B260" s="204">
        <v>214968</v>
      </c>
      <c r="C260" s="205" t="s">
        <v>2158</v>
      </c>
      <c r="D260">
        <v>50</v>
      </c>
      <c r="E260" s="205">
        <f>VLOOKUP(B260,'Monthly Op &amp; Clo Stock (invoic)'!A:C,3,0)</f>
        <v>50</v>
      </c>
      <c r="F260" s="206">
        <f t="shared" si="4"/>
        <v>0</v>
      </c>
    </row>
    <row r="261" spans="2:6" hidden="1">
      <c r="B261" s="143">
        <v>214966</v>
      </c>
      <c r="C261" s="4" t="s">
        <v>536</v>
      </c>
      <c r="D261" s="5">
        <v>170</v>
      </c>
      <c r="E261" s="4">
        <f>VLOOKUP(B261,'Monthly Op &amp; Clo Stock (invoic)'!A:C,3,0)</f>
        <v>170</v>
      </c>
      <c r="F261" s="144">
        <f t="shared" si="4"/>
        <v>0</v>
      </c>
    </row>
    <row r="262" spans="2:6" hidden="1">
      <c r="B262" s="207">
        <v>229593</v>
      </c>
      <c r="C262" s="205" t="s">
        <v>643</v>
      </c>
      <c r="D262">
        <v>13500</v>
      </c>
      <c r="E262" s="205">
        <f>VLOOKUP(B262,'Monthly Op &amp; Clo Stock (invoic)'!A:C,3,0)</f>
        <v>13500</v>
      </c>
      <c r="F262" s="206">
        <f t="shared" si="4"/>
        <v>0</v>
      </c>
    </row>
    <row r="263" spans="2:6" hidden="1">
      <c r="B263" s="193">
        <v>229594</v>
      </c>
      <c r="C263" s="4" t="s">
        <v>645</v>
      </c>
      <c r="D263" s="5">
        <v>13500</v>
      </c>
      <c r="E263" s="4">
        <f>VLOOKUP(B263,'Monthly Op &amp; Clo Stock (invoic)'!A:C,3,0)</f>
        <v>13500</v>
      </c>
      <c r="F263" s="144">
        <f t="shared" si="4"/>
        <v>0</v>
      </c>
    </row>
    <row r="264" spans="2:6" hidden="1">
      <c r="B264" s="200"/>
      <c r="C264" s="5"/>
      <c r="D264" s="208">
        <f>SUM(D2:D263)</f>
        <v>1735873.287</v>
      </c>
      <c r="E264" s="208">
        <f>SUM(E2:E263)</f>
        <v>1735873.287</v>
      </c>
      <c r="F264" s="208">
        <f>SUM(F2:F263)</f>
        <v>0</v>
      </c>
    </row>
  </sheetData>
  <autoFilter ref="A1:F264" xr:uid="{00000000-0009-0000-0000-000007000000}">
    <filterColumn colId="2">
      <filters>
        <filter val="CHIK AD LAMINATE"/>
        <filter val="KARTHIKA DAMAGE SHIELD RS.1 B4G1 laminate"/>
        <filter val="LAM 5OP BLACK &amp; WHITE 4.2GM BURMESE"/>
        <filter val="LAM CHIK BLK HFP PROSOL 3G 23%EX-WHITE BACK"/>
        <filter val="LAM CHIK BLK PROSOL THK&amp;GLY 5M+1M-NEW AW"/>
        <filter val="LAM CHIK EGG HFPSH SCH 5ML+1ML EX -NEW AW"/>
        <filter val="LAM CHIK JAS  WHITE BACK PANEL 23%"/>
        <filter val="LAM CHIK JAS PROSOL SCH 5M+1ML EX-NEW AW"/>
        <filter val="LAM CHIK JASMINE 50P BURMESE  MYANMAR"/>
        <filter val="LAM KARTHIKA DAMAGESHIELD 50P 23%-WHITE BACK"/>
        <filter val="LAM KARTHIKA DAMAGESHIELD 50P 33%-WHITE BACK PANEL"/>
        <filter val="LAM KARTHIKA HAIRFALLSHIELD 4ML 35% EXTRA"/>
        <filter val="LAM MEERA HFC ARABIC"/>
        <filter val="LAM MEERA SH ARABIC"/>
        <filter val="LAMI  MEERA GOT HFC SH 5ML 20% EX        "/>
        <filter val="LAMI MEERA GOT STN N HEAL 5M20% EX "/>
        <filter val="Lamiante Chik Black - Thick &amp; Glossy - 5ml 20% Extra Burmise"/>
        <filter val="Lamiante Chik Black - Thick &amp; Glossy - 5ml 20% Extra Yeman"/>
        <filter val="LAMIANTE KARTHIKA CURRY LEAF 5ML +1 ML"/>
        <filter val="Lamiate chik Egg 5ml 20% Extra  Yeman"/>
        <filter val="Lamiate chik Egg 5ml 20% Extra Burmise"/>
        <filter val="Laminate Chik jasmine 5ML 20% Extra Burmise"/>
        <filter val="Laminate Chik jasmine 5ML 20% Extra Yeman"/>
        <filter val="LAMINATE KARTHIKA DRYNESS SHIELD 4ML VALUE PACK"/>
        <filter val="Laminate Kathika Re.1 - Damage Shield   5.4ml 10 % Extra 43x70mm"/>
        <filter val="Laminate Kathika Re.1 - Hair Fall Shield  5.4m 10% Extra 8/8/30 ,43 X 70 MM"/>
        <filter val="Laminate Kathirka Re.1 -Dryness  Sheild  5.4m 10% Extra 8/8/30 ,43 X 70 MM"/>
        <filter val="LAMINATE MEEAR AD RE.2 5.5ML"/>
        <filter val="LAMINATE MEERA AD 5.5ML"/>
      </filters>
    </filterColumn>
  </autoFilter>
  <conditionalFormatting sqref="B226">
    <cfRule type="duplicateValues" dxfId="4" priority="6"/>
  </conditionalFormatting>
  <conditionalFormatting sqref="B233">
    <cfRule type="duplicateValues" dxfId="3" priority="5"/>
  </conditionalFormatting>
  <conditionalFormatting sqref="B232">
    <cfRule type="duplicateValues" dxfId="2" priority="3"/>
  </conditionalFormatting>
  <conditionalFormatting sqref="B259">
    <cfRule type="duplicateValues" dxfId="1" priority="2"/>
  </conditionalFormatting>
  <conditionalFormatting sqref="B1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Ganagavathy K G V</cp:lastModifiedBy>
  <cp:revision/>
  <dcterms:created xsi:type="dcterms:W3CDTF">2015-06-05T18:17:20Z</dcterms:created>
  <dcterms:modified xsi:type="dcterms:W3CDTF">2023-05-29T07:22:19Z</dcterms:modified>
  <cp:category/>
  <cp:contentStatus/>
</cp:coreProperties>
</file>