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OneDrive\문서\Courses\"/>
    </mc:Choice>
  </mc:AlternateContent>
  <xr:revisionPtr revIDLastSave="0" documentId="13_ncr:1_{E336CD01-28F3-4C86-BB30-253A8BDCA676}" xr6:coauthVersionLast="47" xr6:coauthVersionMax="47" xr10:uidLastSave="{00000000-0000-0000-0000-000000000000}"/>
  <bookViews>
    <workbookView xWindow="11424" yWindow="0" windowWidth="11712" windowHeight="13056" firstSheet="2" activeTab="3" xr2:uid="{AAAD7746-23C0-466E-A438-0B7E83E52C47}"/>
  </bookViews>
  <sheets>
    <sheet name="Mat fun" sheetId="1" r:id="rId1"/>
    <sheet name="TEXT fun" sheetId="2" r:id="rId2"/>
    <sheet name="Advanced" sheetId="4" r:id="rId3"/>
    <sheet name="Sumif-countif" sheetId="3" r:id="rId4"/>
    <sheet name="Date and Time" sheetId="5" r:id="rId5"/>
    <sheet name="Fin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8" i="4" l="1"/>
  <c r="AC15" i="4"/>
  <c r="AC12" i="4"/>
  <c r="Z15" i="4"/>
  <c r="Z16" i="4"/>
  <c r="Z12" i="4"/>
  <c r="Z11" i="4"/>
  <c r="W7" i="4"/>
  <c r="X3" i="4"/>
  <c r="V3" i="4"/>
  <c r="S12" i="4"/>
  <c r="R23" i="4"/>
  <c r="R24" i="4"/>
  <c r="R22" i="4"/>
  <c r="P11" i="4"/>
  <c r="K11" i="4"/>
  <c r="H11" i="4"/>
  <c r="C18" i="4"/>
  <c r="A17" i="4"/>
  <c r="D12" i="4"/>
  <c r="D11" i="4"/>
  <c r="C11" i="4"/>
  <c r="M15" i="6"/>
  <c r="M8" i="6"/>
  <c r="J24" i="6"/>
  <c r="J13" i="6"/>
  <c r="G17" i="6"/>
  <c r="G8" i="6"/>
  <c r="B24" i="6"/>
  <c r="A24" i="6"/>
  <c r="A11" i="6"/>
  <c r="A8" i="6"/>
  <c r="B5" i="6"/>
  <c r="A5" i="6"/>
  <c r="J15" i="5"/>
  <c r="J16" i="5"/>
  <c r="I15" i="5"/>
  <c r="I16" i="5"/>
  <c r="G2" i="5"/>
  <c r="D15" i="5"/>
  <c r="A9" i="5"/>
  <c r="E9" i="5"/>
  <c r="D9" i="5"/>
  <c r="C9" i="5"/>
  <c r="C2" i="5"/>
  <c r="B13" i="5"/>
  <c r="B14" i="5" s="1"/>
  <c r="A8" i="5"/>
  <c r="A5" i="5"/>
  <c r="A2" i="5"/>
  <c r="C3" i="5" s="1"/>
  <c r="J22" i="3"/>
  <c r="J18" i="3"/>
  <c r="J14" i="3"/>
  <c r="J10" i="3"/>
  <c r="J6" i="3"/>
  <c r="E13" i="2"/>
  <c r="F16" i="2"/>
  <c r="G16" i="2"/>
  <c r="G17" i="2"/>
  <c r="G18" i="2"/>
  <c r="G19" i="2"/>
  <c r="G20" i="2"/>
  <c r="F20" i="2"/>
  <c r="F19" i="2"/>
  <c r="F18" i="2"/>
  <c r="F17" i="2"/>
  <c r="E17" i="2"/>
  <c r="E18" i="2"/>
  <c r="E19" i="2"/>
  <c r="E20" i="2"/>
  <c r="E16" i="2"/>
  <c r="F13" i="2"/>
  <c r="D13" i="2"/>
  <c r="E9" i="2"/>
  <c r="E8" i="2"/>
  <c r="E5" i="2"/>
  <c r="E2" i="2"/>
  <c r="B68" i="2"/>
  <c r="B67" i="2"/>
  <c r="B59" i="2"/>
  <c r="A59" i="2"/>
  <c r="B58" i="2"/>
  <c r="A58" i="2"/>
  <c r="B63" i="2"/>
  <c r="D53" i="2"/>
  <c r="D54" i="2"/>
  <c r="D55" i="2"/>
  <c r="C53" i="2"/>
  <c r="C54" i="2"/>
  <c r="C55" i="2"/>
  <c r="C52" i="2"/>
  <c r="B62" i="2" s="1"/>
  <c r="B53" i="2"/>
  <c r="B54" i="2"/>
  <c r="B55" i="2"/>
  <c r="B52" i="2"/>
  <c r="B48" i="2"/>
  <c r="B47" i="2"/>
  <c r="B44" i="2"/>
  <c r="B43" i="2"/>
  <c r="B42" i="2"/>
  <c r="B41" i="2"/>
  <c r="B40" i="2"/>
  <c r="B39" i="2"/>
  <c r="B36" i="2"/>
  <c r="C33" i="2"/>
  <c r="C34" i="2"/>
  <c r="C35" i="2"/>
  <c r="C32" i="2"/>
  <c r="A28" i="2"/>
  <c r="A26" i="2"/>
  <c r="B22" i="2"/>
  <c r="B21" i="2"/>
  <c r="B20" i="2"/>
  <c r="B17" i="2"/>
  <c r="B16" i="2"/>
  <c r="B15" i="2"/>
  <c r="B12" i="2"/>
  <c r="B11" i="2"/>
  <c r="B8" i="2"/>
  <c r="B7" i="2"/>
  <c r="B3" i="2"/>
  <c r="B4" i="2"/>
  <c r="B2" i="2"/>
  <c r="N20" i="1" a="1"/>
  <c r="N20" i="1" s="1"/>
  <c r="M20" i="1" a="1"/>
  <c r="M20" i="1" s="1"/>
  <c r="N17" i="1" a="1"/>
  <c r="N17" i="1" s="1"/>
  <c r="M17" i="1" a="1"/>
  <c r="M17" i="1" s="1"/>
  <c r="N14" i="1"/>
  <c r="M14" i="1"/>
  <c r="N11" i="1"/>
  <c r="M11" i="1"/>
  <c r="N8" i="1"/>
  <c r="M8" i="1"/>
  <c r="K23" i="1"/>
  <c r="K24" i="1"/>
  <c r="K22" i="1"/>
  <c r="K18" i="1"/>
  <c r="K19" i="1"/>
  <c r="K17" i="1"/>
  <c r="K13" i="1"/>
  <c r="K14" i="1"/>
  <c r="K12" i="1"/>
  <c r="K9" i="1"/>
  <c r="K8" i="1"/>
  <c r="G20" i="1"/>
  <c r="G21" i="1"/>
  <c r="G22" i="1"/>
  <c r="G23" i="1"/>
  <c r="G24" i="1"/>
  <c r="G19" i="1"/>
  <c r="H16" i="1"/>
  <c r="G16" i="1"/>
  <c r="H13" i="1"/>
  <c r="H12" i="1"/>
  <c r="H9" i="1"/>
  <c r="G9" i="1"/>
  <c r="H8" i="1"/>
  <c r="G8" i="1"/>
  <c r="E22" i="1"/>
  <c r="E13" i="1"/>
  <c r="E10" i="1"/>
  <c r="E25" i="1"/>
  <c r="E28" i="1"/>
  <c r="B10" i="1"/>
  <c r="E19" i="1"/>
  <c r="E16" i="1"/>
  <c r="B16" i="1"/>
  <c r="B17" i="1"/>
  <c r="B15" i="1"/>
  <c r="B11" i="1"/>
  <c r="B12" i="1"/>
  <c r="B7" i="1"/>
  <c r="B6" i="1"/>
  <c r="B3" i="1"/>
  <c r="B2" i="1"/>
  <c r="E7" i="1"/>
  <c r="I5" i="1"/>
  <c r="G5" i="1"/>
  <c r="G3" i="1"/>
  <c r="G4" i="1"/>
  <c r="G2" i="1"/>
  <c r="E12" i="5" l="1"/>
  <c r="D12" i="5"/>
  <c r="E6" i="5"/>
  <c r="D6" i="5"/>
  <c r="B16" i="5"/>
  <c r="C6" i="5"/>
  <c r="D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<sst xmlns="http://schemas.openxmlformats.org/spreadsheetml/2006/main" count="934" uniqueCount="308">
  <si>
    <t>iseven</t>
  </si>
  <si>
    <t>isodd</t>
  </si>
  <si>
    <t>islogical</t>
  </si>
  <si>
    <t>isnumber</t>
  </si>
  <si>
    <t>CNN</t>
  </si>
  <si>
    <t>Absolute</t>
  </si>
  <si>
    <t>Power</t>
  </si>
  <si>
    <t>Modulus</t>
  </si>
  <si>
    <t>Qty</t>
  </si>
  <si>
    <t>Price per Unit</t>
  </si>
  <si>
    <t>Total Sales</t>
  </si>
  <si>
    <t>Total</t>
  </si>
  <si>
    <t>Average</t>
  </si>
  <si>
    <t>Sumproduct</t>
  </si>
  <si>
    <t>Round</t>
  </si>
  <si>
    <t>Rounddown</t>
  </si>
  <si>
    <t>Roundup</t>
  </si>
  <si>
    <t>Int</t>
  </si>
  <si>
    <t>trunc</t>
  </si>
  <si>
    <t>subtotal</t>
  </si>
  <si>
    <t>factorial</t>
  </si>
  <si>
    <t>randbetween</t>
  </si>
  <si>
    <t>max</t>
  </si>
  <si>
    <t>min</t>
  </si>
  <si>
    <t>Square root</t>
  </si>
  <si>
    <t>Count</t>
  </si>
  <si>
    <t>Counta</t>
  </si>
  <si>
    <t>countblank</t>
  </si>
  <si>
    <t>And</t>
  </si>
  <si>
    <t>Or</t>
  </si>
  <si>
    <t>Total=</t>
  </si>
  <si>
    <t>35.316--&gt;</t>
  </si>
  <si>
    <t>5 factorial--&gt;</t>
  </si>
  <si>
    <t>7 factorial--&gt;</t>
  </si>
  <si>
    <t>ceiling</t>
  </si>
  <si>
    <t>Floor</t>
  </si>
  <si>
    <t>Istext</t>
  </si>
  <si>
    <t>Excel</t>
  </si>
  <si>
    <t>length</t>
  </si>
  <si>
    <t>Mahi</t>
  </si>
  <si>
    <t>Mahi is my brand name</t>
  </si>
  <si>
    <t>Text</t>
  </si>
  <si>
    <t>A101</t>
  </si>
  <si>
    <t>A102</t>
  </si>
  <si>
    <t>Adam</t>
  </si>
  <si>
    <t>Replace</t>
  </si>
  <si>
    <t>Substitute</t>
  </si>
  <si>
    <t>I work at Mahistra</t>
  </si>
  <si>
    <t>MS Word 2010, MS Excel 2010</t>
  </si>
  <si>
    <t>Upper</t>
  </si>
  <si>
    <t>India</t>
  </si>
  <si>
    <t>Lower</t>
  </si>
  <si>
    <t>INDIA</t>
  </si>
  <si>
    <t>Left, Mid,Right</t>
  </si>
  <si>
    <t>Excel is fun to learn</t>
  </si>
  <si>
    <t>Proper</t>
  </si>
  <si>
    <t>india</t>
  </si>
  <si>
    <t>Full Name</t>
  </si>
  <si>
    <t>First Name</t>
  </si>
  <si>
    <t>Middle Name</t>
  </si>
  <si>
    <t>Last Name</t>
  </si>
  <si>
    <t>Mano Shruthi Saravanan</t>
  </si>
  <si>
    <t>Vira Dharsani Sree</t>
  </si>
  <si>
    <t>Kaviya Varshini S</t>
  </si>
  <si>
    <t>Kowsalya Vijay Kumar</t>
  </si>
  <si>
    <t>Sri Rangaraya Sakthivel</t>
  </si>
  <si>
    <t>MS Word, MS Excel</t>
  </si>
  <si>
    <t>Repeat- creates a sequence of repeated strings or numbers</t>
  </si>
  <si>
    <t>WOMEN</t>
  </si>
  <si>
    <t>RESPONDENTS</t>
  </si>
  <si>
    <t>HISTOGRAM</t>
  </si>
  <si>
    <t>Hello</t>
  </si>
  <si>
    <t>Connections</t>
  </si>
  <si>
    <t>Excel is</t>
  </si>
  <si>
    <t>fun to learn</t>
  </si>
  <si>
    <t>Concatenate- combines strings</t>
  </si>
  <si>
    <t>18-34</t>
  </si>
  <si>
    <t>35-49</t>
  </si>
  <si>
    <t>50-64</t>
  </si>
  <si>
    <t>65+</t>
  </si>
  <si>
    <t>Repeat '#@' for 10 times</t>
  </si>
  <si>
    <t>isblank</t>
  </si>
  <si>
    <t>TYPE FUNCTION</t>
  </si>
  <si>
    <t>Trim-removes unnecessary spaces</t>
  </si>
  <si>
    <t>Original String</t>
  </si>
  <si>
    <t>Length</t>
  </si>
  <si>
    <t>Trimmed String</t>
  </si>
  <si>
    <t>Andrew    James</t>
  </si>
  <si>
    <t xml:space="preserve">Maya    Rishi </t>
  </si>
  <si>
    <t xml:space="preserve">    Angela Stephens</t>
  </si>
  <si>
    <t>Mano    Shruthi</t>
  </si>
  <si>
    <t>Find-case sensitive</t>
  </si>
  <si>
    <t>Search-case insensitive</t>
  </si>
  <si>
    <t>Clean</t>
  </si>
  <si>
    <t>1/195 Poorva st,Madurai</t>
  </si>
  <si>
    <t>I know you can do this task perfectly</t>
  </si>
  <si>
    <t>Type - returns the data type</t>
  </si>
  <si>
    <t>If the value is a</t>
  </si>
  <si>
    <t>TYPE returns</t>
  </si>
  <si>
    <t>Number/Blank</t>
  </si>
  <si>
    <t>Logical value</t>
  </si>
  <si>
    <t>Error value</t>
  </si>
  <si>
    <t>array</t>
  </si>
  <si>
    <t>Dearch for "a" in Maya Rishi</t>
  </si>
  <si>
    <t>Search for "s" in Angela Stephens</t>
  </si>
  <si>
    <t>Product Name</t>
  </si>
  <si>
    <t>Ariel Matic Top Load Liquid Detergent</t>
  </si>
  <si>
    <t>VSR Channa Dal</t>
  </si>
  <si>
    <t>Tenali Double Horse Chana Dal</t>
  </si>
  <si>
    <t>Tata Tea</t>
  </si>
  <si>
    <t>Sofit Soya Drink Vanilla</t>
  </si>
  <si>
    <t>Tata Sampann Chana Dal</t>
  </si>
  <si>
    <t>Nutri Delite Breakfast Cereal</t>
  </si>
  <si>
    <t>Tata Sampann Moong Dal (Pesara Pappu)</t>
  </si>
  <si>
    <t>Ariel Matic Front Load Liquid Detergent</t>
  </si>
  <si>
    <t>Amul Taaza Toned Milk</t>
  </si>
  <si>
    <t>Kellogg's Corn Flakes</t>
  </si>
  <si>
    <t>Usha Heavy Weight Iron - El3710: 1000 W</t>
  </si>
  <si>
    <t>Tata Tea Chakra Gold Premium Tea</t>
  </si>
  <si>
    <t>Parle Nutricrunch Digestive Cookies</t>
  </si>
  <si>
    <t>Premia Tur Dal Latur (Kandi Pappu)</t>
  </si>
  <si>
    <t>Pigeon Induction Cooktop Acer Plus: 1800 W</t>
  </si>
  <si>
    <t>Harpic Bathroom Cleaner - Floral</t>
  </si>
  <si>
    <t>Nimyle Herbal Anti-Bacterial Floor Cleaner</t>
  </si>
  <si>
    <t>Sunfeast Dark Fantasy Yumfills Cake</t>
  </si>
  <si>
    <t>Amul Butter Unsalted</t>
  </si>
  <si>
    <t>Cavin's Chocolate Milkshake</t>
  </si>
  <si>
    <t>Wagh Bakri Masala Tea</t>
  </si>
  <si>
    <t>Category</t>
  </si>
  <si>
    <t>Imported</t>
  </si>
  <si>
    <t>Branded</t>
  </si>
  <si>
    <t>Local</t>
  </si>
  <si>
    <t>City</t>
  </si>
  <si>
    <t>Subscription</t>
  </si>
  <si>
    <t>Time Spent on Website</t>
  </si>
  <si>
    <t>Rating</t>
  </si>
  <si>
    <t>Rajahmundry</t>
  </si>
  <si>
    <t>Premium</t>
  </si>
  <si>
    <t>Instagram</t>
  </si>
  <si>
    <t>Nalgonda</t>
  </si>
  <si>
    <t>Freepass</t>
  </si>
  <si>
    <t>Facebook</t>
  </si>
  <si>
    <t>Junagadh</t>
  </si>
  <si>
    <t>Nagpur</t>
  </si>
  <si>
    <t>Other</t>
  </si>
  <si>
    <t>Vadodara</t>
  </si>
  <si>
    <t>Bhavnagar</t>
  </si>
  <si>
    <t>Nashik</t>
  </si>
  <si>
    <t>Friends</t>
  </si>
  <si>
    <t>Ramagundam</t>
  </si>
  <si>
    <t>Aurangabad</t>
  </si>
  <si>
    <t>Adilabad</t>
  </si>
  <si>
    <t>Warangal</t>
  </si>
  <si>
    <t>Gandhinagar</t>
  </si>
  <si>
    <t>Ahmedabad</t>
  </si>
  <si>
    <t>Jamnagar</t>
  </si>
  <si>
    <t>Premium Plus</t>
  </si>
  <si>
    <t>TV</t>
  </si>
  <si>
    <t>Rajkot</t>
  </si>
  <si>
    <t>Mahbubnagar</t>
  </si>
  <si>
    <t>Navi Mumbai</t>
  </si>
  <si>
    <t>Kurnool</t>
  </si>
  <si>
    <t>Anantapur</t>
  </si>
  <si>
    <t>Pune</t>
  </si>
  <si>
    <t>Tirupati</t>
  </si>
  <si>
    <t>Amravati</t>
  </si>
  <si>
    <t>Bharuch</t>
  </si>
  <si>
    <t>Nizamabad</t>
  </si>
  <si>
    <t>Nellore</t>
  </si>
  <si>
    <t>Guntur</t>
  </si>
  <si>
    <t>Hyderabad</t>
  </si>
  <si>
    <t>Vijayawada</t>
  </si>
  <si>
    <t>Suryapet</t>
  </si>
  <si>
    <t>Solapur</t>
  </si>
  <si>
    <t>Mumbai</t>
  </si>
  <si>
    <t>Kolhapur</t>
  </si>
  <si>
    <t>Karimnagar</t>
  </si>
  <si>
    <t>Anand</t>
  </si>
  <si>
    <t>Vizianagaram</t>
  </si>
  <si>
    <t>Kadapa</t>
  </si>
  <si>
    <t>Marketing</t>
  </si>
  <si>
    <t>Countif</t>
  </si>
  <si>
    <t>Count the number of times Adilabad is present in the dataset</t>
  </si>
  <si>
    <t>Sumif</t>
  </si>
  <si>
    <t>Countifs</t>
  </si>
  <si>
    <t>Count the number of times local products saled  in the dataset with rating more than 4</t>
  </si>
  <si>
    <t>Total no of time spended in Instagram</t>
  </si>
  <si>
    <t>Sumifs</t>
  </si>
  <si>
    <t>Total no of Time spend in Instagram  where the ratings are above 4</t>
  </si>
  <si>
    <t>Averageif</t>
  </si>
  <si>
    <t>Total average of ratings in Premium</t>
  </si>
  <si>
    <t>Today</t>
  </si>
  <si>
    <t>Value</t>
  </si>
  <si>
    <t>Explanation</t>
  </si>
  <si>
    <t>Calculate Age</t>
  </si>
  <si>
    <t>DOB</t>
  </si>
  <si>
    <t>Datedif</t>
  </si>
  <si>
    <t>Now</t>
  </si>
  <si>
    <t>Time</t>
  </si>
  <si>
    <t>Age</t>
  </si>
  <si>
    <t>Yearfrac</t>
  </si>
  <si>
    <t>Date</t>
  </si>
  <si>
    <t>Occasion</t>
  </si>
  <si>
    <t>Network days</t>
  </si>
  <si>
    <t>Workdays</t>
  </si>
  <si>
    <t>New Year's Day</t>
  </si>
  <si>
    <t>Republic Day</t>
  </si>
  <si>
    <t>Holi</t>
  </si>
  <si>
    <t>Good Friday</t>
  </si>
  <si>
    <t>Bakrid (Eid al-Adha)</t>
  </si>
  <si>
    <t>Independence Day</t>
  </si>
  <si>
    <t>Ganesh Chaturthi</t>
  </si>
  <si>
    <t>Tamil New Year</t>
  </si>
  <si>
    <t>Makar Sankranti</t>
  </si>
  <si>
    <t>Workers' Day</t>
  </si>
  <si>
    <t>Weeknum</t>
  </si>
  <si>
    <t>Weekday</t>
  </si>
  <si>
    <t>1-Sun,2-Mon,7-Sat</t>
  </si>
  <si>
    <t>1-Mon,2-Tue,7-Sun</t>
  </si>
  <si>
    <t>Day</t>
  </si>
  <si>
    <t>Month</t>
  </si>
  <si>
    <t>Year</t>
  </si>
  <si>
    <t>Hour</t>
  </si>
  <si>
    <t>Minute</t>
  </si>
  <si>
    <t>Second</t>
  </si>
  <si>
    <t>Days360</t>
  </si>
  <si>
    <t>EOMonth</t>
  </si>
  <si>
    <t>0(def)</t>
  </si>
  <si>
    <t>US 30(NASD)/360</t>
  </si>
  <si>
    <t>Actual days/Actual days in year</t>
  </si>
  <si>
    <t>Actual days/360</t>
  </si>
  <si>
    <t>Actual days/365</t>
  </si>
  <si>
    <t>European 30/360</t>
  </si>
  <si>
    <t>Rate</t>
  </si>
  <si>
    <t>Nper</t>
  </si>
  <si>
    <t>Pv</t>
  </si>
  <si>
    <t>Fv</t>
  </si>
  <si>
    <t>PMT-annually</t>
  </si>
  <si>
    <t>PMT-quartely</t>
  </si>
  <si>
    <t>PMT-monthly</t>
  </si>
  <si>
    <t>Annual Interest Rate</t>
  </si>
  <si>
    <t>Years</t>
  </si>
  <si>
    <t>Yearly Payment</t>
  </si>
  <si>
    <t>Future Value(FV)</t>
  </si>
  <si>
    <t>Amount</t>
  </si>
  <si>
    <t>Description</t>
  </si>
  <si>
    <t>Investment</t>
  </si>
  <si>
    <t>Year 1 income</t>
  </si>
  <si>
    <t>Year 2 income</t>
  </si>
  <si>
    <t>Year 3 income</t>
  </si>
  <si>
    <t>Year 4 income</t>
  </si>
  <si>
    <t>Year 5 income</t>
  </si>
  <si>
    <t>Discount Rate</t>
  </si>
  <si>
    <t>Net Present Value(NPV)</t>
  </si>
  <si>
    <t>Interest Rate per period</t>
  </si>
  <si>
    <t>Number of periods</t>
  </si>
  <si>
    <t>Payment per period</t>
  </si>
  <si>
    <t>Present Value(PV)</t>
  </si>
  <si>
    <t>IRR</t>
  </si>
  <si>
    <t>XIRR</t>
  </si>
  <si>
    <t>Loan Amount</t>
  </si>
  <si>
    <t>Monthly Payment</t>
  </si>
  <si>
    <t>Periods</t>
  </si>
  <si>
    <t>Interest per year</t>
  </si>
  <si>
    <t>NPER</t>
  </si>
  <si>
    <t>XNPV</t>
  </si>
  <si>
    <t>Vlookup</t>
  </si>
  <si>
    <t>Department</t>
  </si>
  <si>
    <t>Date Hired</t>
  </si>
  <si>
    <t>Stuart</t>
  </si>
  <si>
    <t>Lucy</t>
  </si>
  <si>
    <t>Davis</t>
  </si>
  <si>
    <t>Ben</t>
  </si>
  <si>
    <t>Jenson</t>
  </si>
  <si>
    <t>Trent</t>
  </si>
  <si>
    <t>Jhonny</t>
  </si>
  <si>
    <t>Zampa</t>
  </si>
  <si>
    <t>Carry</t>
  </si>
  <si>
    <t>Button</t>
  </si>
  <si>
    <t>Patinson</t>
  </si>
  <si>
    <t>Evans</t>
  </si>
  <si>
    <t>HR</t>
  </si>
  <si>
    <t>Operations</t>
  </si>
  <si>
    <t>Sales</t>
  </si>
  <si>
    <t>IT</t>
  </si>
  <si>
    <t>Chicago</t>
  </si>
  <si>
    <t>Kansas</t>
  </si>
  <si>
    <t>New York</t>
  </si>
  <si>
    <t>Los Angeles</t>
  </si>
  <si>
    <t>Boston</t>
  </si>
  <si>
    <t>Houston</t>
  </si>
  <si>
    <t>Lookup</t>
  </si>
  <si>
    <t>Hlookup</t>
  </si>
  <si>
    <t>IF</t>
  </si>
  <si>
    <t>IFNA</t>
  </si>
  <si>
    <t>Anthony</t>
  </si>
  <si>
    <t>Player Name</t>
  </si>
  <si>
    <t>Runs</t>
  </si>
  <si>
    <t>James</t>
  </si>
  <si>
    <t>Michael</t>
  </si>
  <si>
    <t>If player scores more than 50 and averages is more than 42, then he is a "Good Player, else "Not so good"</t>
  </si>
  <si>
    <t>Result</t>
  </si>
  <si>
    <t>iferror</t>
  </si>
  <si>
    <t>Index Match</t>
  </si>
  <si>
    <t>Match</t>
  </si>
  <si>
    <t>Index</t>
  </si>
  <si>
    <t>3rd row,2nd column</t>
  </si>
  <si>
    <t>5th row, 4th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</si>
</sst>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theme="7" tint="0.79998168889431442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91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4" fillId="4" borderId="1" xfId="0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3" fillId="5" borderId="1" xfId="0" applyFont="1" applyFill="1" applyBorder="1"/>
    <xf numFmtId="0" fontId="4" fillId="6" borderId="1" xfId="0" applyFont="1" applyFill="1" applyBorder="1"/>
    <xf numFmtId="0" fontId="3" fillId="4" borderId="1" xfId="0" applyFont="1" applyFill="1" applyBorder="1"/>
    <xf numFmtId="0" fontId="4" fillId="7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4" fillId="10" borderId="1" xfId="0" applyFont="1" applyFill="1" applyBorder="1"/>
    <xf numFmtId="0" fontId="2" fillId="3" borderId="1" xfId="0" applyFont="1" applyFill="1" applyBorder="1"/>
    <xf numFmtId="0" fontId="5" fillId="0" borderId="0" xfId="0" applyFont="1"/>
    <xf numFmtId="0" fontId="7" fillId="10" borderId="1" xfId="0" applyFont="1" applyFill="1" applyBorder="1"/>
    <xf numFmtId="0" fontId="1" fillId="0" borderId="0" xfId="0" applyFont="1"/>
    <xf numFmtId="0" fontId="1" fillId="15" borderId="1" xfId="0" applyFont="1" applyFill="1" applyBorder="1"/>
    <xf numFmtId="0" fontId="0" fillId="16" borderId="1" xfId="0" applyFill="1" applyBorder="1"/>
    <xf numFmtId="0" fontId="0" fillId="16" borderId="0" xfId="0" applyFill="1"/>
    <xf numFmtId="0" fontId="0" fillId="5" borderId="0" xfId="0" applyFill="1"/>
    <xf numFmtId="0" fontId="3" fillId="11" borderId="1" xfId="0" applyFont="1" applyFill="1" applyBorder="1"/>
    <xf numFmtId="0" fontId="2" fillId="12" borderId="1" xfId="0" applyFont="1" applyFill="1" applyBorder="1"/>
    <xf numFmtId="14" fontId="3" fillId="5" borderId="1" xfId="0" applyNumberFormat="1" applyFont="1" applyFill="1" applyBorder="1"/>
    <xf numFmtId="0" fontId="3" fillId="13" borderId="1" xfId="0" applyFont="1" applyFill="1" applyBorder="1"/>
    <xf numFmtId="0" fontId="8" fillId="14" borderId="1" xfId="0" applyFont="1" applyFill="1" applyBorder="1"/>
    <xf numFmtId="0" fontId="3" fillId="6" borderId="1" xfId="0" applyFont="1" applyFill="1" applyBorder="1"/>
    <xf numFmtId="0" fontId="3" fillId="16" borderId="1" xfId="0" applyFont="1" applyFill="1" applyBorder="1"/>
    <xf numFmtId="0" fontId="5" fillId="15" borderId="1" xfId="0" applyFont="1" applyFill="1" applyBorder="1"/>
    <xf numFmtId="0" fontId="5" fillId="16" borderId="1" xfId="0" applyFont="1" applyFill="1" applyBorder="1"/>
    <xf numFmtId="0" fontId="0" fillId="6" borderId="0" xfId="0" applyFill="1"/>
    <xf numFmtId="0" fontId="0" fillId="17" borderId="0" xfId="0" applyFill="1"/>
    <xf numFmtId="0" fontId="4" fillId="18" borderId="1" xfId="0" applyFont="1" applyFill="1" applyBorder="1"/>
    <xf numFmtId="0" fontId="8" fillId="13" borderId="1" xfId="0" applyFont="1" applyFill="1" applyBorder="1"/>
    <xf numFmtId="14" fontId="0" fillId="0" borderId="0" xfId="0" applyNumberFormat="1"/>
    <xf numFmtId="0" fontId="9" fillId="19" borderId="0" xfId="0" applyFont="1" applyFill="1"/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16" borderId="0" xfId="0" applyNumberFormat="1" applyFill="1"/>
    <xf numFmtId="22" fontId="0" fillId="16" borderId="0" xfId="0" applyNumberFormat="1" applyFill="1"/>
    <xf numFmtId="18" fontId="0" fillId="16" borderId="1" xfId="0" applyNumberFormat="1" applyFill="1" applyBorder="1"/>
    <xf numFmtId="14" fontId="1" fillId="15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9" borderId="0" xfId="0" applyFont="1" applyFill="1"/>
    <xf numFmtId="9" fontId="0" fillId="0" borderId="0" xfId="0" applyNumberFormat="1"/>
    <xf numFmtId="0" fontId="1" fillId="16" borderId="0" xfId="0" applyFont="1" applyFill="1"/>
    <xf numFmtId="0" fontId="12" fillId="3" borderId="0" xfId="0" applyFont="1" applyFill="1" applyAlignment="1">
      <alignment horizontal="center"/>
    </xf>
    <xf numFmtId="0" fontId="0" fillId="0" borderId="1" xfId="0" applyBorder="1"/>
    <xf numFmtId="0" fontId="1" fillId="20" borderId="1" xfId="0" applyFont="1" applyFill="1" applyBorder="1"/>
    <xf numFmtId="9" fontId="0" fillId="0" borderId="1" xfId="0" applyNumberFormat="1" applyBorder="1"/>
    <xf numFmtId="0" fontId="12" fillId="3" borderId="0" xfId="0" applyFont="1" applyFill="1" applyAlignment="1"/>
    <xf numFmtId="164" fontId="0" fillId="0" borderId="1" xfId="0" applyNumberFormat="1" applyBorder="1"/>
    <xf numFmtId="164" fontId="0" fillId="0" borderId="0" xfId="1" applyNumberFormat="1" applyFont="1"/>
    <xf numFmtId="0" fontId="1" fillId="21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1" fillId="5" borderId="1" xfId="0" applyFont="1" applyFill="1" applyBorder="1"/>
    <xf numFmtId="9" fontId="0" fillId="5" borderId="1" xfId="0" applyNumberFormat="1" applyFill="1" applyBorder="1"/>
    <xf numFmtId="44" fontId="0" fillId="5" borderId="1" xfId="1" applyFont="1" applyFill="1" applyBorder="1"/>
    <xf numFmtId="0" fontId="1" fillId="22" borderId="1" xfId="0" applyFont="1" applyFill="1" applyBorder="1"/>
    <xf numFmtId="8" fontId="1" fillId="16" borderId="0" xfId="0" applyNumberFormat="1" applyFont="1" applyFill="1"/>
    <xf numFmtId="9" fontId="1" fillId="16" borderId="0" xfId="0" applyNumberFormat="1" applyFont="1" applyFill="1"/>
    <xf numFmtId="44" fontId="1" fillId="16" borderId="0" xfId="1" applyFont="1" applyFill="1"/>
    <xf numFmtId="0" fontId="0" fillId="0" borderId="1" xfId="0" applyNumberFormat="1" applyBorder="1"/>
    <xf numFmtId="0" fontId="0" fillId="0" borderId="1" xfId="1" applyNumberFormat="1" applyFont="1" applyBorder="1"/>
    <xf numFmtId="0" fontId="13" fillId="3" borderId="0" xfId="0" applyFont="1" applyFill="1" applyAlignment="1">
      <alignment horizontal="center"/>
    </xf>
    <xf numFmtId="0" fontId="13" fillId="23" borderId="0" xfId="0" applyFont="1" applyFill="1"/>
    <xf numFmtId="0" fontId="12" fillId="19" borderId="0" xfId="0" applyFont="1" applyFill="1"/>
    <xf numFmtId="0" fontId="12" fillId="19" borderId="1" xfId="0" applyFont="1" applyFill="1" applyBorder="1"/>
    <xf numFmtId="0" fontId="0" fillId="18" borderId="1" xfId="0" applyFill="1" applyBorder="1"/>
    <xf numFmtId="14" fontId="0" fillId="0" borderId="1" xfId="0" applyNumberFormat="1" applyBorder="1"/>
    <xf numFmtId="0" fontId="0" fillId="7" borderId="0" xfId="0" applyFill="1"/>
    <xf numFmtId="0" fontId="12" fillId="18" borderId="0" xfId="0" applyFont="1" applyFill="1"/>
    <xf numFmtId="0" fontId="12" fillId="13" borderId="0" xfId="0" applyFont="1" applyFill="1" applyAlignment="1">
      <alignment horizontal="center"/>
    </xf>
    <xf numFmtId="0" fontId="0" fillId="7" borderId="1" xfId="0" applyFill="1" applyBorder="1"/>
    <xf numFmtId="0" fontId="12" fillId="3" borderId="1" xfId="0" applyFont="1" applyFill="1" applyBorder="1" applyAlignment="1">
      <alignment horizontal="center"/>
    </xf>
    <xf numFmtId="0" fontId="0" fillId="24" borderId="1" xfId="0" applyFill="1" applyBorder="1"/>
    <xf numFmtId="0" fontId="0" fillId="6" borderId="1" xfId="0" applyFill="1" applyBorder="1"/>
    <xf numFmtId="0" fontId="12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C6AF-07B1-47D6-8B41-2C29DB9FD377}">
  <dimension ref="A1:N28"/>
  <sheetViews>
    <sheetView topLeftCell="D1" workbookViewId="0">
      <selection activeCell="J7" sqref="J7:K9"/>
    </sheetView>
  </sheetViews>
  <sheetFormatPr defaultRowHeight="13.8" x14ac:dyDescent="0.25"/>
  <cols>
    <col min="1" max="4" width="8.88671875" style="2"/>
    <col min="5" max="5" width="10.109375" style="2" customWidth="1"/>
    <col min="6" max="6" width="13.21875" style="2" bestFit="1" customWidth="1"/>
    <col min="7" max="7" width="13.5546875" style="2" customWidth="1"/>
    <col min="8" max="11" width="8.88671875" style="2"/>
    <col min="12" max="12" width="4.109375" style="2" bestFit="1" customWidth="1"/>
    <col min="13" max="13" width="13.21875" style="2" bestFit="1" customWidth="1"/>
    <col min="14" max="14" width="11.109375" style="2" bestFit="1" customWidth="1"/>
    <col min="15" max="16384" width="8.88671875" style="2"/>
  </cols>
  <sheetData>
    <row r="1" spans="1:14" x14ac:dyDescent="0.25">
      <c r="A1" s="45" t="s">
        <v>0</v>
      </c>
      <c r="B1" s="45"/>
      <c r="E1" s="11" t="s">
        <v>8</v>
      </c>
      <c r="F1" s="11" t="s">
        <v>9</v>
      </c>
      <c r="G1" s="11" t="s">
        <v>10</v>
      </c>
      <c r="L1" s="11" t="s">
        <v>8</v>
      </c>
      <c r="M1" s="11" t="s">
        <v>9</v>
      </c>
      <c r="N1" s="11" t="s">
        <v>10</v>
      </c>
    </row>
    <row r="2" spans="1:14" x14ac:dyDescent="0.25">
      <c r="A2" s="3">
        <v>4</v>
      </c>
      <c r="B2" s="3" t="b">
        <f>ISEVEN(A2)</f>
        <v>1</v>
      </c>
      <c r="E2" s="4">
        <v>10</v>
      </c>
      <c r="F2" s="4">
        <v>30</v>
      </c>
      <c r="G2" s="4">
        <f>E2*F2</f>
        <v>300</v>
      </c>
      <c r="L2" s="4">
        <v>10</v>
      </c>
      <c r="M2" s="4">
        <v>30</v>
      </c>
      <c r="N2" s="4"/>
    </row>
    <row r="3" spans="1:14" x14ac:dyDescent="0.25">
      <c r="A3" s="3">
        <v>13</v>
      </c>
      <c r="B3" s="3" t="b">
        <f>ISEVEN(A3)</f>
        <v>0</v>
      </c>
      <c r="E3" s="4">
        <v>11</v>
      </c>
      <c r="F3" s="4">
        <v>35</v>
      </c>
      <c r="G3" s="4">
        <f t="shared" ref="G3:G4" si="0">E3*F3</f>
        <v>385</v>
      </c>
      <c r="L3" s="4"/>
      <c r="M3" s="4">
        <v>35</v>
      </c>
      <c r="N3" s="4"/>
    </row>
    <row r="4" spans="1:14" x14ac:dyDescent="0.25">
      <c r="E4" s="4">
        <v>12</v>
      </c>
      <c r="F4" s="4">
        <v>40</v>
      </c>
      <c r="G4" s="4">
        <f t="shared" si="0"/>
        <v>480</v>
      </c>
      <c r="L4" s="4">
        <v>12</v>
      </c>
      <c r="M4" s="4">
        <v>40</v>
      </c>
      <c r="N4" s="4"/>
    </row>
    <row r="5" spans="1:14" x14ac:dyDescent="0.25">
      <c r="A5" s="45" t="s">
        <v>1</v>
      </c>
      <c r="B5" s="45"/>
      <c r="F5" s="15" t="s">
        <v>11</v>
      </c>
      <c r="G5" s="12">
        <f>SUM(G2:G4)</f>
        <v>1165</v>
      </c>
      <c r="H5" s="15" t="s">
        <v>12</v>
      </c>
      <c r="I5" s="12">
        <f>AVERAGE(G2:G4)</f>
        <v>388.33333333333331</v>
      </c>
    </row>
    <row r="6" spans="1:14" x14ac:dyDescent="0.25">
      <c r="A6" s="7">
        <v>4</v>
      </c>
      <c r="B6" s="7" t="b">
        <f>ISODD(A6)</f>
        <v>0</v>
      </c>
      <c r="D6" s="46" t="s">
        <v>13</v>
      </c>
      <c r="E6" s="47"/>
    </row>
    <row r="7" spans="1:14" x14ac:dyDescent="0.25">
      <c r="A7" s="7">
        <v>13</v>
      </c>
      <c r="B7" s="7" t="b">
        <f>ISODD(A7)</f>
        <v>1</v>
      </c>
      <c r="D7" s="15" t="s">
        <v>30</v>
      </c>
      <c r="E7" s="12">
        <f>SUMPRODUCT(E2:E4,F2:F4)</f>
        <v>1165</v>
      </c>
      <c r="G7" s="45" t="s">
        <v>19</v>
      </c>
      <c r="H7" s="45"/>
      <c r="J7" s="45" t="s">
        <v>5</v>
      </c>
      <c r="K7" s="45"/>
      <c r="M7" s="45" t="s">
        <v>25</v>
      </c>
      <c r="N7" s="45"/>
    </row>
    <row r="8" spans="1:14" x14ac:dyDescent="0.25">
      <c r="G8" s="5">
        <f>SUBTOTAL(1,E2:E4)</f>
        <v>11</v>
      </c>
      <c r="H8" s="5">
        <f>SUBTOTAL(2,E2:G4)</f>
        <v>9</v>
      </c>
      <c r="J8" s="3">
        <v>-50</v>
      </c>
      <c r="K8" s="3">
        <f>ABS(J8)</f>
        <v>50</v>
      </c>
      <c r="M8" s="2">
        <f>COUNT(E2:G4)</f>
        <v>9</v>
      </c>
      <c r="N8" s="2">
        <f>COUNT(G1:G4)</f>
        <v>3</v>
      </c>
    </row>
    <row r="9" spans="1:14" x14ac:dyDescent="0.25">
      <c r="A9" s="45" t="s">
        <v>2</v>
      </c>
      <c r="B9" s="45"/>
      <c r="D9" s="46" t="s">
        <v>14</v>
      </c>
      <c r="E9" s="47"/>
      <c r="G9" s="5">
        <f>SUBTOTAL(9,F2:F4)</f>
        <v>105</v>
      </c>
      <c r="H9" s="5">
        <f>SUBTOTAL(4,G2:G4)</f>
        <v>480</v>
      </c>
      <c r="J9" s="3">
        <v>-45.6</v>
      </c>
      <c r="K9" s="3">
        <f>ABS(J9)</f>
        <v>45.6</v>
      </c>
    </row>
    <row r="10" spans="1:14" x14ac:dyDescent="0.25">
      <c r="A10" s="5">
        <v>30</v>
      </c>
      <c r="B10" s="5" t="b">
        <f>ISLOGICAL(A10)</f>
        <v>0</v>
      </c>
      <c r="D10" s="15" t="s">
        <v>31</v>
      </c>
      <c r="E10" s="2">
        <f>ROUND(35.316,2)</f>
        <v>35.32</v>
      </c>
      <c r="M10" s="45" t="s">
        <v>26</v>
      </c>
      <c r="N10" s="45"/>
    </row>
    <row r="11" spans="1:14" x14ac:dyDescent="0.25">
      <c r="A11" s="5" t="b">
        <v>1</v>
      </c>
      <c r="B11" s="5" t="b">
        <f t="shared" ref="B11:B12" si="1">ISLOGICAL(A11)</f>
        <v>1</v>
      </c>
      <c r="G11" s="45" t="s">
        <v>20</v>
      </c>
      <c r="H11" s="45"/>
      <c r="J11" s="45" t="s">
        <v>6</v>
      </c>
      <c r="K11" s="45"/>
      <c r="M11" s="2">
        <f>COUNTA(L1:L4)</f>
        <v>3</v>
      </c>
      <c r="N11" s="2">
        <f>COUNTA(L2:N4)</f>
        <v>5</v>
      </c>
    </row>
    <row r="12" spans="1:14" x14ac:dyDescent="0.25">
      <c r="A12" s="6" t="b">
        <v>0</v>
      </c>
      <c r="B12" s="5" t="b">
        <f t="shared" si="1"/>
        <v>1</v>
      </c>
      <c r="D12" s="46" t="s">
        <v>15</v>
      </c>
      <c r="E12" s="47"/>
      <c r="G12" s="16" t="s">
        <v>32</v>
      </c>
      <c r="H12" s="13">
        <f>FACT(5)</f>
        <v>120</v>
      </c>
      <c r="J12" s="7">
        <v>10</v>
      </c>
      <c r="K12" s="7">
        <f>POWER(J12,2)</f>
        <v>100</v>
      </c>
    </row>
    <row r="13" spans="1:14" x14ac:dyDescent="0.25">
      <c r="D13" s="15" t="s">
        <v>31</v>
      </c>
      <c r="E13" s="2">
        <f>ROUNDDOWN(35.316,2)</f>
        <v>35.31</v>
      </c>
      <c r="G13" s="16" t="s">
        <v>33</v>
      </c>
      <c r="H13" s="13">
        <f>FACT(7)</f>
        <v>5040</v>
      </c>
      <c r="J13" s="7">
        <v>5</v>
      </c>
      <c r="K13" s="7">
        <f t="shared" ref="K13:K14" si="2">POWER(J13,2)</f>
        <v>25</v>
      </c>
      <c r="M13" s="45" t="s">
        <v>27</v>
      </c>
      <c r="N13" s="45"/>
    </row>
    <row r="14" spans="1:14" x14ac:dyDescent="0.25">
      <c r="A14" s="45" t="s">
        <v>3</v>
      </c>
      <c r="B14" s="45"/>
      <c r="J14" s="7">
        <v>4</v>
      </c>
      <c r="K14" s="7">
        <f t="shared" si="2"/>
        <v>16</v>
      </c>
      <c r="M14" s="2">
        <f>COUNTBLANK(L2:L4)</f>
        <v>1</v>
      </c>
      <c r="N14" s="2">
        <f>COUNTBLANK(L2:N4)</f>
        <v>4</v>
      </c>
    </row>
    <row r="15" spans="1:14" x14ac:dyDescent="0.25">
      <c r="A15" s="3">
        <v>40.5</v>
      </c>
      <c r="B15" s="3" t="b">
        <f>ISNUMBER(A15)</f>
        <v>1</v>
      </c>
      <c r="D15" s="46" t="s">
        <v>16</v>
      </c>
      <c r="E15" s="47"/>
      <c r="G15" s="14" t="s">
        <v>22</v>
      </c>
      <c r="H15" s="14" t="s">
        <v>23</v>
      </c>
    </row>
    <row r="16" spans="1:14" x14ac:dyDescent="0.25">
      <c r="A16" s="3">
        <v>30</v>
      </c>
      <c r="B16" s="3" t="b">
        <f t="shared" ref="B16:B17" si="3">ISNUMBER(A16)</f>
        <v>1</v>
      </c>
      <c r="D16" s="15" t="s">
        <v>31</v>
      </c>
      <c r="E16" s="2">
        <f>ROUNDUP(35.316,2)</f>
        <v>35.32</v>
      </c>
      <c r="G16" s="2">
        <f>MAX(F2:F4)</f>
        <v>40</v>
      </c>
      <c r="H16" s="2">
        <f>MIN(F2:F4)</f>
        <v>30</v>
      </c>
      <c r="J16" s="45" t="s">
        <v>7</v>
      </c>
      <c r="K16" s="45"/>
      <c r="M16" s="45" t="s">
        <v>28</v>
      </c>
      <c r="N16" s="45"/>
    </row>
    <row r="17" spans="1:14" x14ac:dyDescent="0.25">
      <c r="A17" s="8" t="s">
        <v>4</v>
      </c>
      <c r="B17" s="3" t="b">
        <f t="shared" si="3"/>
        <v>0</v>
      </c>
      <c r="J17" s="9">
        <v>10</v>
      </c>
      <c r="K17" s="9">
        <f>MOD(J17,3)</f>
        <v>1</v>
      </c>
      <c r="M17" s="2" t="b" cm="1">
        <f t="array" ref="M17">AND(E2:E4&gt;10,F2:F4&gt;30)</f>
        <v>0</v>
      </c>
      <c r="N17" s="2" t="b" cm="1">
        <f t="array" ref="N17">AND(E2:E4&gt;9,F2:F4&lt;45)</f>
        <v>1</v>
      </c>
    </row>
    <row r="18" spans="1:14" x14ac:dyDescent="0.25">
      <c r="D18" s="46" t="s">
        <v>17</v>
      </c>
      <c r="E18" s="47"/>
      <c r="G18" s="14" t="s">
        <v>21</v>
      </c>
      <c r="J18" s="9">
        <v>12</v>
      </c>
      <c r="K18" s="9">
        <f t="shared" ref="K18:K19" si="4">MOD(J18,3)</f>
        <v>0</v>
      </c>
    </row>
    <row r="19" spans="1:14" x14ac:dyDescent="0.25">
      <c r="D19" s="15" t="s">
        <v>31</v>
      </c>
      <c r="E19" s="2">
        <f>INT(35.316)</f>
        <v>35</v>
      </c>
      <c r="G19" s="2">
        <f ca="1">RANDBETWEEN(10,40)</f>
        <v>34</v>
      </c>
      <c r="J19" s="10">
        <v>45</v>
      </c>
      <c r="K19" s="9">
        <f t="shared" si="4"/>
        <v>0</v>
      </c>
      <c r="M19" s="45" t="s">
        <v>29</v>
      </c>
      <c r="N19" s="45"/>
    </row>
    <row r="20" spans="1:14" x14ac:dyDescent="0.25">
      <c r="G20" s="2">
        <f t="shared" ref="G20:G24" ca="1" si="5">RANDBETWEEN(10,40)</f>
        <v>11</v>
      </c>
      <c r="M20" s="2" t="b" cm="1">
        <f t="array" ref="M20">OR(E2:E4&gt;9,F2:F4&gt;30)</f>
        <v>1</v>
      </c>
      <c r="N20" s="2" t="b" cm="1">
        <f t="array" ref="N20">OR(E2:E4&gt;20,F2:F4&lt;10)</f>
        <v>0</v>
      </c>
    </row>
    <row r="21" spans="1:14" x14ac:dyDescent="0.25">
      <c r="D21" s="46" t="s">
        <v>18</v>
      </c>
      <c r="E21" s="47"/>
      <c r="G21" s="2">
        <f t="shared" ca="1" si="5"/>
        <v>38</v>
      </c>
      <c r="J21" s="46" t="s">
        <v>24</v>
      </c>
      <c r="K21" s="47"/>
    </row>
    <row r="22" spans="1:14" x14ac:dyDescent="0.25">
      <c r="D22" s="15" t="s">
        <v>31</v>
      </c>
      <c r="E22" s="2">
        <f>TRUNC(35.316,1)</f>
        <v>35.299999999999997</v>
      </c>
      <c r="G22" s="2">
        <f t="shared" ca="1" si="5"/>
        <v>35</v>
      </c>
      <c r="J22" s="5">
        <v>10</v>
      </c>
      <c r="K22" s="5">
        <f>SQRT(J22)</f>
        <v>3.1622776601683795</v>
      </c>
    </row>
    <row r="23" spans="1:14" x14ac:dyDescent="0.25">
      <c r="G23" s="2">
        <f t="shared" ca="1" si="5"/>
        <v>27</v>
      </c>
      <c r="J23" s="5">
        <v>25</v>
      </c>
      <c r="K23" s="5">
        <f t="shared" ref="K23:K24" si="6">SQRT(J23)</f>
        <v>5</v>
      </c>
    </row>
    <row r="24" spans="1:14" x14ac:dyDescent="0.25">
      <c r="D24" s="46" t="s">
        <v>34</v>
      </c>
      <c r="E24" s="47"/>
      <c r="G24" s="2">
        <f t="shared" ca="1" si="5"/>
        <v>19</v>
      </c>
      <c r="J24" s="6">
        <v>81</v>
      </c>
      <c r="K24" s="5">
        <f t="shared" si="6"/>
        <v>9</v>
      </c>
    </row>
    <row r="25" spans="1:14" x14ac:dyDescent="0.25">
      <c r="D25" s="15" t="s">
        <v>31</v>
      </c>
      <c r="E25" s="2">
        <f>CEILING(35.316,5)</f>
        <v>40</v>
      </c>
    </row>
    <row r="27" spans="1:14" x14ac:dyDescent="0.25">
      <c r="D27" s="46" t="s">
        <v>35</v>
      </c>
      <c r="E27" s="47"/>
    </row>
    <row r="28" spans="1:14" x14ac:dyDescent="0.25">
      <c r="D28" s="15" t="s">
        <v>31</v>
      </c>
      <c r="E28" s="2">
        <f>FLOOR(35.316,7)</f>
        <v>35</v>
      </c>
    </row>
  </sheetData>
  <mergeCells count="23">
    <mergeCell ref="J16:K16"/>
    <mergeCell ref="J21:K21"/>
    <mergeCell ref="D21:E21"/>
    <mergeCell ref="M7:N7"/>
    <mergeCell ref="M10:N10"/>
    <mergeCell ref="M13:N13"/>
    <mergeCell ref="M16:N16"/>
    <mergeCell ref="M19:N19"/>
    <mergeCell ref="D15:E15"/>
    <mergeCell ref="D18:E18"/>
    <mergeCell ref="D27:E27"/>
    <mergeCell ref="D24:E24"/>
    <mergeCell ref="G7:H7"/>
    <mergeCell ref="G11:H11"/>
    <mergeCell ref="A1:B1"/>
    <mergeCell ref="A5:B5"/>
    <mergeCell ref="A9:B9"/>
    <mergeCell ref="A14:B14"/>
    <mergeCell ref="J7:K7"/>
    <mergeCell ref="J11:K11"/>
    <mergeCell ref="D6:E6"/>
    <mergeCell ref="D9:E9"/>
    <mergeCell ref="D12:E1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E682-885D-4773-93A2-65563C71A84A}">
  <dimension ref="A1:G68"/>
  <sheetViews>
    <sheetView topLeftCell="A5" workbookViewId="0">
      <selection activeCell="A14" sqref="A14:B17"/>
    </sheetView>
  </sheetViews>
  <sheetFormatPr defaultRowHeight="13.8" x14ac:dyDescent="0.25"/>
  <cols>
    <col min="1" max="1" width="29.33203125" style="2" customWidth="1"/>
    <col min="2" max="2" width="31.44140625" style="2" bestFit="1" customWidth="1"/>
    <col min="3" max="3" width="17.33203125" style="2" customWidth="1"/>
    <col min="4" max="4" width="23" style="2" customWidth="1"/>
    <col min="5" max="5" width="12.77734375" style="2" customWidth="1"/>
    <col min="6" max="6" width="11.88671875" style="2" bestFit="1" customWidth="1"/>
    <col min="7" max="7" width="9.6640625" style="2" bestFit="1" customWidth="1"/>
    <col min="8" max="16384" width="8.88671875" style="2"/>
  </cols>
  <sheetData>
    <row r="1" spans="1:7" x14ac:dyDescent="0.25">
      <c r="A1" s="52" t="s">
        <v>36</v>
      </c>
      <c r="B1" s="52"/>
      <c r="D1" s="53" t="s">
        <v>49</v>
      </c>
      <c r="E1" s="53"/>
    </row>
    <row r="2" spans="1:7" x14ac:dyDescent="0.25">
      <c r="A2" s="22">
        <v>10</v>
      </c>
      <c r="B2" s="22" t="b">
        <f>ISTEXT(A2)</f>
        <v>0</v>
      </c>
      <c r="D2" s="2" t="s">
        <v>50</v>
      </c>
      <c r="E2" s="2" t="str">
        <f>UPPER(D2)</f>
        <v>INDIA</v>
      </c>
    </row>
    <row r="3" spans="1:7" x14ac:dyDescent="0.25">
      <c r="A3" s="22">
        <v>10</v>
      </c>
      <c r="B3" s="22" t="b">
        <f t="shared" ref="B3:B4" si="0">ISTEXT(A3)</f>
        <v>0</v>
      </c>
    </row>
    <row r="4" spans="1:7" x14ac:dyDescent="0.25">
      <c r="A4" s="22" t="s">
        <v>37</v>
      </c>
      <c r="B4" s="22" t="b">
        <f t="shared" si="0"/>
        <v>1</v>
      </c>
      <c r="D4" s="53" t="s">
        <v>51</v>
      </c>
      <c r="E4" s="53"/>
    </row>
    <row r="5" spans="1:7" x14ac:dyDescent="0.25">
      <c r="D5" s="2" t="s">
        <v>52</v>
      </c>
      <c r="E5" s="2" t="str">
        <f>LOWER(D5)</f>
        <v>india</v>
      </c>
    </row>
    <row r="6" spans="1:7" x14ac:dyDescent="0.25">
      <c r="A6" s="52" t="s">
        <v>38</v>
      </c>
      <c r="B6" s="52"/>
    </row>
    <row r="7" spans="1:7" x14ac:dyDescent="0.25">
      <c r="A7" s="23" t="s">
        <v>39</v>
      </c>
      <c r="B7" s="23">
        <f>LEN(A7)</f>
        <v>4</v>
      </c>
      <c r="D7" s="53" t="s">
        <v>55</v>
      </c>
      <c r="E7" s="53"/>
    </row>
    <row r="8" spans="1:7" x14ac:dyDescent="0.25">
      <c r="A8" s="23" t="s">
        <v>40</v>
      </c>
      <c r="B8" s="23">
        <f>LEN(A8)</f>
        <v>21</v>
      </c>
      <c r="D8" s="2" t="s">
        <v>56</v>
      </c>
      <c r="E8" s="2" t="str">
        <f>PROPER(D8)</f>
        <v>India</v>
      </c>
    </row>
    <row r="9" spans="1:7" x14ac:dyDescent="0.25">
      <c r="D9" s="2" t="s">
        <v>52</v>
      </c>
      <c r="E9" s="2" t="str">
        <f>PROPER(D9)</f>
        <v>India</v>
      </c>
    </row>
    <row r="10" spans="1:7" x14ac:dyDescent="0.25">
      <c r="A10" s="52" t="s">
        <v>41</v>
      </c>
      <c r="B10" s="52"/>
    </row>
    <row r="11" spans="1:7" x14ac:dyDescent="0.25">
      <c r="A11" s="24">
        <v>45811</v>
      </c>
      <c r="B11" s="6" t="str">
        <f>TEXT(A11,"dd-mm-yy")</f>
        <v>03-06-25</v>
      </c>
      <c r="D11" s="53" t="s">
        <v>53</v>
      </c>
      <c r="E11" s="53"/>
      <c r="F11" s="53"/>
      <c r="G11" s="53"/>
    </row>
    <row r="12" spans="1:7" x14ac:dyDescent="0.25">
      <c r="A12" s="24">
        <v>45895</v>
      </c>
      <c r="B12" s="6" t="str">
        <f>TEXT(A12,"dd-mmm-yyyy")</f>
        <v>26-Aug-2025</v>
      </c>
      <c r="D12" s="54" t="s">
        <v>54</v>
      </c>
      <c r="E12" s="54"/>
      <c r="F12" s="54"/>
      <c r="G12" s="54"/>
    </row>
    <row r="13" spans="1:7" x14ac:dyDescent="0.25">
      <c r="D13" s="25" t="str">
        <f>LEFT(D12,5)</f>
        <v>Excel</v>
      </c>
      <c r="E13" s="25" t="str">
        <f>MID(D12,4,1)</f>
        <v>e</v>
      </c>
      <c r="F13" s="25" t="str">
        <f>RIGHT(D12,3)</f>
        <v>arn</v>
      </c>
    </row>
    <row r="14" spans="1:7" x14ac:dyDescent="0.25">
      <c r="A14" s="48" t="s">
        <v>45</v>
      </c>
      <c r="B14" s="48"/>
    </row>
    <row r="15" spans="1:7" x14ac:dyDescent="0.25">
      <c r="A15" s="8" t="s">
        <v>42</v>
      </c>
      <c r="B15" s="8" t="str">
        <f>REPLACE(A15,1,1,"B")</f>
        <v>B101</v>
      </c>
      <c r="D15" s="26" t="s">
        <v>57</v>
      </c>
      <c r="E15" s="26" t="s">
        <v>58</v>
      </c>
      <c r="F15" s="26" t="s">
        <v>59</v>
      </c>
      <c r="G15" s="26" t="s">
        <v>60</v>
      </c>
    </row>
    <row r="16" spans="1:7" x14ac:dyDescent="0.25">
      <c r="A16" s="8" t="s">
        <v>43</v>
      </c>
      <c r="B16" s="8" t="str">
        <f>REPLACE(A16,1,1,"A2")</f>
        <v>A2102</v>
      </c>
      <c r="D16" s="27" t="s">
        <v>61</v>
      </c>
      <c r="E16" s="27" t="str">
        <f>LEFT(D16,FIND(" ",D16)-1)</f>
        <v>Mano</v>
      </c>
      <c r="F16" s="27" t="str">
        <f>MID(D16,FIND(" ",D16)+1,FIND(" ",D16)+3)</f>
        <v xml:space="preserve">Shruthi </v>
      </c>
      <c r="G16" s="27" t="str">
        <f>RIGHT(D16,LEN(D16)-FIND(" ",D16,FIND(" ",D16)+1))</f>
        <v>Saravanan</v>
      </c>
    </row>
    <row r="17" spans="1:7" x14ac:dyDescent="0.25">
      <c r="A17" s="8" t="s">
        <v>44</v>
      </c>
      <c r="B17" s="8" t="str">
        <f>REPLACE(A17,1,2,"Sa")</f>
        <v>Saam</v>
      </c>
      <c r="D17" s="27" t="s">
        <v>62</v>
      </c>
      <c r="E17" s="27" t="str">
        <f t="shared" ref="E17:E20" si="1">LEFT(D17,FIND(" ",D17)-1)</f>
        <v>Vira</v>
      </c>
      <c r="F17" s="27" t="str">
        <f>MID(D17,FIND(" ",D17)+1,FIND(" ",D17)+3)</f>
        <v>Dharsani</v>
      </c>
      <c r="G17" s="27" t="str">
        <f t="shared" ref="G17:G20" si="2">RIGHT(D17,LEN(D17)-FIND(" ",D17,FIND(" ",D17)+1))</f>
        <v>Sree</v>
      </c>
    </row>
    <row r="18" spans="1:7" x14ac:dyDescent="0.25">
      <c r="D18" s="27" t="s">
        <v>63</v>
      </c>
      <c r="E18" s="27" t="str">
        <f t="shared" si="1"/>
        <v>Kaviya</v>
      </c>
      <c r="F18" s="27" t="str">
        <f>MID(D18,FIND(" ",D18)+1,FIND(" ",D18)+2)</f>
        <v xml:space="preserve">Varshini </v>
      </c>
      <c r="G18" s="27" t="str">
        <f t="shared" si="2"/>
        <v>S</v>
      </c>
    </row>
    <row r="19" spans="1:7" x14ac:dyDescent="0.25">
      <c r="A19" s="48" t="s">
        <v>46</v>
      </c>
      <c r="B19" s="48"/>
      <c r="D19" s="27" t="s">
        <v>64</v>
      </c>
      <c r="E19" s="27" t="str">
        <f t="shared" si="1"/>
        <v>Kowsalya</v>
      </c>
      <c r="F19" s="27" t="str">
        <f>MID(D19,FIND(" ",D19)+1,5)</f>
        <v>Vijay</v>
      </c>
      <c r="G19" s="27" t="str">
        <f t="shared" si="2"/>
        <v>Kumar</v>
      </c>
    </row>
    <row r="20" spans="1:7" x14ac:dyDescent="0.25">
      <c r="A20" s="27" t="s">
        <v>47</v>
      </c>
      <c r="B20" s="27" t="str">
        <f>SUBSTITUTE(A20,"I work at","I created")</f>
        <v>I created Mahistra</v>
      </c>
      <c r="D20" s="27" t="s">
        <v>65</v>
      </c>
      <c r="E20" s="27" t="str">
        <f t="shared" si="1"/>
        <v>Sri</v>
      </c>
      <c r="F20" s="27" t="str">
        <f>MID(D20,FIND(" ",D20)+1,9)</f>
        <v>Rangaraya</v>
      </c>
      <c r="G20" s="27" t="str">
        <f t="shared" si="2"/>
        <v>Sakthivel</v>
      </c>
    </row>
    <row r="21" spans="1:7" x14ac:dyDescent="0.25">
      <c r="A21" s="27" t="s">
        <v>48</v>
      </c>
      <c r="B21" s="27" t="str">
        <f>SUBSTITUTE(A21,"Word","Power Point")</f>
        <v>MS Power Point 2010, MS Excel 2010</v>
      </c>
    </row>
    <row r="22" spans="1:7" x14ac:dyDescent="0.25">
      <c r="A22" s="27" t="s">
        <v>66</v>
      </c>
      <c r="B22" s="27" t="str">
        <f>SUBSTITUTE(A22,"MS","WPS")</f>
        <v>WPS Word, WPS Excel</v>
      </c>
    </row>
    <row r="24" spans="1:7" x14ac:dyDescent="0.25">
      <c r="A24" s="48" t="s">
        <v>75</v>
      </c>
      <c r="B24" s="48"/>
    </row>
    <row r="25" spans="1:7" x14ac:dyDescent="0.25">
      <c r="A25" s="28" t="s">
        <v>71</v>
      </c>
      <c r="B25" s="28" t="s">
        <v>72</v>
      </c>
    </row>
    <row r="26" spans="1:7" x14ac:dyDescent="0.25">
      <c r="A26" s="50" t="str">
        <f>CONCATENATE(A25," ",B25)</f>
        <v>Hello Connections</v>
      </c>
      <c r="B26" s="51"/>
    </row>
    <row r="27" spans="1:7" x14ac:dyDescent="0.25">
      <c r="A27" s="28" t="s">
        <v>73</v>
      </c>
      <c r="B27" s="28" t="s">
        <v>74</v>
      </c>
    </row>
    <row r="28" spans="1:7" x14ac:dyDescent="0.25">
      <c r="A28" s="50" t="str">
        <f>CONCATENATE(A27&amp;" "&amp;B27)</f>
        <v>Excel is fun to learn</v>
      </c>
      <c r="B28" s="51"/>
    </row>
    <row r="30" spans="1:7" x14ac:dyDescent="0.25">
      <c r="A30" s="49" t="s">
        <v>67</v>
      </c>
      <c r="B30" s="49"/>
      <c r="C30" s="49"/>
    </row>
    <row r="31" spans="1:7" x14ac:dyDescent="0.25">
      <c r="A31" s="29" t="s">
        <v>68</v>
      </c>
      <c r="B31" s="29" t="s">
        <v>69</v>
      </c>
      <c r="C31" s="29" t="s">
        <v>70</v>
      </c>
    </row>
    <row r="32" spans="1:7" x14ac:dyDescent="0.25">
      <c r="A32" s="29" t="s">
        <v>76</v>
      </c>
      <c r="B32" s="29">
        <v>10</v>
      </c>
      <c r="C32" s="29" t="str">
        <f>REPT("|",B32)</f>
        <v>||||||||||</v>
      </c>
    </row>
    <row r="33" spans="1:5" x14ac:dyDescent="0.25">
      <c r="A33" s="29" t="s">
        <v>77</v>
      </c>
      <c r="B33" s="29">
        <v>15</v>
      </c>
      <c r="C33" s="29" t="str">
        <f t="shared" ref="C33:C35" si="3">REPT("|",B33)</f>
        <v>|||||||||||||||</v>
      </c>
    </row>
    <row r="34" spans="1:5" x14ac:dyDescent="0.25">
      <c r="A34" s="29" t="s">
        <v>78</v>
      </c>
      <c r="B34" s="29">
        <v>20</v>
      </c>
      <c r="C34" s="29" t="str">
        <f t="shared" si="3"/>
        <v>||||||||||||||||||||</v>
      </c>
    </row>
    <row r="35" spans="1:5" x14ac:dyDescent="0.25">
      <c r="A35" s="29" t="s">
        <v>79</v>
      </c>
      <c r="B35" s="29">
        <v>25</v>
      </c>
      <c r="C35" s="29" t="str">
        <f t="shared" si="3"/>
        <v>|||||||||||||||||||||||||</v>
      </c>
    </row>
    <row r="36" spans="1:5" x14ac:dyDescent="0.25">
      <c r="A36" s="29" t="s">
        <v>80</v>
      </c>
      <c r="B36" s="29" t="str">
        <f>REPT("#@",10)</f>
        <v>#@#@#@#@#@#@#@#@#@#@</v>
      </c>
      <c r="C36" s="29"/>
    </row>
    <row r="38" spans="1:5" x14ac:dyDescent="0.25">
      <c r="A38" s="48" t="s">
        <v>96</v>
      </c>
      <c r="B38" s="48"/>
      <c r="D38" s="48" t="s">
        <v>82</v>
      </c>
      <c r="E38" s="48"/>
    </row>
    <row r="39" spans="1:5" x14ac:dyDescent="0.25">
      <c r="A39" s="8" t="s">
        <v>37</v>
      </c>
      <c r="B39" s="8">
        <f>TYPE(A39)</f>
        <v>2</v>
      </c>
      <c r="D39" s="6" t="s">
        <v>97</v>
      </c>
      <c r="E39" s="6" t="s">
        <v>98</v>
      </c>
    </row>
    <row r="40" spans="1:5" x14ac:dyDescent="0.25">
      <c r="A40" s="8">
        <v>100</v>
      </c>
      <c r="B40" s="8">
        <f>TYPE(A40)</f>
        <v>1</v>
      </c>
      <c r="D40" s="8" t="s">
        <v>99</v>
      </c>
      <c r="E40" s="8">
        <v>1</v>
      </c>
    </row>
    <row r="41" spans="1:5" x14ac:dyDescent="0.25">
      <c r="A41" s="8">
        <v>15.43</v>
      </c>
      <c r="B41" s="8">
        <f>TYPE(A41)</f>
        <v>1</v>
      </c>
      <c r="D41" s="8" t="s">
        <v>41</v>
      </c>
      <c r="E41" s="8">
        <v>2</v>
      </c>
    </row>
    <row r="42" spans="1:5" x14ac:dyDescent="0.25">
      <c r="A42" s="8" t="e">
        <v>#VALUE!</v>
      </c>
      <c r="B42" s="8">
        <f>TYPE(A42)</f>
        <v>16</v>
      </c>
      <c r="D42" s="8" t="s">
        <v>100</v>
      </c>
      <c r="E42" s="8">
        <v>4</v>
      </c>
    </row>
    <row r="43" spans="1:5" x14ac:dyDescent="0.25">
      <c r="A43" s="8" t="e">
        <v>#NAME?</v>
      </c>
      <c r="B43" s="8">
        <f>TYPE(A43)</f>
        <v>16</v>
      </c>
      <c r="D43" s="8" t="s">
        <v>101</v>
      </c>
      <c r="E43" s="8">
        <v>16</v>
      </c>
    </row>
    <row r="44" spans="1:5" x14ac:dyDescent="0.25">
      <c r="A44" s="8"/>
      <c r="B44" s="8">
        <f>TYPE({1,2,3})</f>
        <v>64</v>
      </c>
      <c r="D44" s="8" t="s">
        <v>102</v>
      </c>
      <c r="E44" s="8">
        <v>64</v>
      </c>
    </row>
    <row r="46" spans="1:5" x14ac:dyDescent="0.25">
      <c r="A46" s="48" t="s">
        <v>81</v>
      </c>
      <c r="B46" s="48"/>
    </row>
    <row r="47" spans="1:5" x14ac:dyDescent="0.25">
      <c r="B47" s="2" t="b">
        <f>ISBLANK(A47)</f>
        <v>1</v>
      </c>
    </row>
    <row r="48" spans="1:5" x14ac:dyDescent="0.25">
      <c r="A48" s="2">
        <v>40</v>
      </c>
      <c r="B48" s="2" t="b">
        <f>ISBLANK(A48)</f>
        <v>0</v>
      </c>
    </row>
    <row r="50" spans="1:4" x14ac:dyDescent="0.25">
      <c r="A50" s="48" t="s">
        <v>83</v>
      </c>
      <c r="B50" s="48"/>
      <c r="C50" s="48"/>
      <c r="D50" s="48"/>
    </row>
    <row r="51" spans="1:4" x14ac:dyDescent="0.25">
      <c r="A51" s="30" t="s">
        <v>84</v>
      </c>
      <c r="B51" s="30" t="s">
        <v>85</v>
      </c>
      <c r="C51" s="30" t="s">
        <v>86</v>
      </c>
      <c r="D51" s="30" t="s">
        <v>85</v>
      </c>
    </row>
    <row r="52" spans="1:4" x14ac:dyDescent="0.25">
      <c r="A52" s="6" t="s">
        <v>89</v>
      </c>
      <c r="B52" s="6">
        <f>LEN(A52)</f>
        <v>19</v>
      </c>
      <c r="C52" s="6" t="str">
        <f>TRIM(A52)</f>
        <v>Angela Stephens</v>
      </c>
      <c r="D52" s="6">
        <f>LEN(C52)</f>
        <v>15</v>
      </c>
    </row>
    <row r="53" spans="1:4" x14ac:dyDescent="0.25">
      <c r="A53" s="6" t="s">
        <v>87</v>
      </c>
      <c r="B53" s="6">
        <f t="shared" ref="B53:B55" si="4">LEN(A53)</f>
        <v>15</v>
      </c>
      <c r="C53" s="6" t="str">
        <f t="shared" ref="C53:C55" si="5">TRIM(A53)</f>
        <v>Andrew James</v>
      </c>
      <c r="D53" s="6">
        <f t="shared" ref="D53:D55" si="6">LEN(C53)</f>
        <v>12</v>
      </c>
    </row>
    <row r="54" spans="1:4" x14ac:dyDescent="0.25">
      <c r="A54" s="6" t="s">
        <v>88</v>
      </c>
      <c r="B54" s="6">
        <f t="shared" si="4"/>
        <v>14</v>
      </c>
      <c r="C54" s="6" t="str">
        <f t="shared" si="5"/>
        <v>Maya Rishi</v>
      </c>
      <c r="D54" s="6">
        <f t="shared" si="6"/>
        <v>10</v>
      </c>
    </row>
    <row r="55" spans="1:4" x14ac:dyDescent="0.25">
      <c r="A55" s="6" t="s">
        <v>90</v>
      </c>
      <c r="B55" s="6">
        <f t="shared" si="4"/>
        <v>15</v>
      </c>
      <c r="C55" s="6" t="str">
        <f t="shared" si="5"/>
        <v>Mano Shruthi</v>
      </c>
      <c r="D55" s="6">
        <f t="shared" si="6"/>
        <v>12</v>
      </c>
    </row>
    <row r="57" spans="1:4" x14ac:dyDescent="0.25">
      <c r="A57" s="48" t="s">
        <v>91</v>
      </c>
      <c r="B57" s="48"/>
    </row>
    <row r="58" spans="1:4" x14ac:dyDescent="0.25">
      <c r="A58" s="6">
        <f>FIND("s",C52,1)</f>
        <v>15</v>
      </c>
      <c r="B58" s="6">
        <f>FIND("a",C53,1)</f>
        <v>9</v>
      </c>
    </row>
    <row r="59" spans="1:4" x14ac:dyDescent="0.25">
      <c r="A59" s="6">
        <f>FIND("h",C54,1)</f>
        <v>9</v>
      </c>
      <c r="B59" s="6">
        <f>FIND("i",C55,1)</f>
        <v>12</v>
      </c>
    </row>
    <row r="61" spans="1:4" x14ac:dyDescent="0.25">
      <c r="A61" s="48" t="s">
        <v>92</v>
      </c>
      <c r="B61" s="48"/>
    </row>
    <row r="62" spans="1:4" x14ac:dyDescent="0.25">
      <c r="A62" s="8" t="s">
        <v>104</v>
      </c>
      <c r="B62" s="8">
        <f>SEARCH("s",C52,1)</f>
        <v>8</v>
      </c>
    </row>
    <row r="63" spans="1:4" x14ac:dyDescent="0.25">
      <c r="A63" s="8" t="s">
        <v>103</v>
      </c>
      <c r="B63" s="8">
        <f>SEARCH("a",C54,1)</f>
        <v>2</v>
      </c>
    </row>
    <row r="66" spans="1:2" x14ac:dyDescent="0.25">
      <c r="A66" s="48" t="s">
        <v>93</v>
      </c>
      <c r="B66" s="48"/>
    </row>
    <row r="67" spans="1:2" x14ac:dyDescent="0.25">
      <c r="A67" s="27" t="s">
        <v>94</v>
      </c>
      <c r="B67" s="27" t="str">
        <f>CLEAN(A67)</f>
        <v>1/195 Poorva st,Madurai</v>
      </c>
    </row>
    <row r="68" spans="1:2" x14ac:dyDescent="0.25">
      <c r="A68" s="27" t="s">
        <v>95</v>
      </c>
      <c r="B68" s="27" t="str">
        <f>CLEAN(A68)</f>
        <v>I know you can do this task perfectly</v>
      </c>
    </row>
  </sheetData>
  <mergeCells count="21">
    <mergeCell ref="D1:E1"/>
    <mergeCell ref="D4:E4"/>
    <mergeCell ref="D7:E7"/>
    <mergeCell ref="D11:G11"/>
    <mergeCell ref="D12:G12"/>
    <mergeCell ref="A1:B1"/>
    <mergeCell ref="A6:B6"/>
    <mergeCell ref="A10:B10"/>
    <mergeCell ref="A14:B14"/>
    <mergeCell ref="A19:B19"/>
    <mergeCell ref="A24:B24"/>
    <mergeCell ref="A30:C30"/>
    <mergeCell ref="A26:B26"/>
    <mergeCell ref="A28:B28"/>
    <mergeCell ref="A38:B38"/>
    <mergeCell ref="A61:B61"/>
    <mergeCell ref="A66:B66"/>
    <mergeCell ref="A46:B46"/>
    <mergeCell ref="D38:E38"/>
    <mergeCell ref="A50:D50"/>
    <mergeCell ref="A57:B5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27AE-32EC-4901-8894-653C1F537799}">
  <dimension ref="A1:AD24"/>
  <sheetViews>
    <sheetView zoomScale="85" zoomScaleNormal="85" workbookViewId="0">
      <selection activeCell="AB7" sqref="AB7"/>
    </sheetView>
  </sheetViews>
  <sheetFormatPr defaultRowHeight="14.4" x14ac:dyDescent="0.3"/>
  <cols>
    <col min="1" max="2" width="11.5546875" customWidth="1"/>
    <col min="3" max="4" width="11.44140625" customWidth="1"/>
    <col min="5" max="5" width="12.5546875" customWidth="1"/>
    <col min="7" max="7" width="12.109375" customWidth="1"/>
    <col min="8" max="13" width="10.33203125" bestFit="1" customWidth="1"/>
    <col min="15" max="15" width="14" customWidth="1"/>
    <col min="18" max="18" width="13.109375" customWidth="1"/>
    <col min="19" max="19" width="15.44140625" customWidth="1"/>
    <col min="20" max="20" width="13.44140625" customWidth="1"/>
    <col min="21" max="21" width="11.33203125" customWidth="1"/>
    <col min="22" max="22" width="14.33203125" customWidth="1"/>
    <col min="25" max="25" width="18.5546875" customWidth="1"/>
    <col min="28" max="28" width="13.21875" customWidth="1"/>
    <col min="29" max="29" width="12.44140625" customWidth="1"/>
    <col min="30" max="30" width="11.21875" customWidth="1"/>
  </cols>
  <sheetData>
    <row r="1" spans="1:30" x14ac:dyDescent="0.3">
      <c r="A1" s="80" t="s">
        <v>58</v>
      </c>
      <c r="B1" s="80" t="s">
        <v>60</v>
      </c>
      <c r="C1" s="80" t="s">
        <v>267</v>
      </c>
      <c r="D1" s="80" t="s">
        <v>132</v>
      </c>
      <c r="E1" s="80" t="s">
        <v>268</v>
      </c>
      <c r="G1" s="79" t="s">
        <v>58</v>
      </c>
      <c r="H1" t="s">
        <v>272</v>
      </c>
      <c r="I1" t="s">
        <v>269</v>
      </c>
      <c r="J1" t="s">
        <v>273</v>
      </c>
      <c r="K1" t="s">
        <v>270</v>
      </c>
      <c r="L1" t="s">
        <v>274</v>
      </c>
      <c r="M1" t="s">
        <v>275</v>
      </c>
      <c r="O1" s="80" t="s">
        <v>58</v>
      </c>
      <c r="P1" s="80" t="s">
        <v>60</v>
      </c>
      <c r="Q1" s="80" t="s">
        <v>267</v>
      </c>
      <c r="R1" s="80" t="s">
        <v>132</v>
      </c>
      <c r="S1" s="80" t="s">
        <v>268</v>
      </c>
      <c r="Z1" s="80" t="s">
        <v>58</v>
      </c>
      <c r="AA1" s="80" t="s">
        <v>60</v>
      </c>
      <c r="AB1" s="80" t="s">
        <v>267</v>
      </c>
      <c r="AC1" s="80" t="s">
        <v>132</v>
      </c>
      <c r="AD1" s="80" t="s">
        <v>268</v>
      </c>
    </row>
    <row r="2" spans="1:30" x14ac:dyDescent="0.3">
      <c r="A2" s="81" t="s">
        <v>272</v>
      </c>
      <c r="B2" s="81" t="s">
        <v>276</v>
      </c>
      <c r="C2" s="81" t="s">
        <v>281</v>
      </c>
      <c r="D2" s="59" t="s">
        <v>285</v>
      </c>
      <c r="E2" s="82">
        <v>37205</v>
      </c>
      <c r="G2" s="79" t="s">
        <v>60</v>
      </c>
      <c r="H2" t="s">
        <v>276</v>
      </c>
      <c r="I2" t="s">
        <v>277</v>
      </c>
      <c r="J2" t="s">
        <v>278</v>
      </c>
      <c r="K2" t="s">
        <v>271</v>
      </c>
      <c r="L2" t="s">
        <v>279</v>
      </c>
      <c r="M2" t="s">
        <v>280</v>
      </c>
      <c r="O2" s="81" t="s">
        <v>272</v>
      </c>
      <c r="P2" s="81" t="s">
        <v>278</v>
      </c>
      <c r="Q2" s="81" t="s">
        <v>281</v>
      </c>
      <c r="R2" s="59" t="s">
        <v>285</v>
      </c>
      <c r="S2" s="82">
        <v>37205</v>
      </c>
      <c r="U2" s="87" t="s">
        <v>302</v>
      </c>
      <c r="V2" s="87"/>
      <c r="W2" s="87"/>
      <c r="X2" s="87"/>
      <c r="Z2" s="81" t="s">
        <v>272</v>
      </c>
      <c r="AA2" s="81" t="s">
        <v>278</v>
      </c>
      <c r="AB2" s="81" t="s">
        <v>281</v>
      </c>
      <c r="AC2" s="59" t="s">
        <v>285</v>
      </c>
      <c r="AD2" s="82">
        <v>37205</v>
      </c>
    </row>
    <row r="3" spans="1:30" x14ac:dyDescent="0.3">
      <c r="A3" s="81" t="s">
        <v>269</v>
      </c>
      <c r="B3" s="81" t="s">
        <v>277</v>
      </c>
      <c r="C3" s="81" t="s">
        <v>180</v>
      </c>
      <c r="D3" s="59" t="s">
        <v>286</v>
      </c>
      <c r="E3" s="82">
        <v>37427</v>
      </c>
      <c r="G3" s="79" t="s">
        <v>267</v>
      </c>
      <c r="H3" t="s">
        <v>281</v>
      </c>
      <c r="I3" t="s">
        <v>180</v>
      </c>
      <c r="J3" t="s">
        <v>282</v>
      </c>
      <c r="K3" t="s">
        <v>283</v>
      </c>
      <c r="L3" t="s">
        <v>284</v>
      </c>
      <c r="M3" t="s">
        <v>283</v>
      </c>
      <c r="O3" s="81" t="s">
        <v>269</v>
      </c>
      <c r="P3" s="81" t="s">
        <v>277</v>
      </c>
      <c r="Q3" s="81" t="s">
        <v>284</v>
      </c>
      <c r="R3" s="59" t="s">
        <v>286</v>
      </c>
      <c r="S3" s="82">
        <v>37427</v>
      </c>
      <c r="U3" s="66">
        <v>10</v>
      </c>
      <c r="V3" s="88" t="str">
        <f>IFERROR(U3/U4,"Cannot Divide")</f>
        <v>Cannot Divide</v>
      </c>
      <c r="W3" s="89">
        <v>10</v>
      </c>
      <c r="X3" s="88">
        <f>IFERROR(W3/W4,"Cannot Divide")</f>
        <v>2</v>
      </c>
      <c r="Z3" s="81" t="s">
        <v>269</v>
      </c>
      <c r="AA3" s="81" t="s">
        <v>277</v>
      </c>
      <c r="AB3" s="81" t="s">
        <v>284</v>
      </c>
      <c r="AC3" s="59" t="s">
        <v>286</v>
      </c>
      <c r="AD3" s="82">
        <v>37427</v>
      </c>
    </row>
    <row r="4" spans="1:30" x14ac:dyDescent="0.3">
      <c r="A4" s="81" t="s">
        <v>273</v>
      </c>
      <c r="B4" s="81" t="s">
        <v>278</v>
      </c>
      <c r="C4" s="81" t="s">
        <v>282</v>
      </c>
      <c r="D4" s="59" t="s">
        <v>287</v>
      </c>
      <c r="E4" s="82">
        <v>38322</v>
      </c>
      <c r="G4" s="79" t="s">
        <v>132</v>
      </c>
      <c r="H4" t="s">
        <v>285</v>
      </c>
      <c r="I4" t="s">
        <v>286</v>
      </c>
      <c r="J4" t="s">
        <v>287</v>
      </c>
      <c r="K4" t="s">
        <v>288</v>
      </c>
      <c r="L4" t="s">
        <v>289</v>
      </c>
      <c r="M4" t="s">
        <v>290</v>
      </c>
      <c r="O4" s="81" t="s">
        <v>273</v>
      </c>
      <c r="P4" s="81" t="s">
        <v>271</v>
      </c>
      <c r="Q4" s="81" t="s">
        <v>180</v>
      </c>
      <c r="R4" s="59" t="s">
        <v>287</v>
      </c>
      <c r="S4" s="82">
        <v>38322</v>
      </c>
      <c r="U4" s="66">
        <v>0</v>
      </c>
      <c r="V4" s="66"/>
      <c r="W4" s="89">
        <v>5</v>
      </c>
      <c r="X4" s="89"/>
      <c r="Z4" s="81" t="s">
        <v>273</v>
      </c>
      <c r="AA4" s="81" t="s">
        <v>271</v>
      </c>
      <c r="AB4" s="81" t="s">
        <v>180</v>
      </c>
      <c r="AC4" s="59" t="s">
        <v>287</v>
      </c>
      <c r="AD4" s="82">
        <v>38322</v>
      </c>
    </row>
    <row r="5" spans="1:30" x14ac:dyDescent="0.3">
      <c r="A5" s="81" t="s">
        <v>270</v>
      </c>
      <c r="B5" s="81" t="s">
        <v>271</v>
      </c>
      <c r="C5" s="81" t="s">
        <v>283</v>
      </c>
      <c r="D5" s="59" t="s">
        <v>288</v>
      </c>
      <c r="E5" s="82">
        <v>40599</v>
      </c>
      <c r="G5" s="79" t="s">
        <v>268</v>
      </c>
      <c r="H5" s="35">
        <v>37205</v>
      </c>
      <c r="I5" s="35">
        <v>37427</v>
      </c>
      <c r="J5" s="35">
        <v>38322</v>
      </c>
      <c r="K5" s="35">
        <v>40599</v>
      </c>
      <c r="L5" s="35">
        <v>42233</v>
      </c>
      <c r="M5" s="35">
        <v>43110</v>
      </c>
      <c r="O5" s="81" t="s">
        <v>270</v>
      </c>
      <c r="P5" s="81" t="s">
        <v>280</v>
      </c>
      <c r="Q5" s="81" t="s">
        <v>282</v>
      </c>
      <c r="R5" s="59" t="s">
        <v>288</v>
      </c>
      <c r="S5" s="82">
        <v>40599</v>
      </c>
      <c r="Z5" s="81" t="s">
        <v>270</v>
      </c>
      <c r="AA5" s="81" t="s">
        <v>280</v>
      </c>
      <c r="AB5" s="81" t="s">
        <v>282</v>
      </c>
      <c r="AC5" s="59" t="s">
        <v>288</v>
      </c>
      <c r="AD5" s="82">
        <v>40599</v>
      </c>
    </row>
    <row r="6" spans="1:30" x14ac:dyDescent="0.3">
      <c r="A6" s="81" t="s">
        <v>274</v>
      </c>
      <c r="B6" s="81" t="s">
        <v>279</v>
      </c>
      <c r="C6" s="81" t="s">
        <v>284</v>
      </c>
      <c r="D6" s="59" t="s">
        <v>289</v>
      </c>
      <c r="E6" s="82">
        <v>42233</v>
      </c>
      <c r="O6" s="81" t="s">
        <v>274</v>
      </c>
      <c r="P6" s="81" t="s">
        <v>279</v>
      </c>
      <c r="Q6" s="81" t="s">
        <v>283</v>
      </c>
      <c r="R6" s="59" t="s">
        <v>289</v>
      </c>
      <c r="S6" s="82">
        <v>42233</v>
      </c>
      <c r="V6" s="80" t="s">
        <v>58</v>
      </c>
      <c r="W6" s="80" t="s">
        <v>132</v>
      </c>
      <c r="Z6" s="81" t="s">
        <v>274</v>
      </c>
      <c r="AA6" s="81" t="s">
        <v>279</v>
      </c>
      <c r="AB6" s="81" t="s">
        <v>283</v>
      </c>
      <c r="AC6" s="59" t="s">
        <v>289</v>
      </c>
      <c r="AD6" s="82">
        <v>42233</v>
      </c>
    </row>
    <row r="7" spans="1:30" x14ac:dyDescent="0.3">
      <c r="A7" s="81" t="s">
        <v>275</v>
      </c>
      <c r="B7" s="81" t="s">
        <v>280</v>
      </c>
      <c r="C7" s="81" t="s">
        <v>283</v>
      </c>
      <c r="D7" s="59" t="s">
        <v>290</v>
      </c>
      <c r="E7" s="82">
        <v>43110</v>
      </c>
      <c r="O7" s="81" t="s">
        <v>275</v>
      </c>
      <c r="P7" s="81" t="s">
        <v>276</v>
      </c>
      <c r="Q7" s="81" t="s">
        <v>283</v>
      </c>
      <c r="R7" s="59" t="s">
        <v>290</v>
      </c>
      <c r="S7" s="82">
        <v>43110</v>
      </c>
      <c r="V7" t="s">
        <v>295</v>
      </c>
      <c r="W7" s="83" t="str">
        <f>IFERROR(VLOOKUP(V7,O2:S7,4,0),"City not found")</f>
        <v>City not found</v>
      </c>
      <c r="Z7" s="81" t="s">
        <v>275</v>
      </c>
      <c r="AA7" s="81" t="s">
        <v>276</v>
      </c>
      <c r="AB7" s="81" t="s">
        <v>283</v>
      </c>
      <c r="AC7" s="59" t="s">
        <v>290</v>
      </c>
      <c r="AD7" s="82">
        <v>43110</v>
      </c>
    </row>
    <row r="9" spans="1:30" x14ac:dyDescent="0.3">
      <c r="A9" s="58" t="s">
        <v>266</v>
      </c>
      <c r="B9" s="58"/>
      <c r="C9" s="58"/>
      <c r="D9" s="58"/>
      <c r="E9" s="58"/>
      <c r="G9" s="58" t="s">
        <v>292</v>
      </c>
      <c r="H9" s="58"/>
      <c r="I9" s="58"/>
      <c r="J9" s="58"/>
      <c r="K9" s="58"/>
    </row>
    <row r="10" spans="1:30" x14ac:dyDescent="0.3">
      <c r="A10" s="78" t="s">
        <v>58</v>
      </c>
      <c r="B10" s="78" t="s">
        <v>60</v>
      </c>
      <c r="C10" s="78" t="s">
        <v>267</v>
      </c>
      <c r="D10" s="78" t="s">
        <v>132</v>
      </c>
      <c r="E10" s="78" t="s">
        <v>268</v>
      </c>
      <c r="G10" s="79" t="s">
        <v>58</v>
      </c>
      <c r="H10" t="s">
        <v>273</v>
      </c>
      <c r="J10" s="79" t="s">
        <v>60</v>
      </c>
      <c r="K10" t="s">
        <v>271</v>
      </c>
      <c r="O10" s="58" t="s">
        <v>293</v>
      </c>
      <c r="P10" s="77"/>
      <c r="R10" s="58" t="s">
        <v>294</v>
      </c>
      <c r="S10" s="77"/>
      <c r="Z10" s="90" t="s">
        <v>305</v>
      </c>
      <c r="AB10" s="58" t="s">
        <v>303</v>
      </c>
      <c r="AC10" s="77"/>
    </row>
    <row r="11" spans="1:30" x14ac:dyDescent="0.3">
      <c r="A11" t="s">
        <v>269</v>
      </c>
      <c r="C11" s="83" t="str">
        <f>VLOOKUP(A11,A2:E7,3,0)</f>
        <v>Marketing</v>
      </c>
      <c r="D11" s="83" t="str">
        <f>VLOOKUP(C11,C2:E7,2,0)</f>
        <v>Kansas</v>
      </c>
      <c r="G11" s="79" t="s">
        <v>132</v>
      </c>
      <c r="H11" s="83" t="str">
        <f>HLOOKUP(H10,G1:M5,4)</f>
        <v>New York</v>
      </c>
      <c r="J11" s="79" t="s">
        <v>267</v>
      </c>
      <c r="K11" s="83" t="str">
        <f>HLOOKUP(K10,G2:M5,2,TRUE)</f>
        <v>Sales</v>
      </c>
      <c r="O11">
        <v>10</v>
      </c>
      <c r="P11" s="83" t="str">
        <f>IF(O11&gt;5,"Yes","No")</f>
        <v>Yes</v>
      </c>
      <c r="R11" s="80" t="s">
        <v>58</v>
      </c>
      <c r="S11" s="80" t="s">
        <v>267</v>
      </c>
      <c r="Y11" t="s">
        <v>306</v>
      </c>
      <c r="Z11" s="20" t="str">
        <f>INDEX(Z2:AC7,3,2)</f>
        <v>Davis</v>
      </c>
      <c r="AB11" s="80" t="s">
        <v>58</v>
      </c>
      <c r="AC11" s="80" t="s">
        <v>132</v>
      </c>
    </row>
    <row r="12" spans="1:30" x14ac:dyDescent="0.3">
      <c r="A12" t="s">
        <v>270</v>
      </c>
      <c r="B12" t="s">
        <v>271</v>
      </c>
      <c r="D12" s="83" t="str">
        <f>VLOOKUP(B12,A2:E7,4,TRUE)</f>
        <v>Chicago</v>
      </c>
      <c r="R12" t="s">
        <v>295</v>
      </c>
      <c r="S12" s="83" t="str">
        <f>_xlfn.IFNA(VLOOKUP(R12,O2:S7,3,0),"Value Not found")</f>
        <v>Value Not found</v>
      </c>
      <c r="Y12" t="s">
        <v>307</v>
      </c>
      <c r="Z12" s="20" t="str">
        <f>INDEX(Z2:AD7,5,4)</f>
        <v>Boston</v>
      </c>
      <c r="AB12" t="s">
        <v>273</v>
      </c>
      <c r="AC12" s="83" t="str">
        <f>INDEX(AC2:AC7,MATCH(AB12,Z2:Z7,0))</f>
        <v>New York</v>
      </c>
    </row>
    <row r="14" spans="1:30" x14ac:dyDescent="0.3">
      <c r="A14" s="58" t="s">
        <v>291</v>
      </c>
      <c r="B14" s="58"/>
      <c r="C14" s="58"/>
      <c r="D14" s="58"/>
      <c r="E14" s="58"/>
      <c r="G14" s="80" t="s">
        <v>58</v>
      </c>
      <c r="H14" s="80" t="s">
        <v>60</v>
      </c>
      <c r="I14" s="80" t="s">
        <v>267</v>
      </c>
      <c r="J14" s="80" t="s">
        <v>132</v>
      </c>
      <c r="K14" s="80" t="s">
        <v>268</v>
      </c>
      <c r="O14" s="80" t="s">
        <v>296</v>
      </c>
      <c r="P14" s="80" t="s">
        <v>297</v>
      </c>
      <c r="Q14" s="80" t="s">
        <v>12</v>
      </c>
      <c r="R14" s="84"/>
      <c r="Z14" s="90" t="s">
        <v>304</v>
      </c>
      <c r="AB14" s="80" t="s">
        <v>60</v>
      </c>
      <c r="AC14" s="80" t="s">
        <v>132</v>
      </c>
    </row>
    <row r="15" spans="1:30" x14ac:dyDescent="0.3">
      <c r="A15" s="78" t="s">
        <v>58</v>
      </c>
      <c r="B15" s="78" t="s">
        <v>60</v>
      </c>
      <c r="C15" s="78" t="s">
        <v>267</v>
      </c>
      <c r="D15" s="78" t="s">
        <v>132</v>
      </c>
      <c r="E15" s="78" t="s">
        <v>268</v>
      </c>
      <c r="G15" s="81" t="s">
        <v>272</v>
      </c>
      <c r="H15" s="81" t="s">
        <v>278</v>
      </c>
      <c r="I15" s="81" t="s">
        <v>281</v>
      </c>
      <c r="J15" s="59" t="s">
        <v>285</v>
      </c>
      <c r="K15" s="82">
        <v>37205</v>
      </c>
      <c r="O15" s="59" t="s">
        <v>298</v>
      </c>
      <c r="P15" s="59">
        <v>60</v>
      </c>
      <c r="Q15" s="59">
        <v>45</v>
      </c>
      <c r="Y15" t="s">
        <v>280</v>
      </c>
      <c r="Z15" s="20">
        <f>MATCH(Y15,AA1:AA7,0)</f>
        <v>5</v>
      </c>
      <c r="AB15" t="s">
        <v>280</v>
      </c>
      <c r="AC15" s="83" t="str">
        <f>INDEX(AC1:AC7,MATCH(AB15,AA1:AA7,0))</f>
        <v>Los Angeles</v>
      </c>
    </row>
    <row r="16" spans="1:30" x14ac:dyDescent="0.3">
      <c r="B16" t="s">
        <v>277</v>
      </c>
      <c r="C16" s="83"/>
      <c r="G16" s="81" t="s">
        <v>269</v>
      </c>
      <c r="H16" s="81" t="s">
        <v>277</v>
      </c>
      <c r="I16" s="81" t="s">
        <v>284</v>
      </c>
      <c r="J16" s="59" t="s">
        <v>286</v>
      </c>
      <c r="K16" s="82">
        <v>37427</v>
      </c>
      <c r="O16" s="59" t="s">
        <v>299</v>
      </c>
      <c r="P16" s="59">
        <v>40</v>
      </c>
      <c r="Q16" s="59">
        <v>40</v>
      </c>
      <c r="Y16" t="s">
        <v>289</v>
      </c>
      <c r="Z16" s="20">
        <f>MATCH(Y16,AC1:AC7,0)</f>
        <v>6</v>
      </c>
    </row>
    <row r="17" spans="1:30" x14ac:dyDescent="0.3">
      <c r="A17" s="83" t="str">
        <f>LOOKUP(D17,J14:J20,G14:G20)</f>
        <v>Stuart</v>
      </c>
      <c r="D17" t="s">
        <v>288</v>
      </c>
      <c r="G17" s="81" t="s">
        <v>273</v>
      </c>
      <c r="H17" s="81" t="s">
        <v>271</v>
      </c>
      <c r="I17" s="81" t="s">
        <v>180</v>
      </c>
      <c r="J17" s="59" t="s">
        <v>287</v>
      </c>
      <c r="K17" s="82">
        <v>38322</v>
      </c>
      <c r="O17" s="59" t="s">
        <v>272</v>
      </c>
      <c r="P17" s="59">
        <v>55</v>
      </c>
      <c r="Q17" s="59">
        <v>55</v>
      </c>
      <c r="AB17" s="80" t="s">
        <v>60</v>
      </c>
      <c r="AC17" s="80" t="s">
        <v>132</v>
      </c>
      <c r="AD17" s="80" t="s">
        <v>267</v>
      </c>
    </row>
    <row r="18" spans="1:30" x14ac:dyDescent="0.3">
      <c r="C18" s="83" t="str">
        <f>LOOKUP(E18,K15:K20,I15:I20)</f>
        <v>HR</v>
      </c>
      <c r="E18" s="35">
        <v>37205</v>
      </c>
      <c r="G18" s="81" t="s">
        <v>270</v>
      </c>
      <c r="H18" s="81" t="s">
        <v>280</v>
      </c>
      <c r="I18" s="81" t="s">
        <v>282</v>
      </c>
      <c r="J18" s="59" t="s">
        <v>288</v>
      </c>
      <c r="K18" s="82">
        <v>40599</v>
      </c>
      <c r="AB18" t="s">
        <v>276</v>
      </c>
      <c r="AC18" t="s">
        <v>290</v>
      </c>
      <c r="AD18" s="83" t="str">
        <f>INDEX(AA1:AC7,MATCH(AB18,AA1:AA7,0),MATCH(AB1,AA1:AD1,0))</f>
        <v>Sales</v>
      </c>
    </row>
    <row r="19" spans="1:30" x14ac:dyDescent="0.3">
      <c r="G19" s="81" t="s">
        <v>274</v>
      </c>
      <c r="H19" s="81" t="s">
        <v>279</v>
      </c>
      <c r="I19" s="81" t="s">
        <v>283</v>
      </c>
      <c r="J19" s="59" t="s">
        <v>289</v>
      </c>
      <c r="K19" s="82">
        <v>42233</v>
      </c>
      <c r="O19" s="85" t="s">
        <v>300</v>
      </c>
      <c r="P19" s="85"/>
      <c r="Q19" s="85"/>
      <c r="R19" s="85"/>
      <c r="S19" s="85"/>
      <c r="T19" s="85"/>
      <c r="U19" s="85"/>
      <c r="V19" s="85"/>
    </row>
    <row r="20" spans="1:30" x14ac:dyDescent="0.3">
      <c r="G20" s="81" t="s">
        <v>275</v>
      </c>
      <c r="H20" s="81" t="s">
        <v>276</v>
      </c>
      <c r="I20" s="81" t="s">
        <v>283</v>
      </c>
      <c r="J20" s="59" t="s">
        <v>290</v>
      </c>
      <c r="K20" s="82">
        <v>43110</v>
      </c>
    </row>
    <row r="21" spans="1:30" x14ac:dyDescent="0.3">
      <c r="O21" s="80" t="s">
        <v>296</v>
      </c>
      <c r="P21" s="80" t="s">
        <v>297</v>
      </c>
      <c r="Q21" s="80" t="s">
        <v>12</v>
      </c>
      <c r="R21" s="80" t="s">
        <v>301</v>
      </c>
    </row>
    <row r="22" spans="1:30" x14ac:dyDescent="0.3">
      <c r="O22" s="59" t="s">
        <v>298</v>
      </c>
      <c r="P22" s="59">
        <v>60</v>
      </c>
      <c r="Q22" s="59">
        <v>45</v>
      </c>
      <c r="R22" s="86" t="str">
        <f>IF(AND(P22&gt;50,Q22&gt;42),"Good","not good")</f>
        <v>Good</v>
      </c>
    </row>
    <row r="23" spans="1:30" x14ac:dyDescent="0.3">
      <c r="O23" s="59" t="s">
        <v>299</v>
      </c>
      <c r="P23" s="59">
        <v>40</v>
      </c>
      <c r="Q23" s="59">
        <v>40</v>
      </c>
      <c r="R23" s="86" t="str">
        <f t="shared" ref="R23:R24" si="0">IF(AND(P23&gt;50,Q23&gt;42),"Good","not good")</f>
        <v>not good</v>
      </c>
    </row>
    <row r="24" spans="1:30" x14ac:dyDescent="0.3">
      <c r="O24" s="59" t="s">
        <v>272</v>
      </c>
      <c r="P24" s="59">
        <v>55</v>
      </c>
      <c r="Q24" s="59">
        <v>55</v>
      </c>
      <c r="R24" s="86" t="str">
        <f t="shared" si="0"/>
        <v>Good</v>
      </c>
    </row>
  </sheetData>
  <sortState xmlns:xlrd2="http://schemas.microsoft.com/office/spreadsheetml/2017/richdata2" ref="G15:K20">
    <sortCondition ref="K15:K20"/>
  </sortState>
  <mergeCells count="8">
    <mergeCell ref="U2:X2"/>
    <mergeCell ref="AB10:AC10"/>
    <mergeCell ref="A9:E9"/>
    <mergeCell ref="A14:E14"/>
    <mergeCell ref="G9:K9"/>
    <mergeCell ref="O10:P10"/>
    <mergeCell ref="R10:S10"/>
    <mergeCell ref="O19:V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4338-8D98-4AA3-A7A0-BB6C7B57C584}">
  <dimension ref="A1:J100"/>
  <sheetViews>
    <sheetView tabSelected="1" zoomScale="54" workbookViewId="0">
      <selection activeCell="I22" sqref="I22"/>
    </sheetView>
  </sheetViews>
  <sheetFormatPr defaultRowHeight="14.4" x14ac:dyDescent="0.3"/>
  <cols>
    <col min="1" max="1" width="13.21875" bestFit="1" customWidth="1"/>
    <col min="2" max="2" width="8.5546875" bestFit="1" customWidth="1"/>
    <col min="3" max="3" width="11.6640625" bestFit="1" customWidth="1"/>
    <col min="4" max="4" width="11.33203125" customWidth="1"/>
    <col min="5" max="5" width="5" bestFit="1" customWidth="1"/>
    <col min="6" max="6" width="6.5546875" customWidth="1"/>
    <col min="7" max="7" width="9.109375" bestFit="1" customWidth="1"/>
  </cols>
  <sheetData>
    <row r="1" spans="1:10" x14ac:dyDescent="0.3">
      <c r="A1" s="17" t="s">
        <v>105</v>
      </c>
      <c r="B1" s="17" t="s">
        <v>128</v>
      </c>
      <c r="C1" s="17" t="s">
        <v>132</v>
      </c>
      <c r="D1" s="17" t="s">
        <v>133</v>
      </c>
      <c r="E1" s="17" t="s">
        <v>134</v>
      </c>
      <c r="F1" s="17" t="s">
        <v>135</v>
      </c>
      <c r="G1" s="17" t="s">
        <v>180</v>
      </c>
    </row>
    <row r="2" spans="1:10" x14ac:dyDescent="0.3">
      <c r="A2" t="s">
        <v>106</v>
      </c>
      <c r="B2" t="s">
        <v>129</v>
      </c>
      <c r="C2" t="s">
        <v>136</v>
      </c>
      <c r="D2" t="s">
        <v>137</v>
      </c>
      <c r="E2">
        <v>4.18</v>
      </c>
      <c r="F2">
        <v>1</v>
      </c>
      <c r="G2" t="s">
        <v>138</v>
      </c>
    </row>
    <row r="3" spans="1:10" x14ac:dyDescent="0.3">
      <c r="A3" t="s">
        <v>107</v>
      </c>
      <c r="B3" t="s">
        <v>130</v>
      </c>
      <c r="C3" t="s">
        <v>139</v>
      </c>
      <c r="D3" t="s">
        <v>140</v>
      </c>
      <c r="E3">
        <v>7.51</v>
      </c>
      <c r="F3">
        <v>2.6</v>
      </c>
      <c r="G3" t="s">
        <v>141</v>
      </c>
    </row>
    <row r="4" spans="1:10" x14ac:dyDescent="0.3">
      <c r="A4" t="s">
        <v>108</v>
      </c>
      <c r="B4" t="s">
        <v>130</v>
      </c>
      <c r="C4" t="s">
        <v>142</v>
      </c>
      <c r="D4" t="s">
        <v>140</v>
      </c>
      <c r="E4">
        <v>1.79</v>
      </c>
      <c r="F4">
        <v>1.1000000000000001</v>
      </c>
      <c r="G4" t="s">
        <v>138</v>
      </c>
      <c r="J4" s="17" t="s">
        <v>182</v>
      </c>
    </row>
    <row r="5" spans="1:10" x14ac:dyDescent="0.3">
      <c r="A5" t="s">
        <v>109</v>
      </c>
      <c r="B5" t="s">
        <v>129</v>
      </c>
      <c r="C5" t="s">
        <v>143</v>
      </c>
      <c r="D5" t="s">
        <v>140</v>
      </c>
      <c r="E5">
        <v>1.1499999999999999</v>
      </c>
      <c r="F5">
        <v>4.8</v>
      </c>
      <c r="G5" t="s">
        <v>144</v>
      </c>
    </row>
    <row r="6" spans="1:10" x14ac:dyDescent="0.3">
      <c r="A6" t="s">
        <v>107</v>
      </c>
      <c r="B6" t="s">
        <v>131</v>
      </c>
      <c r="C6" t="s">
        <v>145</v>
      </c>
      <c r="D6" t="s">
        <v>140</v>
      </c>
      <c r="E6">
        <v>1.31</v>
      </c>
      <c r="F6">
        <v>1.4</v>
      </c>
      <c r="G6" t="s">
        <v>144</v>
      </c>
      <c r="I6" s="31" t="s">
        <v>181</v>
      </c>
      <c r="J6" s="20">
        <f>COUNTIF(C2:C501,C12)</f>
        <v>4</v>
      </c>
    </row>
    <row r="7" spans="1:10" x14ac:dyDescent="0.3">
      <c r="A7" t="s">
        <v>109</v>
      </c>
      <c r="B7" t="s">
        <v>131</v>
      </c>
      <c r="C7" t="s">
        <v>146</v>
      </c>
      <c r="D7" t="s">
        <v>140</v>
      </c>
      <c r="E7">
        <v>9.76</v>
      </c>
      <c r="F7">
        <v>1.9</v>
      </c>
      <c r="G7" t="s">
        <v>138</v>
      </c>
    </row>
    <row r="8" spans="1:10" x14ac:dyDescent="0.3">
      <c r="A8" t="s">
        <v>110</v>
      </c>
      <c r="B8" t="s">
        <v>130</v>
      </c>
      <c r="C8" t="s">
        <v>147</v>
      </c>
      <c r="D8" t="s">
        <v>137</v>
      </c>
      <c r="E8">
        <v>1.89</v>
      </c>
      <c r="F8">
        <v>1.4</v>
      </c>
      <c r="G8" t="s">
        <v>138</v>
      </c>
      <c r="J8" s="17" t="s">
        <v>185</v>
      </c>
    </row>
    <row r="9" spans="1:10" x14ac:dyDescent="0.3">
      <c r="A9" t="s">
        <v>111</v>
      </c>
      <c r="B9" t="s">
        <v>131</v>
      </c>
      <c r="C9" t="s">
        <v>145</v>
      </c>
      <c r="D9" t="s">
        <v>137</v>
      </c>
      <c r="E9">
        <v>4.6100000000000003</v>
      </c>
      <c r="F9">
        <v>3.4</v>
      </c>
      <c r="G9" t="s">
        <v>148</v>
      </c>
    </row>
    <row r="10" spans="1:10" x14ac:dyDescent="0.3">
      <c r="A10" t="s">
        <v>110</v>
      </c>
      <c r="B10" t="s">
        <v>129</v>
      </c>
      <c r="C10" t="s">
        <v>149</v>
      </c>
      <c r="D10" t="s">
        <v>137</v>
      </c>
      <c r="E10">
        <v>6.42</v>
      </c>
      <c r="F10">
        <v>4</v>
      </c>
      <c r="G10" t="s">
        <v>141</v>
      </c>
      <c r="I10" s="31" t="s">
        <v>184</v>
      </c>
      <c r="J10" s="20">
        <f>COUNTIFS(B:B,B6,F:F,"&gt;4")</f>
        <v>11</v>
      </c>
    </row>
    <row r="11" spans="1:10" x14ac:dyDescent="0.3">
      <c r="A11" t="s">
        <v>112</v>
      </c>
      <c r="B11" t="s">
        <v>131</v>
      </c>
      <c r="C11" t="s">
        <v>150</v>
      </c>
      <c r="D11" t="s">
        <v>140</v>
      </c>
      <c r="E11">
        <v>13.76</v>
      </c>
      <c r="F11">
        <v>3.4</v>
      </c>
      <c r="G11" t="s">
        <v>138</v>
      </c>
    </row>
    <row r="12" spans="1:10" x14ac:dyDescent="0.3">
      <c r="A12" t="s">
        <v>113</v>
      </c>
      <c r="B12" t="s">
        <v>131</v>
      </c>
      <c r="C12" t="s">
        <v>151</v>
      </c>
      <c r="D12" t="s">
        <v>140</v>
      </c>
      <c r="E12">
        <v>3.4</v>
      </c>
      <c r="F12">
        <v>4.2</v>
      </c>
      <c r="G12" t="s">
        <v>138</v>
      </c>
      <c r="J12" s="17" t="s">
        <v>186</v>
      </c>
    </row>
    <row r="13" spans="1:10" x14ac:dyDescent="0.3">
      <c r="A13" t="s">
        <v>107</v>
      </c>
      <c r="B13" t="s">
        <v>130</v>
      </c>
      <c r="C13" t="s">
        <v>152</v>
      </c>
      <c r="D13" t="s">
        <v>140</v>
      </c>
      <c r="E13">
        <v>12.76</v>
      </c>
      <c r="F13">
        <v>2.2000000000000002</v>
      </c>
      <c r="G13" t="s">
        <v>138</v>
      </c>
    </row>
    <row r="14" spans="1:10" x14ac:dyDescent="0.3">
      <c r="A14" t="s">
        <v>106</v>
      </c>
      <c r="B14" t="s">
        <v>130</v>
      </c>
      <c r="C14" t="s">
        <v>153</v>
      </c>
      <c r="D14" t="s">
        <v>140</v>
      </c>
      <c r="E14">
        <v>15.55</v>
      </c>
      <c r="F14">
        <v>2.6</v>
      </c>
      <c r="G14" t="s">
        <v>144</v>
      </c>
      <c r="I14" s="21" t="s">
        <v>183</v>
      </c>
      <c r="J14" s="20">
        <f>SUMIF(G:G,G4,E:E)</f>
        <v>414.03000000000009</v>
      </c>
    </row>
    <row r="15" spans="1:10" x14ac:dyDescent="0.3">
      <c r="A15" t="s">
        <v>114</v>
      </c>
      <c r="B15" t="s">
        <v>131</v>
      </c>
      <c r="C15" t="s">
        <v>154</v>
      </c>
      <c r="D15" t="s">
        <v>140</v>
      </c>
      <c r="E15">
        <v>3.69</v>
      </c>
      <c r="F15">
        <v>4.7</v>
      </c>
      <c r="G15" t="s">
        <v>138</v>
      </c>
    </row>
    <row r="16" spans="1:10" x14ac:dyDescent="0.3">
      <c r="A16" t="s">
        <v>115</v>
      </c>
      <c r="B16" t="s">
        <v>129</v>
      </c>
      <c r="C16" t="s">
        <v>155</v>
      </c>
      <c r="D16" t="s">
        <v>156</v>
      </c>
      <c r="E16">
        <v>21.12</v>
      </c>
      <c r="F16">
        <v>3.8</v>
      </c>
      <c r="G16" t="s">
        <v>148</v>
      </c>
      <c r="J16" s="17" t="s">
        <v>188</v>
      </c>
    </row>
    <row r="17" spans="1:10" x14ac:dyDescent="0.3">
      <c r="A17" t="s">
        <v>116</v>
      </c>
      <c r="B17" t="s">
        <v>130</v>
      </c>
      <c r="C17" t="s">
        <v>153</v>
      </c>
      <c r="D17" t="s">
        <v>137</v>
      </c>
      <c r="E17">
        <v>23.12</v>
      </c>
      <c r="F17">
        <v>1.6</v>
      </c>
      <c r="G17" t="s">
        <v>157</v>
      </c>
    </row>
    <row r="18" spans="1:10" x14ac:dyDescent="0.3">
      <c r="A18" t="s">
        <v>117</v>
      </c>
      <c r="B18" t="s">
        <v>129</v>
      </c>
      <c r="C18" t="s">
        <v>158</v>
      </c>
      <c r="D18" t="s">
        <v>156</v>
      </c>
      <c r="E18">
        <v>22.89</v>
      </c>
      <c r="F18">
        <v>2.8</v>
      </c>
      <c r="G18" t="s">
        <v>138</v>
      </c>
      <c r="I18" s="21" t="s">
        <v>187</v>
      </c>
      <c r="J18" s="20">
        <f>SUMIFS(E:E,G:G,G4,F:F,"&gt;4")</f>
        <v>106.15000000000002</v>
      </c>
    </row>
    <row r="19" spans="1:10" x14ac:dyDescent="0.3">
      <c r="A19" t="s">
        <v>118</v>
      </c>
      <c r="B19" t="s">
        <v>130</v>
      </c>
      <c r="C19" t="s">
        <v>159</v>
      </c>
      <c r="D19" t="s">
        <v>140</v>
      </c>
      <c r="E19">
        <v>12.43</v>
      </c>
      <c r="F19">
        <v>4.9000000000000004</v>
      </c>
      <c r="G19" t="s">
        <v>138</v>
      </c>
    </row>
    <row r="20" spans="1:10" x14ac:dyDescent="0.3">
      <c r="A20" t="s">
        <v>117</v>
      </c>
      <c r="B20" t="s">
        <v>129</v>
      </c>
      <c r="C20" t="s">
        <v>151</v>
      </c>
      <c r="D20" t="s">
        <v>140</v>
      </c>
      <c r="E20">
        <v>42.48</v>
      </c>
      <c r="F20">
        <v>4.5</v>
      </c>
      <c r="G20" t="s">
        <v>148</v>
      </c>
      <c r="J20" s="17" t="s">
        <v>190</v>
      </c>
    </row>
    <row r="21" spans="1:10" x14ac:dyDescent="0.3">
      <c r="A21" t="s">
        <v>119</v>
      </c>
      <c r="B21" t="s">
        <v>129</v>
      </c>
      <c r="C21" t="s">
        <v>160</v>
      </c>
      <c r="D21" t="s">
        <v>140</v>
      </c>
      <c r="E21">
        <v>28.8</v>
      </c>
      <c r="F21">
        <v>1.3</v>
      </c>
      <c r="G21" t="s">
        <v>138</v>
      </c>
    </row>
    <row r="22" spans="1:10" x14ac:dyDescent="0.3">
      <c r="A22" t="s">
        <v>106</v>
      </c>
      <c r="B22" t="s">
        <v>129</v>
      </c>
      <c r="C22" t="s">
        <v>161</v>
      </c>
      <c r="D22" t="s">
        <v>156</v>
      </c>
      <c r="E22">
        <v>1.55</v>
      </c>
      <c r="F22">
        <v>1.2</v>
      </c>
      <c r="G22" t="s">
        <v>138</v>
      </c>
      <c r="I22" s="32" t="s">
        <v>189</v>
      </c>
      <c r="J22" s="20">
        <f>AVERAGEIF(D:D,D2,F:F)</f>
        <v>2.8814814814814813</v>
      </c>
    </row>
    <row r="23" spans="1:10" x14ac:dyDescent="0.3">
      <c r="A23" t="s">
        <v>119</v>
      </c>
      <c r="B23" t="s">
        <v>130</v>
      </c>
      <c r="C23" t="s">
        <v>145</v>
      </c>
      <c r="D23" t="s">
        <v>156</v>
      </c>
      <c r="E23">
        <v>2.14</v>
      </c>
      <c r="F23">
        <v>3.3</v>
      </c>
      <c r="G23" t="s">
        <v>148</v>
      </c>
    </row>
    <row r="24" spans="1:10" x14ac:dyDescent="0.3">
      <c r="A24" t="s">
        <v>108</v>
      </c>
      <c r="B24" t="s">
        <v>131</v>
      </c>
      <c r="C24" t="s">
        <v>142</v>
      </c>
      <c r="D24" t="s">
        <v>156</v>
      </c>
      <c r="E24">
        <v>12.02</v>
      </c>
      <c r="F24">
        <v>2.9</v>
      </c>
      <c r="G24" t="s">
        <v>144</v>
      </c>
    </row>
    <row r="25" spans="1:10" x14ac:dyDescent="0.3">
      <c r="A25" t="s">
        <v>109</v>
      </c>
      <c r="B25" t="s">
        <v>130</v>
      </c>
      <c r="C25" t="s">
        <v>147</v>
      </c>
      <c r="D25" t="s">
        <v>140</v>
      </c>
      <c r="E25">
        <v>4.07</v>
      </c>
      <c r="F25">
        <v>4</v>
      </c>
      <c r="G25" t="s">
        <v>144</v>
      </c>
    </row>
    <row r="26" spans="1:10" x14ac:dyDescent="0.3">
      <c r="A26" t="s">
        <v>120</v>
      </c>
      <c r="B26" t="s">
        <v>131</v>
      </c>
      <c r="C26" t="s">
        <v>162</v>
      </c>
      <c r="D26" t="s">
        <v>156</v>
      </c>
      <c r="E26">
        <v>25.49</v>
      </c>
      <c r="F26">
        <v>3</v>
      </c>
      <c r="G26" t="s">
        <v>144</v>
      </c>
    </row>
    <row r="27" spans="1:10" x14ac:dyDescent="0.3">
      <c r="A27" t="s">
        <v>109</v>
      </c>
      <c r="B27" t="s">
        <v>131</v>
      </c>
      <c r="C27" t="s">
        <v>161</v>
      </c>
      <c r="D27" t="s">
        <v>140</v>
      </c>
      <c r="E27">
        <v>11.73</v>
      </c>
      <c r="F27">
        <v>3</v>
      </c>
      <c r="G27" t="s">
        <v>138</v>
      </c>
    </row>
    <row r="28" spans="1:10" x14ac:dyDescent="0.3">
      <c r="A28" t="s">
        <v>119</v>
      </c>
      <c r="B28" t="s">
        <v>130</v>
      </c>
      <c r="C28" t="s">
        <v>163</v>
      </c>
      <c r="D28" t="s">
        <v>137</v>
      </c>
      <c r="E28">
        <v>3.05</v>
      </c>
      <c r="F28">
        <v>2.8</v>
      </c>
      <c r="G28" t="s">
        <v>144</v>
      </c>
    </row>
    <row r="29" spans="1:10" x14ac:dyDescent="0.3">
      <c r="A29" t="s">
        <v>114</v>
      </c>
      <c r="B29" t="s">
        <v>129</v>
      </c>
      <c r="C29" t="s">
        <v>164</v>
      </c>
      <c r="D29" t="s">
        <v>140</v>
      </c>
      <c r="E29">
        <v>1.73</v>
      </c>
      <c r="F29">
        <v>4.8</v>
      </c>
      <c r="G29" t="s">
        <v>144</v>
      </c>
    </row>
    <row r="30" spans="1:10" x14ac:dyDescent="0.3">
      <c r="A30" t="s">
        <v>121</v>
      </c>
      <c r="B30" t="s">
        <v>129</v>
      </c>
      <c r="C30" t="s">
        <v>151</v>
      </c>
      <c r="D30" t="s">
        <v>137</v>
      </c>
      <c r="E30">
        <v>55.23</v>
      </c>
      <c r="F30">
        <v>3.8</v>
      </c>
      <c r="G30" t="s">
        <v>138</v>
      </c>
    </row>
    <row r="31" spans="1:10" x14ac:dyDescent="0.3">
      <c r="A31" t="s">
        <v>121</v>
      </c>
      <c r="B31" t="s">
        <v>130</v>
      </c>
      <c r="C31" t="s">
        <v>155</v>
      </c>
      <c r="D31" t="s">
        <v>137</v>
      </c>
      <c r="E31">
        <v>2.0499999999999998</v>
      </c>
      <c r="F31">
        <v>4.5999999999999996</v>
      </c>
      <c r="G31" t="s">
        <v>138</v>
      </c>
    </row>
    <row r="32" spans="1:10" x14ac:dyDescent="0.3">
      <c r="A32" t="s">
        <v>111</v>
      </c>
      <c r="B32" t="s">
        <v>130</v>
      </c>
      <c r="C32" t="s">
        <v>165</v>
      </c>
      <c r="D32" t="s">
        <v>140</v>
      </c>
      <c r="E32">
        <v>2.2799999999999998</v>
      </c>
      <c r="F32">
        <v>4.3</v>
      </c>
      <c r="G32" t="s">
        <v>138</v>
      </c>
    </row>
    <row r="33" spans="1:7" x14ac:dyDescent="0.3">
      <c r="A33" t="s">
        <v>119</v>
      </c>
      <c r="B33" t="s">
        <v>130</v>
      </c>
      <c r="C33" t="s">
        <v>163</v>
      </c>
      <c r="D33" t="s">
        <v>140</v>
      </c>
      <c r="E33">
        <v>10.77</v>
      </c>
      <c r="F33">
        <v>4.5</v>
      </c>
      <c r="G33" t="s">
        <v>138</v>
      </c>
    </row>
    <row r="34" spans="1:7" x14ac:dyDescent="0.3">
      <c r="A34" t="s">
        <v>107</v>
      </c>
      <c r="B34" t="s">
        <v>131</v>
      </c>
      <c r="C34" t="s">
        <v>145</v>
      </c>
      <c r="D34" t="s">
        <v>140</v>
      </c>
      <c r="E34">
        <v>3.52</v>
      </c>
      <c r="F34">
        <v>1.8</v>
      </c>
      <c r="G34" t="s">
        <v>157</v>
      </c>
    </row>
    <row r="35" spans="1:7" x14ac:dyDescent="0.3">
      <c r="A35" t="s">
        <v>118</v>
      </c>
      <c r="B35" t="s">
        <v>130</v>
      </c>
      <c r="C35" t="s">
        <v>166</v>
      </c>
      <c r="D35" t="s">
        <v>137</v>
      </c>
      <c r="E35">
        <v>9.59</v>
      </c>
      <c r="F35">
        <v>1.9</v>
      </c>
      <c r="G35" t="s">
        <v>138</v>
      </c>
    </row>
    <row r="36" spans="1:7" x14ac:dyDescent="0.3">
      <c r="A36" t="s">
        <v>117</v>
      </c>
      <c r="B36" t="s">
        <v>131</v>
      </c>
      <c r="C36" t="s">
        <v>167</v>
      </c>
      <c r="D36" t="s">
        <v>140</v>
      </c>
      <c r="E36">
        <v>6.36</v>
      </c>
      <c r="F36">
        <v>1.8</v>
      </c>
      <c r="G36" t="s">
        <v>141</v>
      </c>
    </row>
    <row r="37" spans="1:7" x14ac:dyDescent="0.3">
      <c r="A37" t="s">
        <v>122</v>
      </c>
      <c r="B37" t="s">
        <v>131</v>
      </c>
      <c r="C37" t="s">
        <v>168</v>
      </c>
      <c r="D37" t="s">
        <v>156</v>
      </c>
      <c r="E37">
        <v>21.62</v>
      </c>
      <c r="F37">
        <v>1.5</v>
      </c>
      <c r="G37" t="s">
        <v>141</v>
      </c>
    </row>
    <row r="38" spans="1:7" x14ac:dyDescent="0.3">
      <c r="A38" t="s">
        <v>110</v>
      </c>
      <c r="B38" t="s">
        <v>130</v>
      </c>
      <c r="C38" t="s">
        <v>154</v>
      </c>
      <c r="D38" t="s">
        <v>137</v>
      </c>
      <c r="E38">
        <v>12.21</v>
      </c>
      <c r="F38">
        <v>3.5</v>
      </c>
      <c r="G38" t="s">
        <v>138</v>
      </c>
    </row>
    <row r="39" spans="1:7" x14ac:dyDescent="0.3">
      <c r="A39" t="s">
        <v>123</v>
      </c>
      <c r="B39" t="s">
        <v>129</v>
      </c>
      <c r="C39" t="s">
        <v>169</v>
      </c>
      <c r="D39" t="s">
        <v>137</v>
      </c>
      <c r="E39">
        <v>1</v>
      </c>
      <c r="F39">
        <v>1.3</v>
      </c>
      <c r="G39" t="s">
        <v>144</v>
      </c>
    </row>
    <row r="40" spans="1:7" x14ac:dyDescent="0.3">
      <c r="A40" t="s">
        <v>107</v>
      </c>
      <c r="B40" t="s">
        <v>130</v>
      </c>
      <c r="C40" t="s">
        <v>166</v>
      </c>
      <c r="D40" t="s">
        <v>140</v>
      </c>
      <c r="E40">
        <v>19.75</v>
      </c>
      <c r="F40">
        <v>4.5</v>
      </c>
      <c r="G40" t="s">
        <v>141</v>
      </c>
    </row>
    <row r="41" spans="1:7" x14ac:dyDescent="0.3">
      <c r="A41" t="s">
        <v>112</v>
      </c>
      <c r="B41" t="s">
        <v>131</v>
      </c>
      <c r="C41" t="s">
        <v>170</v>
      </c>
      <c r="D41" t="s">
        <v>140</v>
      </c>
      <c r="E41">
        <v>25.11</v>
      </c>
      <c r="F41">
        <v>3.2</v>
      </c>
      <c r="G41" t="s">
        <v>138</v>
      </c>
    </row>
    <row r="42" spans="1:7" x14ac:dyDescent="0.3">
      <c r="A42" t="s">
        <v>110</v>
      </c>
      <c r="B42" t="s">
        <v>130</v>
      </c>
      <c r="C42" t="s">
        <v>171</v>
      </c>
      <c r="D42" t="s">
        <v>140</v>
      </c>
      <c r="E42">
        <v>4.2300000000000004</v>
      </c>
      <c r="F42">
        <v>1.4</v>
      </c>
      <c r="G42" t="s">
        <v>144</v>
      </c>
    </row>
    <row r="43" spans="1:7" x14ac:dyDescent="0.3">
      <c r="A43" t="s">
        <v>124</v>
      </c>
      <c r="B43" t="s">
        <v>129</v>
      </c>
      <c r="C43" t="s">
        <v>149</v>
      </c>
      <c r="D43" t="s">
        <v>140</v>
      </c>
      <c r="E43">
        <v>10.64</v>
      </c>
      <c r="F43">
        <v>3.9</v>
      </c>
      <c r="G43" t="s">
        <v>141</v>
      </c>
    </row>
    <row r="44" spans="1:7" x14ac:dyDescent="0.3">
      <c r="A44" t="s">
        <v>109</v>
      </c>
      <c r="B44" t="s">
        <v>131</v>
      </c>
      <c r="C44" t="s">
        <v>158</v>
      </c>
      <c r="D44" t="s">
        <v>140</v>
      </c>
      <c r="E44">
        <v>14.54</v>
      </c>
      <c r="F44">
        <v>2.1</v>
      </c>
      <c r="G44" t="s">
        <v>138</v>
      </c>
    </row>
    <row r="45" spans="1:7" x14ac:dyDescent="0.3">
      <c r="A45" t="s">
        <v>125</v>
      </c>
      <c r="B45" t="s">
        <v>131</v>
      </c>
      <c r="C45" t="s">
        <v>172</v>
      </c>
      <c r="D45" t="s">
        <v>137</v>
      </c>
      <c r="E45">
        <v>4.3600000000000003</v>
      </c>
      <c r="F45">
        <v>3.8</v>
      </c>
      <c r="G45" t="s">
        <v>138</v>
      </c>
    </row>
    <row r="46" spans="1:7" x14ac:dyDescent="0.3">
      <c r="A46" t="s">
        <v>116</v>
      </c>
      <c r="B46" t="s">
        <v>131</v>
      </c>
      <c r="C46" t="s">
        <v>136</v>
      </c>
      <c r="D46" t="s">
        <v>137</v>
      </c>
      <c r="E46">
        <v>17.27</v>
      </c>
      <c r="F46">
        <v>2.5</v>
      </c>
      <c r="G46" t="s">
        <v>148</v>
      </c>
    </row>
    <row r="47" spans="1:7" x14ac:dyDescent="0.3">
      <c r="A47" t="s">
        <v>118</v>
      </c>
      <c r="B47" t="s">
        <v>131</v>
      </c>
      <c r="C47" t="s">
        <v>173</v>
      </c>
      <c r="D47" t="s">
        <v>140</v>
      </c>
      <c r="E47">
        <v>9.5500000000000007</v>
      </c>
      <c r="F47">
        <v>1.4</v>
      </c>
      <c r="G47" t="s">
        <v>141</v>
      </c>
    </row>
    <row r="48" spans="1:7" x14ac:dyDescent="0.3">
      <c r="A48" t="s">
        <v>109</v>
      </c>
      <c r="B48" t="s">
        <v>131</v>
      </c>
      <c r="C48" t="s">
        <v>160</v>
      </c>
      <c r="D48" t="s">
        <v>140</v>
      </c>
      <c r="E48">
        <v>21.01</v>
      </c>
      <c r="F48">
        <v>4.5999999999999996</v>
      </c>
      <c r="G48" t="s">
        <v>148</v>
      </c>
    </row>
    <row r="49" spans="1:7" x14ac:dyDescent="0.3">
      <c r="A49" t="s">
        <v>114</v>
      </c>
      <c r="B49" t="s">
        <v>131</v>
      </c>
      <c r="C49" t="s">
        <v>168</v>
      </c>
      <c r="D49" t="s">
        <v>140</v>
      </c>
      <c r="E49">
        <v>25.85</v>
      </c>
      <c r="F49">
        <v>4.9000000000000004</v>
      </c>
      <c r="G49" t="s">
        <v>138</v>
      </c>
    </row>
    <row r="50" spans="1:7" x14ac:dyDescent="0.3">
      <c r="A50" t="s">
        <v>108</v>
      </c>
      <c r="B50" t="s">
        <v>130</v>
      </c>
      <c r="C50" t="s">
        <v>145</v>
      </c>
      <c r="D50" t="s">
        <v>137</v>
      </c>
      <c r="E50">
        <v>3.38</v>
      </c>
      <c r="F50">
        <v>3.1</v>
      </c>
      <c r="G50" t="s">
        <v>148</v>
      </c>
    </row>
    <row r="51" spans="1:7" x14ac:dyDescent="0.3">
      <c r="A51" t="s">
        <v>125</v>
      </c>
      <c r="B51" t="s">
        <v>131</v>
      </c>
      <c r="C51" t="s">
        <v>159</v>
      </c>
      <c r="D51" t="s">
        <v>137</v>
      </c>
      <c r="E51">
        <v>26.18</v>
      </c>
      <c r="F51">
        <v>4.3</v>
      </c>
      <c r="G51" t="s">
        <v>144</v>
      </c>
    </row>
    <row r="52" spans="1:7" x14ac:dyDescent="0.3">
      <c r="A52" t="s">
        <v>116</v>
      </c>
      <c r="B52" t="s">
        <v>129</v>
      </c>
      <c r="C52" t="s">
        <v>150</v>
      </c>
      <c r="D52" t="s">
        <v>137</v>
      </c>
      <c r="E52">
        <v>1.74</v>
      </c>
      <c r="F52">
        <v>3</v>
      </c>
      <c r="G52" t="s">
        <v>144</v>
      </c>
    </row>
    <row r="53" spans="1:7" x14ac:dyDescent="0.3">
      <c r="A53" t="s">
        <v>115</v>
      </c>
      <c r="B53" t="s">
        <v>131</v>
      </c>
      <c r="C53" t="s">
        <v>146</v>
      </c>
      <c r="D53" t="s">
        <v>140</v>
      </c>
      <c r="E53">
        <v>14.81</v>
      </c>
      <c r="F53">
        <v>2.9</v>
      </c>
      <c r="G53" t="s">
        <v>148</v>
      </c>
    </row>
    <row r="54" spans="1:7" x14ac:dyDescent="0.3">
      <c r="A54" t="s">
        <v>113</v>
      </c>
      <c r="B54" t="s">
        <v>129</v>
      </c>
      <c r="C54" t="s">
        <v>162</v>
      </c>
      <c r="D54" t="s">
        <v>140</v>
      </c>
      <c r="E54">
        <v>10</v>
      </c>
      <c r="F54">
        <v>2.9</v>
      </c>
      <c r="G54" t="s">
        <v>138</v>
      </c>
    </row>
    <row r="55" spans="1:7" x14ac:dyDescent="0.3">
      <c r="A55" t="s">
        <v>107</v>
      </c>
      <c r="B55" t="s">
        <v>131</v>
      </c>
      <c r="C55" t="s">
        <v>174</v>
      </c>
      <c r="D55" t="s">
        <v>140</v>
      </c>
      <c r="E55">
        <v>2.04</v>
      </c>
      <c r="F55">
        <v>2.5</v>
      </c>
      <c r="G55" t="s">
        <v>141</v>
      </c>
    </row>
    <row r="56" spans="1:7" x14ac:dyDescent="0.3">
      <c r="A56" t="s">
        <v>114</v>
      </c>
      <c r="B56" t="s">
        <v>131</v>
      </c>
      <c r="C56" t="s">
        <v>147</v>
      </c>
      <c r="D56" t="s">
        <v>140</v>
      </c>
      <c r="E56">
        <v>6.61</v>
      </c>
      <c r="F56">
        <v>5</v>
      </c>
      <c r="G56" t="s">
        <v>141</v>
      </c>
    </row>
    <row r="57" spans="1:7" x14ac:dyDescent="0.3">
      <c r="A57" t="s">
        <v>125</v>
      </c>
      <c r="B57" t="s">
        <v>130</v>
      </c>
      <c r="C57" t="s">
        <v>175</v>
      </c>
      <c r="D57" t="s">
        <v>140</v>
      </c>
      <c r="E57">
        <v>4.7</v>
      </c>
      <c r="F57">
        <v>3.8</v>
      </c>
      <c r="G57" t="s">
        <v>141</v>
      </c>
    </row>
    <row r="58" spans="1:7" x14ac:dyDescent="0.3">
      <c r="A58" t="s">
        <v>106</v>
      </c>
      <c r="B58" t="s">
        <v>131</v>
      </c>
      <c r="C58" t="s">
        <v>176</v>
      </c>
      <c r="D58" t="s">
        <v>140</v>
      </c>
      <c r="E58">
        <v>4.5999999999999996</v>
      </c>
      <c r="F58">
        <v>4.8</v>
      </c>
      <c r="G58" t="s">
        <v>148</v>
      </c>
    </row>
    <row r="59" spans="1:7" x14ac:dyDescent="0.3">
      <c r="A59" t="s">
        <v>120</v>
      </c>
      <c r="B59" t="s">
        <v>131</v>
      </c>
      <c r="C59" t="s">
        <v>177</v>
      </c>
      <c r="D59" t="s">
        <v>140</v>
      </c>
      <c r="E59">
        <v>16.75</v>
      </c>
      <c r="F59">
        <v>4.7</v>
      </c>
      <c r="G59" t="s">
        <v>144</v>
      </c>
    </row>
    <row r="60" spans="1:7" x14ac:dyDescent="0.3">
      <c r="A60" t="s">
        <v>107</v>
      </c>
      <c r="B60" t="s">
        <v>131</v>
      </c>
      <c r="C60" t="s">
        <v>176</v>
      </c>
      <c r="D60" t="s">
        <v>140</v>
      </c>
      <c r="E60">
        <v>2.57</v>
      </c>
      <c r="F60">
        <v>2</v>
      </c>
      <c r="G60" t="s">
        <v>141</v>
      </c>
    </row>
    <row r="61" spans="1:7" x14ac:dyDescent="0.3">
      <c r="A61" t="s">
        <v>120</v>
      </c>
      <c r="B61" t="s">
        <v>129</v>
      </c>
      <c r="C61" t="s">
        <v>155</v>
      </c>
      <c r="D61" t="s">
        <v>140</v>
      </c>
      <c r="E61">
        <v>7.68</v>
      </c>
      <c r="F61">
        <v>1.6</v>
      </c>
      <c r="G61" t="s">
        <v>141</v>
      </c>
    </row>
    <row r="62" spans="1:7" x14ac:dyDescent="0.3">
      <c r="A62" t="s">
        <v>119</v>
      </c>
      <c r="B62" t="s">
        <v>130</v>
      </c>
      <c r="C62" t="s">
        <v>175</v>
      </c>
      <c r="D62" t="s">
        <v>137</v>
      </c>
      <c r="E62">
        <v>1.79</v>
      </c>
      <c r="F62">
        <v>2</v>
      </c>
      <c r="G62" t="s">
        <v>141</v>
      </c>
    </row>
    <row r="63" spans="1:7" x14ac:dyDescent="0.3">
      <c r="A63" t="s">
        <v>108</v>
      </c>
      <c r="B63" t="s">
        <v>130</v>
      </c>
      <c r="C63" t="s">
        <v>155</v>
      </c>
      <c r="D63" t="s">
        <v>137</v>
      </c>
      <c r="E63">
        <v>4.13</v>
      </c>
      <c r="F63">
        <v>2.4</v>
      </c>
      <c r="G63" t="s">
        <v>138</v>
      </c>
    </row>
    <row r="64" spans="1:7" x14ac:dyDescent="0.3">
      <c r="A64" t="s">
        <v>107</v>
      </c>
      <c r="B64" t="s">
        <v>131</v>
      </c>
      <c r="C64" t="s">
        <v>178</v>
      </c>
      <c r="D64" t="s">
        <v>140</v>
      </c>
      <c r="E64">
        <v>3.73</v>
      </c>
      <c r="F64">
        <v>2.2000000000000002</v>
      </c>
      <c r="G64" t="s">
        <v>138</v>
      </c>
    </row>
    <row r="65" spans="1:7" x14ac:dyDescent="0.3">
      <c r="A65" t="s">
        <v>121</v>
      </c>
      <c r="B65" t="s">
        <v>131</v>
      </c>
      <c r="C65" t="s">
        <v>161</v>
      </c>
      <c r="D65" t="s">
        <v>137</v>
      </c>
      <c r="E65">
        <v>1.04</v>
      </c>
      <c r="F65">
        <v>4.0999999999999996</v>
      </c>
      <c r="G65" t="s">
        <v>141</v>
      </c>
    </row>
    <row r="66" spans="1:7" x14ac:dyDescent="0.3">
      <c r="A66" t="s">
        <v>126</v>
      </c>
      <c r="B66" t="s">
        <v>131</v>
      </c>
      <c r="C66" t="s">
        <v>177</v>
      </c>
      <c r="D66" t="s">
        <v>140</v>
      </c>
      <c r="E66">
        <v>4.92</v>
      </c>
      <c r="F66">
        <v>2.6</v>
      </c>
      <c r="G66" t="s">
        <v>141</v>
      </c>
    </row>
    <row r="67" spans="1:7" x14ac:dyDescent="0.3">
      <c r="A67" t="s">
        <v>117</v>
      </c>
      <c r="B67" t="s">
        <v>130</v>
      </c>
      <c r="C67" t="s">
        <v>160</v>
      </c>
      <c r="D67" t="s">
        <v>140</v>
      </c>
      <c r="E67">
        <v>27.47</v>
      </c>
      <c r="F67">
        <v>1.4</v>
      </c>
      <c r="G67" t="s">
        <v>144</v>
      </c>
    </row>
    <row r="68" spans="1:7" x14ac:dyDescent="0.3">
      <c r="A68" t="s">
        <v>127</v>
      </c>
      <c r="B68" t="s">
        <v>129</v>
      </c>
      <c r="C68" t="s">
        <v>154</v>
      </c>
      <c r="D68" t="s">
        <v>140</v>
      </c>
      <c r="E68">
        <v>4.63</v>
      </c>
      <c r="F68">
        <v>2.8</v>
      </c>
      <c r="G68" t="s">
        <v>138</v>
      </c>
    </row>
    <row r="69" spans="1:7" x14ac:dyDescent="0.3">
      <c r="A69" t="s">
        <v>106</v>
      </c>
      <c r="B69" t="s">
        <v>131</v>
      </c>
      <c r="C69" t="s">
        <v>170</v>
      </c>
      <c r="D69" t="s">
        <v>137</v>
      </c>
      <c r="E69">
        <v>3.56</v>
      </c>
      <c r="F69">
        <v>1.2</v>
      </c>
      <c r="G69" t="s">
        <v>148</v>
      </c>
    </row>
    <row r="70" spans="1:7" x14ac:dyDescent="0.3">
      <c r="A70" t="s">
        <v>122</v>
      </c>
      <c r="B70" t="s">
        <v>131</v>
      </c>
      <c r="C70" t="s">
        <v>169</v>
      </c>
      <c r="D70" t="s">
        <v>156</v>
      </c>
      <c r="E70">
        <v>1.55</v>
      </c>
      <c r="F70">
        <v>2.6</v>
      </c>
      <c r="G70" t="s">
        <v>141</v>
      </c>
    </row>
    <row r="71" spans="1:7" x14ac:dyDescent="0.3">
      <c r="A71" t="s">
        <v>107</v>
      </c>
      <c r="B71" t="s">
        <v>131</v>
      </c>
      <c r="C71" t="s">
        <v>173</v>
      </c>
      <c r="D71" t="s">
        <v>140</v>
      </c>
      <c r="E71">
        <v>7.64</v>
      </c>
      <c r="F71">
        <v>1.9</v>
      </c>
      <c r="G71" t="s">
        <v>138</v>
      </c>
    </row>
    <row r="72" spans="1:7" x14ac:dyDescent="0.3">
      <c r="A72" t="s">
        <v>127</v>
      </c>
      <c r="B72" t="s">
        <v>129</v>
      </c>
      <c r="C72" t="s">
        <v>152</v>
      </c>
      <c r="D72" t="s">
        <v>137</v>
      </c>
      <c r="E72">
        <v>3.95</v>
      </c>
      <c r="F72">
        <v>4.9000000000000004</v>
      </c>
      <c r="G72" t="s">
        <v>138</v>
      </c>
    </row>
    <row r="73" spans="1:7" x14ac:dyDescent="0.3">
      <c r="A73" t="s">
        <v>119</v>
      </c>
      <c r="B73" t="s">
        <v>130</v>
      </c>
      <c r="C73" t="s">
        <v>142</v>
      </c>
      <c r="D73" t="s">
        <v>140</v>
      </c>
      <c r="E73">
        <v>3.23</v>
      </c>
      <c r="F73">
        <v>1.7</v>
      </c>
      <c r="G73" t="s">
        <v>141</v>
      </c>
    </row>
    <row r="74" spans="1:7" x14ac:dyDescent="0.3">
      <c r="A74" t="s">
        <v>115</v>
      </c>
      <c r="B74" t="s">
        <v>130</v>
      </c>
      <c r="C74" t="s">
        <v>172</v>
      </c>
      <c r="D74" t="s">
        <v>156</v>
      </c>
      <c r="E74">
        <v>4.29</v>
      </c>
      <c r="F74">
        <v>3.4</v>
      </c>
      <c r="G74" t="s">
        <v>148</v>
      </c>
    </row>
    <row r="75" spans="1:7" x14ac:dyDescent="0.3">
      <c r="A75" t="s">
        <v>123</v>
      </c>
      <c r="B75" t="s">
        <v>130</v>
      </c>
      <c r="C75" t="s">
        <v>153</v>
      </c>
      <c r="D75" t="s">
        <v>140</v>
      </c>
      <c r="E75">
        <v>31.88</v>
      </c>
      <c r="F75">
        <v>3.1</v>
      </c>
      <c r="G75" t="s">
        <v>144</v>
      </c>
    </row>
    <row r="76" spans="1:7" x14ac:dyDescent="0.3">
      <c r="A76" t="s">
        <v>111</v>
      </c>
      <c r="B76" t="s">
        <v>131</v>
      </c>
      <c r="C76" t="s">
        <v>168</v>
      </c>
      <c r="D76" t="s">
        <v>140</v>
      </c>
      <c r="E76">
        <v>9.58</v>
      </c>
      <c r="F76">
        <v>4</v>
      </c>
      <c r="G76" t="s">
        <v>141</v>
      </c>
    </row>
    <row r="77" spans="1:7" x14ac:dyDescent="0.3">
      <c r="A77" t="s">
        <v>106</v>
      </c>
      <c r="B77" t="s">
        <v>130</v>
      </c>
      <c r="C77" t="s">
        <v>151</v>
      </c>
      <c r="D77" t="s">
        <v>137</v>
      </c>
      <c r="E77">
        <v>21.03</v>
      </c>
      <c r="F77">
        <v>4.8</v>
      </c>
      <c r="G77" t="s">
        <v>138</v>
      </c>
    </row>
    <row r="78" spans="1:7" x14ac:dyDescent="0.3">
      <c r="A78" t="s">
        <v>124</v>
      </c>
      <c r="B78" t="s">
        <v>129</v>
      </c>
      <c r="C78" t="s">
        <v>136</v>
      </c>
      <c r="D78" t="s">
        <v>156</v>
      </c>
      <c r="E78">
        <v>4.67</v>
      </c>
      <c r="F78">
        <v>3.7</v>
      </c>
      <c r="G78" t="s">
        <v>138</v>
      </c>
    </row>
    <row r="79" spans="1:7" x14ac:dyDescent="0.3">
      <c r="A79" t="s">
        <v>120</v>
      </c>
      <c r="B79" t="s">
        <v>130</v>
      </c>
      <c r="C79" t="s">
        <v>150</v>
      </c>
      <c r="D79" t="s">
        <v>140</v>
      </c>
      <c r="E79">
        <v>7.41</v>
      </c>
      <c r="F79">
        <v>3.2</v>
      </c>
      <c r="G79" t="s">
        <v>157</v>
      </c>
    </row>
    <row r="80" spans="1:7" x14ac:dyDescent="0.3">
      <c r="A80" t="s">
        <v>115</v>
      </c>
      <c r="B80" t="s">
        <v>129</v>
      </c>
      <c r="C80" t="s">
        <v>145</v>
      </c>
      <c r="D80" t="s">
        <v>140</v>
      </c>
      <c r="E80">
        <v>13.22</v>
      </c>
      <c r="F80">
        <v>3.2</v>
      </c>
      <c r="G80" t="s">
        <v>148</v>
      </c>
    </row>
    <row r="81" spans="1:7" x14ac:dyDescent="0.3">
      <c r="A81" t="s">
        <v>123</v>
      </c>
      <c r="B81" t="s">
        <v>131</v>
      </c>
      <c r="C81" t="s">
        <v>173</v>
      </c>
      <c r="D81" t="s">
        <v>140</v>
      </c>
      <c r="E81">
        <v>12.66</v>
      </c>
      <c r="F81">
        <v>4.5999999999999996</v>
      </c>
      <c r="G81" t="s">
        <v>157</v>
      </c>
    </row>
    <row r="82" spans="1:7" x14ac:dyDescent="0.3">
      <c r="A82" t="s">
        <v>109</v>
      </c>
      <c r="B82" t="s">
        <v>131</v>
      </c>
      <c r="C82" t="s">
        <v>168</v>
      </c>
      <c r="D82" t="s">
        <v>140</v>
      </c>
      <c r="E82">
        <v>1.97</v>
      </c>
      <c r="F82">
        <v>2.7</v>
      </c>
      <c r="G82" t="s">
        <v>138</v>
      </c>
    </row>
    <row r="83" spans="1:7" x14ac:dyDescent="0.3">
      <c r="A83" t="s">
        <v>125</v>
      </c>
      <c r="B83" t="s">
        <v>130</v>
      </c>
      <c r="C83" t="s">
        <v>165</v>
      </c>
      <c r="D83" t="s">
        <v>140</v>
      </c>
      <c r="E83">
        <v>12.78</v>
      </c>
      <c r="F83">
        <v>4.8</v>
      </c>
      <c r="G83" t="s">
        <v>148</v>
      </c>
    </row>
    <row r="84" spans="1:7" x14ac:dyDescent="0.3">
      <c r="A84" t="s">
        <v>106</v>
      </c>
      <c r="B84" t="s">
        <v>129</v>
      </c>
      <c r="C84" t="s">
        <v>174</v>
      </c>
      <c r="D84" t="s">
        <v>140</v>
      </c>
      <c r="E84">
        <v>1.76</v>
      </c>
      <c r="F84">
        <v>4.5999999999999996</v>
      </c>
      <c r="G84" t="s">
        <v>138</v>
      </c>
    </row>
    <row r="85" spans="1:7" x14ac:dyDescent="0.3">
      <c r="A85" t="s">
        <v>110</v>
      </c>
      <c r="B85" t="s">
        <v>131</v>
      </c>
      <c r="C85" t="s">
        <v>169</v>
      </c>
      <c r="D85" t="s">
        <v>140</v>
      </c>
      <c r="E85">
        <v>4.47</v>
      </c>
      <c r="F85">
        <v>3.6</v>
      </c>
      <c r="G85" t="s">
        <v>141</v>
      </c>
    </row>
    <row r="86" spans="1:7" x14ac:dyDescent="0.3">
      <c r="A86" t="s">
        <v>121</v>
      </c>
      <c r="B86" t="s">
        <v>131</v>
      </c>
      <c r="C86" t="s">
        <v>149</v>
      </c>
      <c r="D86" t="s">
        <v>140</v>
      </c>
      <c r="E86">
        <v>5.75</v>
      </c>
      <c r="F86">
        <v>3.6</v>
      </c>
      <c r="G86" t="s">
        <v>138</v>
      </c>
    </row>
    <row r="87" spans="1:7" x14ac:dyDescent="0.3">
      <c r="A87" t="s">
        <v>109</v>
      </c>
      <c r="B87" t="s">
        <v>130</v>
      </c>
      <c r="C87" t="s">
        <v>169</v>
      </c>
      <c r="D87" t="s">
        <v>140</v>
      </c>
      <c r="E87">
        <v>6.65</v>
      </c>
      <c r="F87">
        <v>3.6</v>
      </c>
      <c r="G87" t="s">
        <v>157</v>
      </c>
    </row>
    <row r="88" spans="1:7" x14ac:dyDescent="0.3">
      <c r="A88" t="s">
        <v>113</v>
      </c>
      <c r="B88" t="s">
        <v>130</v>
      </c>
      <c r="C88" t="s">
        <v>172</v>
      </c>
      <c r="D88" t="s">
        <v>137</v>
      </c>
      <c r="E88">
        <v>11.64</v>
      </c>
      <c r="F88">
        <v>3.6</v>
      </c>
      <c r="G88" t="s">
        <v>141</v>
      </c>
    </row>
    <row r="89" spans="1:7" x14ac:dyDescent="0.3">
      <c r="A89" t="s">
        <v>114</v>
      </c>
      <c r="B89" t="s">
        <v>131</v>
      </c>
      <c r="C89" t="s">
        <v>168</v>
      </c>
      <c r="D89" t="s">
        <v>137</v>
      </c>
      <c r="E89">
        <v>26.66</v>
      </c>
      <c r="F89">
        <v>2</v>
      </c>
      <c r="G89" t="s">
        <v>138</v>
      </c>
    </row>
    <row r="90" spans="1:7" x14ac:dyDescent="0.3">
      <c r="A90" t="s">
        <v>109</v>
      </c>
      <c r="B90" t="s">
        <v>129</v>
      </c>
      <c r="C90" t="s">
        <v>154</v>
      </c>
      <c r="D90" t="s">
        <v>140</v>
      </c>
      <c r="E90">
        <v>8.5500000000000007</v>
      </c>
      <c r="F90">
        <v>1.7</v>
      </c>
      <c r="G90" t="s">
        <v>138</v>
      </c>
    </row>
    <row r="91" spans="1:7" x14ac:dyDescent="0.3">
      <c r="A91" t="s">
        <v>115</v>
      </c>
      <c r="B91" t="s">
        <v>130</v>
      </c>
      <c r="C91" t="s">
        <v>167</v>
      </c>
      <c r="D91" t="s">
        <v>140</v>
      </c>
      <c r="E91">
        <v>13.15</v>
      </c>
      <c r="F91">
        <v>4.4000000000000004</v>
      </c>
      <c r="G91" t="s">
        <v>138</v>
      </c>
    </row>
    <row r="92" spans="1:7" x14ac:dyDescent="0.3">
      <c r="A92" t="s">
        <v>122</v>
      </c>
      <c r="B92" t="s">
        <v>131</v>
      </c>
      <c r="C92" t="s">
        <v>179</v>
      </c>
      <c r="D92" t="s">
        <v>137</v>
      </c>
      <c r="E92">
        <v>5.63</v>
      </c>
      <c r="F92">
        <v>1.9</v>
      </c>
      <c r="G92" t="s">
        <v>148</v>
      </c>
    </row>
    <row r="93" spans="1:7" x14ac:dyDescent="0.3">
      <c r="A93" t="s">
        <v>117</v>
      </c>
      <c r="B93" t="s">
        <v>130</v>
      </c>
      <c r="C93" t="s">
        <v>159</v>
      </c>
      <c r="D93" t="s">
        <v>156</v>
      </c>
      <c r="E93">
        <v>5.79</v>
      </c>
      <c r="F93">
        <v>4.4000000000000004</v>
      </c>
      <c r="G93" t="s">
        <v>138</v>
      </c>
    </row>
    <row r="94" spans="1:7" x14ac:dyDescent="0.3">
      <c r="A94" t="s">
        <v>117</v>
      </c>
      <c r="B94" t="s">
        <v>129</v>
      </c>
      <c r="C94" t="s">
        <v>158</v>
      </c>
      <c r="D94" t="s">
        <v>140</v>
      </c>
      <c r="E94">
        <v>23.2</v>
      </c>
      <c r="F94">
        <v>2.8</v>
      </c>
      <c r="G94" t="s">
        <v>141</v>
      </c>
    </row>
    <row r="95" spans="1:7" x14ac:dyDescent="0.3">
      <c r="A95" t="s">
        <v>115</v>
      </c>
      <c r="B95" t="s">
        <v>130</v>
      </c>
      <c r="C95" t="s">
        <v>165</v>
      </c>
      <c r="D95" t="s">
        <v>137</v>
      </c>
      <c r="E95">
        <v>10.06</v>
      </c>
      <c r="F95">
        <v>2.6</v>
      </c>
      <c r="G95" t="s">
        <v>157</v>
      </c>
    </row>
    <row r="96" spans="1:7" x14ac:dyDescent="0.3">
      <c r="A96" t="s">
        <v>121</v>
      </c>
      <c r="B96" t="s">
        <v>131</v>
      </c>
      <c r="C96" t="s">
        <v>139</v>
      </c>
      <c r="D96" t="s">
        <v>140</v>
      </c>
      <c r="E96">
        <v>9.1300000000000008</v>
      </c>
      <c r="F96">
        <v>4.9000000000000004</v>
      </c>
      <c r="G96" t="s">
        <v>141</v>
      </c>
    </row>
    <row r="97" spans="1:7" x14ac:dyDescent="0.3">
      <c r="A97" t="s">
        <v>108</v>
      </c>
      <c r="B97" t="s">
        <v>131</v>
      </c>
      <c r="C97" t="s">
        <v>161</v>
      </c>
      <c r="D97" t="s">
        <v>140</v>
      </c>
      <c r="E97">
        <v>3.95</v>
      </c>
      <c r="F97">
        <v>1.1000000000000001</v>
      </c>
      <c r="G97" t="s">
        <v>157</v>
      </c>
    </row>
    <row r="98" spans="1:7" x14ac:dyDescent="0.3">
      <c r="A98" t="s">
        <v>106</v>
      </c>
      <c r="B98" t="s">
        <v>131</v>
      </c>
      <c r="C98" t="s">
        <v>172</v>
      </c>
      <c r="D98" t="s">
        <v>156</v>
      </c>
      <c r="E98">
        <v>2.84</v>
      </c>
      <c r="F98">
        <v>2.5</v>
      </c>
      <c r="G98" t="s">
        <v>148</v>
      </c>
    </row>
    <row r="99" spans="1:7" x14ac:dyDescent="0.3">
      <c r="A99" t="s">
        <v>126</v>
      </c>
      <c r="B99" t="s">
        <v>131</v>
      </c>
      <c r="C99" t="s">
        <v>154</v>
      </c>
      <c r="D99" t="s">
        <v>140</v>
      </c>
      <c r="E99">
        <v>3.34</v>
      </c>
      <c r="F99">
        <v>1.1000000000000001</v>
      </c>
      <c r="G99" t="s">
        <v>148</v>
      </c>
    </row>
    <row r="100" spans="1:7" x14ac:dyDescent="0.3">
      <c r="A100" t="s">
        <v>117</v>
      </c>
      <c r="B100" t="s">
        <v>129</v>
      </c>
      <c r="C100" t="s">
        <v>174</v>
      </c>
      <c r="D100" t="s">
        <v>137</v>
      </c>
      <c r="E100">
        <v>18.48</v>
      </c>
      <c r="F100">
        <v>2.2999999999999998</v>
      </c>
      <c r="G10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3B62-5301-4E99-A4B3-F06F25A9EAFD}">
  <dimension ref="A1:M28"/>
  <sheetViews>
    <sheetView workbookViewId="0">
      <selection activeCell="D13" sqref="D13"/>
    </sheetView>
  </sheetViews>
  <sheetFormatPr defaultRowHeight="14.4" x14ac:dyDescent="0.3"/>
  <cols>
    <col min="1" max="1" width="15.77734375" customWidth="1"/>
    <col min="2" max="2" width="24.33203125" customWidth="1"/>
    <col min="3" max="3" width="9.109375" customWidth="1"/>
    <col min="4" max="4" width="17.88671875" customWidth="1"/>
    <col min="5" max="5" width="12.44140625" customWidth="1"/>
    <col min="7" max="7" width="14.44140625" customWidth="1"/>
    <col min="9" max="9" width="17.109375" customWidth="1"/>
    <col min="10" max="10" width="22.44140625" customWidth="1"/>
  </cols>
  <sheetData>
    <row r="1" spans="1:13" x14ac:dyDescent="0.3">
      <c r="A1" s="1" t="s">
        <v>191</v>
      </c>
      <c r="C1" s="45" t="s">
        <v>216</v>
      </c>
      <c r="D1" s="45"/>
      <c r="G1" s="1" t="s">
        <v>215</v>
      </c>
      <c r="I1" s="34" t="s">
        <v>201</v>
      </c>
      <c r="J1" s="34" t="s">
        <v>202</v>
      </c>
    </row>
    <row r="2" spans="1:13" x14ac:dyDescent="0.3">
      <c r="A2" s="41">
        <f ca="1">TODAY()</f>
        <v>45863</v>
      </c>
      <c r="C2" s="3">
        <f ca="1">WEEKDAY(TODAY())</f>
        <v>6</v>
      </c>
      <c r="D2" s="33" t="s">
        <v>217</v>
      </c>
      <c r="G2" s="20">
        <f ca="1">WEEKNUM(TODAY(),2)</f>
        <v>30</v>
      </c>
      <c r="I2" s="39">
        <v>45658</v>
      </c>
      <c r="J2" s="40" t="s">
        <v>205</v>
      </c>
    </row>
    <row r="3" spans="1:13" x14ac:dyDescent="0.3">
      <c r="C3" s="3">
        <f ca="1">WEEKDAY(A2,2)</f>
        <v>5</v>
      </c>
      <c r="D3" s="33" t="s">
        <v>218</v>
      </c>
      <c r="I3" s="39">
        <v>45671</v>
      </c>
      <c r="J3" s="40" t="s">
        <v>213</v>
      </c>
    </row>
    <row r="4" spans="1:13" x14ac:dyDescent="0.3">
      <c r="A4" s="1" t="s">
        <v>197</v>
      </c>
      <c r="I4" s="39">
        <v>45683</v>
      </c>
      <c r="J4" s="40" t="s">
        <v>206</v>
      </c>
    </row>
    <row r="5" spans="1:13" x14ac:dyDescent="0.3">
      <c r="A5" s="42">
        <f ca="1">NOW()</f>
        <v>45863.983305324073</v>
      </c>
      <c r="C5" s="1" t="s">
        <v>219</v>
      </c>
      <c r="D5" s="1" t="s">
        <v>220</v>
      </c>
      <c r="E5" s="1" t="s">
        <v>221</v>
      </c>
      <c r="I5" s="39">
        <v>45730</v>
      </c>
      <c r="J5" s="40" t="s">
        <v>207</v>
      </c>
    </row>
    <row r="6" spans="1:13" x14ac:dyDescent="0.3">
      <c r="C6" s="19">
        <f ca="1">DAY(A2)</f>
        <v>25</v>
      </c>
      <c r="D6" s="19">
        <f ca="1">MONTH(A2)</f>
        <v>7</v>
      </c>
      <c r="E6" s="19">
        <f ca="1">YEAR(A2)</f>
        <v>2025</v>
      </c>
      <c r="I6" s="39">
        <v>45761</v>
      </c>
      <c r="J6" s="40" t="s">
        <v>212</v>
      </c>
    </row>
    <row r="7" spans="1:13" x14ac:dyDescent="0.3">
      <c r="A7" s="1" t="s">
        <v>198</v>
      </c>
      <c r="I7" s="39">
        <v>45765</v>
      </c>
      <c r="J7" s="40" t="s">
        <v>208</v>
      </c>
    </row>
    <row r="8" spans="1:13" x14ac:dyDescent="0.3">
      <c r="A8" s="43">
        <f>TIME(20,40,30)</f>
        <v>0.86145833333333333</v>
      </c>
      <c r="C8" s="1" t="s">
        <v>222</v>
      </c>
      <c r="D8" s="1" t="s">
        <v>223</v>
      </c>
      <c r="E8" s="1" t="s">
        <v>224</v>
      </c>
      <c r="I8" s="39">
        <v>45778</v>
      </c>
      <c r="J8" s="40" t="s">
        <v>214</v>
      </c>
    </row>
    <row r="9" spans="1:13" x14ac:dyDescent="0.3">
      <c r="A9" s="43">
        <f ca="1">NOW()-TODAY()</f>
        <v>0.98330520833405899</v>
      </c>
      <c r="C9" s="19">
        <f>HOUR(A8)</f>
        <v>20</v>
      </c>
      <c r="D9" s="19">
        <f>MINUTE(A8)</f>
        <v>40</v>
      </c>
      <c r="E9" s="19">
        <f>SECOND(A8)</f>
        <v>30</v>
      </c>
      <c r="I9" s="39">
        <v>45815</v>
      </c>
      <c r="J9" s="40" t="s">
        <v>209</v>
      </c>
    </row>
    <row r="10" spans="1:13" x14ac:dyDescent="0.3">
      <c r="I10" s="39">
        <v>45884</v>
      </c>
      <c r="J10" s="40" t="s">
        <v>210</v>
      </c>
    </row>
    <row r="11" spans="1:13" x14ac:dyDescent="0.3">
      <c r="A11" s="34" t="s">
        <v>194</v>
      </c>
      <c r="B11" s="1" t="s">
        <v>196</v>
      </c>
      <c r="D11" s="46" t="s">
        <v>225</v>
      </c>
      <c r="E11" s="47"/>
      <c r="I11" s="39">
        <v>45896</v>
      </c>
      <c r="J11" s="40" t="s">
        <v>211</v>
      </c>
    </row>
    <row r="12" spans="1:13" x14ac:dyDescent="0.3">
      <c r="A12" t="s">
        <v>195</v>
      </c>
      <c r="B12" s="35">
        <v>38871</v>
      </c>
      <c r="D12" s="19">
        <f ca="1">DAYS360(B12,B13,TRUE)</f>
        <v>6892</v>
      </c>
      <c r="E12" s="19">
        <f ca="1">DAYS360("13-3-2006",B13,TRUE)</f>
        <v>6972</v>
      </c>
      <c r="I12" s="39"/>
      <c r="J12" s="40"/>
    </row>
    <row r="13" spans="1:13" ht="18" x14ac:dyDescent="0.3">
      <c r="A13" t="s">
        <v>191</v>
      </c>
      <c r="B13" s="35">
        <f ca="1">TODAY()</f>
        <v>45863</v>
      </c>
      <c r="L13" s="37"/>
    </row>
    <row r="14" spans="1:13" x14ac:dyDescent="0.3">
      <c r="A14" s="18" t="s">
        <v>199</v>
      </c>
      <c r="B14" s="18">
        <f ca="1">DATEDIF(B12,B13,"y")</f>
        <v>19</v>
      </c>
      <c r="D14" s="1" t="s">
        <v>226</v>
      </c>
      <c r="I14" s="36" t="s">
        <v>203</v>
      </c>
      <c r="J14" s="36" t="s">
        <v>204</v>
      </c>
    </row>
    <row r="15" spans="1:13" x14ac:dyDescent="0.3">
      <c r="B15" s="1" t="s">
        <v>200</v>
      </c>
      <c r="D15" s="41">
        <f>EOMONTH(B12,10)</f>
        <v>39202</v>
      </c>
      <c r="I15" s="18">
        <f>NETWORKDAYS("01-01-2025","31-01-2025")</f>
        <v>23</v>
      </c>
      <c r="J15" s="44">
        <f>WORKDAY("10-01-2025",6)</f>
        <v>45677</v>
      </c>
      <c r="L15" s="38"/>
      <c r="M15" s="38"/>
    </row>
    <row r="16" spans="1:13" x14ac:dyDescent="0.3">
      <c r="A16" s="18" t="s">
        <v>199</v>
      </c>
      <c r="B16" s="18">
        <f ca="1">YEARFRAC(B12,B13,1)</f>
        <v>19.143052703627653</v>
      </c>
      <c r="I16" s="18">
        <f>NETWORKDAYS("01-01-2025","31-01-2025",I2:I11)</f>
        <v>21</v>
      </c>
      <c r="J16" s="44">
        <f>WORKDAY("10-01-2025",6,I2:I11)</f>
        <v>45678</v>
      </c>
      <c r="L16" s="39"/>
      <c r="M16" s="40"/>
    </row>
    <row r="17" spans="1:13" x14ac:dyDescent="0.3">
      <c r="L17" s="39"/>
      <c r="M17" s="40"/>
    </row>
    <row r="18" spans="1:13" x14ac:dyDescent="0.3">
      <c r="A18" s="34" t="s">
        <v>192</v>
      </c>
      <c r="B18" s="34" t="s">
        <v>193</v>
      </c>
      <c r="L18" s="39"/>
      <c r="M18" s="40"/>
    </row>
    <row r="19" spans="1:13" x14ac:dyDescent="0.3">
      <c r="A19" s="8" t="s">
        <v>227</v>
      </c>
      <c r="B19" s="8" t="s">
        <v>228</v>
      </c>
      <c r="L19" s="39"/>
      <c r="M19" s="40"/>
    </row>
    <row r="20" spans="1:13" x14ac:dyDescent="0.3">
      <c r="A20" s="8">
        <v>1</v>
      </c>
      <c r="B20" s="8" t="s">
        <v>229</v>
      </c>
      <c r="L20" s="39"/>
      <c r="M20" s="40"/>
    </row>
    <row r="21" spans="1:13" x14ac:dyDescent="0.3">
      <c r="A21" s="8">
        <v>2</v>
      </c>
      <c r="B21" s="8" t="s">
        <v>230</v>
      </c>
      <c r="L21" s="39"/>
      <c r="M21" s="40"/>
    </row>
    <row r="22" spans="1:13" x14ac:dyDescent="0.3">
      <c r="A22" s="8">
        <v>3</v>
      </c>
      <c r="B22" s="8" t="s">
        <v>231</v>
      </c>
      <c r="L22" s="39"/>
      <c r="M22" s="40"/>
    </row>
    <row r="23" spans="1:13" x14ac:dyDescent="0.3">
      <c r="A23" s="8">
        <v>4</v>
      </c>
      <c r="B23" s="8" t="s">
        <v>232</v>
      </c>
      <c r="L23" s="39"/>
      <c r="M23" s="40"/>
    </row>
    <row r="24" spans="1:13" x14ac:dyDescent="0.3">
      <c r="L24" s="39"/>
      <c r="M24" s="40"/>
    </row>
    <row r="25" spans="1:13" x14ac:dyDescent="0.3">
      <c r="L25" s="39"/>
      <c r="M25" s="40"/>
    </row>
    <row r="26" spans="1:13" x14ac:dyDescent="0.3">
      <c r="L26" s="39"/>
      <c r="M26" s="40"/>
    </row>
    <row r="27" spans="1:13" x14ac:dyDescent="0.3">
      <c r="L27" s="39"/>
      <c r="M27" s="40"/>
    </row>
    <row r="28" spans="1:13" x14ac:dyDescent="0.3">
      <c r="L28" s="39"/>
      <c r="M28" s="40"/>
    </row>
  </sheetData>
  <mergeCells count="2">
    <mergeCell ref="C1:D1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26D-0A4B-48AB-9154-57C924A78A43}">
  <dimension ref="A1:M27"/>
  <sheetViews>
    <sheetView workbookViewId="0">
      <selection activeCell="M16" sqref="M16"/>
    </sheetView>
  </sheetViews>
  <sheetFormatPr defaultRowHeight="14.4" x14ac:dyDescent="0.3"/>
  <cols>
    <col min="1" max="1" width="11.21875" bestFit="1" customWidth="1"/>
    <col min="2" max="2" width="11.44140625" customWidth="1"/>
    <col min="3" max="3" width="12.77734375" bestFit="1" customWidth="1"/>
    <col min="5" max="5" width="11" customWidth="1"/>
    <col min="6" max="6" width="22.77734375" customWidth="1"/>
    <col min="7" max="7" width="13.5546875" bestFit="1" customWidth="1"/>
    <col min="9" max="9" width="21.109375" customWidth="1"/>
    <col min="10" max="10" width="17.33203125" customWidth="1"/>
    <col min="12" max="12" width="22" customWidth="1"/>
    <col min="13" max="13" width="17.109375" customWidth="1"/>
  </cols>
  <sheetData>
    <row r="1" spans="1:13" x14ac:dyDescent="0.3">
      <c r="A1" s="55" t="s">
        <v>233</v>
      </c>
      <c r="B1" s="55" t="s">
        <v>234</v>
      </c>
      <c r="C1" s="55" t="s">
        <v>235</v>
      </c>
      <c r="D1" s="55" t="s">
        <v>236</v>
      </c>
    </row>
    <row r="2" spans="1:13" x14ac:dyDescent="0.3">
      <c r="A2" s="56">
        <v>0.05</v>
      </c>
      <c r="B2">
        <v>20</v>
      </c>
      <c r="C2" s="64">
        <v>200000</v>
      </c>
      <c r="D2">
        <v>0</v>
      </c>
    </row>
    <row r="4" spans="1:13" x14ac:dyDescent="0.3">
      <c r="A4" s="58" t="s">
        <v>237</v>
      </c>
      <c r="B4" s="58"/>
      <c r="F4" s="60" t="s">
        <v>240</v>
      </c>
      <c r="G4" s="61">
        <v>0.1</v>
      </c>
      <c r="I4" s="65" t="s">
        <v>244</v>
      </c>
      <c r="J4" s="65" t="s">
        <v>245</v>
      </c>
      <c r="L4" s="60" t="s">
        <v>260</v>
      </c>
      <c r="M4" s="76">
        <v>200000</v>
      </c>
    </row>
    <row r="5" spans="1:13" x14ac:dyDescent="0.3">
      <c r="A5" s="72">
        <f>PMT(A2,B2,C2,D2)</f>
        <v>-16048.517438138262</v>
      </c>
      <c r="B5" s="72">
        <f>-PMT(A2,B2,C2,D2)</f>
        <v>16048.517438138262</v>
      </c>
      <c r="F5" s="60" t="s">
        <v>241</v>
      </c>
      <c r="G5" s="59">
        <v>8</v>
      </c>
      <c r="I5" s="66">
        <v>-8000</v>
      </c>
      <c r="J5" s="66" t="s">
        <v>246</v>
      </c>
      <c r="L5" s="60" t="s">
        <v>261</v>
      </c>
      <c r="M5" s="59">
        <v>5000</v>
      </c>
    </row>
    <row r="6" spans="1:13" x14ac:dyDescent="0.3">
      <c r="F6" s="60" t="s">
        <v>242</v>
      </c>
      <c r="G6" s="63">
        <v>-100000</v>
      </c>
      <c r="I6" s="66">
        <v>2500</v>
      </c>
      <c r="J6" s="66" t="s">
        <v>247</v>
      </c>
      <c r="L6" s="60" t="s">
        <v>262</v>
      </c>
      <c r="M6" s="75">
        <v>60</v>
      </c>
    </row>
    <row r="7" spans="1:13" x14ac:dyDescent="0.3">
      <c r="A7" s="58" t="s">
        <v>238</v>
      </c>
      <c r="B7" s="58"/>
      <c r="I7" s="66">
        <v>2700</v>
      </c>
      <c r="J7" s="66" t="s">
        <v>248</v>
      </c>
    </row>
    <row r="8" spans="1:13" x14ac:dyDescent="0.3">
      <c r="A8" s="72">
        <f>PMT(A2/4,B2*4,-C2,D2,0)</f>
        <v>3969.3048055383424</v>
      </c>
      <c r="F8" s="62" t="s">
        <v>243</v>
      </c>
      <c r="G8" s="72">
        <f>FV(G4,G5,G6)</f>
        <v>1143588.810000001</v>
      </c>
      <c r="I8" s="66">
        <v>2800</v>
      </c>
      <c r="J8" s="66" t="s">
        <v>249</v>
      </c>
      <c r="L8" s="62" t="s">
        <v>233</v>
      </c>
      <c r="M8" s="73">
        <f>RATE(M6,M5,-M4)*12</f>
        <v>0.1727373720109826</v>
      </c>
    </row>
    <row r="9" spans="1:13" x14ac:dyDescent="0.3">
      <c r="I9" s="66">
        <v>3000</v>
      </c>
      <c r="J9" s="66" t="s">
        <v>250</v>
      </c>
    </row>
    <row r="10" spans="1:13" x14ac:dyDescent="0.3">
      <c r="A10" s="58" t="s">
        <v>239</v>
      </c>
      <c r="B10" s="58"/>
      <c r="I10" s="66">
        <v>3200</v>
      </c>
      <c r="J10" s="66" t="s">
        <v>251</v>
      </c>
    </row>
    <row r="11" spans="1:13" x14ac:dyDescent="0.3">
      <c r="A11" s="72">
        <f>PMT(A2/12,B2*12,-C2,D2,0)</f>
        <v>1319.9114784333149</v>
      </c>
      <c r="I11" s="68" t="s">
        <v>233</v>
      </c>
      <c r="J11" s="69">
        <v>0.1</v>
      </c>
      <c r="L11" s="71" t="s">
        <v>260</v>
      </c>
      <c r="M11" s="76">
        <v>200000</v>
      </c>
    </row>
    <row r="12" spans="1:13" x14ac:dyDescent="0.3">
      <c r="L12" s="71" t="s">
        <v>263</v>
      </c>
      <c r="M12" s="61">
        <v>0.1</v>
      </c>
    </row>
    <row r="13" spans="1:13" x14ac:dyDescent="0.3">
      <c r="F13" s="71" t="s">
        <v>254</v>
      </c>
      <c r="G13" s="61">
        <v>0.08</v>
      </c>
      <c r="I13" s="62" t="s">
        <v>253</v>
      </c>
      <c r="J13" s="72">
        <f>NPV(J11,I5:I10)</f>
        <v>2403.4566125580736</v>
      </c>
      <c r="L13" s="71" t="s">
        <v>261</v>
      </c>
      <c r="M13" s="75">
        <v>5000</v>
      </c>
    </row>
    <row r="14" spans="1:13" x14ac:dyDescent="0.3">
      <c r="F14" s="71" t="s">
        <v>255</v>
      </c>
      <c r="G14" s="59">
        <v>5</v>
      </c>
    </row>
    <row r="15" spans="1:13" x14ac:dyDescent="0.3">
      <c r="A15" s="65" t="s">
        <v>201</v>
      </c>
      <c r="B15" s="65" t="s">
        <v>244</v>
      </c>
      <c r="C15" s="65" t="s">
        <v>245</v>
      </c>
      <c r="F15" s="71" t="s">
        <v>256</v>
      </c>
      <c r="G15" s="63">
        <v>-10000</v>
      </c>
      <c r="I15" s="65" t="s">
        <v>201</v>
      </c>
      <c r="J15" s="65" t="s">
        <v>244</v>
      </c>
      <c r="L15" s="62" t="s">
        <v>264</v>
      </c>
      <c r="M15" s="57">
        <f>NPER(M12/12,M13,-M11)</f>
        <v>48.858265121107493</v>
      </c>
    </row>
    <row r="16" spans="1:13" x14ac:dyDescent="0.3">
      <c r="A16" s="67">
        <v>42073</v>
      </c>
      <c r="B16" s="66">
        <v>-8000</v>
      </c>
      <c r="C16" s="66" t="s">
        <v>246</v>
      </c>
      <c r="I16" s="67">
        <v>40247</v>
      </c>
      <c r="J16" s="70">
        <v>-8000</v>
      </c>
    </row>
    <row r="17" spans="1:10" x14ac:dyDescent="0.3">
      <c r="A17" s="67">
        <v>42104</v>
      </c>
      <c r="B17" s="66">
        <v>2500</v>
      </c>
      <c r="C17" s="66" t="s">
        <v>247</v>
      </c>
      <c r="F17" s="62" t="s">
        <v>257</v>
      </c>
      <c r="G17" s="72">
        <f>PV(G13,G14,G15)</f>
        <v>39927.10037078087</v>
      </c>
      <c r="I17" s="67">
        <v>40612</v>
      </c>
      <c r="J17" s="70">
        <v>2500</v>
      </c>
    </row>
    <row r="18" spans="1:10" x14ac:dyDescent="0.3">
      <c r="A18" s="67">
        <v>42134</v>
      </c>
      <c r="B18" s="66">
        <v>2700</v>
      </c>
      <c r="C18" s="66" t="s">
        <v>248</v>
      </c>
      <c r="I18" s="67">
        <v>40978</v>
      </c>
      <c r="J18" s="70">
        <v>2700</v>
      </c>
    </row>
    <row r="19" spans="1:10" x14ac:dyDescent="0.3">
      <c r="A19" s="67">
        <v>42165</v>
      </c>
      <c r="B19" s="66">
        <v>2800</v>
      </c>
      <c r="C19" s="66" t="s">
        <v>249</v>
      </c>
      <c r="I19" s="67">
        <v>41374</v>
      </c>
      <c r="J19" s="70">
        <v>2800</v>
      </c>
    </row>
    <row r="20" spans="1:10" x14ac:dyDescent="0.3">
      <c r="A20" s="67">
        <v>42195</v>
      </c>
      <c r="B20" s="66">
        <v>3000</v>
      </c>
      <c r="C20" s="66" t="s">
        <v>250</v>
      </c>
      <c r="I20" s="67">
        <v>41769</v>
      </c>
      <c r="J20" s="70">
        <v>3000</v>
      </c>
    </row>
    <row r="21" spans="1:10" x14ac:dyDescent="0.3">
      <c r="A21" s="67">
        <v>42226</v>
      </c>
      <c r="B21" s="66">
        <v>3200</v>
      </c>
      <c r="C21" s="66" t="s">
        <v>251</v>
      </c>
      <c r="E21" s="65" t="s">
        <v>201</v>
      </c>
      <c r="F21" s="65" t="s">
        <v>244</v>
      </c>
      <c r="I21" s="67">
        <v>42165</v>
      </c>
      <c r="J21" s="70">
        <v>3200</v>
      </c>
    </row>
    <row r="22" spans="1:10" x14ac:dyDescent="0.3">
      <c r="E22" s="67">
        <v>42073</v>
      </c>
      <c r="F22" s="66">
        <v>-8000</v>
      </c>
      <c r="I22" s="68" t="s">
        <v>252</v>
      </c>
      <c r="J22" s="69">
        <v>0.05</v>
      </c>
    </row>
    <row r="23" spans="1:10" x14ac:dyDescent="0.3">
      <c r="A23" s="62" t="s">
        <v>258</v>
      </c>
      <c r="B23" s="62" t="s">
        <v>259</v>
      </c>
      <c r="E23" s="67">
        <v>42113</v>
      </c>
      <c r="F23" s="66">
        <v>2500</v>
      </c>
    </row>
    <row r="24" spans="1:10" x14ac:dyDescent="0.3">
      <c r="A24" s="73">
        <f>IRR(B16:B21)</f>
        <v>0.21682651083638294</v>
      </c>
      <c r="B24" s="57">
        <f>XIRR(F22:F27,E22:E27)</f>
        <v>16.90113897323608</v>
      </c>
      <c r="E24" s="67">
        <v>42089</v>
      </c>
      <c r="F24" s="66">
        <v>2700</v>
      </c>
      <c r="I24" s="62" t="s">
        <v>265</v>
      </c>
      <c r="J24" s="74">
        <f>XNPV(J22,J16:J21,I16:I21)</f>
        <v>4162.070453062116</v>
      </c>
    </row>
    <row r="25" spans="1:10" x14ac:dyDescent="0.3">
      <c r="E25" s="67">
        <v>42185</v>
      </c>
      <c r="F25" s="66">
        <v>2800</v>
      </c>
    </row>
    <row r="26" spans="1:10" x14ac:dyDescent="0.3">
      <c r="E26" s="67">
        <v>42170</v>
      </c>
      <c r="F26" s="66">
        <v>3000</v>
      </c>
    </row>
    <row r="27" spans="1:10" x14ac:dyDescent="0.3">
      <c r="E27" s="67">
        <v>42192</v>
      </c>
      <c r="F27" s="66">
        <v>3200</v>
      </c>
    </row>
  </sheetData>
  <mergeCells count="3">
    <mergeCell ref="A4:B4"/>
    <mergeCell ref="A7:B7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 fun</vt:lpstr>
      <vt:lpstr>TEXT fun</vt:lpstr>
      <vt:lpstr>Advanced</vt:lpstr>
      <vt:lpstr>Sumif-countif</vt:lpstr>
      <vt:lpstr>Date and Time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 Shruthi S</dc:creator>
  <cp:lastModifiedBy>Mano Shruthi S</cp:lastModifiedBy>
  <dcterms:created xsi:type="dcterms:W3CDTF">2025-07-25T05:44:29Z</dcterms:created>
  <dcterms:modified xsi:type="dcterms:W3CDTF">2025-07-25T18:06:22Z</dcterms:modified>
</cp:coreProperties>
</file>