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noj\Desktop\"/>
    </mc:Choice>
  </mc:AlternateContent>
  <xr:revisionPtr revIDLastSave="0" documentId="13_ncr:1_{6222455E-74D4-4165-A1E4-9ADA8C472F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F27" i="1"/>
  <c r="Y30" i="1" l="1"/>
  <c r="AA14" i="1"/>
  <c r="Y14" i="1"/>
  <c r="J62" i="1"/>
  <c r="Q30" i="1"/>
  <c r="Q31" i="1"/>
  <c r="R31" i="1"/>
  <c r="T31" i="1"/>
  <c r="U31" i="1"/>
  <c r="Q32" i="1"/>
  <c r="R32" i="1"/>
  <c r="T32" i="1"/>
  <c r="U32" i="1"/>
  <c r="Q33" i="1"/>
  <c r="R33" i="1"/>
  <c r="S33" i="1"/>
  <c r="T33" i="1"/>
  <c r="U33" i="1"/>
  <c r="R34" i="1"/>
  <c r="S34" i="1"/>
  <c r="T34" i="1"/>
  <c r="U34" i="1"/>
  <c r="S35" i="1"/>
  <c r="U13" i="1"/>
  <c r="U14" i="1"/>
  <c r="U15" i="1"/>
  <c r="U16" i="1"/>
  <c r="U17" i="1"/>
  <c r="U18" i="1"/>
  <c r="U12" i="1"/>
  <c r="T13" i="1"/>
  <c r="T14" i="1"/>
  <c r="T15" i="1"/>
  <c r="T16" i="1"/>
  <c r="T17" i="1"/>
  <c r="T18" i="1"/>
  <c r="T12" i="1"/>
  <c r="S13" i="1"/>
  <c r="S14" i="1"/>
  <c r="S15" i="1"/>
  <c r="S16" i="1"/>
  <c r="S17" i="1"/>
  <c r="S18" i="1"/>
  <c r="S12" i="1"/>
  <c r="R12" i="1"/>
  <c r="R13" i="1"/>
  <c r="R14" i="1"/>
  <c r="R15" i="1"/>
  <c r="R16" i="1"/>
  <c r="R17" i="1"/>
  <c r="R18" i="1"/>
  <c r="E89" i="1" l="1"/>
  <c r="Y18" i="1" s="1"/>
  <c r="E88" i="1"/>
  <c r="Y33" i="1" s="1"/>
  <c r="E16" i="1"/>
  <c r="AA34" i="1"/>
  <c r="AA33" i="1"/>
  <c r="AA18" i="1"/>
  <c r="AA17" i="1"/>
  <c r="G89" i="1"/>
  <c r="G88" i="1"/>
  <c r="Z28" i="1"/>
  <c r="I16" i="1"/>
  <c r="I19" i="1"/>
  <c r="F46" i="1"/>
  <c r="C48" i="1" s="1"/>
  <c r="Y34" i="1" l="1"/>
  <c r="Y17" i="1"/>
  <c r="H31" i="1"/>
  <c r="H30" i="1"/>
  <c r="H29" i="1"/>
  <c r="F44" i="1" l="1"/>
  <c r="F74" i="1" l="1"/>
  <c r="J74" i="1" s="1"/>
  <c r="F63" i="1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F53" i="1"/>
  <c r="J53" i="1" s="1"/>
  <c r="F52" i="1"/>
  <c r="J52" i="1" s="1"/>
  <c r="F54" i="1" s="1"/>
  <c r="J54" i="1" s="1"/>
  <c r="J44" i="1"/>
  <c r="F45" i="1" s="1"/>
  <c r="B10" i="2" l="1"/>
  <c r="C10" i="2"/>
  <c r="D10" i="2"/>
  <c r="E10" i="2"/>
  <c r="F10" i="2" s="1"/>
  <c r="F55" i="1"/>
  <c r="J55" i="1" s="1"/>
  <c r="F56" i="1" s="1"/>
  <c r="J56" i="1" s="1"/>
  <c r="F61" i="1" s="1"/>
  <c r="F84" i="1" l="1"/>
  <c r="M19" i="1"/>
  <c r="F6" i="2" s="1"/>
  <c r="P15" i="1" s="1"/>
  <c r="Q19" i="1"/>
  <c r="F72" i="1" s="1"/>
  <c r="J72" i="1" s="1"/>
  <c r="Z20" i="1"/>
  <c r="Z36" i="1" s="1"/>
  <c r="F4" i="2" l="1"/>
  <c r="P13" i="1" s="1"/>
  <c r="F7" i="2"/>
  <c r="P16" i="1" s="1"/>
  <c r="F3" i="2"/>
  <c r="P12" i="1" s="1"/>
  <c r="F5" i="2"/>
  <c r="P14" i="1" s="1"/>
  <c r="F9" i="2"/>
  <c r="P18" i="1" s="1"/>
  <c r="F8" i="2"/>
  <c r="P17" i="1" s="1"/>
  <c r="F89" i="1" l="1"/>
  <c r="Z18" i="1" s="1"/>
  <c r="Z34" i="1" s="1"/>
  <c r="F88" i="1"/>
  <c r="Z17" i="1" s="1"/>
  <c r="Z33" i="1" s="1"/>
  <c r="J61" i="1"/>
  <c r="F73" i="1"/>
  <c r="F75" i="1" s="1"/>
  <c r="J75" i="1" s="1"/>
  <c r="F76" i="1" s="1"/>
  <c r="F65" i="1" l="1"/>
  <c r="J65" i="1" s="1"/>
  <c r="Z14" i="1" s="1"/>
  <c r="Z30" i="1" s="1"/>
  <c r="L61" i="1"/>
  <c r="C64" i="1"/>
  <c r="F85" i="1"/>
  <c r="Z19" i="1" s="1"/>
  <c r="Z35" i="1" s="1"/>
  <c r="F62" i="1"/>
  <c r="F83" i="1"/>
  <c r="F66" i="1" l="1"/>
  <c r="J66" i="1" s="1"/>
  <c r="Z13" i="1" s="1"/>
  <c r="Z21" i="1" s="1"/>
  <c r="F86" i="1"/>
  <c r="Z29" i="1" l="1"/>
  <c r="F90" i="1"/>
  <c r="Z15" i="1" s="1"/>
  <c r="F87" i="1"/>
  <c r="Z16" i="1" s="1"/>
  <c r="Z32" i="1" s="1"/>
  <c r="Z31" i="1" l="1"/>
  <c r="X22" i="1"/>
</calcChain>
</file>

<file path=xl/sharedStrings.xml><?xml version="1.0" encoding="utf-8"?>
<sst xmlns="http://schemas.openxmlformats.org/spreadsheetml/2006/main" count="297" uniqueCount="167">
  <si>
    <t>Grade Designation</t>
  </si>
  <si>
    <t>Type of cement</t>
  </si>
  <si>
    <t>Maximum Nominal Size of Aggregates</t>
  </si>
  <si>
    <t>mm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</si>
  <si>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</si>
  <si>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Workability</t>
  </si>
  <si>
    <t>mm (Slump)</t>
  </si>
  <si>
    <t>Exposure condition</t>
  </si>
  <si>
    <t>Severe</t>
  </si>
  <si>
    <t>Method of concrete placing</t>
  </si>
  <si>
    <t>Degree of supervision</t>
  </si>
  <si>
    <t>Chemical admixture Type</t>
  </si>
  <si>
    <t>Good</t>
  </si>
  <si>
    <t>(conforming to IS 81112)</t>
  </si>
  <si>
    <t>Specific Gravity of cement</t>
  </si>
  <si>
    <t>Specific Gravity of coarse aggregates</t>
  </si>
  <si>
    <t>Specific Gravity of fine aggregates</t>
  </si>
  <si>
    <t>Water absorption of Coarse Aggregates</t>
  </si>
  <si>
    <t>Water absorption of Fine Aggregates</t>
  </si>
  <si>
    <t>%</t>
  </si>
  <si>
    <t>Input</t>
  </si>
  <si>
    <t>Zoning of Fine Aggregates</t>
  </si>
  <si>
    <t>IS Sieve</t>
  </si>
  <si>
    <t>micron</t>
  </si>
  <si>
    <t>% passing</t>
  </si>
  <si>
    <t>Zone I</t>
  </si>
  <si>
    <t>Zone II</t>
  </si>
  <si>
    <t>Zone III</t>
  </si>
  <si>
    <t>Zone IV</t>
  </si>
  <si>
    <t>or</t>
  </si>
  <si>
    <t>Use</t>
  </si>
  <si>
    <t>Target avg. Compression strength at 28 days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</si>
  <si>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</si>
  <si>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Target Strength and W/C ratio selection</t>
  </si>
  <si>
    <t>Maximum Water content</t>
  </si>
  <si>
    <t>Reduction due to type of coarse aggregates</t>
  </si>
  <si>
    <t>Type of coarse aggregates</t>
  </si>
  <si>
    <t>Angular Aggregates</t>
  </si>
  <si>
    <t>SubAngular Aggregates</t>
  </si>
  <si>
    <t>Gravel with crushed particles</t>
  </si>
  <si>
    <t>Rounded Gravels</t>
  </si>
  <si>
    <t>(For angular coarse aggregates and 25 to 50mm slump)</t>
  </si>
  <si>
    <t>Increment due to workabilty</t>
  </si>
  <si>
    <t>Reduction in water content</t>
  </si>
  <si>
    <t>Net Water Content</t>
  </si>
  <si>
    <t>Resulting WC after Reduction due to admixture</t>
  </si>
  <si>
    <t>Calculating Water content</t>
  </si>
  <si>
    <t>Calculating Cement Content</t>
  </si>
  <si>
    <t>Type of Concrete</t>
  </si>
  <si>
    <t>RCC</t>
  </si>
  <si>
    <t>Mild</t>
  </si>
  <si>
    <t>Moderate</t>
  </si>
  <si>
    <t>Very Severe</t>
  </si>
  <si>
    <t>Extreme</t>
  </si>
  <si>
    <t>PCC</t>
  </si>
  <si>
    <t>Min. Cement Content</t>
  </si>
  <si>
    <t>Maximum free w/c ratio</t>
  </si>
  <si>
    <t>Min Grade of concrete</t>
  </si>
  <si>
    <t>Minimum Cement content as per IS 456</t>
  </si>
  <si>
    <t>Nominal Max. Agg. Size</t>
  </si>
  <si>
    <t>Proportioning Aggregates</t>
  </si>
  <si>
    <t>Vol. of Coarse agg per unit total agg</t>
  </si>
  <si>
    <t>for w/c = 0.5</t>
  </si>
  <si>
    <t>Changed due to slump value (Workability)</t>
  </si>
  <si>
    <t>Volume of Coarse aggregates</t>
  </si>
  <si>
    <t>Volume of Fine aggregates</t>
  </si>
  <si>
    <t>Mix Calculations</t>
  </si>
  <si>
    <t>Volume of Concrete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</si>
  <si>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</si>
  <si>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Volume of Cement</t>
  </si>
  <si>
    <t>Volume of Water</t>
  </si>
  <si>
    <t>Volume of Chemical Admixture</t>
  </si>
  <si>
    <t>Volume of chemical Admixture</t>
  </si>
  <si>
    <t>Specific gravity of Chemical Admixture</t>
  </si>
  <si>
    <t>Volume of all aggregates</t>
  </si>
  <si>
    <t>Mass of coarse aggregates</t>
  </si>
  <si>
    <t>Kg</t>
  </si>
  <si>
    <t>Mass of fine aggregates</t>
  </si>
  <si>
    <t>Result</t>
  </si>
  <si>
    <t>Cement</t>
  </si>
  <si>
    <t>Water</t>
  </si>
  <si>
    <t>Fine Aggregates</t>
  </si>
  <si>
    <t>Coarse Aggregates</t>
  </si>
  <si>
    <t>Chemical Admixtures</t>
  </si>
  <si>
    <t>Water-cement Ratio</t>
  </si>
  <si>
    <t>per bag</t>
  </si>
  <si>
    <t>per cft</t>
  </si>
  <si>
    <t>per ton</t>
  </si>
  <si>
    <t>adopt water cement ratio</t>
  </si>
  <si>
    <t>Min. Grade</t>
  </si>
  <si>
    <t>Max. WC</t>
  </si>
  <si>
    <t>Invalid Grade for RCC</t>
  </si>
  <si>
    <t>per cum</t>
  </si>
  <si>
    <t>Coarse Aggregates Checking</t>
  </si>
  <si>
    <t>I</t>
  </si>
  <si>
    <t>II</t>
  </si>
  <si>
    <t>Make</t>
  </si>
  <si>
    <t>JK Super</t>
  </si>
  <si>
    <t>Shree Jang Rodhak</t>
  </si>
  <si>
    <t>JK Laxmi</t>
  </si>
  <si>
    <t>Bangar</t>
  </si>
  <si>
    <t>JayPee</t>
  </si>
  <si>
    <t>Ultratech</t>
  </si>
  <si>
    <t>ACC</t>
  </si>
  <si>
    <t>Ambuja</t>
  </si>
  <si>
    <t>Shree</t>
  </si>
  <si>
    <t>Normal</t>
  </si>
  <si>
    <t>Yes</t>
  </si>
  <si>
    <t>No</t>
  </si>
  <si>
    <t>Chemical Admixture</t>
  </si>
  <si>
    <t>20mm</t>
  </si>
  <si>
    <t>10mm</t>
  </si>
  <si>
    <t>Experimental Values</t>
  </si>
  <si>
    <t>Considered Standard deviation</t>
  </si>
  <si>
    <t>As per Table 8 IS:456</t>
  </si>
  <si>
    <t>As per Table 5 IS:456</t>
  </si>
  <si>
    <t>Min. Conc. Grade</t>
  </si>
  <si>
    <t>-</t>
  </si>
  <si>
    <t>(As per Table 5 IS:456)</t>
  </si>
  <si>
    <t>As per Table 2 IS:10262</t>
  </si>
  <si>
    <t>As per Cl. 4.2 IS:10262</t>
  </si>
  <si>
    <t>As per Table 3 IS:10262</t>
  </si>
  <si>
    <t>As per Cl. 4.4 IS:10262</t>
  </si>
  <si>
    <t>As per Cl. 4.4.1 IS:10262</t>
  </si>
  <si>
    <t>Max. reduction in CA (%) due to pumpable concrete</t>
  </si>
  <si>
    <t>Mix Ratio</t>
  </si>
  <si>
    <t>2nd Size of Aggregates</t>
  </si>
  <si>
    <t>:</t>
  </si>
  <si>
    <t>No. of Cubes</t>
  </si>
  <si>
    <t>Extra Percentage</t>
  </si>
  <si>
    <t>kg</t>
  </si>
  <si>
    <t>Sieve Size</t>
  </si>
  <si>
    <t>Min</t>
  </si>
  <si>
    <t>Max</t>
  </si>
  <si>
    <t>ConPlast SP430</t>
  </si>
  <si>
    <r>
      <t>l/m</t>
    </r>
    <r>
      <rPr>
        <vertAlign val="superscript"/>
        <sz val="11"/>
        <color theme="1"/>
        <rFont val="Calibri"/>
        <family val="2"/>
        <scheme val="minor"/>
      </rPr>
      <t>3</t>
    </r>
  </si>
  <si>
    <t>ml</t>
  </si>
  <si>
    <t>Zone 2</t>
  </si>
  <si>
    <t>Zone 3</t>
  </si>
  <si>
    <t>Zone 4</t>
  </si>
  <si>
    <t>FA are of</t>
  </si>
  <si>
    <t>40 mm</t>
  </si>
  <si>
    <t>20 mm</t>
  </si>
  <si>
    <t>10 mm</t>
  </si>
  <si>
    <t>Single Sized Aggregates</t>
  </si>
  <si>
    <t>Graded Aggregates</t>
  </si>
  <si>
    <t xml:space="preserve">Combined Aggregates </t>
  </si>
  <si>
    <t>III</t>
  </si>
  <si>
    <t>40mm</t>
  </si>
  <si>
    <t>Combined Agg % passing</t>
  </si>
  <si>
    <t>Conc Qty to prepare</t>
  </si>
  <si>
    <t>Checking and Zoning</t>
  </si>
  <si>
    <t>Use Fly Ash</t>
  </si>
  <si>
    <t>Free (Surface) Moisture FA</t>
  </si>
  <si>
    <t>Free (Surface) Moisture CA</t>
  </si>
  <si>
    <t>Specific Gravity of Fly Ash</t>
  </si>
  <si>
    <t>%age of flyash (by cement)</t>
  </si>
  <si>
    <t>Pumping</t>
  </si>
  <si>
    <t>Water cement ratio provided</t>
  </si>
  <si>
    <t>%age increase in cementous material</t>
  </si>
  <si>
    <t>Total Cementitious material content</t>
  </si>
  <si>
    <t>Content of Flyash</t>
  </si>
  <si>
    <t>Content of Cement</t>
  </si>
  <si>
    <t>brand</t>
  </si>
  <si>
    <t>chettinad</t>
  </si>
  <si>
    <r>
      <t>Mix Design project</t>
    </r>
    <r>
      <rPr>
        <b/>
        <vertAlign val="subscript"/>
        <sz val="48"/>
        <color theme="3"/>
        <rFont val="Calibri"/>
        <family val="2"/>
        <scheme val="minor"/>
      </rPr>
      <t xml:space="preserve">        </t>
    </r>
    <r>
      <rPr>
        <b/>
        <vertAlign val="subscript"/>
        <sz val="28"/>
        <color theme="3"/>
        <rFont val="Calibri"/>
        <family val="2"/>
        <scheme val="minor"/>
      </rPr>
      <t>Based on IS 10262:2009</t>
    </r>
  </si>
  <si>
    <t>%,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</si>
</sst>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M&quot;0"/>
    <numFmt numFmtId="165" formatCode="&quot;OPC &quot;0"/>
    <numFmt numFmtId="166" formatCode="&quot;Fine Aggregates are of  &quot;General"/>
    <numFmt numFmtId="167" formatCode="0.00\ &quot;%&quot;"/>
    <numFmt numFmtId="168" formatCode="0.000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48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vertAlign val="subscript"/>
      <sz val="48"/>
      <color theme="3"/>
      <name val="Calibri"/>
      <family val="2"/>
      <scheme val="minor"/>
    </font>
    <font>
      <b/>
      <vertAlign val="subscript"/>
      <sz val="28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3"/>
      <color theme="3"/>
      <name val="Calibri"/>
      <family val="2"/>
      <scheme val="minor"/>
    </font>
    <font>
      <b/>
      <u/>
      <sz val="20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36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4" tint="-0.24994659260841701"/>
      </left>
      <right/>
      <top style="double">
        <color theme="4" tint="-0.24994659260841701"/>
      </top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/>
      <top/>
      <bottom/>
      <diagonal/>
    </border>
    <border>
      <left/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 style="double">
        <color theme="4" tint="-0.24994659260841701"/>
      </right>
      <top/>
      <bottom style="double">
        <color theme="4" tint="-0.24994659260841701"/>
      </bottom>
      <diagonal/>
    </border>
    <border>
      <left/>
      <right style="double">
        <color theme="4" tint="-0.24994659260841701"/>
      </right>
      <top/>
      <bottom style="thick">
        <color theme="4" tint="0.499984740745262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 style="double">
        <color theme="4" tint="-0.2499465926084170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 style="double">
        <color theme="4" tint="-0.24994659260841701"/>
      </top>
      <bottom/>
      <diagonal/>
    </border>
    <border>
      <left style="thin">
        <color auto="1"/>
      </left>
      <right/>
      <top/>
      <bottom style="double">
        <color theme="4" tint="-0.24994659260841701"/>
      </bottom>
      <diagonal/>
    </border>
    <border>
      <left style="thin">
        <color auto="1"/>
      </left>
      <right/>
      <top style="double">
        <color theme="4" tint="-0.24994659260841701"/>
      </top>
      <bottom style="thin">
        <color auto="1"/>
      </bottom>
      <diagonal/>
    </border>
    <border>
      <left/>
      <right/>
      <top style="double">
        <color theme="4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theme="4" tint="0.499984740745262"/>
      </bottom>
      <diagonal/>
    </border>
    <border>
      <left/>
      <right/>
      <top style="thin">
        <color auto="1"/>
      </top>
      <bottom style="thick">
        <color theme="4" tint="0.499984740745262"/>
      </bottom>
      <diagonal/>
    </border>
    <border>
      <left/>
      <right style="thin">
        <color auto="1"/>
      </right>
      <top style="thin">
        <color auto="1"/>
      </top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 style="double">
        <color theme="4" tint="-0.24994659260841701"/>
      </top>
      <bottom style="thin">
        <color auto="1"/>
      </bottom>
      <diagonal/>
    </border>
    <border>
      <left style="thin">
        <color theme="1"/>
      </left>
      <right/>
      <top style="thick">
        <color theme="4" tint="0.499984740745262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ck">
        <color theme="4" tint="0.499984740745262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6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164">
    <xf numFmtId="0" fontId="0" fillId="0" borderId="0" xfId="0"/>
    <xf numFmtId="0" fontId="4" fillId="3" borderId="3" xfId="4"/>
    <xf numFmtId="0" fontId="5" fillId="4" borderId="4" xfId="5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7" fillId="0" borderId="0" xfId="0" applyFont="1" applyAlignment="1">
      <alignment horizontal="center"/>
    </xf>
    <xf numFmtId="0" fontId="6" fillId="0" borderId="5" xfId="6"/>
    <xf numFmtId="0" fontId="0" fillId="0" borderId="0" xfId="0" applyAlignment="1">
      <alignment horizontal="left"/>
    </xf>
    <xf numFmtId="0" fontId="6" fillId="4" borderId="5" xfId="6" applyFill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0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0" xfId="0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right"/>
    </xf>
    <xf numFmtId="0" fontId="0" fillId="0" borderId="29" xfId="0" applyBorder="1"/>
    <xf numFmtId="0" fontId="0" fillId="5" borderId="0" xfId="0" applyFill="1" applyBorder="1"/>
    <xf numFmtId="0" fontId="0" fillId="0" borderId="15" xfId="0" applyBorder="1"/>
    <xf numFmtId="0" fontId="0" fillId="0" borderId="8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8" xfId="0" applyBorder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0" xfId="7"/>
    <xf numFmtId="164" fontId="17" fillId="0" borderId="0" xfId="0" applyNumberFormat="1" applyFont="1" applyAlignment="1">
      <alignment horizontal="left"/>
    </xf>
    <xf numFmtId="0" fontId="18" fillId="0" borderId="0" xfId="7" applyFont="1"/>
    <xf numFmtId="0" fontId="14" fillId="0" borderId="0" xfId="0" applyFont="1"/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66" fontId="0" fillId="0" borderId="16" xfId="0" applyNumberFormat="1" applyBorder="1" applyAlignment="1">
      <alignment horizontal="right"/>
    </xf>
    <xf numFmtId="166" fontId="0" fillId="0" borderId="17" xfId="0" applyNumberFormat="1" applyBorder="1" applyAlignment="1">
      <alignment horizontal="center"/>
    </xf>
    <xf numFmtId="166" fontId="0" fillId="0" borderId="17" xfId="0" applyNumberFormat="1" applyBorder="1" applyAlignment="1"/>
    <xf numFmtId="0" fontId="0" fillId="5" borderId="14" xfId="0" applyFill="1" applyBorder="1"/>
    <xf numFmtId="0" fontId="0" fillId="0" borderId="36" xfId="0" applyBorder="1"/>
    <xf numFmtId="0" fontId="0" fillId="0" borderId="37" xfId="0" applyBorder="1"/>
    <xf numFmtId="0" fontId="6" fillId="0" borderId="38" xfId="6" applyBorder="1" applyAlignment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/>
    <xf numFmtId="0" fontId="0" fillId="0" borderId="14" xfId="0" applyBorder="1" applyAlignment="1"/>
    <xf numFmtId="0" fontId="0" fillId="0" borderId="12" xfId="0" applyBorder="1" applyAlignment="1">
      <alignment horizontal="right"/>
    </xf>
    <xf numFmtId="0" fontId="0" fillId="0" borderId="16" xfId="0" applyBorder="1" applyAlignment="1"/>
    <xf numFmtId="0" fontId="0" fillId="0" borderId="17" xfId="0" applyBorder="1" applyAlignment="1">
      <alignment horizontal="right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9" fillId="0" borderId="0" xfId="7" applyFont="1"/>
    <xf numFmtId="164" fontId="4" fillId="3" borderId="3" xfId="4" applyNumberFormat="1" applyAlignment="1" applyProtection="1">
      <alignment horizontal="center"/>
      <protection locked="0"/>
    </xf>
    <xf numFmtId="165" fontId="4" fillId="3" borderId="3" xfId="4" applyNumberFormat="1" applyProtection="1">
      <protection locked="0"/>
    </xf>
    <xf numFmtId="0" fontId="4" fillId="3" borderId="3" xfId="4" applyProtection="1">
      <protection locked="0"/>
    </xf>
    <xf numFmtId="0" fontId="4" fillId="3" borderId="3" xfId="4" applyAlignment="1" applyProtection="1">
      <alignment horizontal="center"/>
      <protection locked="0"/>
    </xf>
    <xf numFmtId="0" fontId="4" fillId="3" borderId="6" xfId="4" applyBorder="1" applyProtection="1">
      <protection locked="0"/>
    </xf>
    <xf numFmtId="0" fontId="4" fillId="3" borderId="0" xfId="4" applyBorder="1" applyProtection="1">
      <protection locked="0"/>
    </xf>
    <xf numFmtId="0" fontId="4" fillId="3" borderId="31" xfId="4" applyBorder="1" applyAlignment="1" applyProtection="1">
      <alignment horizontal="center"/>
      <protection locked="0"/>
    </xf>
    <xf numFmtId="0" fontId="4" fillId="3" borderId="3" xfId="4" applyBorder="1" applyProtection="1">
      <protection locked="0"/>
    </xf>
    <xf numFmtId="0" fontId="4" fillId="3" borderId="32" xfId="4" applyBorder="1" applyProtection="1">
      <protection locked="0"/>
    </xf>
    <xf numFmtId="0" fontId="4" fillId="3" borderId="34" xfId="4" applyBorder="1" applyProtection="1">
      <protection locked="0"/>
    </xf>
    <xf numFmtId="0" fontId="4" fillId="3" borderId="51" xfId="4" applyBorder="1" applyProtection="1">
      <protection locked="0"/>
    </xf>
    <xf numFmtId="0" fontId="15" fillId="0" borderId="0" xfId="2" applyFont="1" applyBorder="1" applyAlignment="1">
      <alignment horizontal="center"/>
    </xf>
    <xf numFmtId="0" fontId="16" fillId="0" borderId="0" xfId="2" applyFont="1" applyBorder="1" applyAlignment="1">
      <alignment horizontal="center"/>
    </xf>
    <xf numFmtId="0" fontId="11" fillId="0" borderId="2" xfId="2" applyFont="1" applyAlignment="1">
      <alignment horizontal="left"/>
    </xf>
    <xf numFmtId="0" fontId="3" fillId="2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3" borderId="31" xfId="4" applyBorder="1" applyAlignment="1" applyProtection="1">
      <alignment horizontal="center"/>
      <protection locked="0"/>
    </xf>
    <xf numFmtId="0" fontId="4" fillId="3" borderId="0" xfId="4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6" fillId="0" borderId="39" xfId="6" applyBorder="1" applyAlignment="1">
      <alignment horizontal="center"/>
    </xf>
    <xf numFmtId="0" fontId="6" fillId="0" borderId="52" xfId="6" applyBorder="1" applyAlignment="1">
      <alignment horizontal="center"/>
    </xf>
    <xf numFmtId="0" fontId="2" fillId="0" borderId="11" xfId="2" applyBorder="1" applyAlignment="1">
      <alignment horizontal="center"/>
    </xf>
    <xf numFmtId="0" fontId="2" fillId="0" borderId="12" xfId="2" applyBorder="1" applyAlignment="1">
      <alignment horizontal="center"/>
    </xf>
    <xf numFmtId="0" fontId="2" fillId="0" borderId="13" xfId="2" applyBorder="1" applyAlignment="1">
      <alignment horizontal="center"/>
    </xf>
    <xf numFmtId="0" fontId="8" fillId="0" borderId="11" xfId="2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8" fillId="0" borderId="33" xfId="2" applyFont="1" applyBorder="1" applyAlignment="1">
      <alignment horizontal="center"/>
    </xf>
    <xf numFmtId="0" fontId="8" fillId="0" borderId="35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0" xfId="2" applyFont="1" applyBorder="1" applyAlignment="1">
      <alignment horizontal="center"/>
    </xf>
    <xf numFmtId="0" fontId="2" fillId="0" borderId="40" xfId="2" applyBorder="1" applyAlignment="1">
      <alignment horizontal="center"/>
    </xf>
    <xf numFmtId="0" fontId="2" fillId="0" borderId="41" xfId="2" applyBorder="1" applyAlignment="1">
      <alignment horizontal="center"/>
    </xf>
    <xf numFmtId="0" fontId="2" fillId="0" borderId="42" xfId="2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20" fillId="0" borderId="2" xfId="2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3" borderId="3" xfId="4" applyAlignment="1" applyProtection="1">
      <alignment horizontal="center"/>
      <protection locked="0"/>
    </xf>
  </cellXfs>
  <cellStyles count="8">
    <cellStyle name="Explanatory Text" xfId="7" builtinId="53" customBuiltin="1"/>
    <cellStyle name="Good" xfId="3" builtinId="26"/>
    <cellStyle name="Heading 1" xfId="1" builtinId="16"/>
    <cellStyle name="Heading 2" xfId="2" builtinId="17"/>
    <cellStyle name="Input" xfId="4" builtinId="20"/>
    <cellStyle name="Normal" xfId="0" builtinId="0"/>
    <cellStyle name="Output" xfId="5" builtinId="21"/>
    <cellStyle name="Total" xfId="6" builtinId="25"/>
  </cellStyles>
  <dxfs count="4">
    <dxf>
      <fill>
        <patternFill>
          <bgColor rgb="FFFFAFB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A3A3"/>
        </patternFill>
      </fill>
    </dxf>
  </dxfs>
  <tableStyles count="0" defaultTableStyle="TableStyleMedium2" defaultPivotStyle="PivotStyleLight16"/>
  <colors>
    <mruColors>
      <color rgb="FFFF8181"/>
      <color rgb="FFFFA3A3"/>
      <color rgb="FFFFA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90"/>
  <sheetViews>
    <sheetView showGridLines="0" tabSelected="1" topLeftCell="A34" zoomScale="70" zoomScaleNormal="70" workbookViewId="0">
      <selection activeCell="F10" sqref="F10"/>
    </sheetView>
  </sheetViews>
  <sheetFormatPr defaultRowHeight="14.4" x14ac:dyDescent="0.3"/>
  <cols>
    <col min="6" max="6" width="11.88671875" customWidth="1"/>
    <col min="10" max="10" width="9.88671875" customWidth="1"/>
    <col min="23" max="24" width="12.5546875" bestFit="1" customWidth="1" collapsed="1"/>
  </cols>
  <sheetData>
    <row r="2" spans="2:28" ht="15.75" customHeight="1" x14ac:dyDescent="0.3">
      <c r="D2" s="137" t="s">
        <v>165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2:28" ht="16.5" customHeight="1" x14ac:dyDescent="0.3"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2:28" ht="16.5" customHeight="1" x14ac:dyDescent="0.3"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</row>
    <row r="5" spans="2:28" ht="16.5" customHeight="1" x14ac:dyDescent="0.3"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</row>
    <row r="7" spans="2:28" ht="15.75" customHeight="1" thickBot="1" x14ac:dyDescent="0.35">
      <c r="B7" s="152" t="s">
        <v>20</v>
      </c>
      <c r="C7" s="152"/>
      <c r="D7" s="152"/>
      <c r="E7" s="152"/>
      <c r="F7" s="152"/>
      <c r="G7" s="152"/>
      <c r="H7" s="152"/>
      <c r="I7" s="152"/>
      <c r="J7" s="152"/>
      <c r="K7" s="153" t="s">
        <v>151</v>
      </c>
      <c r="L7" s="153"/>
      <c r="M7" s="153"/>
      <c r="N7" s="153"/>
      <c r="O7" s="153"/>
      <c r="P7" s="153"/>
      <c r="Q7" s="153"/>
      <c r="R7" s="153"/>
      <c r="S7" s="153"/>
      <c r="T7" s="153"/>
      <c r="U7" s="153"/>
    </row>
    <row r="8" spans="2:28" ht="16.5" customHeight="1" thickTop="1" thickBot="1" x14ac:dyDescent="0.35">
      <c r="B8" s="152"/>
      <c r="C8" s="152"/>
      <c r="D8" s="152"/>
      <c r="E8" s="152"/>
      <c r="F8" s="152"/>
      <c r="G8" s="152"/>
      <c r="H8" s="152"/>
      <c r="I8" s="152"/>
      <c r="J8" s="152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</row>
    <row r="9" spans="2:28" ht="15.75" customHeight="1" thickTop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59"/>
      <c r="W9" s="59"/>
      <c r="X9" s="59"/>
      <c r="Y9" s="59"/>
      <c r="Z9" s="59"/>
      <c r="AA9" s="59"/>
      <c r="AB9" s="59"/>
    </row>
    <row r="10" spans="2:28" ht="15.75" customHeight="1" thickTop="1" thickBot="1" x14ac:dyDescent="0.4">
      <c r="E10" s="5" t="s">
        <v>0</v>
      </c>
      <c r="F10" s="108">
        <v>40</v>
      </c>
      <c r="L10" s="149" t="s">
        <v>21</v>
      </c>
      <c r="M10" s="150"/>
      <c r="N10" s="150"/>
      <c r="O10" s="150"/>
      <c r="P10" s="150"/>
      <c r="Q10" s="150"/>
      <c r="R10" s="150"/>
      <c r="S10" s="150"/>
      <c r="T10" s="150"/>
      <c r="U10" s="151"/>
      <c r="W10" s="143" t="s">
        <v>78</v>
      </c>
      <c r="X10" s="144"/>
      <c r="Y10" s="144"/>
      <c r="Z10" s="144"/>
      <c r="AA10" s="145"/>
    </row>
    <row r="11" spans="2:28" ht="16.5" customHeight="1" thickTop="1" thickBot="1" x14ac:dyDescent="0.35">
      <c r="E11" s="5" t="s">
        <v>1</v>
      </c>
      <c r="F11" s="109">
        <v>43</v>
      </c>
      <c r="G11" t="s">
        <v>13</v>
      </c>
      <c r="J11" s="70"/>
      <c r="L11" s="24"/>
      <c r="M11" s="37" t="s">
        <v>22</v>
      </c>
      <c r="N11" s="37"/>
      <c r="O11" s="25" t="s">
        <v>24</v>
      </c>
      <c r="P11" s="25"/>
      <c r="Q11" s="25"/>
      <c r="R11" s="100" t="s">
        <v>25</v>
      </c>
      <c r="S11" s="94" t="s">
        <v>137</v>
      </c>
      <c r="T11" s="94" t="s">
        <v>138</v>
      </c>
      <c r="U11" s="104" t="s">
        <v>139</v>
      </c>
      <c r="W11" s="146"/>
      <c r="X11" s="147"/>
      <c r="Y11" s="147"/>
      <c r="Z11" s="147"/>
      <c r="AA11" s="148"/>
    </row>
    <row r="12" spans="2:28" s="58" customFormat="1" ht="15.6" thickTop="1" thickBot="1" x14ac:dyDescent="0.35">
      <c r="E12" s="5" t="s">
        <v>163</v>
      </c>
      <c r="F12" s="109" t="s">
        <v>102</v>
      </c>
      <c r="G12" s="66" t="s">
        <v>29</v>
      </c>
      <c r="H12" s="110" t="s">
        <v>164</v>
      </c>
      <c r="I12" s="58" t="s">
        <v>30</v>
      </c>
      <c r="J12" s="2" t="str">
        <f>IF(ISBLANK(H12),F12,H12)</f>
        <v>chettinad</v>
      </c>
      <c r="L12" s="24"/>
      <c r="M12" s="25">
        <v>10</v>
      </c>
      <c r="N12" s="25" t="s">
        <v>3</v>
      </c>
      <c r="O12" s="115">
        <v>100</v>
      </c>
      <c r="P12" s="25" t="str">
        <f>IF(Data!F3=1,"OK","No")</f>
        <v>OK</v>
      </c>
      <c r="Q12" s="25"/>
      <c r="R12" s="101" t="str">
        <f>IF(AND($O12&gt;=Data!B25,Main!$O12&lt;=Data!C25),"OK",CONCATENATE(Data!B25,"-",Data!C25))</f>
        <v>OK</v>
      </c>
      <c r="S12" s="37" t="str">
        <f>IF(AND($O12&gt;=Data!D25,Main!$O12&lt;=Data!E25),"OK",CONCATENATE(Data!D25,"-",Data!E25))</f>
        <v>OK</v>
      </c>
      <c r="T12" s="37" t="str">
        <f>IF(AND($O12&gt;=Data!F25,Main!$O12&lt;=Data!G25),"OK",CONCATENATE(Data!F25,"-",Data!G25))</f>
        <v>OK</v>
      </c>
      <c r="U12" s="105" t="str">
        <f>IF(AND($O12&gt;=Data!H25,Main!$O12&lt;=Data!I25),"OK",CONCATENATE(Data!H25,"-",Data!I25))</f>
        <v>OK</v>
      </c>
      <c r="W12" s="85"/>
      <c r="X12" s="53"/>
      <c r="Y12" s="53"/>
      <c r="Z12" s="53"/>
      <c r="AA12" s="53"/>
    </row>
    <row r="13" spans="2:28" ht="16.8" thickTop="1" x14ac:dyDescent="0.3">
      <c r="J13" s="70"/>
      <c r="L13" s="24"/>
      <c r="M13" s="25">
        <v>4.75</v>
      </c>
      <c r="N13" s="25" t="s">
        <v>3</v>
      </c>
      <c r="O13" s="115">
        <v>95</v>
      </c>
      <c r="P13" s="25" t="str">
        <f>IF(Data!F4=1,"OK","No")</f>
        <v>OK</v>
      </c>
      <c r="Q13" s="25"/>
      <c r="R13" s="101" t="str">
        <f>IF(AND(O13&gt;=Data!B26,Main!O13&lt;=Data!C26),"OK",CONCATENATE(Data!B26,"-",Data!C26))</f>
        <v>OK</v>
      </c>
      <c r="S13" s="37" t="str">
        <f>IF(AND($O13&gt;=Data!D26,Main!$O13&lt;=Data!E26),"OK",CONCATENATE(Data!D26,"-",Data!E26))</f>
        <v>OK</v>
      </c>
      <c r="T13" s="37" t="str">
        <f>IF(AND($O13&gt;=Data!F26,Main!$O13&lt;=Data!G26),"OK",CONCATENATE(Data!F26,"-",Data!G26))</f>
        <v>OK</v>
      </c>
      <c r="U13" s="105" t="str">
        <f>IF(AND($O13&gt;=Data!H26,Main!$O13&lt;=Data!I26),"OK",CONCATENATE(Data!H26,"-",Data!I26))</f>
        <v>OK</v>
      </c>
      <c r="W13" s="86"/>
      <c r="X13" s="43"/>
      <c r="Y13" s="44" t="s">
        <v>79</v>
      </c>
      <c r="Z13" s="42">
        <f>IF(F23=Data!D13,ROUND(Main!J66,0),ROUND(J61,0))</f>
        <v>350</v>
      </c>
      <c r="AA13" s="45" t="s">
        <v>4</v>
      </c>
    </row>
    <row r="14" spans="2:28" x14ac:dyDescent="0.3">
      <c r="E14" s="5" t="s">
        <v>2</v>
      </c>
      <c r="F14" s="110">
        <v>20</v>
      </c>
      <c r="G14" t="s">
        <v>3</v>
      </c>
      <c r="J14" s="70"/>
      <c r="L14" s="24"/>
      <c r="M14" s="25">
        <v>2.36</v>
      </c>
      <c r="N14" s="25" t="s">
        <v>3</v>
      </c>
      <c r="O14" s="115">
        <v>63</v>
      </c>
      <c r="P14" s="25" t="str">
        <f>IF(Data!F5=1,"OK","No")</f>
        <v>OK</v>
      </c>
      <c r="Q14" s="25"/>
      <c r="R14" s="101" t="str">
        <f>IF(AND(O14&gt;=Data!B27,Main!O14&lt;=Data!C27),"OK",CONCATENATE(Data!B27,"-",Data!C27))</f>
        <v>OK</v>
      </c>
      <c r="S14" s="37" t="str">
        <f>IF(AND($O14&gt;=Data!D27,Main!$O14&lt;=Data!E27),"OK",CONCATENATE(Data!D27,"-",Data!E27))</f>
        <v>75-100</v>
      </c>
      <c r="T14" s="37" t="str">
        <f>IF(AND($O14&gt;=Data!F27,Main!$O14&lt;=Data!G27),"OK",CONCATENATE(Data!F27,"-",Data!G27))</f>
        <v>85-100</v>
      </c>
      <c r="U14" s="105" t="str">
        <f>IF(AND($O14&gt;=Data!H27,Main!$O14&lt;=Data!I27),"OK",CONCATENATE(Data!H27,"-",Data!I27))</f>
        <v>95-100</v>
      </c>
      <c r="W14" s="24"/>
      <c r="Y14" s="47" t="str">
        <f>IF(F23=Data!D13,"Flyash"," ")</f>
        <v xml:space="preserve"> </v>
      </c>
      <c r="Z14" s="46" t="str">
        <f>IF(F23=Data!D13,ROUND(Main!J65,0)," ")</f>
        <v xml:space="preserve"> </v>
      </c>
      <c r="AA14" s="48" t="str">
        <f>IF(F23=Data!D13,"kg/m3"," ")</f>
        <v xml:space="preserve"> </v>
      </c>
    </row>
    <row r="15" spans="2:28" s="60" customFormat="1" ht="16.2" x14ac:dyDescent="0.3">
      <c r="E15" s="5" t="s">
        <v>126</v>
      </c>
      <c r="F15" s="110"/>
      <c r="G15" s="60" t="s">
        <v>3</v>
      </c>
      <c r="J15" s="70"/>
      <c r="L15" s="24"/>
      <c r="M15" s="25">
        <v>1.18</v>
      </c>
      <c r="N15" s="25" t="s">
        <v>3</v>
      </c>
      <c r="O15" s="115">
        <v>45</v>
      </c>
      <c r="P15" s="25" t="str">
        <f>IF(Data!F6=1,"OK","No")</f>
        <v>OK</v>
      </c>
      <c r="Q15" s="25"/>
      <c r="R15" s="101" t="str">
        <f>IF(AND(O15&gt;=Data!B28,Main!O15&lt;=Data!C28),"OK",CONCATENATE(Data!B28,"-",Data!C28))</f>
        <v>OK</v>
      </c>
      <c r="S15" s="37" t="str">
        <f>IF(AND($O15&gt;=Data!D28,Main!$O15&lt;=Data!E28),"OK",CONCATENATE(Data!D28,"-",Data!E28))</f>
        <v>55-90</v>
      </c>
      <c r="T15" s="37" t="str">
        <f>IF(AND($O15&gt;=Data!F28,Main!$O15&lt;=Data!G28),"OK",CONCATENATE(Data!F28,"-",Data!G28))</f>
        <v>75-100</v>
      </c>
      <c r="U15" s="105" t="str">
        <f>IF(AND($O15&gt;=Data!H28,Main!$O15&lt;=Data!I28),"OK",CONCATENATE(Data!H28,"-",Data!I28))</f>
        <v>90-100</v>
      </c>
      <c r="W15" s="24"/>
      <c r="X15" s="25"/>
      <c r="Y15" s="47" t="s">
        <v>81</v>
      </c>
      <c r="Z15" s="46">
        <f>ROUND(F90,0)</f>
        <v>900</v>
      </c>
      <c r="AA15" s="48" t="s">
        <v>4</v>
      </c>
    </row>
    <row r="16" spans="2:28" s="60" customFormat="1" ht="16.2" x14ac:dyDescent="0.3">
      <c r="E16" s="5" t="str">
        <f>IF(F15&gt;0,CONCATENATE(F15," : ",F14,)," ")</f>
        <v xml:space="preserve"> </v>
      </c>
      <c r="F16" s="111">
        <v>50</v>
      </c>
      <c r="G16" s="77" t="s">
        <v>127</v>
      </c>
      <c r="H16" s="111">
        <v>50</v>
      </c>
      <c r="I16" s="76" t="str">
        <f>IF((F16+H16)=100," ","Check Ratio")</f>
        <v xml:space="preserve"> </v>
      </c>
      <c r="J16"/>
      <c r="L16" s="24"/>
      <c r="M16" s="25">
        <v>600</v>
      </c>
      <c r="N16" s="25" t="s">
        <v>23</v>
      </c>
      <c r="O16" s="115">
        <v>32</v>
      </c>
      <c r="P16" s="25" t="str">
        <f>IF(Data!F7=1,"OK","No")</f>
        <v>OK</v>
      </c>
      <c r="Q16" s="25"/>
      <c r="R16" s="101" t="str">
        <f>IF(AND(O16&gt;=Data!B29,Main!O16&lt;=Data!C29),"OK",CONCATENATE(Data!B29,"-",Data!C29))</f>
        <v>OK</v>
      </c>
      <c r="S16" s="37" t="str">
        <f>IF(AND($O16&gt;=Data!D29,Main!$O16&lt;=Data!E29),"OK",CONCATENATE(Data!D29,"-",Data!E29))</f>
        <v>35-59</v>
      </c>
      <c r="T16" s="37" t="str">
        <f>IF(AND($O16&gt;=Data!F29,Main!$O16&lt;=Data!G29),"OK",CONCATENATE(Data!F29,"-",Data!G29))</f>
        <v>60-79</v>
      </c>
      <c r="U16" s="105" t="str">
        <f>IF(AND($O16&gt;=Data!H29,Main!$O16&lt;=Data!I29),"OK",CONCATENATE(Data!H29,"-",Data!I29))</f>
        <v>80-100</v>
      </c>
      <c r="W16" s="24"/>
      <c r="X16" s="25"/>
      <c r="Y16" s="47" t="s">
        <v>82</v>
      </c>
      <c r="Z16" s="46">
        <f>ROUND(F87,0)</f>
        <v>1136</v>
      </c>
      <c r="AA16" s="48" t="s">
        <v>4</v>
      </c>
    </row>
    <row r="17" spans="2:29" x14ac:dyDescent="0.3">
      <c r="E17" s="6" t="s">
        <v>5</v>
      </c>
      <c r="F17" s="112">
        <v>100</v>
      </c>
      <c r="G17" t="s">
        <v>6</v>
      </c>
      <c r="L17" s="24"/>
      <c r="M17" s="25">
        <v>300</v>
      </c>
      <c r="N17" s="25" t="s">
        <v>23</v>
      </c>
      <c r="O17" s="115">
        <v>15</v>
      </c>
      <c r="P17" s="25" t="str">
        <f>IF(Data!F8=1,"OK","No")</f>
        <v>OK</v>
      </c>
      <c r="Q17" s="25"/>
      <c r="R17" s="101" t="str">
        <f>IF(AND(O17&gt;=Data!B30,Main!O17&lt;=Data!C30),"OK",CONCATENATE(Data!B30,"-",Data!C30))</f>
        <v>OK</v>
      </c>
      <c r="S17" s="37" t="str">
        <f>IF(AND($O17&gt;=Data!D30,Main!$O17&lt;=Data!E30),"OK",CONCATENATE(Data!D30,"-",Data!E30))</f>
        <v>OK</v>
      </c>
      <c r="T17" s="37" t="str">
        <f>IF(AND($O17&gt;=Data!F30,Main!$O17&lt;=Data!G30),"OK",CONCATENATE(Data!F30,"-",Data!G30))</f>
        <v>OK</v>
      </c>
      <c r="U17" s="105" t="str">
        <f>IF(AND($O17&gt;=Data!H30,Main!$O17&lt;=Data!I30),"OK",CONCATENATE(Data!H30,"-",Data!I30))</f>
        <v>OK</v>
      </c>
      <c r="W17" s="24"/>
      <c r="X17" s="25"/>
      <c r="Y17" s="47" t="str">
        <f>E88</f>
        <v xml:space="preserve"> </v>
      </c>
      <c r="Z17" s="46" t="str">
        <f>IF(F15&gt;0,ROUND(F88,0)," ")</f>
        <v xml:space="preserve"> </v>
      </c>
      <c r="AA17" s="48" t="str">
        <f>IF(F15&gt;0,"kg/m3"," ")</f>
        <v xml:space="preserve"> </v>
      </c>
    </row>
    <row r="18" spans="2:29" x14ac:dyDescent="0.3">
      <c r="E18" s="6" t="s">
        <v>48</v>
      </c>
      <c r="F18" s="113" t="s">
        <v>49</v>
      </c>
      <c r="L18" s="24"/>
      <c r="M18" s="25">
        <v>150</v>
      </c>
      <c r="N18" s="25" t="s">
        <v>23</v>
      </c>
      <c r="O18" s="115">
        <v>8</v>
      </c>
      <c r="P18" s="25" t="str">
        <f>IF(Data!F9=1,"OK","No")</f>
        <v>OK</v>
      </c>
      <c r="Q18" s="25"/>
      <c r="R18" s="102" t="str">
        <f>IF(AND(O18&gt;=Data!B31,Main!O18&lt;=Data!C31),"OK",CONCATENATE(Data!B31,"-",Data!C31))</f>
        <v>OK</v>
      </c>
      <c r="S18" s="103" t="str">
        <f>IF(AND($O18&gt;=Data!D31,Main!$O18&lt;=Data!E31),"OK",CONCATENATE(Data!D31,"-",Data!E31))</f>
        <v>OK</v>
      </c>
      <c r="T18" s="103" t="str">
        <f>IF(AND($O18&gt;=Data!F31,Main!$O18&lt;=Data!G31),"OK",CONCATENATE(Data!F31,"-",Data!G31))</f>
        <v>OK</v>
      </c>
      <c r="U18" s="106" t="str">
        <f>IF(AND($O18&gt;=Data!H31,Main!$O18&lt;=Data!I31),"OK",CONCATENATE(Data!H31,"-",Data!I31))</f>
        <v>OK</v>
      </c>
      <c r="W18" s="24"/>
      <c r="X18" s="25"/>
      <c r="Y18" s="47" t="str">
        <f>E89</f>
        <v xml:space="preserve"> </v>
      </c>
      <c r="Z18" s="46" t="str">
        <f>IF(F15&gt;0,ROUND(F89,0)," ")</f>
        <v xml:space="preserve"> </v>
      </c>
      <c r="AA18" s="48" t="str">
        <f>IF(F15&gt;0,"kg/m3"," ")</f>
        <v xml:space="preserve"> </v>
      </c>
    </row>
    <row r="19" spans="2:29" ht="16.2" x14ac:dyDescent="0.3">
      <c r="E19" s="6" t="s">
        <v>7</v>
      </c>
      <c r="F19" s="110" t="s">
        <v>51</v>
      </c>
      <c r="G19" t="s">
        <v>116</v>
      </c>
      <c r="I19" s="74">
        <f>IF(F18=Data!Q4,VLOOKUP(Main!F19,Data!M6:S10,7,FALSE),VLOOKUP(Main!F19,Data!M6:S10,4,FALSE))</f>
        <v>25</v>
      </c>
      <c r="L19" s="82" t="s">
        <v>140</v>
      </c>
      <c r="M19" s="83" t="str">
        <f>HLOOKUP(MAX(Data!B10:E10),Data!B10:E11,2,FALSE)</f>
        <v>Zone I</v>
      </c>
      <c r="N19" s="84" t="s">
        <v>29</v>
      </c>
      <c r="O19" s="116" t="s">
        <v>25</v>
      </c>
      <c r="P19" s="28" t="s">
        <v>30</v>
      </c>
      <c r="Q19" s="28" t="str">
        <f>IF(ISBLANK(O19),M19,O19)</f>
        <v>Zone I</v>
      </c>
      <c r="R19" s="28"/>
      <c r="S19" s="28"/>
      <c r="T19" s="28"/>
      <c r="U19" s="65"/>
      <c r="W19" s="24"/>
      <c r="X19" s="25"/>
      <c r="Y19" s="47" t="s">
        <v>83</v>
      </c>
      <c r="Z19" s="46">
        <f>ROUND(F85*1000,2)</f>
        <v>6.11</v>
      </c>
      <c r="AA19" s="48" t="s">
        <v>135</v>
      </c>
    </row>
    <row r="20" spans="2:29" ht="16.2" x14ac:dyDescent="0.3">
      <c r="E20" s="6" t="s">
        <v>9</v>
      </c>
      <c r="F20" s="110" t="s">
        <v>157</v>
      </c>
      <c r="I20" s="107" t="s">
        <v>118</v>
      </c>
      <c r="W20" s="24"/>
      <c r="X20" s="25"/>
      <c r="Y20" s="47" t="s">
        <v>80</v>
      </c>
      <c r="Z20" s="46">
        <f>ROUND(J56,0)</f>
        <v>140</v>
      </c>
      <c r="AA20" s="48" t="s">
        <v>4</v>
      </c>
    </row>
    <row r="21" spans="2:29" ht="15" thickBot="1" x14ac:dyDescent="0.35">
      <c r="E21" s="6" t="s">
        <v>10</v>
      </c>
      <c r="F21" s="110" t="s">
        <v>12</v>
      </c>
      <c r="W21" s="87"/>
      <c r="X21" s="50"/>
      <c r="Y21" s="51" t="s">
        <v>84</v>
      </c>
      <c r="Z21" s="49">
        <f>ROUND(Z20/Z13,3)</f>
        <v>0.4</v>
      </c>
      <c r="AA21" s="52"/>
    </row>
    <row r="22" spans="2:29" ht="15" thickTop="1" x14ac:dyDescent="0.3">
      <c r="E22" s="6" t="s">
        <v>36</v>
      </c>
      <c r="F22" s="163" t="s">
        <v>37</v>
      </c>
      <c r="G22" s="163"/>
      <c r="W22" s="88" t="s">
        <v>125</v>
      </c>
      <c r="X22" s="138" t="str">
        <f>IF(F15=0,CONCATENATE("1   :   ",ROUND(Z15/Z13,2),"   :   ",ROUND(Z16/Z13,2)),CONCATENATE(" 1   :   ",ROUND(Z15/Z13,2),"   :   ",ROUND(Z17/Z13,2),"   :   ",ROUND(Z18/Z13,2)))</f>
        <v>1   :   2.57   :   3.25</v>
      </c>
      <c r="Y22" s="138"/>
      <c r="Z22" s="138"/>
      <c r="AA22" s="139"/>
    </row>
    <row r="23" spans="2:29" s="70" customFormat="1" x14ac:dyDescent="0.3">
      <c r="E23" s="6" t="s">
        <v>152</v>
      </c>
      <c r="F23" s="114" t="s">
        <v>108</v>
      </c>
    </row>
    <row r="24" spans="2:29" s="70" customFormat="1" x14ac:dyDescent="0.3">
      <c r="E24" s="6" t="s">
        <v>159</v>
      </c>
      <c r="F24" s="114">
        <v>10</v>
      </c>
    </row>
    <row r="25" spans="2:29" s="70" customFormat="1" x14ac:dyDescent="0.3">
      <c r="E25" s="6" t="s">
        <v>156</v>
      </c>
      <c r="F25" s="114">
        <v>30</v>
      </c>
    </row>
    <row r="26" spans="2:29" ht="15.75" customHeight="1" x14ac:dyDescent="0.35">
      <c r="E26" s="6" t="s">
        <v>109</v>
      </c>
      <c r="F26" s="110" t="s">
        <v>107</v>
      </c>
      <c r="J26" s="70"/>
      <c r="K26" s="140" t="s">
        <v>93</v>
      </c>
      <c r="L26" s="141"/>
      <c r="M26" s="141"/>
      <c r="N26" s="141"/>
      <c r="O26" s="141"/>
      <c r="P26" s="141"/>
      <c r="Q26" s="141"/>
      <c r="R26" s="141"/>
      <c r="S26" s="141"/>
      <c r="T26" s="141"/>
      <c r="U26" s="142"/>
      <c r="V26" s="70"/>
      <c r="W26" s="70"/>
      <c r="X26" s="95"/>
      <c r="Y26" s="97" t="s">
        <v>128</v>
      </c>
      <c r="Z26" s="117">
        <v>9</v>
      </c>
      <c r="AA26" s="64"/>
      <c r="AB26" s="70"/>
      <c r="AC26" s="70"/>
    </row>
    <row r="27" spans="2:29" ht="15.75" customHeight="1" x14ac:dyDescent="0.3">
      <c r="E27" s="6" t="s">
        <v>11</v>
      </c>
      <c r="F27" s="134" t="str">
        <f>IF(F26=Data!D14,"No Admixture","Superplasticizer")</f>
        <v>Superplasticizer</v>
      </c>
      <c r="G27" s="135"/>
      <c r="J27" s="70"/>
      <c r="K27" s="78" t="s">
        <v>22</v>
      </c>
      <c r="L27" s="136" t="s">
        <v>144</v>
      </c>
      <c r="M27" s="136"/>
      <c r="N27" s="136"/>
      <c r="O27" s="132" t="s">
        <v>149</v>
      </c>
      <c r="P27" s="132"/>
      <c r="Q27" s="124" t="s">
        <v>144</v>
      </c>
      <c r="R27" s="125"/>
      <c r="S27" s="125"/>
      <c r="T27" s="128" t="s">
        <v>146</v>
      </c>
      <c r="U27" s="129"/>
      <c r="X27" s="96"/>
      <c r="Y27" s="47" t="s">
        <v>129</v>
      </c>
      <c r="Z27" s="118">
        <v>10</v>
      </c>
      <c r="AA27" s="54"/>
    </row>
    <row r="28" spans="2:29" ht="16.2" x14ac:dyDescent="0.3">
      <c r="E28" s="6" t="s">
        <v>96</v>
      </c>
      <c r="F28" s="110" t="s">
        <v>134</v>
      </c>
      <c r="G28" s="1"/>
      <c r="J28" s="70"/>
      <c r="K28" s="27"/>
      <c r="L28" s="39" t="s">
        <v>94</v>
      </c>
      <c r="M28" s="39" t="s">
        <v>95</v>
      </c>
      <c r="N28" s="39" t="s">
        <v>147</v>
      </c>
      <c r="O28" s="133"/>
      <c r="P28" s="133"/>
      <c r="Q28" s="126"/>
      <c r="R28" s="127"/>
      <c r="S28" s="127"/>
      <c r="T28" s="130"/>
      <c r="U28" s="131"/>
      <c r="X28" s="21"/>
      <c r="Y28" s="97" t="s">
        <v>150</v>
      </c>
      <c r="Z28" s="22">
        <f>((0.15^3)*$Z$26)*(1+$Z$27/100)</f>
        <v>3.3412500000000005E-2</v>
      </c>
      <c r="AA28" s="64" t="s">
        <v>68</v>
      </c>
    </row>
    <row r="29" spans="2:29" x14ac:dyDescent="0.3">
      <c r="E29" s="6" t="s">
        <v>43</v>
      </c>
      <c r="F29" s="110">
        <v>29</v>
      </c>
      <c r="G29" t="s">
        <v>166</v>
      </c>
      <c r="H29" s="67">
        <f>IF(F26=Data!D14,0,Main!F29)</f>
        <v>29</v>
      </c>
      <c r="K29" s="27"/>
      <c r="L29" s="12" t="s">
        <v>148</v>
      </c>
      <c r="M29" s="12" t="s">
        <v>110</v>
      </c>
      <c r="N29" s="12" t="s">
        <v>111</v>
      </c>
      <c r="O29" s="12" t="s">
        <v>148</v>
      </c>
      <c r="P29" s="78" t="s">
        <v>110</v>
      </c>
      <c r="Q29" s="90" t="s">
        <v>148</v>
      </c>
      <c r="R29" s="12" t="s">
        <v>110</v>
      </c>
      <c r="S29" s="12" t="s">
        <v>111</v>
      </c>
      <c r="T29" s="12" t="s">
        <v>148</v>
      </c>
      <c r="U29" s="12" t="s">
        <v>110</v>
      </c>
      <c r="V29" s="69"/>
      <c r="W29" s="69"/>
      <c r="X29" s="24"/>
      <c r="Y29" s="47" t="s">
        <v>79</v>
      </c>
      <c r="Z29" s="25">
        <f>ROUND(((0.15^3)*$Z$26)*(1+$Z$27/100)*Z13,3)</f>
        <v>11.694000000000001</v>
      </c>
      <c r="AA29" s="54" t="s">
        <v>130</v>
      </c>
    </row>
    <row r="30" spans="2:29" x14ac:dyDescent="0.3">
      <c r="E30" s="6" t="s">
        <v>71</v>
      </c>
      <c r="F30" s="110">
        <v>2</v>
      </c>
      <c r="G30" s="58" t="s">
        <v>166</v>
      </c>
      <c r="H30" s="67">
        <f>IF(F26=Data!D14,0,Main!F30)</f>
        <v>2</v>
      </c>
      <c r="K30" s="12">
        <v>63</v>
      </c>
      <c r="L30" s="12"/>
      <c r="M30" s="12"/>
      <c r="N30" s="12"/>
      <c r="O30" s="12"/>
      <c r="P30" s="78"/>
      <c r="Q30" s="90" t="str">
        <f>IF(AND($L30&gt;=Data!B37,Main!$L30&lt;=Data!C37),"OK",CONCATENATE(Data!B37,"-",Data!C37))</f>
        <v>100-100</v>
      </c>
      <c r="R30" s="12"/>
      <c r="S30" s="12"/>
      <c r="T30" s="12"/>
      <c r="U30" s="12"/>
      <c r="W30" s="69"/>
      <c r="X30" s="24"/>
      <c r="Y30" s="47" t="str">
        <f>IF(F23=Data!D13,"Flyash"," ")</f>
        <v xml:space="preserve"> </v>
      </c>
      <c r="Z30" s="25" t="str">
        <f>IF(F23=Data!D13,Main!Z28*Main!Z14," ")</f>
        <v xml:space="preserve"> </v>
      </c>
      <c r="AA30" s="54" t="s">
        <v>130</v>
      </c>
    </row>
    <row r="31" spans="2:29" x14ac:dyDescent="0.3">
      <c r="E31" s="6" t="s">
        <v>73</v>
      </c>
      <c r="F31" s="110">
        <v>1.145</v>
      </c>
      <c r="G31" s="57" t="s">
        <v>166</v>
      </c>
      <c r="H31" s="68">
        <f>IF(F26=Data!D14,0,Main!F31)</f>
        <v>1.145</v>
      </c>
      <c r="K31" s="13">
        <v>40</v>
      </c>
      <c r="L31" s="13"/>
      <c r="M31" s="13"/>
      <c r="N31" s="13"/>
      <c r="O31" s="13"/>
      <c r="P31" s="36"/>
      <c r="Q31" s="91" t="str">
        <f>IF(AND($L31&gt;=Data!B38,Main!$L31&lt;=Data!C38),"OK",CONCATENATE(Data!B38,"-",Data!C38))</f>
        <v>85-100</v>
      </c>
      <c r="R31" s="13" t="str">
        <f>IF(AND($L31&gt;=Data!D38,Main!$L31&lt;=Data!E38),"OK",CONCATENATE(Data!D38,"-",Data!E38))</f>
        <v>100-100</v>
      </c>
      <c r="S31" s="13"/>
      <c r="T31" s="13" t="str">
        <f>IF(AND($L31&gt;=Data!H38,Main!$L31&lt;=Data!I38),"OK",CONCATENATE(Data!H38,"-",Data!I38))</f>
        <v>95-100</v>
      </c>
      <c r="U31" s="13" t="str">
        <f>IF(AND($L31&gt;=Data!J38,Main!$L31&lt;=Data!K38),"OK",CONCATENATE(Data!J38,"-",Data!K38))</f>
        <v>100-100</v>
      </c>
      <c r="V31" s="69"/>
      <c r="W31" s="69"/>
      <c r="X31" s="24"/>
      <c r="Y31" s="47" t="s">
        <v>81</v>
      </c>
      <c r="Z31" s="25">
        <f>ROUND(((0.15^3)*$Z$26)*(1+$Z$27/100)*Z15,3)</f>
        <v>30.071000000000002</v>
      </c>
      <c r="AA31" s="54" t="s">
        <v>130</v>
      </c>
    </row>
    <row r="32" spans="2:29" ht="17.25" customHeight="1" x14ac:dyDescent="0.35">
      <c r="B32" s="119" t="s">
        <v>112</v>
      </c>
      <c r="C32" s="119"/>
      <c r="D32" s="119"/>
      <c r="E32" s="119"/>
      <c r="F32" s="119"/>
      <c r="G32" s="119"/>
      <c r="H32" s="119"/>
      <c r="K32" s="13">
        <v>20</v>
      </c>
      <c r="L32" s="13"/>
      <c r="M32" s="13">
        <v>100</v>
      </c>
      <c r="N32" s="13">
        <v>100</v>
      </c>
      <c r="O32" s="13"/>
      <c r="P32" s="36">
        <v>100</v>
      </c>
      <c r="Q32" s="91" t="str">
        <f>IF(AND($L32&gt;=Data!B39,Main!$L32&lt;=Data!C39),"OK",CONCATENATE(Data!B39,"-",Data!C39))</f>
        <v>OK</v>
      </c>
      <c r="R32" s="13" t="str">
        <f>IF(AND($L32&gt;=Data!D39,Main!$L32&lt;=Data!E39),"OK",CONCATENATE(Data!D39,"-",Data!E39))</f>
        <v>85-100</v>
      </c>
      <c r="S32" s="13"/>
      <c r="T32" s="13" t="str">
        <f>IF(AND($L32&gt;=Data!H39,Main!$L32&lt;=Data!I39),"OK",CONCATENATE(Data!H39,"-",Data!I39))</f>
        <v>30-70</v>
      </c>
      <c r="U32" s="13" t="str">
        <f>IF(AND($L32&gt;=Data!J39,Main!$L32&lt;=Data!K39),"OK",CONCATENATE(Data!J39,"-",Data!K39))</f>
        <v>55-100</v>
      </c>
      <c r="V32" s="69"/>
      <c r="W32" s="69"/>
      <c r="X32" s="24"/>
      <c r="Y32" s="47" t="s">
        <v>82</v>
      </c>
      <c r="Z32" s="25">
        <f>ROUND(((0.15^3)*$Z$26)*(1+$Z$27/100)*Z16,3)</f>
        <v>37.957000000000001</v>
      </c>
      <c r="AA32" s="54" t="s">
        <v>130</v>
      </c>
    </row>
    <row r="33" spans="2:27" ht="17.25" customHeight="1" x14ac:dyDescent="0.3">
      <c r="E33" s="5" t="s">
        <v>14</v>
      </c>
      <c r="F33" s="110">
        <v>3.15</v>
      </c>
      <c r="K33" s="13">
        <v>10</v>
      </c>
      <c r="L33" s="13"/>
      <c r="M33" s="13">
        <v>0</v>
      </c>
      <c r="N33" s="13">
        <v>71.2</v>
      </c>
      <c r="O33" s="13"/>
      <c r="P33" s="36">
        <v>28.5</v>
      </c>
      <c r="Q33" s="91" t="str">
        <f>IF(AND($L33&gt;=Data!B40,Main!$L33&lt;=Data!C40),"OK",CONCATENATE(Data!B40,"-",Data!C40))</f>
        <v>OK</v>
      </c>
      <c r="R33" s="13" t="str">
        <f>IF(AND($L33&gt;=Data!D40,Main!$L33&lt;=Data!E40),"OK",CONCATENATE(Data!D40,"-",Data!E40))</f>
        <v>OK</v>
      </c>
      <c r="S33" s="13" t="str">
        <f>IF(AND($L33&gt;=Data!F40,Main!$L33&lt;=Data!G40),"OK",CONCATENATE(Data!F40,"-",Data!G40))</f>
        <v>85-100</v>
      </c>
      <c r="T33" s="13" t="str">
        <f>IF(AND($L33&gt;=Data!H40,Main!$L33&lt;=Data!I40),"OK",CONCATENATE(Data!H40,"-",Data!I40))</f>
        <v>10-35</v>
      </c>
      <c r="U33" s="13" t="str">
        <f>IF(AND($L33&gt;=Data!J40,Main!$L33&lt;=Data!K40),"OK",CONCATENATE(Data!J40,"-",Data!K40))</f>
        <v>25-55</v>
      </c>
      <c r="V33" s="69"/>
      <c r="W33" s="69"/>
      <c r="X33" s="24"/>
      <c r="Y33" s="47" t="str">
        <f>E88</f>
        <v xml:space="preserve"> </v>
      </c>
      <c r="Z33" s="25" t="str">
        <f>IF(F15&gt;0,ROUND(((0.15^3)*$Z$26)*(1+$Z$27/100)*Z17,3)," ")</f>
        <v xml:space="preserve"> </v>
      </c>
      <c r="AA33" s="54" t="str">
        <f>IF(F15&gt;0,"kg"," ")</f>
        <v xml:space="preserve"> </v>
      </c>
    </row>
    <row r="34" spans="2:27" x14ac:dyDescent="0.3">
      <c r="E34" s="6" t="s">
        <v>16</v>
      </c>
      <c r="F34" s="110">
        <v>2.74</v>
      </c>
      <c r="K34" s="13">
        <v>4.75</v>
      </c>
      <c r="L34" s="13"/>
      <c r="M34" s="13"/>
      <c r="N34" s="13">
        <v>9.4</v>
      </c>
      <c r="O34" s="13"/>
      <c r="P34" s="36">
        <v>3.7</v>
      </c>
      <c r="Q34" s="91"/>
      <c r="R34" s="13" t="str">
        <f>IF(AND($L34&gt;=Data!D41,Main!$L34&lt;=Data!E41),"OK",CONCATENATE(Data!D41,"-",Data!E41))</f>
        <v>OK</v>
      </c>
      <c r="S34" s="13" t="str">
        <f>IF(AND($L34&gt;=Data!F41,Main!$L34&lt;=Data!G41),"OK",CONCATENATE(Data!F41,"-",Data!G41))</f>
        <v>OK</v>
      </c>
      <c r="T34" s="13" t="str">
        <f>IF(AND($L34&gt;=Data!H41,Main!$L34&lt;=Data!I41),"OK",CONCATENATE(Data!H41,"-",Data!I41))</f>
        <v>OK</v>
      </c>
      <c r="U34" s="13" t="str">
        <f>IF(AND($L34&gt;=Data!J41,Main!$L34&lt;=Data!K41),"OK",CONCATENATE(Data!J41,"-",Data!K41))</f>
        <v>OK</v>
      </c>
      <c r="V34" s="69"/>
      <c r="W34" s="69"/>
      <c r="X34" s="24"/>
      <c r="Y34" s="47" t="str">
        <f>E89</f>
        <v xml:space="preserve"> </v>
      </c>
      <c r="Z34" s="25" t="str">
        <f>IF(F15&gt;0,ROUND(((0.15^3)*$Z$26)*(1+$Z$27/100)*Z18,3)," ")</f>
        <v xml:space="preserve"> </v>
      </c>
      <c r="AA34" s="54" t="str">
        <f>IF(F15&gt;0,"kg"," ")</f>
        <v xml:space="preserve"> </v>
      </c>
    </row>
    <row r="35" spans="2:27" x14ac:dyDescent="0.3">
      <c r="E35" s="6" t="s">
        <v>15</v>
      </c>
      <c r="F35" s="110">
        <v>2.74</v>
      </c>
      <c r="K35" s="14">
        <v>2.36</v>
      </c>
      <c r="L35" s="14"/>
      <c r="M35" s="14"/>
      <c r="N35" s="14">
        <v>0</v>
      </c>
      <c r="O35" s="14"/>
      <c r="P35" s="92"/>
      <c r="Q35" s="93"/>
      <c r="R35" s="14"/>
      <c r="S35" s="14" t="str">
        <f>IF(AND($L35&gt;=Data!F42,Main!$L35&lt;=Data!G42),"OK",CONCATENATE(Data!F42,"-",Data!G42))</f>
        <v>OK</v>
      </c>
      <c r="T35" s="14"/>
      <c r="U35" s="14"/>
      <c r="V35" s="69"/>
      <c r="W35" s="69"/>
      <c r="X35" s="24"/>
      <c r="Y35" s="47" t="s">
        <v>83</v>
      </c>
      <c r="Z35" s="25">
        <f>ROUND(((0.15^3)*$Z$26)*(1+$Z$27/100)*Z19*1000,0)</f>
        <v>204</v>
      </c>
      <c r="AA35" s="54" t="s">
        <v>136</v>
      </c>
    </row>
    <row r="36" spans="2:27" x14ac:dyDescent="0.3">
      <c r="E36" s="6" t="s">
        <v>18</v>
      </c>
      <c r="F36" s="110">
        <v>1</v>
      </c>
      <c r="G36" t="s">
        <v>19</v>
      </c>
      <c r="X36" s="98"/>
      <c r="Y36" s="99" t="s">
        <v>80</v>
      </c>
      <c r="Z36" s="28">
        <f>ROUND(((0.15^3)*$Z$26)*(1+$Z$27/100)*Z20,3)</f>
        <v>4.6779999999999999</v>
      </c>
      <c r="AA36" s="65" t="s">
        <v>130</v>
      </c>
    </row>
    <row r="37" spans="2:27" x14ac:dyDescent="0.3">
      <c r="E37" s="6" t="s">
        <v>17</v>
      </c>
      <c r="F37" s="110">
        <v>0.5</v>
      </c>
      <c r="G37" t="s">
        <v>19</v>
      </c>
      <c r="X37" s="70"/>
      <c r="Y37" s="70"/>
      <c r="Z37" s="70"/>
      <c r="AA37" s="70"/>
    </row>
    <row r="38" spans="2:27" x14ac:dyDescent="0.3">
      <c r="E38" s="6" t="s">
        <v>153</v>
      </c>
      <c r="F38" s="60">
        <v>0</v>
      </c>
      <c r="G38" t="s">
        <v>19</v>
      </c>
      <c r="X38" s="70"/>
      <c r="Y38" s="70"/>
      <c r="Z38" s="70"/>
      <c r="AA38" s="70"/>
    </row>
    <row r="39" spans="2:27" x14ac:dyDescent="0.3">
      <c r="E39" s="6" t="s">
        <v>154</v>
      </c>
      <c r="F39" s="60">
        <v>0</v>
      </c>
      <c r="G39" t="s">
        <v>19</v>
      </c>
    </row>
    <row r="40" spans="2:27" x14ac:dyDescent="0.3">
      <c r="E40" s="6" t="s">
        <v>155</v>
      </c>
      <c r="F40" s="110">
        <v>0</v>
      </c>
    </row>
    <row r="41" spans="2:27" ht="15.75" customHeight="1" x14ac:dyDescent="0.3">
      <c r="B41" s="120" t="s">
        <v>33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27" ht="16.5" customHeight="1" x14ac:dyDescent="0.3"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4" spans="2:27" ht="16.2" x14ac:dyDescent="0.3">
      <c r="E44" s="5" t="s">
        <v>113</v>
      </c>
      <c r="F44" s="5">
        <f>IF(F21=Data!C13,IF(F10&lt;17,3.5,IF(F10&lt;27,4,5)),(IF(F10&lt;17,3.5,IF(F10&lt;27,4,5)))+1)</f>
        <v>5</v>
      </c>
      <c r="G44" s="66" t="s">
        <v>29</v>
      </c>
      <c r="H44" s="110"/>
      <c r="I44" s="61" t="s">
        <v>30</v>
      </c>
      <c r="J44" s="2">
        <f>IF(ISBLANK(H44),F44,H44)</f>
        <v>5</v>
      </c>
      <c r="K44" t="s">
        <v>32</v>
      </c>
      <c r="R44" s="75" t="s">
        <v>114</v>
      </c>
    </row>
    <row r="45" spans="2:27" ht="16.2" x14ac:dyDescent="0.3">
      <c r="E45" s="5" t="s">
        <v>31</v>
      </c>
      <c r="F45">
        <f>F10+1.65*J44</f>
        <v>48.25</v>
      </c>
      <c r="G45" t="s">
        <v>32</v>
      </c>
    </row>
    <row r="46" spans="2:27" x14ac:dyDescent="0.3">
      <c r="E46" s="5" t="s">
        <v>34</v>
      </c>
      <c r="F46">
        <f>VLOOKUP(Main!F19,Data!M6:S10,IF(Main!F18=Data!N4,3,6),FALSE)</f>
        <v>0.5</v>
      </c>
    </row>
    <row r="47" spans="2:27" x14ac:dyDescent="0.3">
      <c r="E47" s="5" t="s">
        <v>88</v>
      </c>
      <c r="F47" s="110">
        <v>0.4</v>
      </c>
      <c r="G47" s="60"/>
      <c r="H47" s="60"/>
      <c r="I47" s="60"/>
      <c r="J47" s="60"/>
      <c r="R47" s="73" t="s">
        <v>115</v>
      </c>
    </row>
    <row r="48" spans="2:27" x14ac:dyDescent="0.3">
      <c r="C48" s="122" t="str">
        <f>IF(F46&gt;=F47,"Okay","Reduce water Content")</f>
        <v>Okay</v>
      </c>
      <c r="D48" s="122"/>
      <c r="E48" s="122"/>
      <c r="F48" s="122"/>
      <c r="G48" s="122"/>
      <c r="H48" s="122"/>
      <c r="I48" s="122"/>
      <c r="J48" s="122"/>
    </row>
    <row r="49" spans="2:19" ht="15.75" customHeight="1" x14ac:dyDescent="0.3">
      <c r="B49" s="120" t="s">
        <v>46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</row>
    <row r="50" spans="2:19" ht="16.5" customHeight="1" x14ac:dyDescent="0.3"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</row>
    <row r="52" spans="2:19" ht="16.2" x14ac:dyDescent="0.3">
      <c r="E52" s="5" t="s">
        <v>34</v>
      </c>
      <c r="F52">
        <f>IF(F14=10,208,IF(F14=20,186,165))</f>
        <v>186</v>
      </c>
      <c r="G52" s="66" t="s">
        <v>29</v>
      </c>
      <c r="H52" s="110"/>
      <c r="I52" s="61" t="s">
        <v>30</v>
      </c>
      <c r="J52" s="2">
        <f>IF(ISBLANK(H52),F52,H52)</f>
        <v>186</v>
      </c>
      <c r="K52" t="s">
        <v>4</v>
      </c>
      <c r="L52" s="9" t="s">
        <v>41</v>
      </c>
      <c r="R52" s="73" t="s">
        <v>119</v>
      </c>
    </row>
    <row r="53" spans="2:19" ht="16.2" x14ac:dyDescent="0.3">
      <c r="E53" s="5" t="s">
        <v>35</v>
      </c>
      <c r="F53">
        <f>VLOOKUP(F22,Data!J3:K6,2,FALSE)</f>
        <v>0</v>
      </c>
      <c r="G53" s="66" t="s">
        <v>29</v>
      </c>
      <c r="H53" s="110"/>
      <c r="I53" s="61" t="s">
        <v>30</v>
      </c>
      <c r="J53" s="2">
        <f>IF(ISBLANK(H53),F53,H53)</f>
        <v>0</v>
      </c>
      <c r="K53" t="s">
        <v>4</v>
      </c>
      <c r="R53" s="73" t="s">
        <v>120</v>
      </c>
    </row>
    <row r="54" spans="2:19" ht="16.2" x14ac:dyDescent="0.3">
      <c r="E54" s="5" t="s">
        <v>42</v>
      </c>
      <c r="F54">
        <f>(((F17-50)/25)*3)*J52/100</f>
        <v>11.16</v>
      </c>
      <c r="G54" s="66" t="s">
        <v>29</v>
      </c>
      <c r="H54" s="110"/>
      <c r="I54" s="61" t="s">
        <v>30</v>
      </c>
      <c r="J54" s="2">
        <f>IF(ISBLANK(H54),F54,H54)</f>
        <v>11.16</v>
      </c>
      <c r="K54" t="s">
        <v>4</v>
      </c>
      <c r="R54" s="73" t="s">
        <v>120</v>
      </c>
    </row>
    <row r="55" spans="2:19" ht="16.2" x14ac:dyDescent="0.3">
      <c r="E55" s="5" t="s">
        <v>44</v>
      </c>
      <c r="F55">
        <f>J52+J54-J53</f>
        <v>197.16</v>
      </c>
      <c r="G55" s="66" t="s">
        <v>29</v>
      </c>
      <c r="H55" s="110"/>
      <c r="I55" s="61" t="s">
        <v>30</v>
      </c>
      <c r="J55" s="2">
        <f>IF(ISBLANK(H55),F55,H55)</f>
        <v>197.16</v>
      </c>
      <c r="K55" t="s">
        <v>4</v>
      </c>
    </row>
    <row r="56" spans="2:19" ht="16.8" thickBot="1" x14ac:dyDescent="0.35">
      <c r="E56" s="5" t="s">
        <v>45</v>
      </c>
      <c r="F56">
        <f>IF(H30=0,J55,(100-H29)*J55/100)</f>
        <v>139.9836</v>
      </c>
      <c r="G56" s="66" t="s">
        <v>29</v>
      </c>
      <c r="H56" s="110">
        <v>140</v>
      </c>
      <c r="I56" s="61" t="s">
        <v>30</v>
      </c>
      <c r="J56" s="10">
        <f>(IF(ISBLANK(H56),F56,H56))</f>
        <v>140</v>
      </c>
      <c r="K56" t="s">
        <v>4</v>
      </c>
    </row>
    <row r="57" spans="2:19" ht="15" thickTop="1" x14ac:dyDescent="0.3"/>
    <row r="58" spans="2:19" ht="15.75" customHeight="1" x14ac:dyDescent="0.3">
      <c r="B58" s="120" t="s">
        <v>47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2:19" ht="16.5" customHeight="1" x14ac:dyDescent="0.3"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1" spans="2:19" ht="16.8" thickBot="1" x14ac:dyDescent="0.35">
      <c r="E61" s="5" t="s">
        <v>160</v>
      </c>
      <c r="F61">
        <f>IF(F23=Data!D13,MAX(J56/F47,F63)*(1+(Main!F24/100)),MAX(J56/F47,F63))</f>
        <v>350</v>
      </c>
      <c r="G61" s="66" t="s">
        <v>29</v>
      </c>
      <c r="H61" s="110"/>
      <c r="I61" s="61" t="s">
        <v>30</v>
      </c>
      <c r="J61" s="10">
        <f>IF(ISBLANK(H61),F61,H61)</f>
        <v>350</v>
      </c>
      <c r="K61" t="s">
        <v>4</v>
      </c>
      <c r="L61" s="123" t="str">
        <f>IF(J61&gt;450,"(450 is Max. limit as per Cl. 8.2.4.2 IS 456)"," ")</f>
        <v xml:space="preserve"> </v>
      </c>
      <c r="M61" s="123"/>
      <c r="N61" s="123"/>
      <c r="O61" s="123"/>
    </row>
    <row r="62" spans="2:19" s="70" customFormat="1" ht="15.6" thickTop="1" thickBot="1" x14ac:dyDescent="0.35">
      <c r="E62" s="5" t="s">
        <v>158</v>
      </c>
      <c r="F62" s="70">
        <f>J56/J61</f>
        <v>0.4</v>
      </c>
      <c r="G62" s="66" t="s">
        <v>29</v>
      </c>
      <c r="H62" s="110">
        <v>0.4</v>
      </c>
      <c r="I62" s="69" t="s">
        <v>30</v>
      </c>
      <c r="J62" s="10">
        <f>IF(ISBLANK(H62),F62,H62)</f>
        <v>0.4</v>
      </c>
      <c r="K62" s="66"/>
      <c r="L62" s="66"/>
      <c r="M62" s="69"/>
      <c r="N62" s="69"/>
      <c r="O62" s="69"/>
    </row>
    <row r="63" spans="2:19" ht="16.8" thickTop="1" x14ac:dyDescent="0.3">
      <c r="E63" s="5" t="s">
        <v>58</v>
      </c>
      <c r="F63">
        <f>IF(F18="PCC",VLOOKUP(F19,Data!M6:S10,2,FALSE),VLOOKUP(F19,Data!M6:S10,5,FALSE))</f>
        <v>300</v>
      </c>
      <c r="G63" t="s">
        <v>4</v>
      </c>
      <c r="R63" s="73" t="s">
        <v>115</v>
      </c>
    </row>
    <row r="64" spans="2:19" x14ac:dyDescent="0.3">
      <c r="C64" s="122" t="str">
        <f>IF(J61&gt;=F63,"OK within range","Increase Cement Content")</f>
        <v>OK within range</v>
      </c>
      <c r="D64" s="122"/>
      <c r="E64" s="122"/>
      <c r="F64" s="122"/>
      <c r="G64" s="122"/>
      <c r="H64" s="122"/>
      <c r="I64" s="122"/>
      <c r="J64" s="122"/>
    </row>
    <row r="65" spans="2:19" s="70" customFormat="1" ht="16.8" thickBot="1" x14ac:dyDescent="0.35">
      <c r="E65" s="5" t="s">
        <v>161</v>
      </c>
      <c r="F65" s="70">
        <f>F25%*J61</f>
        <v>105</v>
      </c>
      <c r="G65" s="66" t="s">
        <v>29</v>
      </c>
      <c r="H65" s="110"/>
      <c r="I65" s="69" t="s">
        <v>30</v>
      </c>
      <c r="J65" s="10">
        <f>IF(ISBLANK(H65),F65,H65)</f>
        <v>105</v>
      </c>
      <c r="K65" s="70" t="s">
        <v>4</v>
      </c>
      <c r="R65" s="73"/>
    </row>
    <row r="66" spans="2:19" s="70" customFormat="1" ht="17.399999999999999" thickTop="1" thickBot="1" x14ac:dyDescent="0.35">
      <c r="E66" s="5" t="s">
        <v>162</v>
      </c>
      <c r="F66" s="70">
        <f>J61-F65</f>
        <v>245</v>
      </c>
      <c r="G66" s="66" t="s">
        <v>29</v>
      </c>
      <c r="H66" s="110"/>
      <c r="I66" s="69" t="s">
        <v>30</v>
      </c>
      <c r="J66" s="10">
        <f>IF(ISBLANK(H66),F66,H66)</f>
        <v>245</v>
      </c>
      <c r="K66" s="70" t="s">
        <v>4</v>
      </c>
      <c r="R66" s="73"/>
    </row>
    <row r="67" spans="2:19" ht="15" thickTop="1" x14ac:dyDescent="0.3"/>
    <row r="69" spans="2:19" ht="15.75" customHeight="1" x14ac:dyDescent="0.3">
      <c r="B69" s="120" t="s">
        <v>60</v>
      </c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19" ht="16.5" customHeight="1" x14ac:dyDescent="0.3"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2" spans="2:19" x14ac:dyDescent="0.3">
      <c r="E72" s="5" t="s">
        <v>61</v>
      </c>
      <c r="F72" s="3">
        <f>HLOOKUP(Q19,Data!O27:R31,((Main!F14/10)+1),FALSE)</f>
        <v>0.6</v>
      </c>
      <c r="G72" s="66" t="s">
        <v>29</v>
      </c>
      <c r="H72" s="110"/>
      <c r="I72" s="61" t="s">
        <v>30</v>
      </c>
      <c r="J72" s="2">
        <f>IF(ISBLANK(H72),F72,H72)</f>
        <v>0.6</v>
      </c>
      <c r="K72" t="s">
        <v>62</v>
      </c>
      <c r="R72" s="73" t="s">
        <v>121</v>
      </c>
    </row>
    <row r="73" spans="2:19" x14ac:dyDescent="0.3">
      <c r="E73" s="5" t="s">
        <v>63</v>
      </c>
      <c r="F73" s="3">
        <f>(((0.5-J62)/0.05)*0.01)+J72</f>
        <v>0.62</v>
      </c>
      <c r="R73" s="73" t="s">
        <v>122</v>
      </c>
    </row>
    <row r="74" spans="2:19" x14ac:dyDescent="0.3">
      <c r="E74" s="5" t="s">
        <v>124</v>
      </c>
      <c r="F74" s="3">
        <f>IF(F20="Pumping",10,0)</f>
        <v>10</v>
      </c>
      <c r="G74" s="66" t="s">
        <v>29</v>
      </c>
      <c r="H74" s="110"/>
      <c r="I74" s="61" t="s">
        <v>30</v>
      </c>
      <c r="J74" s="2">
        <f>IF(ISBLANK(H74),F74,H74)</f>
        <v>10</v>
      </c>
      <c r="K74" t="s">
        <v>19</v>
      </c>
      <c r="R74" s="73" t="s">
        <v>123</v>
      </c>
    </row>
    <row r="75" spans="2:19" ht="15" thickBot="1" x14ac:dyDescent="0.35">
      <c r="E75" s="5" t="s">
        <v>64</v>
      </c>
      <c r="F75">
        <f>(F73*(1-(J74/100)))</f>
        <v>0.55800000000000005</v>
      </c>
      <c r="G75" s="66" t="s">
        <v>29</v>
      </c>
      <c r="H75" s="110"/>
      <c r="I75" s="61" t="s">
        <v>30</v>
      </c>
      <c r="J75" s="10">
        <f>IF(ISBLANK(H75),F75,H75)</f>
        <v>0.55800000000000005</v>
      </c>
    </row>
    <row r="76" spans="2:19" ht="15.6" thickTop="1" thickBot="1" x14ac:dyDescent="0.35">
      <c r="E76" s="5" t="s">
        <v>65</v>
      </c>
      <c r="F76" s="8">
        <f>1-J75</f>
        <v>0.44199999999999995</v>
      </c>
      <c r="I76" s="61"/>
    </row>
    <row r="77" spans="2:19" ht="15" thickTop="1" x14ac:dyDescent="0.3"/>
    <row r="79" spans="2:19" ht="15" thickBot="1" x14ac:dyDescent="0.35">
      <c r="B79" s="121" t="s">
        <v>66</v>
      </c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</row>
    <row r="80" spans="2:19" ht="15.6" thickTop="1" thickBot="1" x14ac:dyDescent="0.35"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</row>
    <row r="81" spans="5:7" ht="15" thickTop="1" x14ac:dyDescent="0.3"/>
    <row r="82" spans="5:7" ht="16.2" x14ac:dyDescent="0.3">
      <c r="E82" s="5" t="s">
        <v>67</v>
      </c>
      <c r="F82">
        <v>1</v>
      </c>
      <c r="G82" t="s">
        <v>68</v>
      </c>
    </row>
    <row r="83" spans="5:7" ht="16.2" x14ac:dyDescent="0.3">
      <c r="E83" s="5" t="s">
        <v>69</v>
      </c>
      <c r="F83">
        <f>ROUND((J61/(1000*F33)),5)</f>
        <v>0.11111</v>
      </c>
      <c r="G83" t="s">
        <v>68</v>
      </c>
    </row>
    <row r="84" spans="5:7" ht="16.2" x14ac:dyDescent="0.3">
      <c r="E84" s="5" t="s">
        <v>70</v>
      </c>
      <c r="F84">
        <f>ROUND(J56/1000,5)</f>
        <v>0.14000000000000001</v>
      </c>
      <c r="G84" t="s">
        <v>68</v>
      </c>
    </row>
    <row r="85" spans="5:7" ht="16.2" x14ac:dyDescent="0.3">
      <c r="E85" s="5" t="s">
        <v>72</v>
      </c>
      <c r="F85">
        <f>ROUND(IF(F26=Data!D14,0,((H30*J61)/100)/(1000*F31)),5)</f>
        <v>6.11E-3</v>
      </c>
      <c r="G85" t="s">
        <v>68</v>
      </c>
    </row>
    <row r="86" spans="5:7" ht="16.2" x14ac:dyDescent="0.3">
      <c r="E86" s="5" t="s">
        <v>74</v>
      </c>
      <c r="F86">
        <f>ROUND(1-SUM(F83:F85),5)</f>
        <v>0.74278</v>
      </c>
      <c r="G86" t="s">
        <v>68</v>
      </c>
    </row>
    <row r="87" spans="5:7" x14ac:dyDescent="0.3">
      <c r="E87" s="5" t="s">
        <v>75</v>
      </c>
      <c r="F87">
        <f>ROUND(F86*J75*F35*1000,3)</f>
        <v>1135.6510000000001</v>
      </c>
      <c r="G87" t="s">
        <v>76</v>
      </c>
    </row>
    <row r="88" spans="5:7" s="60" customFormat="1" x14ac:dyDescent="0.3">
      <c r="E88" s="5" t="str">
        <f>IF(F15&gt;0,CONCATENATE("Mass of CA (",F15," mm)")," ")</f>
        <v xml:space="preserve"> </v>
      </c>
      <c r="F88" s="60" t="str">
        <f>IF(F15&gt;0,ROUND($F$87*F16/100,3)," ")</f>
        <v xml:space="preserve"> </v>
      </c>
      <c r="G88" s="60" t="str">
        <f>IF(F15&gt;0,"Kg"," ")</f>
        <v xml:space="preserve"> </v>
      </c>
    </row>
    <row r="89" spans="5:7" s="60" customFormat="1" x14ac:dyDescent="0.3">
      <c r="E89" s="5" t="str">
        <f>IF(F15&gt;0,CONCATENATE("Mass of CA (",F14," mm)")," ")</f>
        <v xml:space="preserve"> </v>
      </c>
      <c r="F89" s="60" t="str">
        <f>IF(F15&gt;0,ROUND($F$87*H16/100,3)," ")</f>
        <v xml:space="preserve"> </v>
      </c>
      <c r="G89" s="60" t="str">
        <f>IF(F15&gt;0,"Kg"," ")</f>
        <v xml:space="preserve"> </v>
      </c>
    </row>
    <row r="90" spans="5:7" x14ac:dyDescent="0.3">
      <c r="E90" s="5" t="s">
        <v>77</v>
      </c>
      <c r="F90">
        <f>ROUND(F86*F76*F34*1000,3)</f>
        <v>899.56600000000003</v>
      </c>
      <c r="G90" t="s">
        <v>76</v>
      </c>
    </row>
  </sheetData>
  <mergeCells count="22">
    <mergeCell ref="D2:AA5"/>
    <mergeCell ref="X22:AA22"/>
    <mergeCell ref="K26:U26"/>
    <mergeCell ref="W10:AA11"/>
    <mergeCell ref="L10:U10"/>
    <mergeCell ref="B7:J9"/>
    <mergeCell ref="K7:U9"/>
    <mergeCell ref="Q27:S28"/>
    <mergeCell ref="T27:U28"/>
    <mergeCell ref="O27:P28"/>
    <mergeCell ref="F22:G22"/>
    <mergeCell ref="F27:G27"/>
    <mergeCell ref="L27:N27"/>
    <mergeCell ref="B32:H32"/>
    <mergeCell ref="B41:S42"/>
    <mergeCell ref="B49:S50"/>
    <mergeCell ref="B58:S59"/>
    <mergeCell ref="B79:R80"/>
    <mergeCell ref="C64:J64"/>
    <mergeCell ref="C48:J48"/>
    <mergeCell ref="B69:S70"/>
    <mergeCell ref="L61:O61"/>
  </mergeCells>
  <conditionalFormatting sqref="C64:J64">
    <cfRule type="expression" dxfId="3" priority="5">
      <formula>IF($F$63&gt;$J$61,1,0)</formula>
    </cfRule>
    <cfRule type="expression" priority="7">
      <formula>IF($F$63&gt;$J$61,1,0)</formula>
    </cfRule>
  </conditionalFormatting>
  <conditionalFormatting sqref="P12:P18">
    <cfRule type="expression" dxfId="2" priority="2">
      <formula>IF(P12="No",1,0)</formula>
    </cfRule>
  </conditionalFormatting>
  <conditionalFormatting sqref="L61">
    <cfRule type="expression" dxfId="1" priority="1">
      <formula>IF($J$61&gt;450,1,0)</formula>
    </cfRule>
  </conditionalFormatting>
  <conditionalFormatting sqref="C48:J48">
    <cfRule type="expression" dxfId="0" priority="12">
      <formula>IF($F$47&lt;=$F$46,0,1)</formula>
    </cfRule>
    <cfRule type="expression" priority="13">
      <formula>IF($F$63&gt;$J$61,1,0)</formula>
    </cfRule>
  </conditionalFormatting>
  <dataValidations count="7">
    <dataValidation type="list" allowBlank="1" showInputMessage="1" showErrorMessage="1" sqref="F11" xr:uid="{00000000-0002-0000-0000-000000000000}">
      <formula1>"PPC,33,43,53"</formula1>
    </dataValidation>
    <dataValidation type="list" showInputMessage="1" showErrorMessage="1" sqref="F10" xr:uid="{00000000-0002-0000-0000-000001000000}">
      <formula1>"10,15,20,25,30,35,40,45,50,55"</formula1>
    </dataValidation>
    <dataValidation type="list" allowBlank="1" showInputMessage="1" showErrorMessage="1" sqref="F14" xr:uid="{00000000-0002-0000-0000-000002000000}">
      <formula1>"10,20,40"</formula1>
    </dataValidation>
    <dataValidation type="list" showInputMessage="1" showErrorMessage="1" sqref="F18" xr:uid="{00000000-0002-0000-0000-000003000000}">
      <formula1>"RCC,PCC"</formula1>
    </dataValidation>
    <dataValidation type="list" allowBlank="1" showInputMessage="1" showErrorMessage="1" sqref="F20" xr:uid="{00000000-0002-0000-0000-000004000000}">
      <formula1>"Pumping, Manual"</formula1>
    </dataValidation>
    <dataValidation type="list" allowBlank="1" showInputMessage="1" showErrorMessage="1" sqref="F15" xr:uid="{00000000-0002-0000-0000-000005000000}">
      <formula1>"10,12.5,20,40"</formula1>
    </dataValidation>
    <dataValidation showInputMessage="1" showErrorMessage="1" sqref="F24:F25" xr:uid="{00000000-0002-0000-0000-000006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7000000}">
          <x14:formula1>
            <xm:f>Data!$B$2:$E$2</xm:f>
          </x14:formula1>
          <xm:sqref>O19</xm:sqref>
        </x14:dataValidation>
        <x14:dataValidation type="list" showInputMessage="1" showErrorMessage="1" xr:uid="{00000000-0002-0000-0000-000008000000}">
          <x14:formula1>
            <xm:f>Data!$J$3:$J$6</xm:f>
          </x14:formula1>
          <xm:sqref>F22</xm:sqref>
        </x14:dataValidation>
        <x14:dataValidation type="list" showInputMessage="1" showErrorMessage="1" xr:uid="{00000000-0002-0000-0000-000009000000}">
          <x14:formula1>
            <xm:f>Data!$M$6:$M$10</xm:f>
          </x14:formula1>
          <xm:sqref>F19</xm:sqref>
        </x14:dataValidation>
        <x14:dataValidation type="list" allowBlank="1" showInputMessage="1" showErrorMessage="1" xr:uid="{00000000-0002-0000-0000-00000A000000}">
          <x14:formula1>
            <xm:f>Data!$G$14:$G$22</xm:f>
          </x14:formula1>
          <xm:sqref>F12</xm:sqref>
        </x14:dataValidation>
        <x14:dataValidation type="list" allowBlank="1" showInputMessage="1" showErrorMessage="1" xr:uid="{00000000-0002-0000-0000-00000B000000}">
          <x14:formula1>
            <xm:f>Data!$C$13:$C$14</xm:f>
          </x14:formula1>
          <xm:sqref>F21</xm:sqref>
        </x14:dataValidation>
        <x14:dataValidation type="list" allowBlank="1" showInputMessage="1" showErrorMessage="1" xr:uid="{00000000-0002-0000-0000-00000C000000}">
          <x14:formula1>
            <xm:f>Data!$D$13:$D$14</xm:f>
          </x14:formula1>
          <xm:sqref>F26</xm:sqref>
        </x14:dataValidation>
        <x14:dataValidation type="list" showInputMessage="1" showErrorMessage="1" xr:uid="{00000000-0002-0000-0000-00000D000000}">
          <x14:formula1>
            <xm:f>Data!$D$13:$D$14</xm:f>
          </x14:formula1>
          <xm:sqref>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2"/>
  <sheetViews>
    <sheetView showGridLines="0" zoomScale="85" zoomScaleNormal="85" workbookViewId="0">
      <selection activeCell="D2" sqref="D2"/>
    </sheetView>
  </sheetViews>
  <sheetFormatPr defaultRowHeight="14.4" x14ac:dyDescent="0.3"/>
  <cols>
    <col min="13" max="13" width="11.6640625" bestFit="1" customWidth="1" collapsed="1"/>
    <col min="14" max="14" width="22" bestFit="1" customWidth="1" collapsed="1"/>
    <col min="15" max="15" width="22.6640625" bestFit="1" customWidth="1" collapsed="1"/>
    <col min="16" max="16" width="20.88671875" bestFit="1" customWidth="1" collapsed="1"/>
    <col min="17" max="17" width="20.33203125" bestFit="1" customWidth="1" collapsed="1"/>
    <col min="18" max="18" width="22.6640625" bestFit="1" customWidth="1" collapsed="1"/>
    <col min="19" max="19" width="20.88671875" bestFit="1" customWidth="1" collapsed="1"/>
  </cols>
  <sheetData>
    <row r="2" spans="2:19" x14ac:dyDescent="0.3">
      <c r="B2" s="30" t="s">
        <v>25</v>
      </c>
      <c r="C2" s="31" t="s">
        <v>26</v>
      </c>
      <c r="D2" s="31" t="s">
        <v>27</v>
      </c>
      <c r="E2" s="32" t="s">
        <v>28</v>
      </c>
    </row>
    <row r="3" spans="2:19" x14ac:dyDescent="0.3">
      <c r="B3" s="33">
        <f>IF(Main!$O$12=100,1,0)</f>
        <v>1</v>
      </c>
      <c r="C3" s="34">
        <f>IF(Main!$O$12=100,1,0)</f>
        <v>1</v>
      </c>
      <c r="D3" s="34">
        <f>IF(Main!$O$12=100,1,0)</f>
        <v>1</v>
      </c>
      <c r="E3" s="35">
        <f>IF(Main!$O$12=100,1,0)</f>
        <v>1</v>
      </c>
      <c r="F3">
        <f>IF(Main!$M$19=Data!$B$2,Data!B3,IF(Main!$M$19=Data!$C$2,Data!C3,IF(Main!$M$19=Data!$D$2,Data!D3,Data!E3)))</f>
        <v>1</v>
      </c>
      <c r="H3" s="21"/>
      <c r="I3" s="22"/>
      <c r="J3" s="23" t="s">
        <v>37</v>
      </c>
      <c r="K3" s="18">
        <v>0</v>
      </c>
    </row>
    <row r="4" spans="2:19" x14ac:dyDescent="0.3">
      <c r="B4" s="36">
        <f>IF(AND(Main!$O13&gt;=90,Main!$O13&lt;=100),1,0)</f>
        <v>1</v>
      </c>
      <c r="C4" s="37">
        <f>IF(AND(Main!$O13&gt;=90,Main!$O13&lt;=100),1,0)</f>
        <v>1</v>
      </c>
      <c r="D4" s="37">
        <f>IF(AND(Main!$O13&gt;=90,Main!$O13&lt;=100),1,0)</f>
        <v>1</v>
      </c>
      <c r="E4" s="38">
        <f>IF(AND(Main!$O13&gt;=95,Main!$O13&lt;=100),1,0)</f>
        <v>1</v>
      </c>
      <c r="F4" s="60">
        <f>IF(Main!$M$19=Data!$B$2,Data!B4,IF(Main!$M$19=Data!$C$2,Data!C4,IF(Main!$M$19=Data!$D$2,Data!D4,Data!E4)))</f>
        <v>1</v>
      </c>
      <c r="H4" s="24"/>
      <c r="I4" s="25"/>
      <c r="J4" s="26" t="s">
        <v>38</v>
      </c>
      <c r="K4" s="19">
        <v>10</v>
      </c>
      <c r="N4" s="154" t="s">
        <v>54</v>
      </c>
      <c r="O4" s="154"/>
      <c r="P4" s="154"/>
      <c r="Q4" s="154" t="s">
        <v>49</v>
      </c>
      <c r="R4" s="154"/>
      <c r="S4" s="154"/>
    </row>
    <row r="5" spans="2:19" x14ac:dyDescent="0.3">
      <c r="B5" s="36">
        <f>IF(AND(Main!$O14&gt;=60,Main!$O14&lt;=95),1,0)</f>
        <v>1</v>
      </c>
      <c r="C5" s="37">
        <f>IF(AND(Main!$O14&gt;=75,Main!$O14&lt;=100),1,0)</f>
        <v>0</v>
      </c>
      <c r="D5" s="37">
        <f>IF(AND(Main!$O14&gt;=85,Main!$O14&lt;=100),1,0)</f>
        <v>0</v>
      </c>
      <c r="E5" s="38">
        <f>IF(AND(Main!$O14&gt;=95,Main!$O14&lt;=100),1,0)</f>
        <v>0</v>
      </c>
      <c r="F5" s="60">
        <f>IF(Main!$M$19=Data!$B$2,Data!B5,IF(Main!$M$19=Data!$C$2,Data!C5,IF(Main!$M$19=Data!$D$2,Data!D5,Data!E5)))</f>
        <v>1</v>
      </c>
      <c r="H5" s="24"/>
      <c r="I5" s="25"/>
      <c r="J5" s="26" t="s">
        <v>39</v>
      </c>
      <c r="K5" s="19">
        <v>20</v>
      </c>
      <c r="N5" s="11" t="s">
        <v>55</v>
      </c>
      <c r="O5" s="11" t="s">
        <v>56</v>
      </c>
      <c r="P5" s="11" t="s">
        <v>57</v>
      </c>
      <c r="Q5" s="11" t="s">
        <v>55</v>
      </c>
      <c r="R5" s="11" t="s">
        <v>56</v>
      </c>
      <c r="S5" s="11" t="s">
        <v>57</v>
      </c>
    </row>
    <row r="6" spans="2:19" x14ac:dyDescent="0.3">
      <c r="B6" s="36">
        <f>IF(AND(Main!$O15&gt;=30,Main!$O15&lt;=70),1,0)</f>
        <v>1</v>
      </c>
      <c r="C6" s="37">
        <f>IF(AND(Main!$O15&gt;=55,Main!$O15&lt;=90),1,0)</f>
        <v>0</v>
      </c>
      <c r="D6" s="37">
        <f>IF(AND(Main!$O15&gt;=75,Main!$O15&lt;=100),1,0)</f>
        <v>0</v>
      </c>
      <c r="E6" s="38">
        <f>IF(AND(Main!$O15&gt;=90,Main!$O15&lt;=100),1,0)</f>
        <v>0</v>
      </c>
      <c r="F6" s="60">
        <f>IF(Main!$M$19=Data!$B$2,Data!B6,IF(Main!$M$19=Data!$C$2,Data!C6,IF(Main!$M$19=Data!$D$2,Data!D6,Data!E6)))</f>
        <v>1</v>
      </c>
      <c r="H6" s="27"/>
      <c r="I6" s="28"/>
      <c r="J6" s="29" t="s">
        <v>40</v>
      </c>
      <c r="K6" s="20">
        <v>25</v>
      </c>
      <c r="M6" s="18" t="s">
        <v>50</v>
      </c>
      <c r="N6" s="12">
        <v>220</v>
      </c>
      <c r="O6" s="12">
        <v>0.6</v>
      </c>
      <c r="P6" s="12" t="s">
        <v>117</v>
      </c>
      <c r="Q6" s="12">
        <v>300</v>
      </c>
      <c r="R6" s="12">
        <v>0.55000000000000004</v>
      </c>
      <c r="S6" s="17">
        <v>20</v>
      </c>
    </row>
    <row r="7" spans="2:19" x14ac:dyDescent="0.3">
      <c r="B7" s="36">
        <f>IF(AND(Main!$O16&gt;=15,Main!$O16&lt;=34),1,0)</f>
        <v>1</v>
      </c>
      <c r="C7" s="37">
        <f>IF(AND(Main!$O16&gt;=35,Main!$O16&lt;=59),1,0)</f>
        <v>0</v>
      </c>
      <c r="D7" s="37">
        <f>IF(AND(Main!$O16&gt;=60,Main!$O16&lt;=79),1,0)</f>
        <v>0</v>
      </c>
      <c r="E7" s="38">
        <f>IF(AND(Main!$O16&gt;=80,Main!$O16&lt;=100),1,0)</f>
        <v>0</v>
      </c>
      <c r="F7" s="60">
        <f>IF(Main!$M$19=Data!$B$2,Data!B7,IF(Main!$M$19=Data!$C$2,Data!C7,IF(Main!$M$19=Data!$D$2,Data!D7,Data!E7)))</f>
        <v>1</v>
      </c>
      <c r="M7" s="19" t="s">
        <v>51</v>
      </c>
      <c r="N7" s="13">
        <v>240</v>
      </c>
      <c r="O7" s="13">
        <v>0.6</v>
      </c>
      <c r="P7" s="15">
        <v>15</v>
      </c>
      <c r="Q7" s="13">
        <v>300</v>
      </c>
      <c r="R7" s="13">
        <v>0.5</v>
      </c>
      <c r="S7" s="15">
        <v>25</v>
      </c>
    </row>
    <row r="8" spans="2:19" x14ac:dyDescent="0.3">
      <c r="B8" s="36">
        <f>IF(AND(Main!$O17&gt;=5,Main!$O17&lt;=20),1,0)</f>
        <v>1</v>
      </c>
      <c r="C8" s="37">
        <f>IF(AND(Main!$O17&gt;=8,Main!$O17&lt;=30),1,0)</f>
        <v>1</v>
      </c>
      <c r="D8" s="37">
        <f>IF(AND(Main!$O17&gt;=12,Main!$O17&lt;=40),1,0)</f>
        <v>1</v>
      </c>
      <c r="E8" s="38">
        <f>IF(AND(Main!$O17&gt;=15,Main!$O17&lt;=50),1,0)</f>
        <v>1</v>
      </c>
      <c r="F8" s="60">
        <f>IF(Main!$M$19=Data!$B$2,Data!B8,IF(Main!$M$19=Data!$C$2,Data!C8,IF(Main!$M$19=Data!$D$2,Data!D8,Data!E8)))</f>
        <v>1</v>
      </c>
      <c r="H8" s="18" t="s">
        <v>86</v>
      </c>
      <c r="J8" s="55" t="s">
        <v>85</v>
      </c>
      <c r="M8" s="19" t="s">
        <v>8</v>
      </c>
      <c r="N8" s="13">
        <v>250</v>
      </c>
      <c r="O8" s="13">
        <v>0.5</v>
      </c>
      <c r="P8" s="15">
        <v>20</v>
      </c>
      <c r="Q8" s="13">
        <v>320</v>
      </c>
      <c r="R8" s="13">
        <v>0.45</v>
      </c>
      <c r="S8" s="15">
        <v>30</v>
      </c>
    </row>
    <row r="9" spans="2:19" x14ac:dyDescent="0.3">
      <c r="B9" s="36">
        <f>IF(AND(Main!$O18&gt;=0,Main!$O18&lt;=10),1,0)</f>
        <v>1</v>
      </c>
      <c r="C9" s="37">
        <f>IF(AND(Main!$O18&gt;=0,Main!$O18&lt;=10),1,0)</f>
        <v>1</v>
      </c>
      <c r="D9" s="37">
        <f>IF(AND(Main!$O18&gt;=0,Main!$O18&lt;=10),1,0)</f>
        <v>1</v>
      </c>
      <c r="E9" s="38">
        <f>IF(AND(Main!$O18&gt;=0,Main!$O18&lt;=15),1,0)</f>
        <v>1</v>
      </c>
      <c r="F9" s="60">
        <f>IF(Main!$M$19=Data!$B$2,Data!B9,IF(Main!$M$19=Data!$C$2,Data!C9,IF(Main!$M$19=Data!$D$2,Data!D9,Data!E9)))</f>
        <v>1</v>
      </c>
      <c r="H9" s="19" t="s">
        <v>92</v>
      </c>
      <c r="J9" s="56" t="s">
        <v>87</v>
      </c>
      <c r="M9" s="19" t="s">
        <v>52</v>
      </c>
      <c r="N9" s="13">
        <v>260</v>
      </c>
      <c r="O9" s="13">
        <v>0.45</v>
      </c>
      <c r="P9" s="15">
        <v>20</v>
      </c>
      <c r="Q9" s="13">
        <v>340</v>
      </c>
      <c r="R9" s="13">
        <v>0.45</v>
      </c>
      <c r="S9" s="15">
        <v>35</v>
      </c>
    </row>
    <row r="10" spans="2:19" x14ac:dyDescent="0.3">
      <c r="B10" s="62">
        <f>SUM(B3:B9)</f>
        <v>7</v>
      </c>
      <c r="C10" s="31">
        <f t="shared" ref="C10:E10" si="0">SUM(C3:C9)</f>
        <v>4</v>
      </c>
      <c r="D10" s="31">
        <f t="shared" si="0"/>
        <v>4</v>
      </c>
      <c r="E10" s="63">
        <f t="shared" si="0"/>
        <v>4</v>
      </c>
      <c r="F10" s="60">
        <f>IF(Main!N32=Data!B9,Data!B10,IF(Main!N32=Data!C9,Data!C10,IF(Main!N32=Data!D9,Data!D10,Data!E10)))</f>
        <v>4</v>
      </c>
      <c r="H10" s="20" t="s">
        <v>87</v>
      </c>
      <c r="M10" s="20" t="s">
        <v>53</v>
      </c>
      <c r="N10" s="14">
        <v>280</v>
      </c>
      <c r="O10" s="14">
        <v>0.4</v>
      </c>
      <c r="P10" s="16">
        <v>25</v>
      </c>
      <c r="Q10" s="14">
        <v>360</v>
      </c>
      <c r="R10" s="14">
        <v>0.4</v>
      </c>
      <c r="S10" s="16">
        <v>40</v>
      </c>
    </row>
    <row r="11" spans="2:19" x14ac:dyDescent="0.3">
      <c r="B11" s="7" t="s">
        <v>25</v>
      </c>
      <c r="C11" s="7" t="s">
        <v>26</v>
      </c>
      <c r="D11" s="7" t="s">
        <v>27</v>
      </c>
      <c r="E11" s="7" t="s">
        <v>28</v>
      </c>
    </row>
    <row r="13" spans="2:19" x14ac:dyDescent="0.3">
      <c r="C13" t="s">
        <v>12</v>
      </c>
      <c r="D13" t="s">
        <v>107</v>
      </c>
      <c r="O13" s="155" t="s">
        <v>54</v>
      </c>
      <c r="P13" s="156"/>
      <c r="Q13" s="155" t="s">
        <v>49</v>
      </c>
      <c r="R13" s="156"/>
    </row>
    <row r="14" spans="2:19" x14ac:dyDescent="0.3">
      <c r="C14" t="s">
        <v>106</v>
      </c>
      <c r="D14" t="s">
        <v>108</v>
      </c>
      <c r="G14" s="21" t="s">
        <v>105</v>
      </c>
      <c r="H14" s="64"/>
      <c r="O14" s="33" t="s">
        <v>89</v>
      </c>
      <c r="P14" s="41" t="s">
        <v>90</v>
      </c>
      <c r="Q14" s="41" t="s">
        <v>89</v>
      </c>
      <c r="R14" s="41" t="s">
        <v>90</v>
      </c>
    </row>
    <row r="15" spans="2:19" x14ac:dyDescent="0.3">
      <c r="G15" s="24" t="s">
        <v>98</v>
      </c>
      <c r="H15" s="54"/>
      <c r="N15" s="54"/>
      <c r="O15" s="12"/>
      <c r="P15" s="12">
        <v>0.6</v>
      </c>
      <c r="R15" s="4" t="s">
        <v>91</v>
      </c>
    </row>
    <row r="16" spans="2:19" x14ac:dyDescent="0.3">
      <c r="G16" s="24" t="s">
        <v>104</v>
      </c>
      <c r="H16" s="54"/>
      <c r="N16" s="54"/>
      <c r="O16" s="15">
        <v>15</v>
      </c>
      <c r="P16" s="13">
        <v>0.6</v>
      </c>
      <c r="R16" s="4" t="s">
        <v>91</v>
      </c>
    </row>
    <row r="17" spans="2:18" x14ac:dyDescent="0.3">
      <c r="G17" s="24" t="s">
        <v>103</v>
      </c>
      <c r="H17" s="54"/>
      <c r="N17" s="54"/>
      <c r="O17" s="15">
        <v>20</v>
      </c>
      <c r="P17" s="13">
        <v>0.45</v>
      </c>
      <c r="Q17" s="17">
        <v>20</v>
      </c>
      <c r="R17" s="12">
        <v>0.55000000000000004</v>
      </c>
    </row>
    <row r="18" spans="2:18" x14ac:dyDescent="0.3">
      <c r="G18" s="24" t="s">
        <v>102</v>
      </c>
      <c r="H18" s="54"/>
      <c r="N18" s="54"/>
      <c r="O18" s="15">
        <v>25</v>
      </c>
      <c r="P18" s="13">
        <v>0.4</v>
      </c>
      <c r="Q18" s="15">
        <v>25</v>
      </c>
      <c r="R18" s="13">
        <v>0.5</v>
      </c>
    </row>
    <row r="19" spans="2:18" x14ac:dyDescent="0.3">
      <c r="G19" s="24" t="s">
        <v>101</v>
      </c>
      <c r="H19" s="54"/>
      <c r="O19" s="15">
        <v>30</v>
      </c>
      <c r="P19" s="13">
        <v>0.4</v>
      </c>
      <c r="Q19" s="15">
        <v>30</v>
      </c>
      <c r="R19" s="13">
        <v>0.45</v>
      </c>
    </row>
    <row r="20" spans="2:18" x14ac:dyDescent="0.3">
      <c r="G20" s="24" t="s">
        <v>100</v>
      </c>
      <c r="H20" s="54"/>
      <c r="O20" s="15">
        <v>35</v>
      </c>
      <c r="P20" s="13">
        <v>0.4</v>
      </c>
      <c r="Q20" s="15">
        <v>35</v>
      </c>
      <c r="R20" s="13">
        <v>0.45</v>
      </c>
    </row>
    <row r="21" spans="2:18" x14ac:dyDescent="0.3">
      <c r="G21" s="24" t="s">
        <v>97</v>
      </c>
      <c r="H21" s="54"/>
      <c r="O21" s="15">
        <v>40</v>
      </c>
      <c r="P21" s="13">
        <v>0.4</v>
      </c>
      <c r="Q21" s="15">
        <v>40</v>
      </c>
      <c r="R21" s="13">
        <v>0.4</v>
      </c>
    </row>
    <row r="22" spans="2:18" x14ac:dyDescent="0.3">
      <c r="G22" s="24" t="s">
        <v>99</v>
      </c>
      <c r="H22" s="54"/>
      <c r="O22" s="15">
        <v>45</v>
      </c>
      <c r="P22" s="13">
        <v>0.4</v>
      </c>
      <c r="Q22" s="15">
        <v>45</v>
      </c>
      <c r="R22" s="13">
        <v>0.4</v>
      </c>
    </row>
    <row r="23" spans="2:18" x14ac:dyDescent="0.3">
      <c r="B23" s="160" t="s">
        <v>25</v>
      </c>
      <c r="C23" s="160"/>
      <c r="D23" s="160" t="s">
        <v>26</v>
      </c>
      <c r="E23" s="160"/>
      <c r="F23" s="160" t="s">
        <v>27</v>
      </c>
      <c r="G23" s="160"/>
      <c r="H23" s="160" t="s">
        <v>28</v>
      </c>
      <c r="I23" s="160"/>
      <c r="O23" s="15">
        <v>50</v>
      </c>
      <c r="P23" s="13">
        <v>0.4</v>
      </c>
      <c r="Q23" s="15">
        <v>50</v>
      </c>
      <c r="R23" s="13">
        <v>0.4</v>
      </c>
    </row>
    <row r="24" spans="2:18" x14ac:dyDescent="0.3">
      <c r="B24" s="71" t="s">
        <v>132</v>
      </c>
      <c r="C24" s="71" t="s">
        <v>133</v>
      </c>
      <c r="D24" s="71" t="s">
        <v>132</v>
      </c>
      <c r="E24" s="71" t="s">
        <v>133</v>
      </c>
      <c r="F24" s="71" t="s">
        <v>132</v>
      </c>
      <c r="G24" s="71" t="s">
        <v>133</v>
      </c>
      <c r="H24" s="71" t="s">
        <v>132</v>
      </c>
      <c r="I24" s="71" t="s">
        <v>133</v>
      </c>
      <c r="O24" s="16">
        <v>55</v>
      </c>
      <c r="P24" s="14">
        <v>0.4</v>
      </c>
      <c r="Q24" s="16">
        <v>55</v>
      </c>
      <c r="R24" s="14">
        <v>0.4</v>
      </c>
    </row>
    <row r="25" spans="2:18" x14ac:dyDescent="0.3">
      <c r="B25" s="79">
        <v>100</v>
      </c>
      <c r="C25" s="79">
        <v>100</v>
      </c>
      <c r="D25" s="79">
        <v>100</v>
      </c>
      <c r="E25" s="79">
        <v>100</v>
      </c>
      <c r="F25" s="79">
        <v>100</v>
      </c>
      <c r="G25" s="79">
        <v>100</v>
      </c>
      <c r="H25" s="79">
        <v>100</v>
      </c>
      <c r="I25" s="79">
        <v>100</v>
      </c>
    </row>
    <row r="26" spans="2:18" x14ac:dyDescent="0.3">
      <c r="B26" s="79">
        <v>90</v>
      </c>
      <c r="C26" s="79">
        <v>100</v>
      </c>
      <c r="D26" s="79">
        <v>90</v>
      </c>
      <c r="E26" s="79">
        <v>100</v>
      </c>
      <c r="F26" s="79">
        <v>90</v>
      </c>
      <c r="G26" s="79">
        <v>100</v>
      </c>
      <c r="H26" s="79">
        <v>95</v>
      </c>
      <c r="I26" s="79">
        <v>100</v>
      </c>
    </row>
    <row r="27" spans="2:18" x14ac:dyDescent="0.3">
      <c r="B27" s="79">
        <v>60</v>
      </c>
      <c r="C27" s="79">
        <v>95</v>
      </c>
      <c r="D27" s="79">
        <v>75</v>
      </c>
      <c r="E27" s="81">
        <v>100</v>
      </c>
      <c r="F27" s="79">
        <v>85</v>
      </c>
      <c r="G27" s="79">
        <v>100</v>
      </c>
      <c r="H27" s="79">
        <v>95</v>
      </c>
      <c r="I27" s="79">
        <v>100</v>
      </c>
      <c r="N27" s="11" t="s">
        <v>59</v>
      </c>
      <c r="O27" s="41" t="s">
        <v>28</v>
      </c>
      <c r="P27" s="41" t="s">
        <v>27</v>
      </c>
      <c r="Q27" s="41" t="s">
        <v>26</v>
      </c>
      <c r="R27" s="41" t="s">
        <v>25</v>
      </c>
    </row>
    <row r="28" spans="2:18" x14ac:dyDescent="0.3">
      <c r="B28" s="79">
        <v>30</v>
      </c>
      <c r="C28" s="79">
        <v>70</v>
      </c>
      <c r="D28" s="79">
        <v>55</v>
      </c>
      <c r="E28" s="79">
        <v>90</v>
      </c>
      <c r="F28" s="79">
        <v>75</v>
      </c>
      <c r="G28" s="79">
        <v>100</v>
      </c>
      <c r="H28" s="79">
        <v>90</v>
      </c>
      <c r="I28" s="79">
        <v>100</v>
      </c>
      <c r="N28" s="12">
        <v>10</v>
      </c>
      <c r="O28" s="34">
        <v>0.5</v>
      </c>
      <c r="P28" s="34">
        <v>0.48</v>
      </c>
      <c r="Q28" s="34">
        <v>0.46</v>
      </c>
      <c r="R28" s="35">
        <v>0.44</v>
      </c>
    </row>
    <row r="29" spans="2:18" x14ac:dyDescent="0.3">
      <c r="B29" s="79">
        <v>15</v>
      </c>
      <c r="C29" s="79">
        <v>34</v>
      </c>
      <c r="D29" s="79">
        <v>35</v>
      </c>
      <c r="E29" s="79">
        <v>59</v>
      </c>
      <c r="F29" s="79">
        <v>60</v>
      </c>
      <c r="G29" s="79">
        <v>79</v>
      </c>
      <c r="H29" s="79">
        <v>80</v>
      </c>
      <c r="I29" s="79">
        <v>100</v>
      </c>
      <c r="N29" s="13">
        <v>20</v>
      </c>
      <c r="O29" s="37">
        <v>0.66</v>
      </c>
      <c r="P29" s="37">
        <v>0.64</v>
      </c>
      <c r="Q29" s="37">
        <v>0.62</v>
      </c>
      <c r="R29" s="38">
        <v>0.6</v>
      </c>
    </row>
    <row r="30" spans="2:18" x14ac:dyDescent="0.3">
      <c r="B30" s="79">
        <v>5</v>
      </c>
      <c r="C30" s="79">
        <v>20</v>
      </c>
      <c r="D30" s="79">
        <v>8</v>
      </c>
      <c r="E30" s="79">
        <v>30</v>
      </c>
      <c r="F30" s="79">
        <v>12</v>
      </c>
      <c r="G30" s="79">
        <v>40</v>
      </c>
      <c r="H30" s="79">
        <v>15</v>
      </c>
      <c r="I30" s="79">
        <v>50</v>
      </c>
      <c r="N30" s="13"/>
      <c r="O30" s="37"/>
      <c r="P30" s="37"/>
      <c r="Q30" s="37"/>
      <c r="R30" s="38"/>
    </row>
    <row r="31" spans="2:18" x14ac:dyDescent="0.3">
      <c r="B31" s="80">
        <v>0</v>
      </c>
      <c r="C31" s="80">
        <v>10</v>
      </c>
      <c r="D31" s="80">
        <v>0</v>
      </c>
      <c r="E31" s="80">
        <v>10</v>
      </c>
      <c r="F31" s="80">
        <v>0</v>
      </c>
      <c r="G31" s="80">
        <v>10</v>
      </c>
      <c r="H31" s="80">
        <v>0</v>
      </c>
      <c r="I31" s="80">
        <v>15</v>
      </c>
      <c r="N31" s="14">
        <v>40</v>
      </c>
      <c r="O31" s="39">
        <v>0.75</v>
      </c>
      <c r="P31" s="39">
        <v>0.73</v>
      </c>
      <c r="Q31" s="39">
        <v>0.71</v>
      </c>
      <c r="R31" s="40">
        <v>0.69</v>
      </c>
    </row>
    <row r="32" spans="2:18" x14ac:dyDescent="0.3">
      <c r="N32" s="3"/>
      <c r="O32" s="3"/>
      <c r="P32" s="3"/>
      <c r="Q32" s="3"/>
      <c r="R32" s="3"/>
    </row>
    <row r="34" spans="1:13" x14ac:dyDescent="0.3">
      <c r="B34" s="158" t="s">
        <v>144</v>
      </c>
      <c r="C34" s="136"/>
      <c r="D34" s="136"/>
      <c r="E34" s="136"/>
      <c r="F34" s="136"/>
      <c r="G34" s="136"/>
      <c r="H34" s="161" t="s">
        <v>145</v>
      </c>
      <c r="I34" s="136"/>
      <c r="J34" s="136"/>
      <c r="K34" s="162"/>
      <c r="L34" s="59"/>
      <c r="M34" s="59"/>
    </row>
    <row r="35" spans="1:13" x14ac:dyDescent="0.3">
      <c r="A35" s="18" t="s">
        <v>131</v>
      </c>
      <c r="B35" s="155" t="s">
        <v>141</v>
      </c>
      <c r="C35" s="156"/>
      <c r="D35" s="155" t="s">
        <v>142</v>
      </c>
      <c r="E35" s="156"/>
      <c r="F35" s="155" t="s">
        <v>143</v>
      </c>
      <c r="G35" s="157"/>
      <c r="H35" s="159" t="s">
        <v>141</v>
      </c>
      <c r="I35" s="156"/>
      <c r="J35" s="155" t="s">
        <v>142</v>
      </c>
      <c r="K35" s="156"/>
    </row>
    <row r="36" spans="1:13" x14ac:dyDescent="0.3">
      <c r="B36" s="71" t="s">
        <v>132</v>
      </c>
      <c r="C36" s="71" t="s">
        <v>133</v>
      </c>
      <c r="D36" s="71" t="s">
        <v>132</v>
      </c>
      <c r="E36" s="71" t="s">
        <v>133</v>
      </c>
      <c r="F36" s="71" t="s">
        <v>132</v>
      </c>
      <c r="G36" s="72" t="s">
        <v>133</v>
      </c>
      <c r="H36" s="89" t="s">
        <v>132</v>
      </c>
      <c r="I36" s="71" t="s">
        <v>133</v>
      </c>
      <c r="J36" s="71" t="s">
        <v>132</v>
      </c>
      <c r="K36" s="71" t="s">
        <v>133</v>
      </c>
    </row>
    <row r="37" spans="1:13" x14ac:dyDescent="0.3">
      <c r="A37" s="13">
        <v>63</v>
      </c>
      <c r="B37" s="12">
        <v>100</v>
      </c>
      <c r="C37" s="12">
        <v>100</v>
      </c>
      <c r="D37" s="12"/>
      <c r="E37" s="12"/>
      <c r="F37" s="12"/>
      <c r="G37" s="78"/>
      <c r="H37" s="90"/>
      <c r="I37" s="12"/>
      <c r="J37" s="12"/>
      <c r="K37" s="12"/>
    </row>
    <row r="38" spans="1:13" x14ac:dyDescent="0.3">
      <c r="A38" s="13">
        <v>40</v>
      </c>
      <c r="B38" s="13">
        <v>85</v>
      </c>
      <c r="C38" s="13">
        <v>100</v>
      </c>
      <c r="D38" s="13">
        <v>100</v>
      </c>
      <c r="E38" s="13">
        <v>100</v>
      </c>
      <c r="F38" s="13"/>
      <c r="G38" s="36"/>
      <c r="H38" s="91">
        <v>95</v>
      </c>
      <c r="I38" s="13">
        <v>100</v>
      </c>
      <c r="J38" s="13">
        <v>100</v>
      </c>
      <c r="K38" s="13">
        <v>100</v>
      </c>
    </row>
    <row r="39" spans="1:13" x14ac:dyDescent="0.3">
      <c r="A39" s="13">
        <v>20</v>
      </c>
      <c r="B39" s="13">
        <v>0</v>
      </c>
      <c r="C39" s="13">
        <v>20</v>
      </c>
      <c r="D39" s="13">
        <v>85</v>
      </c>
      <c r="E39" s="13">
        <v>100</v>
      </c>
      <c r="F39" s="13"/>
      <c r="G39" s="36"/>
      <c r="H39" s="91">
        <v>30</v>
      </c>
      <c r="I39" s="13">
        <v>70</v>
      </c>
      <c r="J39" s="13">
        <v>55</v>
      </c>
      <c r="K39" s="13">
        <v>100</v>
      </c>
    </row>
    <row r="40" spans="1:13" x14ac:dyDescent="0.3">
      <c r="A40" s="13">
        <v>10</v>
      </c>
      <c r="B40" s="13">
        <v>0</v>
      </c>
      <c r="C40" s="13">
        <v>5</v>
      </c>
      <c r="D40" s="13">
        <v>0</v>
      </c>
      <c r="E40" s="13">
        <v>20</v>
      </c>
      <c r="F40" s="13">
        <v>85</v>
      </c>
      <c r="G40" s="36">
        <v>100</v>
      </c>
      <c r="H40" s="91">
        <v>10</v>
      </c>
      <c r="I40" s="13">
        <v>35</v>
      </c>
      <c r="J40" s="13">
        <v>25</v>
      </c>
      <c r="K40" s="13">
        <v>55</v>
      </c>
    </row>
    <row r="41" spans="1:13" x14ac:dyDescent="0.3">
      <c r="A41" s="13">
        <v>4.75</v>
      </c>
      <c r="B41" s="13"/>
      <c r="C41" s="13"/>
      <c r="D41" s="13">
        <v>0</v>
      </c>
      <c r="E41" s="13">
        <v>5</v>
      </c>
      <c r="F41" s="13">
        <v>0</v>
      </c>
      <c r="G41" s="36">
        <v>20</v>
      </c>
      <c r="H41" s="91">
        <v>0</v>
      </c>
      <c r="I41" s="13">
        <v>5</v>
      </c>
      <c r="J41" s="13">
        <v>0</v>
      </c>
      <c r="K41" s="13">
        <v>10</v>
      </c>
    </row>
    <row r="42" spans="1:13" x14ac:dyDescent="0.3">
      <c r="A42" s="14">
        <v>2.36</v>
      </c>
      <c r="B42" s="14"/>
      <c r="C42" s="14"/>
      <c r="D42" s="14"/>
      <c r="E42" s="14"/>
      <c r="F42" s="14">
        <v>0</v>
      </c>
      <c r="G42" s="92">
        <v>5</v>
      </c>
      <c r="H42" s="93"/>
      <c r="I42" s="14"/>
      <c r="J42" s="14"/>
      <c r="K42" s="14"/>
    </row>
  </sheetData>
  <mergeCells count="15">
    <mergeCell ref="N4:P4"/>
    <mergeCell ref="Q4:S4"/>
    <mergeCell ref="O13:P13"/>
    <mergeCell ref="Q13:R13"/>
    <mergeCell ref="B35:C35"/>
    <mergeCell ref="D35:E35"/>
    <mergeCell ref="F35:G35"/>
    <mergeCell ref="B34:G34"/>
    <mergeCell ref="H35:I35"/>
    <mergeCell ref="B23:C23"/>
    <mergeCell ref="D23:E23"/>
    <mergeCell ref="F23:G23"/>
    <mergeCell ref="H23:I23"/>
    <mergeCell ref="J35:K35"/>
    <mergeCell ref="H34:K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chavva;jyothi;vijay</dc:creator>
  <cp:lastModifiedBy>manoj chavva</cp:lastModifiedBy>
  <dcterms:created xsi:type="dcterms:W3CDTF">2016-05-28T16:46:38Z</dcterms:created>
  <dcterms:modified xsi:type="dcterms:W3CDTF">2020-02-24T08:25:11Z</dcterms:modified>
</cp:coreProperties>
</file>