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asy Publish Prime(To_Be_Live)\HOPP\For Software Req\For Software Req\"/>
    </mc:Choice>
  </mc:AlternateContent>
  <xr:revisionPtr revIDLastSave="0" documentId="13_ncr:1_{F1A47940-F0BA-4CF8-AD5A-3D27FF872C0F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Thabba" sheetId="21" r:id="rId1"/>
    <sheet name="Sheet1" sheetId="20" r:id="rId2"/>
    <sheet name="RM Paper" sheetId="1" r:id="rId3"/>
    <sheet name="Paper WIP sheets" sheetId="5" r:id="rId4"/>
    <sheet name="98 X 64" sheetId="18" r:id="rId5"/>
    <sheet name="96 X 36.5" sheetId="6" r:id="rId6"/>
    <sheet name="94 X 34.5" sheetId="17" r:id="rId7"/>
    <sheet name="89 x 34.5" sheetId="16" r:id="rId8"/>
    <sheet name="88 X 42" sheetId="7" r:id="rId9"/>
    <sheet name="86 X 42" sheetId="8" r:id="rId10"/>
    <sheet name="84 X 67" sheetId="19" r:id="rId11"/>
    <sheet name="80 X 34.5" sheetId="9" r:id="rId12"/>
    <sheet name="59 X 42" sheetId="12" r:id="rId13"/>
    <sheet name="54 X 44" sheetId="10" r:id="rId14"/>
    <sheet name="48 X 38.5" sheetId="11" r:id="rId15"/>
    <sheet name="45 X 55" sheetId="13" r:id="rId16"/>
    <sheet name="59 x42" sheetId="22" r:id="rId17"/>
    <sheet name="Pages Calculation" sheetId="4" r:id="rId18"/>
  </sheets>
  <definedNames>
    <definedName name="_xlnm._FilterDatabase" localSheetId="5" hidden="1">'96 X 36.5'!$A$2:$U$30</definedName>
    <definedName name="_xlnm._FilterDatabase" localSheetId="3" hidden="1">'Paper WIP sheets'!$A$2:$Q$54</definedName>
    <definedName name="_xlnm._FilterDatabase" localSheetId="2" hidden="1">'RM Paper'!$A$1:$U$681</definedName>
    <definedName name="_xlnm._FilterDatabase" localSheetId="1" hidden="1">Sheet1!$A$2:$F$27</definedName>
  </definedNames>
  <calcPr calcId="181029"/>
</workbook>
</file>

<file path=xl/calcChain.xml><?xml version="1.0" encoding="utf-8"?>
<calcChain xmlns="http://schemas.openxmlformats.org/spreadsheetml/2006/main">
  <c r="S3" i="1" l="1"/>
  <c r="N20" i="9" l="1"/>
  <c r="I49" i="6" l="1"/>
  <c r="I48" i="6"/>
  <c r="I47" i="6"/>
  <c r="J49" i="6"/>
  <c r="J48" i="6"/>
  <c r="J47" i="6"/>
  <c r="K53" i="6"/>
  <c r="S53" i="6"/>
  <c r="L53" i="6"/>
  <c r="L4" i="6"/>
  <c r="K4" i="6"/>
  <c r="G3" i="7"/>
  <c r="L368" i="1"/>
  <c r="K368" i="1"/>
  <c r="J368" i="1"/>
  <c r="L348" i="1"/>
  <c r="K348" i="1"/>
  <c r="J348" i="1"/>
  <c r="L355" i="1"/>
  <c r="K355" i="1"/>
  <c r="J355" i="1"/>
  <c r="L332" i="1"/>
  <c r="K332" i="1"/>
  <c r="J332" i="1"/>
  <c r="J371" i="1"/>
  <c r="K371" i="1"/>
  <c r="L371" i="1"/>
  <c r="L370" i="1"/>
  <c r="K370" i="1"/>
  <c r="J370" i="1"/>
  <c r="P338" i="1"/>
  <c r="L338" i="1"/>
  <c r="K338" i="1"/>
  <c r="J338" i="1"/>
  <c r="L359" i="1"/>
  <c r="K359" i="1"/>
  <c r="J359" i="1"/>
  <c r="L366" i="1"/>
  <c r="K366" i="1"/>
  <c r="J366" i="1"/>
  <c r="L364" i="1"/>
  <c r="K364" i="1"/>
  <c r="J364" i="1"/>
  <c r="L340" i="1"/>
  <c r="K340" i="1"/>
  <c r="J340" i="1"/>
  <c r="L341" i="1"/>
  <c r="K341" i="1"/>
  <c r="J341" i="1"/>
  <c r="L380" i="1"/>
  <c r="K380" i="1"/>
  <c r="J380" i="1"/>
  <c r="L379" i="1"/>
  <c r="K379" i="1"/>
  <c r="J379" i="1"/>
  <c r="L278" i="1"/>
  <c r="K278" i="1"/>
  <c r="J278" i="1"/>
  <c r="R10" i="10"/>
  <c r="Q10" i="10"/>
  <c r="P10" i="10"/>
  <c r="O10" i="10"/>
  <c r="N10" i="10"/>
  <c r="M10" i="10"/>
  <c r="L10" i="10"/>
  <c r="K10" i="10"/>
  <c r="J10" i="10"/>
  <c r="I10" i="10"/>
  <c r="H10" i="10"/>
  <c r="T9" i="10"/>
  <c r="U9" i="10" s="1"/>
  <c r="S9" i="10"/>
  <c r="S8" i="10"/>
  <c r="T8" i="10" s="1"/>
  <c r="U8" i="10" s="1"/>
  <c r="L323" i="1"/>
  <c r="K323" i="1"/>
  <c r="J323" i="1"/>
  <c r="L325" i="1"/>
  <c r="K325" i="1"/>
  <c r="J325" i="1"/>
  <c r="L319" i="1"/>
  <c r="K319" i="1"/>
  <c r="J319" i="1"/>
  <c r="L327" i="1"/>
  <c r="K327" i="1"/>
  <c r="J327" i="1"/>
  <c r="L318" i="1"/>
  <c r="K318" i="1"/>
  <c r="J318" i="1"/>
  <c r="L317" i="1"/>
  <c r="K317" i="1"/>
  <c r="J317" i="1"/>
  <c r="L326" i="1"/>
  <c r="K326" i="1"/>
  <c r="J326" i="1"/>
  <c r="L321" i="1"/>
  <c r="K321" i="1"/>
  <c r="J321" i="1"/>
  <c r="L320" i="1"/>
  <c r="K320" i="1"/>
  <c r="J320" i="1"/>
  <c r="L324" i="1"/>
  <c r="K324" i="1"/>
  <c r="J324" i="1"/>
  <c r="S10" i="10" l="1"/>
  <c r="T10" i="10" s="1"/>
  <c r="U10" i="10" s="1"/>
  <c r="G3" i="1"/>
  <c r="L378" i="1" l="1"/>
  <c r="K378" i="1"/>
  <c r="J378" i="1"/>
  <c r="L383" i="1"/>
  <c r="K383" i="1"/>
  <c r="J383" i="1"/>
  <c r="B19" i="21"/>
  <c r="L376" i="1"/>
  <c r="K376" i="1"/>
  <c r="J376" i="1"/>
  <c r="L377" i="1"/>
  <c r="K377" i="1"/>
  <c r="J377" i="1"/>
  <c r="P374" i="1"/>
  <c r="L374" i="1"/>
  <c r="K374" i="1"/>
  <c r="J374" i="1"/>
  <c r="G9" i="8"/>
  <c r="L48" i="1"/>
  <c r="K48" i="1"/>
  <c r="J48" i="1"/>
  <c r="L41" i="1"/>
  <c r="K41" i="1"/>
  <c r="J41" i="1"/>
  <c r="L40" i="1"/>
  <c r="K40" i="1"/>
  <c r="J40" i="1"/>
  <c r="L375" i="1"/>
  <c r="K375" i="1"/>
  <c r="J375" i="1"/>
  <c r="L381" i="1"/>
  <c r="K381" i="1"/>
  <c r="J381" i="1"/>
  <c r="L372" i="1"/>
  <c r="K372" i="1"/>
  <c r="J372" i="1"/>
  <c r="L337" i="1"/>
  <c r="K337" i="1"/>
  <c r="J337" i="1"/>
  <c r="L336" i="1"/>
  <c r="K336" i="1"/>
  <c r="J336" i="1"/>
  <c r="L334" i="1"/>
  <c r="K334" i="1"/>
  <c r="J334" i="1"/>
  <c r="G5" i="7" l="1"/>
  <c r="G34" i="6"/>
  <c r="S51" i="6"/>
  <c r="T51" i="6" s="1"/>
  <c r="U51" i="6" s="1"/>
  <c r="S50" i="6"/>
  <c r="R54" i="6"/>
  <c r="Q54" i="6"/>
  <c r="P54" i="6"/>
  <c r="O54" i="6"/>
  <c r="N54" i="6"/>
  <c r="M54" i="6"/>
  <c r="L54" i="6"/>
  <c r="K54" i="6"/>
  <c r="J54" i="6"/>
  <c r="I54" i="6"/>
  <c r="H54" i="6"/>
  <c r="T53" i="6"/>
  <c r="U53" i="6" s="1"/>
  <c r="R52" i="6"/>
  <c r="Q52" i="6"/>
  <c r="P52" i="6"/>
  <c r="O52" i="6"/>
  <c r="N52" i="6"/>
  <c r="M52" i="6"/>
  <c r="L52" i="6"/>
  <c r="K52" i="6"/>
  <c r="J52" i="6"/>
  <c r="I52" i="6"/>
  <c r="H52" i="6"/>
  <c r="S49" i="6"/>
  <c r="S48" i="6"/>
  <c r="S47" i="6"/>
  <c r="G53" i="6"/>
  <c r="G50" i="6"/>
  <c r="G49" i="6"/>
  <c r="G48" i="6"/>
  <c r="G47" i="6"/>
  <c r="G33" i="6"/>
  <c r="T47" i="6" l="1"/>
  <c r="U47" i="6" s="1"/>
  <c r="T50" i="6"/>
  <c r="U50" i="6" s="1"/>
  <c r="S52" i="6"/>
  <c r="T52" i="6" s="1"/>
  <c r="U52" i="6" s="1"/>
  <c r="T48" i="6"/>
  <c r="U48" i="6" s="1"/>
  <c r="T49" i="6"/>
  <c r="U49" i="6" s="1"/>
  <c r="S54" i="6"/>
  <c r="T54" i="6" s="1"/>
  <c r="U54" i="6" s="1"/>
  <c r="L44" i="1"/>
  <c r="K44" i="1"/>
  <c r="J44" i="1"/>
  <c r="G4" i="7"/>
  <c r="L344" i="1"/>
  <c r="K344" i="1"/>
  <c r="J344" i="1"/>
  <c r="L333" i="1"/>
  <c r="K333" i="1"/>
  <c r="J333" i="1"/>
  <c r="L373" i="1"/>
  <c r="K373" i="1"/>
  <c r="J373" i="1"/>
  <c r="L295" i="1"/>
  <c r="K295" i="1"/>
  <c r="J295" i="1"/>
  <c r="L280" i="1"/>
  <c r="K280" i="1"/>
  <c r="J280" i="1"/>
  <c r="L367" i="1"/>
  <c r="K367" i="1"/>
  <c r="J367" i="1"/>
  <c r="L343" i="1"/>
  <c r="K343" i="1"/>
  <c r="J343" i="1"/>
  <c r="L357" i="1"/>
  <c r="K357" i="1"/>
  <c r="J357" i="1"/>
  <c r="L339" i="1"/>
  <c r="K339" i="1"/>
  <c r="J339" i="1"/>
  <c r="L342" i="1"/>
  <c r="K342" i="1"/>
  <c r="J342" i="1"/>
  <c r="L274" i="1"/>
  <c r="K274" i="1"/>
  <c r="J274" i="1"/>
  <c r="L289" i="1"/>
  <c r="K289" i="1"/>
  <c r="J289" i="1"/>
  <c r="L305" i="1"/>
  <c r="K305" i="1"/>
  <c r="J305" i="1"/>
  <c r="L273" i="1"/>
  <c r="K273" i="1"/>
  <c r="J273" i="1"/>
  <c r="P681" i="1" l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Q374" i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Q338" i="1"/>
  <c r="E1" i="20"/>
  <c r="F1" i="20" l="1"/>
  <c r="N218" i="1" l="1"/>
  <c r="L218" i="1"/>
  <c r="K218" i="1"/>
  <c r="J218" i="1"/>
  <c r="N222" i="1"/>
  <c r="L222" i="1"/>
  <c r="K222" i="1"/>
  <c r="J222" i="1"/>
  <c r="N223" i="1"/>
  <c r="L223" i="1"/>
  <c r="K223" i="1"/>
  <c r="J223" i="1"/>
  <c r="N221" i="1"/>
  <c r="L221" i="1"/>
  <c r="K221" i="1"/>
  <c r="J221" i="1"/>
  <c r="N212" i="1"/>
  <c r="L212" i="1"/>
  <c r="K212" i="1"/>
  <c r="J212" i="1"/>
  <c r="R8" i="7"/>
  <c r="Q8" i="7"/>
  <c r="P8" i="7"/>
  <c r="O8" i="7"/>
  <c r="N8" i="7"/>
  <c r="M8" i="7"/>
  <c r="L8" i="7"/>
  <c r="K8" i="7"/>
  <c r="L293" i="1"/>
  <c r="K293" i="1"/>
  <c r="J293" i="1"/>
  <c r="L271" i="1"/>
  <c r="K271" i="1"/>
  <c r="J271" i="1"/>
  <c r="L275" i="1"/>
  <c r="K275" i="1"/>
  <c r="J275" i="1"/>
  <c r="L290" i="1"/>
  <c r="K290" i="1"/>
  <c r="J290" i="1"/>
  <c r="L307" i="1"/>
  <c r="K307" i="1"/>
  <c r="J307" i="1"/>
  <c r="L298" i="1"/>
  <c r="K298" i="1"/>
  <c r="J298" i="1"/>
  <c r="L269" i="1"/>
  <c r="K269" i="1"/>
  <c r="J269" i="1"/>
  <c r="L292" i="1"/>
  <c r="K292" i="1"/>
  <c r="J292" i="1"/>
  <c r="K20" i="9" l="1"/>
  <c r="J20" i="9"/>
  <c r="S24" i="16" l="1"/>
  <c r="G13" i="8" l="1"/>
  <c r="L250" i="1"/>
  <c r="K250" i="1"/>
  <c r="J250" i="1"/>
  <c r="L234" i="1"/>
  <c r="K234" i="1"/>
  <c r="J234" i="1"/>
  <c r="L268" i="1"/>
  <c r="K268" i="1"/>
  <c r="J268" i="1"/>
  <c r="L251" i="1"/>
  <c r="K251" i="1"/>
  <c r="J251" i="1"/>
  <c r="L242" i="1"/>
  <c r="K242" i="1"/>
  <c r="J242" i="1"/>
  <c r="L247" i="1"/>
  <c r="K247" i="1"/>
  <c r="J247" i="1"/>
  <c r="L253" i="1"/>
  <c r="K253" i="1"/>
  <c r="J253" i="1"/>
  <c r="L265" i="1"/>
  <c r="K265" i="1"/>
  <c r="J265" i="1"/>
  <c r="L236" i="1"/>
  <c r="K236" i="1"/>
  <c r="J236" i="1"/>
  <c r="L243" i="1"/>
  <c r="K243" i="1"/>
  <c r="J243" i="1"/>
  <c r="L254" i="1"/>
  <c r="K254" i="1"/>
  <c r="J254" i="1"/>
  <c r="L245" i="1"/>
  <c r="K245" i="1"/>
  <c r="J245" i="1"/>
  <c r="L262" i="1"/>
  <c r="K262" i="1"/>
  <c r="J262" i="1"/>
  <c r="P316" i="1"/>
  <c r="Q316" i="1" s="1"/>
  <c r="L316" i="1"/>
  <c r="K316" i="1"/>
  <c r="J316" i="1"/>
  <c r="N156" i="1"/>
  <c r="L156" i="1"/>
  <c r="K156" i="1"/>
  <c r="J156" i="1"/>
  <c r="N183" i="1"/>
  <c r="L183" i="1"/>
  <c r="K183" i="1"/>
  <c r="J183" i="1"/>
  <c r="N189" i="1"/>
  <c r="L189" i="1"/>
  <c r="K189" i="1"/>
  <c r="J189" i="1"/>
  <c r="N160" i="1"/>
  <c r="P160" i="1" s="1"/>
  <c r="L160" i="1"/>
  <c r="K160" i="1"/>
  <c r="J160" i="1"/>
  <c r="N159" i="1"/>
  <c r="L159" i="1"/>
  <c r="K159" i="1"/>
  <c r="J159" i="1"/>
  <c r="P159" i="1"/>
  <c r="L314" i="1"/>
  <c r="K314" i="1"/>
  <c r="J314" i="1"/>
  <c r="N173" i="1"/>
  <c r="P173" i="1" s="1"/>
  <c r="L173" i="1"/>
  <c r="K173" i="1"/>
  <c r="J173" i="1"/>
  <c r="L315" i="1"/>
  <c r="K315" i="1"/>
  <c r="J315" i="1"/>
  <c r="L313" i="1"/>
  <c r="K313" i="1"/>
  <c r="J313" i="1"/>
  <c r="P176" i="1"/>
  <c r="L312" i="1"/>
  <c r="K312" i="1"/>
  <c r="J312" i="1"/>
  <c r="N177" i="1"/>
  <c r="L177" i="1"/>
  <c r="K177" i="1"/>
  <c r="J177" i="1"/>
  <c r="P311" i="1"/>
  <c r="Q311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5" i="1"/>
  <c r="Q315" i="1" s="1"/>
  <c r="P314" i="1"/>
  <c r="Q314" i="1" s="1"/>
  <c r="P313" i="1"/>
  <c r="Q313" i="1" s="1"/>
  <c r="P312" i="1"/>
  <c r="Q312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L311" i="1"/>
  <c r="K311" i="1"/>
  <c r="J311" i="1"/>
  <c r="I16" i="12" l="1"/>
  <c r="I15" i="12"/>
  <c r="R13" i="12"/>
  <c r="Q13" i="12"/>
  <c r="P13" i="12"/>
  <c r="O13" i="12"/>
  <c r="N13" i="12"/>
  <c r="M13" i="12"/>
  <c r="L13" i="12"/>
  <c r="K13" i="12"/>
  <c r="J13" i="12"/>
  <c r="I13" i="12"/>
  <c r="H13" i="12"/>
  <c r="S12" i="12"/>
  <c r="T12" i="12" s="1"/>
  <c r="U12" i="12" s="1"/>
  <c r="S11" i="12"/>
  <c r="T11" i="12" s="1"/>
  <c r="U11" i="12" s="1"/>
  <c r="S10" i="12"/>
  <c r="G10" i="12"/>
  <c r="S13" i="12" l="1"/>
  <c r="T13" i="12" s="1"/>
  <c r="U13" i="12" s="1"/>
  <c r="T10" i="12"/>
  <c r="U10" i="12" s="1"/>
  <c r="S5" i="12" l="1"/>
  <c r="T5" i="12" s="1"/>
  <c r="U5" i="12" s="1"/>
  <c r="R6" i="12"/>
  <c r="Q6" i="12"/>
  <c r="P6" i="12"/>
  <c r="O6" i="12"/>
  <c r="N6" i="12"/>
  <c r="M6" i="12"/>
  <c r="L6" i="12"/>
  <c r="K6" i="12"/>
  <c r="J6" i="12"/>
  <c r="I6" i="12"/>
  <c r="M12" i="11" l="1"/>
  <c r="R5" i="13"/>
  <c r="S5" i="13" s="1"/>
  <c r="T5" i="13" s="1"/>
  <c r="U5" i="13" s="1"/>
  <c r="Q5" i="13"/>
  <c r="P5" i="13"/>
  <c r="O5" i="13"/>
  <c r="N5" i="13"/>
  <c r="M5" i="13"/>
  <c r="L5" i="13"/>
  <c r="K5" i="13"/>
  <c r="J5" i="13"/>
  <c r="I5" i="13"/>
  <c r="R5" i="11"/>
  <c r="S5" i="11" s="1"/>
  <c r="T5" i="11" s="1"/>
  <c r="U5" i="11" s="1"/>
  <c r="Q5" i="11"/>
  <c r="P5" i="11"/>
  <c r="O5" i="11"/>
  <c r="N5" i="11"/>
  <c r="M5" i="11"/>
  <c r="L5" i="11"/>
  <c r="K5" i="11"/>
  <c r="J5" i="11"/>
  <c r="I5" i="11"/>
  <c r="H5" i="11"/>
  <c r="H5" i="13"/>
  <c r="S9" i="13"/>
  <c r="T9" i="13" s="1"/>
  <c r="U9" i="13" s="1"/>
  <c r="S8" i="13"/>
  <c r="T8" i="13" s="1"/>
  <c r="U8" i="13" s="1"/>
  <c r="S7" i="13"/>
  <c r="T7" i="13" s="1"/>
  <c r="U7" i="13" s="1"/>
  <c r="S6" i="13"/>
  <c r="T6" i="13" s="1"/>
  <c r="U6" i="13" s="1"/>
  <c r="S4" i="13"/>
  <c r="T4" i="13" s="1"/>
  <c r="U4" i="13" s="1"/>
  <c r="S3" i="13"/>
  <c r="T3" i="13" s="1"/>
  <c r="U3" i="13" s="1"/>
  <c r="P272" i="1"/>
  <c r="Q272" i="1" s="1"/>
  <c r="N211" i="1" l="1"/>
  <c r="L211" i="1"/>
  <c r="K211" i="1"/>
  <c r="J211" i="1"/>
  <c r="N199" i="1"/>
  <c r="L199" i="1"/>
  <c r="K199" i="1"/>
  <c r="J199" i="1"/>
  <c r="N201" i="1"/>
  <c r="P201" i="1" s="1"/>
  <c r="Q201" i="1" s="1"/>
  <c r="L201" i="1"/>
  <c r="J201" i="1"/>
  <c r="N200" i="1"/>
  <c r="K200" i="1"/>
  <c r="J200" i="1"/>
  <c r="N227" i="1"/>
  <c r="L227" i="1"/>
  <c r="K227" i="1"/>
  <c r="J227" i="1"/>
  <c r="N215" i="1"/>
  <c r="L215" i="1"/>
  <c r="K215" i="1"/>
  <c r="J215" i="1"/>
  <c r="N224" i="1"/>
  <c r="L224" i="1"/>
  <c r="K224" i="1"/>
  <c r="J224" i="1"/>
  <c r="N226" i="1"/>
  <c r="L226" i="1"/>
  <c r="K226" i="1"/>
  <c r="J226" i="1"/>
  <c r="N204" i="1"/>
  <c r="L204" i="1"/>
  <c r="K204" i="1"/>
  <c r="J204" i="1"/>
  <c r="N207" i="1"/>
  <c r="L207" i="1"/>
  <c r="K207" i="1"/>
  <c r="J207" i="1"/>
  <c r="L246" i="1"/>
  <c r="K246" i="1"/>
  <c r="J246" i="1"/>
  <c r="L244" i="1"/>
  <c r="K244" i="1"/>
  <c r="J244" i="1"/>
  <c r="L255" i="1"/>
  <c r="K255" i="1"/>
  <c r="J255" i="1"/>
  <c r="L259" i="1"/>
  <c r="K259" i="1"/>
  <c r="J259" i="1"/>
  <c r="N175" i="1" l="1"/>
  <c r="L175" i="1"/>
  <c r="K175" i="1"/>
  <c r="J175" i="1"/>
  <c r="S38" i="6"/>
  <c r="T38" i="6" s="1"/>
  <c r="U38" i="6" s="1"/>
  <c r="H39" i="6"/>
  <c r="S37" i="6"/>
  <c r="R39" i="6"/>
  <c r="Q39" i="6"/>
  <c r="P39" i="6"/>
  <c r="O39" i="6"/>
  <c r="N39" i="6"/>
  <c r="M39" i="6"/>
  <c r="L39" i="6"/>
  <c r="K39" i="6"/>
  <c r="J39" i="6"/>
  <c r="I39" i="6"/>
  <c r="N155" i="1"/>
  <c r="L155" i="1"/>
  <c r="K155" i="1"/>
  <c r="J155" i="1"/>
  <c r="N179" i="1"/>
  <c r="L179" i="1"/>
  <c r="K179" i="1"/>
  <c r="J179" i="1"/>
  <c r="N158" i="1"/>
  <c r="L158" i="1"/>
  <c r="K158" i="1"/>
  <c r="J158" i="1"/>
  <c r="N164" i="1"/>
  <c r="L164" i="1"/>
  <c r="K164" i="1"/>
  <c r="J164" i="1"/>
  <c r="N181" i="1"/>
  <c r="L181" i="1"/>
  <c r="K181" i="1"/>
  <c r="J181" i="1"/>
  <c r="N187" i="1"/>
  <c r="P187" i="1" s="1"/>
  <c r="Q187" i="1" s="1"/>
  <c r="L187" i="1"/>
  <c r="J187" i="1"/>
  <c r="N186" i="1"/>
  <c r="K186" i="1"/>
  <c r="J186" i="1"/>
  <c r="N147" i="1"/>
  <c r="L147" i="1"/>
  <c r="K147" i="1"/>
  <c r="J147" i="1"/>
  <c r="N167" i="1"/>
  <c r="L167" i="1"/>
  <c r="K167" i="1"/>
  <c r="J167" i="1"/>
  <c r="P169" i="1"/>
  <c r="Q169" i="1" s="1"/>
  <c r="N169" i="1"/>
  <c r="L169" i="1"/>
  <c r="J169" i="1"/>
  <c r="N168" i="1"/>
  <c r="K168" i="1"/>
  <c r="J168" i="1"/>
  <c r="N148" i="1"/>
  <c r="L148" i="1"/>
  <c r="K148" i="1"/>
  <c r="J148" i="1"/>
  <c r="N185" i="1"/>
  <c r="L185" i="1"/>
  <c r="K185" i="1"/>
  <c r="J185" i="1"/>
  <c r="L267" i="1"/>
  <c r="K267" i="1"/>
  <c r="J267" i="1"/>
  <c r="L252" i="1"/>
  <c r="K252" i="1"/>
  <c r="J252" i="1"/>
  <c r="L239" i="1"/>
  <c r="K239" i="1"/>
  <c r="J239" i="1"/>
  <c r="L256" i="1"/>
  <c r="K256" i="1"/>
  <c r="J256" i="1"/>
  <c r="L240" i="1"/>
  <c r="K240" i="1"/>
  <c r="J240" i="1"/>
  <c r="L233" i="1"/>
  <c r="K233" i="1"/>
  <c r="J233" i="1"/>
  <c r="L264" i="1"/>
  <c r="K264" i="1"/>
  <c r="J264" i="1"/>
  <c r="L235" i="1"/>
  <c r="K235" i="1"/>
  <c r="J235" i="1"/>
  <c r="L257" i="1"/>
  <c r="K257" i="1"/>
  <c r="J257" i="1"/>
  <c r="L238" i="1"/>
  <c r="K238" i="1"/>
  <c r="J238" i="1"/>
  <c r="S39" i="6" l="1"/>
  <c r="J21" i="6"/>
  <c r="N214" i="1" l="1"/>
  <c r="L214" i="1"/>
  <c r="K214" i="1"/>
  <c r="J214" i="1"/>
  <c r="N209" i="1"/>
  <c r="L209" i="1"/>
  <c r="K209" i="1"/>
  <c r="J209" i="1"/>
  <c r="N191" i="1"/>
  <c r="L191" i="1"/>
  <c r="K191" i="1"/>
  <c r="J191" i="1"/>
  <c r="N220" i="1"/>
  <c r="L220" i="1"/>
  <c r="K220" i="1"/>
  <c r="J220" i="1"/>
  <c r="N219" i="1"/>
  <c r="L219" i="1"/>
  <c r="K219" i="1"/>
  <c r="J219" i="1"/>
  <c r="N210" i="1"/>
  <c r="L210" i="1"/>
  <c r="K210" i="1"/>
  <c r="J210" i="1"/>
  <c r="N225" i="1"/>
  <c r="L225" i="1"/>
  <c r="K225" i="1"/>
  <c r="J225" i="1"/>
  <c r="N205" i="1"/>
  <c r="L205" i="1"/>
  <c r="K205" i="1"/>
  <c r="J205" i="1"/>
  <c r="N217" i="1"/>
  <c r="L217" i="1"/>
  <c r="K217" i="1"/>
  <c r="J217" i="1"/>
  <c r="N192" i="1"/>
  <c r="L192" i="1"/>
  <c r="K192" i="1"/>
  <c r="J192" i="1"/>
  <c r="N202" i="1"/>
  <c r="L202" i="1"/>
  <c r="K202" i="1"/>
  <c r="J202" i="1"/>
  <c r="N194" i="1"/>
  <c r="L194" i="1"/>
  <c r="K194" i="1"/>
  <c r="J194" i="1"/>
  <c r="N206" i="1"/>
  <c r="L206" i="1"/>
  <c r="K206" i="1"/>
  <c r="J206" i="1"/>
  <c r="N208" i="1"/>
  <c r="L208" i="1"/>
  <c r="K208" i="1"/>
  <c r="J208" i="1"/>
  <c r="N216" i="1"/>
  <c r="L216" i="1"/>
  <c r="K216" i="1"/>
  <c r="J216" i="1"/>
  <c r="N197" i="1"/>
  <c r="L197" i="1"/>
  <c r="K197" i="1"/>
  <c r="J197" i="1"/>
  <c r="L261" i="1"/>
  <c r="K261" i="1"/>
  <c r="J261" i="1"/>
  <c r="L237" i="1"/>
  <c r="K237" i="1"/>
  <c r="J237" i="1"/>
  <c r="L249" i="1"/>
  <c r="K249" i="1"/>
  <c r="J249" i="1"/>
  <c r="L248" i="1"/>
  <c r="K248" i="1"/>
  <c r="J248" i="1"/>
  <c r="L232" i="1"/>
  <c r="K232" i="1"/>
  <c r="J232" i="1"/>
  <c r="L263" i="1"/>
  <c r="K263" i="1"/>
  <c r="J263" i="1"/>
  <c r="L241" i="1"/>
  <c r="K241" i="1"/>
  <c r="J241" i="1"/>
  <c r="L260" i="1"/>
  <c r="K260" i="1"/>
  <c r="J260" i="1"/>
  <c r="L266" i="1"/>
  <c r="K266" i="1"/>
  <c r="J266" i="1"/>
  <c r="L258" i="1" l="1"/>
  <c r="K258" i="1"/>
  <c r="J258" i="1"/>
  <c r="P231" i="1"/>
  <c r="Q231" i="1" s="1"/>
  <c r="L231" i="1"/>
  <c r="K231" i="1"/>
  <c r="J231" i="1"/>
  <c r="L230" i="1"/>
  <c r="K230" i="1"/>
  <c r="J230" i="1"/>
  <c r="L228" i="1"/>
  <c r="K228" i="1"/>
  <c r="J228" i="1"/>
  <c r="P302" i="1"/>
  <c r="Q302" i="1" s="1"/>
  <c r="P301" i="1"/>
  <c r="Q301" i="1" s="1"/>
  <c r="P300" i="1"/>
  <c r="Q300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0" i="1"/>
  <c r="Q230" i="1" s="1"/>
  <c r="P229" i="1"/>
  <c r="Q229" i="1" s="1"/>
  <c r="P228" i="1"/>
  <c r="Q228" i="1" s="1"/>
  <c r="L229" i="1"/>
  <c r="K229" i="1"/>
  <c r="J229" i="1"/>
  <c r="L136" i="1"/>
  <c r="K136" i="1"/>
  <c r="J136" i="1"/>
  <c r="N193" i="1"/>
  <c r="L193" i="1"/>
  <c r="K193" i="1"/>
  <c r="J193" i="1"/>
  <c r="N196" i="1"/>
  <c r="P196" i="1" s="1"/>
  <c r="Q196" i="1" s="1"/>
  <c r="L196" i="1"/>
  <c r="K196" i="1"/>
  <c r="J196" i="1"/>
  <c r="N195" i="1"/>
  <c r="P195" i="1" s="1"/>
  <c r="Q195" i="1" s="1"/>
  <c r="L195" i="1"/>
  <c r="K195" i="1"/>
  <c r="J195" i="1"/>
  <c r="N198" i="1"/>
  <c r="L198" i="1"/>
  <c r="K198" i="1"/>
  <c r="J198" i="1"/>
  <c r="N203" i="1"/>
  <c r="L203" i="1"/>
  <c r="K203" i="1"/>
  <c r="J203" i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1" i="1"/>
  <c r="Q271" i="1" s="1"/>
  <c r="P270" i="1"/>
  <c r="Q270" i="1" s="1"/>
  <c r="P269" i="1"/>
  <c r="Q269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0" i="1"/>
  <c r="Q200" i="1" s="1"/>
  <c r="P199" i="1"/>
  <c r="Q199" i="1" s="1"/>
  <c r="P198" i="1"/>
  <c r="Q198" i="1" s="1"/>
  <c r="P197" i="1"/>
  <c r="Q197" i="1" s="1"/>
  <c r="P194" i="1"/>
  <c r="Q194" i="1" s="1"/>
  <c r="P193" i="1"/>
  <c r="Q193" i="1" s="1"/>
  <c r="P192" i="1"/>
  <c r="Q192" i="1" s="1"/>
  <c r="N213" i="1"/>
  <c r="P213" i="1" s="1"/>
  <c r="Q213" i="1" s="1"/>
  <c r="L213" i="1"/>
  <c r="K213" i="1"/>
  <c r="J213" i="1"/>
  <c r="J3" i="7" l="1"/>
  <c r="J8" i="7" s="1"/>
  <c r="I3" i="7"/>
  <c r="I8" i="7" s="1"/>
  <c r="L133" i="1" l="1"/>
  <c r="K133" i="1"/>
  <c r="J133" i="1"/>
  <c r="L141" i="1"/>
  <c r="K141" i="1"/>
  <c r="J141" i="1"/>
  <c r="L135" i="1"/>
  <c r="K135" i="1"/>
  <c r="J135" i="1"/>
  <c r="N152" i="1"/>
  <c r="L152" i="1"/>
  <c r="K152" i="1"/>
  <c r="J152" i="1"/>
  <c r="N162" i="1"/>
  <c r="L162" i="1"/>
  <c r="K162" i="1"/>
  <c r="J162" i="1"/>
  <c r="N165" i="1"/>
  <c r="L165" i="1"/>
  <c r="K165" i="1"/>
  <c r="J165" i="1"/>
  <c r="N151" i="1"/>
  <c r="L151" i="1"/>
  <c r="K151" i="1"/>
  <c r="J151" i="1"/>
  <c r="N166" i="1"/>
  <c r="L166" i="1"/>
  <c r="K166" i="1"/>
  <c r="J166" i="1"/>
  <c r="N188" i="1"/>
  <c r="L188" i="1"/>
  <c r="K188" i="1"/>
  <c r="J188" i="1"/>
  <c r="N172" i="1"/>
  <c r="L172" i="1"/>
  <c r="K172" i="1"/>
  <c r="J172" i="1"/>
  <c r="N150" i="1"/>
  <c r="L150" i="1"/>
  <c r="K150" i="1"/>
  <c r="J150" i="1"/>
  <c r="N170" i="1"/>
  <c r="L170" i="1"/>
  <c r="K170" i="1"/>
  <c r="J170" i="1"/>
  <c r="N157" i="1"/>
  <c r="L157" i="1"/>
  <c r="K157" i="1"/>
  <c r="J157" i="1"/>
  <c r="N153" i="1"/>
  <c r="L153" i="1"/>
  <c r="K153" i="1"/>
  <c r="J153" i="1"/>
  <c r="N149" i="1"/>
  <c r="L149" i="1"/>
  <c r="K149" i="1"/>
  <c r="J149" i="1"/>
  <c r="R41" i="6" l="1"/>
  <c r="Q41" i="6"/>
  <c r="P41" i="6"/>
  <c r="O41" i="6"/>
  <c r="N41" i="6"/>
  <c r="M41" i="6"/>
  <c r="L41" i="6"/>
  <c r="K41" i="6"/>
  <c r="J41" i="6"/>
  <c r="I41" i="6"/>
  <c r="H41" i="6"/>
  <c r="S40" i="6"/>
  <c r="T40" i="6" s="1"/>
  <c r="U40" i="6" s="1"/>
  <c r="T39" i="6"/>
  <c r="U39" i="6" s="1"/>
  <c r="T37" i="6"/>
  <c r="U37" i="6" s="1"/>
  <c r="S36" i="6"/>
  <c r="T36" i="6" s="1"/>
  <c r="U36" i="6" s="1"/>
  <c r="S35" i="6"/>
  <c r="T35" i="6" s="1"/>
  <c r="U35" i="6" s="1"/>
  <c r="S34" i="6"/>
  <c r="T34" i="6" s="1"/>
  <c r="U34" i="6" s="1"/>
  <c r="S33" i="6"/>
  <c r="T33" i="6" s="1"/>
  <c r="U33" i="6" s="1"/>
  <c r="S41" i="6" l="1"/>
  <c r="T41" i="6" s="1"/>
  <c r="U41" i="6" s="1"/>
  <c r="H3" i="7"/>
  <c r="H8" i="7" s="1"/>
  <c r="N182" i="1" l="1"/>
  <c r="L182" i="1"/>
  <c r="K182" i="1"/>
  <c r="J182" i="1"/>
  <c r="N171" i="1"/>
  <c r="L171" i="1"/>
  <c r="K171" i="1"/>
  <c r="J171" i="1"/>
  <c r="N190" i="1"/>
  <c r="L190" i="1"/>
  <c r="K190" i="1"/>
  <c r="J190" i="1"/>
  <c r="N178" i="1"/>
  <c r="L178" i="1"/>
  <c r="K178" i="1"/>
  <c r="J178" i="1"/>
  <c r="N154" i="1"/>
  <c r="L154" i="1"/>
  <c r="K154" i="1"/>
  <c r="J154" i="1"/>
  <c r="N174" i="1"/>
  <c r="L174" i="1"/>
  <c r="K174" i="1"/>
  <c r="J174" i="1"/>
  <c r="N184" i="1"/>
  <c r="L184" i="1"/>
  <c r="K184" i="1"/>
  <c r="J184" i="1"/>
  <c r="N161" i="1"/>
  <c r="L161" i="1"/>
  <c r="K161" i="1"/>
  <c r="J161" i="1"/>
  <c r="P191" i="1"/>
  <c r="Q191" i="1" s="1"/>
  <c r="O3" i="1" l="1"/>
  <c r="F3" i="1"/>
  <c r="P190" i="1"/>
  <c r="Q190" i="1" s="1"/>
  <c r="P189" i="1"/>
  <c r="Q189" i="1" s="1"/>
  <c r="P188" i="1"/>
  <c r="Q188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N70" i="1" l="1"/>
  <c r="N69" i="1"/>
  <c r="N68" i="1"/>
  <c r="L43" i="1"/>
  <c r="K43" i="1"/>
  <c r="J43" i="1"/>
  <c r="L42" i="1"/>
  <c r="K42" i="1"/>
  <c r="J42" i="1"/>
  <c r="P39" i="1"/>
  <c r="L39" i="1"/>
  <c r="K39" i="1"/>
  <c r="J39" i="1"/>
  <c r="L69" i="1"/>
  <c r="K69" i="1"/>
  <c r="J69" i="1"/>
  <c r="P70" i="1"/>
  <c r="L70" i="1"/>
  <c r="K70" i="1"/>
  <c r="J70" i="1"/>
  <c r="L68" i="1"/>
  <c r="K68" i="1"/>
  <c r="J68" i="1"/>
  <c r="P145" i="1" l="1"/>
  <c r="L145" i="1"/>
  <c r="K145" i="1"/>
  <c r="J145" i="1"/>
  <c r="L126" i="1"/>
  <c r="K126" i="1"/>
  <c r="J126" i="1"/>
  <c r="L123" i="1"/>
  <c r="K123" i="1"/>
  <c r="J123" i="1"/>
  <c r="L134" i="1"/>
  <c r="K134" i="1"/>
  <c r="J134" i="1"/>
  <c r="L131" i="1"/>
  <c r="K131" i="1"/>
  <c r="J131" i="1"/>
  <c r="L143" i="1"/>
  <c r="K143" i="1"/>
  <c r="J143" i="1"/>
  <c r="L127" i="1"/>
  <c r="K127" i="1"/>
  <c r="J127" i="1"/>
  <c r="L144" i="1"/>
  <c r="K144" i="1"/>
  <c r="J144" i="1"/>
  <c r="L142" i="1"/>
  <c r="K142" i="1"/>
  <c r="J142" i="1"/>
  <c r="G20" i="9" l="1"/>
  <c r="L130" i="1" l="1"/>
  <c r="K130" i="1"/>
  <c r="J130" i="1"/>
  <c r="L125" i="1"/>
  <c r="K125" i="1"/>
  <c r="J125" i="1"/>
  <c r="L140" i="1"/>
  <c r="K140" i="1"/>
  <c r="J140" i="1"/>
  <c r="L124" i="1"/>
  <c r="K124" i="1"/>
  <c r="J124" i="1"/>
  <c r="L132" i="1"/>
  <c r="K132" i="1"/>
  <c r="J132" i="1"/>
  <c r="L128" i="1"/>
  <c r="K128" i="1"/>
  <c r="J128" i="1"/>
  <c r="L146" i="1"/>
  <c r="K146" i="1"/>
  <c r="J146" i="1"/>
  <c r="L139" i="1"/>
  <c r="K139" i="1"/>
  <c r="J139" i="1"/>
  <c r="L137" i="1"/>
  <c r="K137" i="1"/>
  <c r="J137" i="1"/>
  <c r="L129" i="1"/>
  <c r="K129" i="1"/>
  <c r="J129" i="1"/>
  <c r="L138" i="1"/>
  <c r="K138" i="1"/>
  <c r="J138" i="1"/>
  <c r="P122" i="1"/>
  <c r="J122" i="1"/>
  <c r="K122" i="1"/>
  <c r="L122" i="1"/>
  <c r="N116" i="1"/>
  <c r="P116" i="1" s="1"/>
  <c r="L116" i="1"/>
  <c r="K116" i="1"/>
  <c r="J116" i="1"/>
  <c r="N110" i="1"/>
  <c r="P110" i="1" s="1"/>
  <c r="L110" i="1"/>
  <c r="K110" i="1"/>
  <c r="J110" i="1"/>
  <c r="N121" i="1"/>
  <c r="P121" i="1" s="1"/>
  <c r="L121" i="1"/>
  <c r="K121" i="1"/>
  <c r="J121" i="1"/>
  <c r="N119" i="1"/>
  <c r="L119" i="1"/>
  <c r="K119" i="1"/>
  <c r="J119" i="1"/>
  <c r="N114" i="1"/>
  <c r="P114" i="1" s="1"/>
  <c r="L114" i="1"/>
  <c r="K114" i="1"/>
  <c r="J114" i="1"/>
  <c r="C58" i="5" l="1"/>
  <c r="C57" i="5"/>
  <c r="G58" i="5"/>
  <c r="G57" i="5"/>
  <c r="G56" i="5"/>
  <c r="C56" i="5"/>
  <c r="G55" i="5"/>
  <c r="C55" i="5"/>
  <c r="C54" i="5"/>
  <c r="C53" i="5"/>
  <c r="C52" i="5"/>
  <c r="G54" i="5"/>
  <c r="G53" i="5"/>
  <c r="G52" i="5"/>
  <c r="G51" i="5"/>
  <c r="C51" i="5"/>
  <c r="S9" i="19"/>
  <c r="G3" i="19"/>
  <c r="G4" i="19"/>
  <c r="G6" i="19"/>
  <c r="H7" i="6"/>
  <c r="H10" i="19"/>
  <c r="R8" i="19"/>
  <c r="Q8" i="19"/>
  <c r="P8" i="19"/>
  <c r="O8" i="19"/>
  <c r="N8" i="19"/>
  <c r="M8" i="19"/>
  <c r="L8" i="19"/>
  <c r="K8" i="19"/>
  <c r="J8" i="19"/>
  <c r="I8" i="19"/>
  <c r="H8" i="19"/>
  <c r="S8" i="19" s="1"/>
  <c r="S6" i="19"/>
  <c r="R10" i="19"/>
  <c r="Q10" i="19"/>
  <c r="P10" i="19"/>
  <c r="O10" i="19"/>
  <c r="N10" i="19"/>
  <c r="M10" i="19"/>
  <c r="L10" i="19"/>
  <c r="K10" i="19"/>
  <c r="J10" i="19"/>
  <c r="S10" i="19" s="1"/>
  <c r="T10" i="19" s="1"/>
  <c r="U10" i="19" s="1"/>
  <c r="I10" i="19"/>
  <c r="T9" i="19"/>
  <c r="U9" i="19" s="1"/>
  <c r="S7" i="19"/>
  <c r="T7" i="19" s="1"/>
  <c r="U7" i="19" s="1"/>
  <c r="S5" i="19"/>
  <c r="T5" i="19" s="1"/>
  <c r="U5" i="19" s="1"/>
  <c r="S4" i="19"/>
  <c r="T4" i="19" s="1"/>
  <c r="U4" i="19" s="1"/>
  <c r="S3" i="19"/>
  <c r="T3" i="19" s="1"/>
  <c r="U3" i="19" s="1"/>
  <c r="G3" i="18"/>
  <c r="R7" i="18"/>
  <c r="R9" i="18"/>
  <c r="Q9" i="18"/>
  <c r="P9" i="18"/>
  <c r="O9" i="18"/>
  <c r="N9" i="18"/>
  <c r="M9" i="18"/>
  <c r="L9" i="18"/>
  <c r="K9" i="18"/>
  <c r="J9" i="18"/>
  <c r="I9" i="18"/>
  <c r="H9" i="18"/>
  <c r="S8" i="18"/>
  <c r="T8" i="18" s="1"/>
  <c r="U8" i="18" s="1"/>
  <c r="Q7" i="18"/>
  <c r="P7" i="18"/>
  <c r="O7" i="18"/>
  <c r="N7" i="18"/>
  <c r="M7" i="18"/>
  <c r="L7" i="18"/>
  <c r="K7" i="18"/>
  <c r="J7" i="18"/>
  <c r="I7" i="18"/>
  <c r="H7" i="18"/>
  <c r="S7" i="18" s="1"/>
  <c r="T7" i="18" s="1"/>
  <c r="U7" i="18" s="1"/>
  <c r="S6" i="18"/>
  <c r="T6" i="18" s="1"/>
  <c r="U6" i="18" s="1"/>
  <c r="S5" i="18"/>
  <c r="T5" i="18" s="1"/>
  <c r="U5" i="18" s="1"/>
  <c r="S4" i="18"/>
  <c r="T4" i="18"/>
  <c r="U4" i="18" s="1"/>
  <c r="S3" i="18"/>
  <c r="T3" i="18" s="1"/>
  <c r="U3" i="18" s="1"/>
  <c r="G25" i="16"/>
  <c r="G29" i="16"/>
  <c r="G24" i="16"/>
  <c r="T24" i="16" s="1"/>
  <c r="U24" i="16" s="1"/>
  <c r="G23" i="16"/>
  <c r="G4" i="4"/>
  <c r="J6" i="4"/>
  <c r="H6" i="12"/>
  <c r="S6" i="12" s="1"/>
  <c r="R30" i="16"/>
  <c r="Q30" i="16"/>
  <c r="P30" i="16"/>
  <c r="O30" i="16"/>
  <c r="N30" i="16"/>
  <c r="M30" i="16"/>
  <c r="L30" i="16"/>
  <c r="K30" i="16"/>
  <c r="J30" i="16"/>
  <c r="I30" i="16"/>
  <c r="H30" i="16"/>
  <c r="S29" i="16"/>
  <c r="T29" i="16" s="1"/>
  <c r="U29" i="16" s="1"/>
  <c r="R28" i="16"/>
  <c r="Q28" i="16"/>
  <c r="P28" i="16"/>
  <c r="O28" i="16"/>
  <c r="N28" i="16"/>
  <c r="M28" i="16"/>
  <c r="L28" i="16"/>
  <c r="K28" i="16"/>
  <c r="J28" i="16"/>
  <c r="I28" i="16"/>
  <c r="H28" i="16"/>
  <c r="S27" i="16"/>
  <c r="T27" i="16" s="1"/>
  <c r="U27" i="16" s="1"/>
  <c r="S26" i="16"/>
  <c r="T26" i="16" s="1"/>
  <c r="U26" i="16" s="1"/>
  <c r="S25" i="16"/>
  <c r="T25" i="16" s="1"/>
  <c r="U25" i="16" s="1"/>
  <c r="S23" i="16"/>
  <c r="T23" i="16" s="1"/>
  <c r="U23" i="16" s="1"/>
  <c r="G5" i="16"/>
  <c r="G8" i="8"/>
  <c r="S28" i="16" l="1"/>
  <c r="S9" i="18"/>
  <c r="T9" i="18" s="1"/>
  <c r="U9" i="18" s="1"/>
  <c r="T8" i="19"/>
  <c r="U8" i="19" s="1"/>
  <c r="S30" i="16"/>
  <c r="T30" i="16" s="1"/>
  <c r="U30" i="16" s="1"/>
  <c r="T28" i="16"/>
  <c r="U28" i="16" s="1"/>
  <c r="T6" i="19"/>
  <c r="U6" i="19" s="1"/>
  <c r="H21" i="6" l="1"/>
  <c r="H17" i="7" l="1"/>
  <c r="R17" i="7"/>
  <c r="Q17" i="7"/>
  <c r="P17" i="7"/>
  <c r="O17" i="7"/>
  <c r="N17" i="7"/>
  <c r="M17" i="7"/>
  <c r="L17" i="7"/>
  <c r="K17" i="7"/>
  <c r="J17" i="7"/>
  <c r="I17" i="7"/>
  <c r="L84" i="1"/>
  <c r="K84" i="1"/>
  <c r="J84" i="1"/>
  <c r="P75" i="1"/>
  <c r="L75" i="1"/>
  <c r="K75" i="1"/>
  <c r="J75" i="1"/>
  <c r="L73" i="1"/>
  <c r="K73" i="1"/>
  <c r="J73" i="1"/>
  <c r="L74" i="1"/>
  <c r="K74" i="1"/>
  <c r="J74" i="1"/>
  <c r="N120" i="1"/>
  <c r="L120" i="1"/>
  <c r="K120" i="1"/>
  <c r="J120" i="1"/>
  <c r="N115" i="1"/>
  <c r="L115" i="1"/>
  <c r="K115" i="1"/>
  <c r="J115" i="1"/>
  <c r="N117" i="1"/>
  <c r="L117" i="1"/>
  <c r="K117" i="1"/>
  <c r="J117" i="1"/>
  <c r="N113" i="1"/>
  <c r="L113" i="1"/>
  <c r="K113" i="1"/>
  <c r="J113" i="1"/>
  <c r="N118" i="1"/>
  <c r="L118" i="1"/>
  <c r="K118" i="1"/>
  <c r="J118" i="1"/>
  <c r="N112" i="1"/>
  <c r="L112" i="1"/>
  <c r="K112" i="1"/>
  <c r="J112" i="1"/>
  <c r="N111" i="1"/>
  <c r="L111" i="1"/>
  <c r="K111" i="1"/>
  <c r="J111" i="1"/>
  <c r="N103" i="1"/>
  <c r="L103" i="1"/>
  <c r="K103" i="1"/>
  <c r="J103" i="1"/>
  <c r="N95" i="1"/>
  <c r="L95" i="1"/>
  <c r="K95" i="1"/>
  <c r="J95" i="1"/>
  <c r="N108" i="1"/>
  <c r="P108" i="1" s="1"/>
  <c r="L108" i="1"/>
  <c r="K108" i="1"/>
  <c r="J108" i="1"/>
  <c r="N92" i="1"/>
  <c r="L92" i="1"/>
  <c r="K92" i="1"/>
  <c r="J92" i="1"/>
  <c r="N102" i="1"/>
  <c r="L102" i="1"/>
  <c r="K102" i="1"/>
  <c r="J102" i="1"/>
  <c r="N90" i="1"/>
  <c r="L90" i="1"/>
  <c r="K90" i="1"/>
  <c r="J90" i="1"/>
  <c r="N94" i="1"/>
  <c r="L94" i="1"/>
  <c r="K94" i="1"/>
  <c r="J94" i="1"/>
  <c r="N101" i="1"/>
  <c r="L101" i="1"/>
  <c r="K101" i="1"/>
  <c r="J101" i="1"/>
  <c r="N100" i="1"/>
  <c r="L100" i="1"/>
  <c r="K100" i="1"/>
  <c r="J100" i="1"/>
  <c r="N87" i="1"/>
  <c r="P87" i="1" s="1"/>
  <c r="Q87" i="1" s="1"/>
  <c r="L87" i="1"/>
  <c r="K87" i="1"/>
  <c r="J87" i="1"/>
  <c r="S17" i="7" l="1"/>
  <c r="S8" i="7"/>
  <c r="R7" i="6"/>
  <c r="Q7" i="6"/>
  <c r="P7" i="6"/>
  <c r="O7" i="6"/>
  <c r="N7" i="6"/>
  <c r="M7" i="6"/>
  <c r="L7" i="6"/>
  <c r="K7" i="6"/>
  <c r="J7" i="6"/>
  <c r="I7" i="6"/>
  <c r="G12" i="5" l="1"/>
  <c r="L72" i="1"/>
  <c r="K72" i="1"/>
  <c r="J72" i="1"/>
  <c r="L79" i="1"/>
  <c r="K79" i="1"/>
  <c r="J79" i="1"/>
  <c r="L83" i="1"/>
  <c r="K83" i="1"/>
  <c r="J83" i="1"/>
  <c r="L80" i="1"/>
  <c r="K80" i="1"/>
  <c r="J80" i="1"/>
  <c r="L78" i="1"/>
  <c r="K78" i="1"/>
  <c r="J78" i="1"/>
  <c r="L77" i="1"/>
  <c r="K77" i="1"/>
  <c r="J77" i="1"/>
  <c r="L76" i="1"/>
  <c r="K76" i="1"/>
  <c r="J76" i="1"/>
  <c r="L81" i="1"/>
  <c r="K81" i="1"/>
  <c r="J81" i="1"/>
  <c r="L82" i="1"/>
  <c r="K82" i="1"/>
  <c r="J82" i="1"/>
  <c r="G27" i="5"/>
  <c r="N98" i="1"/>
  <c r="L98" i="1"/>
  <c r="K98" i="1"/>
  <c r="J98" i="1"/>
  <c r="N89" i="1"/>
  <c r="L89" i="1"/>
  <c r="K89" i="1"/>
  <c r="J89" i="1"/>
  <c r="N106" i="1"/>
  <c r="L106" i="1"/>
  <c r="K106" i="1"/>
  <c r="J106" i="1"/>
  <c r="N91" i="1"/>
  <c r="L91" i="1"/>
  <c r="K91" i="1"/>
  <c r="J91" i="1"/>
  <c r="N109" i="1"/>
  <c r="L109" i="1"/>
  <c r="K109" i="1"/>
  <c r="J109" i="1"/>
  <c r="N97" i="1"/>
  <c r="L97" i="1"/>
  <c r="K97" i="1"/>
  <c r="J97" i="1"/>
  <c r="N107" i="1"/>
  <c r="L107" i="1"/>
  <c r="K107" i="1"/>
  <c r="J107" i="1"/>
  <c r="N88" i="1"/>
  <c r="L88" i="1"/>
  <c r="K88" i="1"/>
  <c r="J88" i="1"/>
  <c r="N99" i="1"/>
  <c r="L99" i="1"/>
  <c r="K99" i="1"/>
  <c r="J99" i="1"/>
  <c r="N96" i="1"/>
  <c r="L96" i="1"/>
  <c r="K96" i="1"/>
  <c r="J96" i="1"/>
  <c r="N105" i="1"/>
  <c r="L105" i="1"/>
  <c r="K105" i="1"/>
  <c r="J105" i="1"/>
  <c r="N85" i="1"/>
  <c r="L85" i="1"/>
  <c r="K85" i="1"/>
  <c r="J85" i="1"/>
  <c r="N93" i="1"/>
  <c r="L93" i="1"/>
  <c r="K93" i="1"/>
  <c r="J93" i="1"/>
  <c r="N86" i="1"/>
  <c r="L86" i="1"/>
  <c r="K86" i="1"/>
  <c r="J86" i="1"/>
  <c r="N104" i="1"/>
  <c r="L104" i="1"/>
  <c r="K104" i="1"/>
  <c r="J104" i="1"/>
  <c r="S22" i="6" l="1"/>
  <c r="R21" i="6"/>
  <c r="Q21" i="6"/>
  <c r="P21" i="6"/>
  <c r="O21" i="6"/>
  <c r="N21" i="6"/>
  <c r="M21" i="6"/>
  <c r="L21" i="6"/>
  <c r="K21" i="6"/>
  <c r="I21" i="6"/>
  <c r="S17" i="6"/>
  <c r="G17" i="6"/>
  <c r="T17" i="6" l="1"/>
  <c r="U17" i="6" s="1"/>
  <c r="S19" i="16"/>
  <c r="S8" i="16"/>
  <c r="R20" i="16"/>
  <c r="Q20" i="16"/>
  <c r="P20" i="16"/>
  <c r="O20" i="16"/>
  <c r="N20" i="16"/>
  <c r="M20" i="16"/>
  <c r="L20" i="16"/>
  <c r="K20" i="16"/>
  <c r="J20" i="16"/>
  <c r="I20" i="16"/>
  <c r="H20" i="16"/>
  <c r="R18" i="16"/>
  <c r="Q18" i="16"/>
  <c r="P18" i="16"/>
  <c r="O18" i="16"/>
  <c r="N18" i="16"/>
  <c r="M18" i="16"/>
  <c r="L18" i="16"/>
  <c r="K18" i="16"/>
  <c r="J18" i="16"/>
  <c r="I18" i="16"/>
  <c r="H18" i="16"/>
  <c r="S18" i="16" s="1"/>
  <c r="G19" i="16"/>
  <c r="R15" i="8"/>
  <c r="Q15" i="8"/>
  <c r="P15" i="8"/>
  <c r="O15" i="8"/>
  <c r="N15" i="8"/>
  <c r="M15" i="8"/>
  <c r="L15" i="8"/>
  <c r="K15" i="8"/>
  <c r="J15" i="8"/>
  <c r="I15" i="8"/>
  <c r="H15" i="8"/>
  <c r="R10" i="8"/>
  <c r="Q10" i="8"/>
  <c r="P10" i="8"/>
  <c r="O10" i="8"/>
  <c r="N10" i="8"/>
  <c r="M10" i="8"/>
  <c r="L10" i="8"/>
  <c r="K10" i="8"/>
  <c r="J10" i="8"/>
  <c r="I10" i="8"/>
  <c r="H10" i="8"/>
  <c r="H5" i="8"/>
  <c r="R5" i="8"/>
  <c r="Q5" i="8"/>
  <c r="P5" i="8"/>
  <c r="O5" i="8"/>
  <c r="N5" i="8"/>
  <c r="M5" i="8"/>
  <c r="L5" i="8"/>
  <c r="K5" i="8"/>
  <c r="J5" i="8"/>
  <c r="I5" i="8"/>
  <c r="R5" i="10"/>
  <c r="Q5" i="10"/>
  <c r="P5" i="10"/>
  <c r="O5" i="10"/>
  <c r="N5" i="10"/>
  <c r="M5" i="10"/>
  <c r="L5" i="10"/>
  <c r="K5" i="10"/>
  <c r="J5" i="10"/>
  <c r="I5" i="10"/>
  <c r="H5" i="10"/>
  <c r="T6" i="12"/>
  <c r="U6" i="12" s="1"/>
  <c r="R17" i="9"/>
  <c r="Q17" i="9"/>
  <c r="P17" i="9"/>
  <c r="O17" i="9"/>
  <c r="N17" i="9"/>
  <c r="M17" i="9"/>
  <c r="L17" i="9"/>
  <c r="K17" i="9"/>
  <c r="J17" i="9"/>
  <c r="I17" i="9"/>
  <c r="H17" i="9"/>
  <c r="S17" i="9" s="1"/>
  <c r="H22" i="9"/>
  <c r="R22" i="9"/>
  <c r="Q22" i="9"/>
  <c r="P22" i="9"/>
  <c r="O22" i="9"/>
  <c r="N22" i="9"/>
  <c r="M22" i="9"/>
  <c r="L22" i="9"/>
  <c r="K22" i="9"/>
  <c r="J22" i="9"/>
  <c r="I22" i="9"/>
  <c r="R7" i="9"/>
  <c r="Q7" i="9"/>
  <c r="P7" i="9"/>
  <c r="O7" i="9"/>
  <c r="N7" i="9"/>
  <c r="M7" i="9"/>
  <c r="L7" i="9"/>
  <c r="K7" i="9"/>
  <c r="J7" i="9"/>
  <c r="I7" i="9"/>
  <c r="H7" i="9"/>
  <c r="R12" i="9"/>
  <c r="Q12" i="9"/>
  <c r="P12" i="9"/>
  <c r="O12" i="9"/>
  <c r="N12" i="9"/>
  <c r="M12" i="9"/>
  <c r="L12" i="9"/>
  <c r="K12" i="9"/>
  <c r="J12" i="9"/>
  <c r="I12" i="9"/>
  <c r="H12" i="9"/>
  <c r="H7" i="16"/>
  <c r="R9" i="16"/>
  <c r="Q9" i="16"/>
  <c r="P9" i="16"/>
  <c r="O9" i="16"/>
  <c r="N9" i="16"/>
  <c r="M9" i="16"/>
  <c r="S9" i="16" s="1"/>
  <c r="L9" i="16"/>
  <c r="K9" i="16"/>
  <c r="J9" i="16"/>
  <c r="I9" i="16"/>
  <c r="H9" i="16"/>
  <c r="R7" i="16"/>
  <c r="Q7" i="16"/>
  <c r="P7" i="16"/>
  <c r="O7" i="16"/>
  <c r="N7" i="16"/>
  <c r="M7" i="16"/>
  <c r="L7" i="16"/>
  <c r="K7" i="16"/>
  <c r="J7" i="16"/>
  <c r="I7" i="16"/>
  <c r="H9" i="17"/>
  <c r="R9" i="17"/>
  <c r="Q9" i="17"/>
  <c r="P9" i="17"/>
  <c r="O9" i="17"/>
  <c r="N9" i="17"/>
  <c r="M9" i="17"/>
  <c r="L9" i="17"/>
  <c r="K9" i="17"/>
  <c r="J9" i="17"/>
  <c r="I9" i="17"/>
  <c r="R7" i="17"/>
  <c r="Q7" i="17"/>
  <c r="P7" i="17"/>
  <c r="O7" i="17"/>
  <c r="N7" i="17"/>
  <c r="M7" i="17"/>
  <c r="L7" i="17"/>
  <c r="K7" i="17"/>
  <c r="J7" i="17"/>
  <c r="I7" i="17"/>
  <c r="H7" i="17"/>
  <c r="S7" i="17" s="1"/>
  <c r="T7" i="17" s="1"/>
  <c r="U7" i="17" s="1"/>
  <c r="S8" i="17"/>
  <c r="S6" i="17"/>
  <c r="S5" i="17"/>
  <c r="S4" i="17"/>
  <c r="S3" i="17"/>
  <c r="T3" i="17" s="1"/>
  <c r="U3" i="17" s="1"/>
  <c r="T8" i="17"/>
  <c r="U8" i="17" s="1"/>
  <c r="R23" i="6"/>
  <c r="Q23" i="6"/>
  <c r="P23" i="6"/>
  <c r="O23" i="6"/>
  <c r="N23" i="6"/>
  <c r="M23" i="6"/>
  <c r="L23" i="6"/>
  <c r="K23" i="6"/>
  <c r="J23" i="6"/>
  <c r="I23" i="6"/>
  <c r="H23" i="6"/>
  <c r="S21" i="6"/>
  <c r="G22" i="6"/>
  <c r="T22" i="6" s="1"/>
  <c r="S8" i="6"/>
  <c r="T8" i="6" s="1"/>
  <c r="U8" i="6" s="1"/>
  <c r="R9" i="6"/>
  <c r="Q9" i="6"/>
  <c r="P9" i="6"/>
  <c r="O9" i="6"/>
  <c r="N9" i="6"/>
  <c r="M9" i="6"/>
  <c r="L9" i="6"/>
  <c r="K9" i="6"/>
  <c r="J9" i="6"/>
  <c r="I9" i="6"/>
  <c r="H9" i="6"/>
  <c r="S7" i="6"/>
  <c r="G3" i="10"/>
  <c r="S4" i="10"/>
  <c r="T4" i="10" s="1"/>
  <c r="U4" i="10" s="1"/>
  <c r="S3" i="10"/>
  <c r="G3" i="12"/>
  <c r="S3" i="12"/>
  <c r="S4" i="12"/>
  <c r="T4" i="12" s="1"/>
  <c r="U4" i="12" s="1"/>
  <c r="S4" i="9"/>
  <c r="G4" i="11"/>
  <c r="G3" i="11"/>
  <c r="S9" i="11"/>
  <c r="T9" i="11" s="1"/>
  <c r="U9" i="11" s="1"/>
  <c r="S8" i="11"/>
  <c r="T8" i="11" s="1"/>
  <c r="U8" i="11" s="1"/>
  <c r="S7" i="11"/>
  <c r="T7" i="11" s="1"/>
  <c r="U7" i="11" s="1"/>
  <c r="S6" i="11"/>
  <c r="T6" i="11" s="1"/>
  <c r="U6" i="11" s="1"/>
  <c r="S4" i="11"/>
  <c r="S3" i="11"/>
  <c r="S30" i="6"/>
  <c r="S29" i="6"/>
  <c r="S28" i="6"/>
  <c r="S27" i="6"/>
  <c r="G20" i="6"/>
  <c r="G19" i="6"/>
  <c r="G18" i="6"/>
  <c r="G16" i="6"/>
  <c r="G15" i="6"/>
  <c r="G14" i="6"/>
  <c r="G13" i="6"/>
  <c r="G4" i="6"/>
  <c r="T6" i="17"/>
  <c r="U6" i="17" s="1"/>
  <c r="T5" i="17"/>
  <c r="U5" i="17" s="1"/>
  <c r="T4" i="17"/>
  <c r="U4" i="17" s="1"/>
  <c r="G16" i="16"/>
  <c r="G14" i="16"/>
  <c r="G13" i="16"/>
  <c r="S17" i="16"/>
  <c r="T17" i="16" s="1"/>
  <c r="U17" i="16" s="1"/>
  <c r="S16" i="16"/>
  <c r="S15" i="16"/>
  <c r="T15" i="16" s="1"/>
  <c r="U15" i="16" s="1"/>
  <c r="S14" i="16"/>
  <c r="S13" i="16"/>
  <c r="G8" i="16"/>
  <c r="G6" i="16"/>
  <c r="G4" i="16"/>
  <c r="S6" i="16"/>
  <c r="S5" i="16"/>
  <c r="S4" i="16"/>
  <c r="S3" i="16"/>
  <c r="T3" i="16" s="1"/>
  <c r="U3" i="16" s="1"/>
  <c r="S11" i="9"/>
  <c r="T11" i="9" s="1"/>
  <c r="U11" i="9" s="1"/>
  <c r="S10" i="9"/>
  <c r="T10" i="9" s="1"/>
  <c r="U10" i="9" s="1"/>
  <c r="S7" i="9" l="1"/>
  <c r="T7" i="9" s="1"/>
  <c r="U7" i="9" s="1"/>
  <c r="S12" i="9"/>
  <c r="T12" i="9" s="1"/>
  <c r="U12" i="9" s="1"/>
  <c r="T17" i="9"/>
  <c r="U17" i="9" s="1"/>
  <c r="S5" i="10"/>
  <c r="T5" i="10" s="1"/>
  <c r="U5" i="10" s="1"/>
  <c r="S5" i="8"/>
  <c r="T5" i="8" s="1"/>
  <c r="U5" i="8" s="1"/>
  <c r="S20" i="16"/>
  <c r="T20" i="16" s="1"/>
  <c r="U20" i="16" s="1"/>
  <c r="S9" i="17"/>
  <c r="T9" i="17" s="1"/>
  <c r="U9" i="17" s="1"/>
  <c r="S22" i="9"/>
  <c r="T22" i="9" s="1"/>
  <c r="U22" i="9" s="1"/>
  <c r="T4" i="11"/>
  <c r="U4" i="11" s="1"/>
  <c r="S23" i="6"/>
  <c r="T23" i="6" s="1"/>
  <c r="U23" i="6" s="1"/>
  <c r="S10" i="8"/>
  <c r="T10" i="8" s="1"/>
  <c r="U10" i="8" s="1"/>
  <c r="S15" i="8"/>
  <c r="T15" i="8" s="1"/>
  <c r="U15" i="8" s="1"/>
  <c r="S7" i="16"/>
  <c r="T7" i="16" s="1"/>
  <c r="U7" i="16" s="1"/>
  <c r="T19" i="16"/>
  <c r="U19" i="16" s="1"/>
  <c r="T18" i="16"/>
  <c r="U18" i="16" s="1"/>
  <c r="T9" i="16"/>
  <c r="U9" i="16" s="1"/>
  <c r="T8" i="16"/>
  <c r="U8" i="16" s="1"/>
  <c r="T5" i="16"/>
  <c r="U5" i="16" s="1"/>
  <c r="T6" i="16"/>
  <c r="U6" i="16" s="1"/>
  <c r="T16" i="16"/>
  <c r="U16" i="16" s="1"/>
  <c r="T4" i="16"/>
  <c r="U4" i="16" s="1"/>
  <c r="U22" i="6"/>
  <c r="S9" i="6"/>
  <c r="T9" i="6" s="1"/>
  <c r="U9" i="6" s="1"/>
  <c r="T21" i="6"/>
  <c r="U21" i="6" s="1"/>
  <c r="T3" i="10"/>
  <c r="U3" i="10" s="1"/>
  <c r="T3" i="12"/>
  <c r="U3" i="12" s="1"/>
  <c r="T3" i="11"/>
  <c r="U3" i="11" s="1"/>
  <c r="T14" i="16"/>
  <c r="U14" i="16" s="1"/>
  <c r="T13" i="16"/>
  <c r="U13" i="16" s="1"/>
  <c r="T4" i="9"/>
  <c r="U4" i="9" s="1"/>
  <c r="S21" i="9"/>
  <c r="T21" i="9" s="1"/>
  <c r="U21" i="9" s="1"/>
  <c r="S20" i="9"/>
  <c r="T20" i="9" s="1"/>
  <c r="U20" i="9" s="1"/>
  <c r="S16" i="9"/>
  <c r="T16" i="9" s="1"/>
  <c r="U16" i="9" s="1"/>
  <c r="S15" i="9"/>
  <c r="T15" i="9" s="1"/>
  <c r="U15" i="9" s="1"/>
  <c r="S6" i="9"/>
  <c r="T6" i="9" s="1"/>
  <c r="U6" i="9" s="1"/>
  <c r="S5" i="9"/>
  <c r="T5" i="9" s="1"/>
  <c r="U5" i="9" s="1"/>
  <c r="S18" i="7"/>
  <c r="T18" i="7" s="1"/>
  <c r="U18" i="7" s="1"/>
  <c r="S16" i="7"/>
  <c r="S15" i="7"/>
  <c r="T15" i="7" s="1"/>
  <c r="U15" i="7" s="1"/>
  <c r="S14" i="7"/>
  <c r="T14" i="7" s="1"/>
  <c r="U14" i="7" s="1"/>
  <c r="S13" i="7"/>
  <c r="T13" i="7" s="1"/>
  <c r="U13" i="7" s="1"/>
  <c r="S12" i="7"/>
  <c r="S11" i="7"/>
  <c r="T11" i="7" s="1"/>
  <c r="U11" i="7" s="1"/>
  <c r="T17" i="7"/>
  <c r="U17" i="7" s="1"/>
  <c r="T16" i="7"/>
  <c r="U16" i="7" s="1"/>
  <c r="T12" i="7"/>
  <c r="U12" i="7" s="1"/>
  <c r="S14" i="8"/>
  <c r="T14" i="8" s="1"/>
  <c r="U14" i="8" s="1"/>
  <c r="S13" i="8"/>
  <c r="T13" i="8" s="1"/>
  <c r="U13" i="8" s="1"/>
  <c r="S9" i="8"/>
  <c r="T9" i="8" s="1"/>
  <c r="U9" i="8" s="1"/>
  <c r="S8" i="8"/>
  <c r="T8" i="8" s="1"/>
  <c r="U8" i="8" s="1"/>
  <c r="S3" i="8"/>
  <c r="T3" i="8" s="1"/>
  <c r="U3" i="8" s="1"/>
  <c r="S4" i="8"/>
  <c r="T4" i="8" s="1"/>
  <c r="U4" i="8" s="1"/>
  <c r="T8" i="7"/>
  <c r="U8" i="7" s="1"/>
  <c r="S7" i="7"/>
  <c r="T7" i="7" s="1"/>
  <c r="U7" i="7" s="1"/>
  <c r="S6" i="7"/>
  <c r="T6" i="7" s="1"/>
  <c r="U6" i="7" s="1"/>
  <c r="S5" i="7"/>
  <c r="T5" i="7" s="1"/>
  <c r="U5" i="7" s="1"/>
  <c r="S4" i="7"/>
  <c r="T4" i="7" s="1"/>
  <c r="U4" i="7" s="1"/>
  <c r="S3" i="7"/>
  <c r="T3" i="7" s="1"/>
  <c r="U3" i="7" s="1"/>
  <c r="T30" i="6"/>
  <c r="U30" i="6" s="1"/>
  <c r="T29" i="6"/>
  <c r="U29" i="6" s="1"/>
  <c r="T28" i="6"/>
  <c r="U28" i="6" s="1"/>
  <c r="T27" i="6"/>
  <c r="U27" i="6" s="1"/>
  <c r="S20" i="6"/>
  <c r="T20" i="6" s="1"/>
  <c r="U20" i="6" s="1"/>
  <c r="S19" i="6"/>
  <c r="T19" i="6" s="1"/>
  <c r="U19" i="6" s="1"/>
  <c r="S18" i="6"/>
  <c r="T18" i="6" s="1"/>
  <c r="U18" i="6" s="1"/>
  <c r="S16" i="6"/>
  <c r="T16" i="6" s="1"/>
  <c r="U16" i="6" s="1"/>
  <c r="S15" i="6"/>
  <c r="T15" i="6" s="1"/>
  <c r="U15" i="6" s="1"/>
  <c r="S14" i="6"/>
  <c r="T14" i="6" s="1"/>
  <c r="U14" i="6" s="1"/>
  <c r="S13" i="6"/>
  <c r="T13" i="6" s="1"/>
  <c r="U13" i="6" s="1"/>
  <c r="T7" i="6"/>
  <c r="U7" i="6" s="1"/>
  <c r="S6" i="6"/>
  <c r="T6" i="6" s="1"/>
  <c r="U6" i="6" s="1"/>
  <c r="S5" i="6"/>
  <c r="T5" i="6" s="1"/>
  <c r="U5" i="6" s="1"/>
  <c r="S4" i="6"/>
  <c r="T4" i="6" s="1"/>
  <c r="U4" i="6" s="1"/>
  <c r="S3" i="5"/>
  <c r="S3" i="6"/>
  <c r="T3" i="6" s="1"/>
  <c r="S4" i="5"/>
  <c r="S55" i="5"/>
  <c r="S54" i="5"/>
  <c r="S53" i="5"/>
  <c r="S52" i="5"/>
  <c r="S50" i="5"/>
  <c r="S51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U3" i="6" l="1"/>
  <c r="T7" i="5"/>
  <c r="T6" i="5"/>
  <c r="L60" i="1"/>
  <c r="K60" i="1"/>
  <c r="J60" i="1"/>
  <c r="L51" i="1"/>
  <c r="K51" i="1"/>
  <c r="J51" i="1"/>
  <c r="L49" i="1"/>
  <c r="K49" i="1"/>
  <c r="J49" i="1"/>
  <c r="L55" i="1"/>
  <c r="K55" i="1"/>
  <c r="J55" i="1"/>
  <c r="L52" i="1"/>
  <c r="K52" i="1"/>
  <c r="J52" i="1"/>
  <c r="P59" i="1"/>
  <c r="Q59" i="1" s="1"/>
  <c r="J59" i="1"/>
  <c r="L58" i="1"/>
  <c r="K58" i="1"/>
  <c r="J58" i="1"/>
  <c r="L63" i="1"/>
  <c r="K63" i="1"/>
  <c r="J63" i="1"/>
  <c r="L61" i="1"/>
  <c r="K61" i="1"/>
  <c r="J61" i="1"/>
  <c r="L53" i="1"/>
  <c r="K53" i="1"/>
  <c r="J53" i="1"/>
  <c r="L57" i="1"/>
  <c r="K57" i="1"/>
  <c r="J57" i="1"/>
  <c r="L62" i="1"/>
  <c r="K62" i="1"/>
  <c r="J62" i="1"/>
  <c r="G4" i="5" l="1"/>
  <c r="Q176" i="1" l="1"/>
  <c r="P175" i="1"/>
  <c r="Q175" i="1" s="1"/>
  <c r="P174" i="1"/>
  <c r="Q174" i="1" s="1"/>
  <c r="Q173" i="1"/>
  <c r="P172" i="1"/>
  <c r="Q172" i="1" s="1"/>
  <c r="P171" i="1"/>
  <c r="Q171" i="1" s="1"/>
  <c r="P170" i="1"/>
  <c r="Q170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Q160" i="1"/>
  <c r="Q159" i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Q145" i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Q122" i="1"/>
  <c r="Q121" i="1"/>
  <c r="P120" i="1"/>
  <c r="Q120" i="1" s="1"/>
  <c r="P119" i="1"/>
  <c r="Q119" i="1" s="1"/>
  <c r="P118" i="1"/>
  <c r="Q118" i="1" s="1"/>
  <c r="P117" i="1"/>
  <c r="Q117" i="1" s="1"/>
  <c r="Q116" i="1"/>
  <c r="P115" i="1"/>
  <c r="Q115" i="1" s="1"/>
  <c r="Q114" i="1"/>
  <c r="P113" i="1"/>
  <c r="Q113" i="1" s="1"/>
  <c r="P112" i="1"/>
  <c r="Q112" i="1" s="1"/>
  <c r="P111" i="1"/>
  <c r="Q111" i="1" s="1"/>
  <c r="Q110" i="1"/>
  <c r="P109" i="1"/>
  <c r="Q109" i="1" s="1"/>
  <c r="Q108" i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6" i="1"/>
  <c r="Q86" i="1" s="1"/>
  <c r="P85" i="1"/>
  <c r="Q85" i="1" s="1"/>
  <c r="P84" i="1"/>
  <c r="P83" i="1"/>
  <c r="Q83" i="1" s="1"/>
  <c r="P82" i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Q75" i="1"/>
  <c r="P74" i="1"/>
  <c r="Q74" i="1" s="1"/>
  <c r="P73" i="1"/>
  <c r="Q73" i="1" s="1"/>
  <c r="P72" i="1"/>
  <c r="P71" i="1"/>
  <c r="Q71" i="1" s="1"/>
  <c r="Q70" i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R3" i="1"/>
  <c r="T5" i="5"/>
  <c r="U5" i="5" s="1"/>
  <c r="T4" i="5"/>
  <c r="U4" i="5" s="1"/>
  <c r="L38" i="1"/>
  <c r="K38" i="1"/>
  <c r="J38" i="1"/>
  <c r="L31" i="1"/>
  <c r="K31" i="1"/>
  <c r="J31" i="1"/>
  <c r="L28" i="1"/>
  <c r="K28" i="1"/>
  <c r="J28" i="1"/>
  <c r="T51" i="5"/>
  <c r="U51" i="5" s="1"/>
  <c r="T54" i="5"/>
  <c r="U54" i="5" s="1"/>
  <c r="T53" i="5"/>
  <c r="U53" i="5" s="1"/>
  <c r="T52" i="5"/>
  <c r="U52" i="5" s="1"/>
  <c r="T50" i="5"/>
  <c r="U50" i="5" s="1"/>
  <c r="N9" i="1"/>
  <c r="L9" i="1"/>
  <c r="K9" i="1"/>
  <c r="J9" i="1"/>
  <c r="N10" i="1"/>
  <c r="L10" i="1"/>
  <c r="K10" i="1"/>
  <c r="J10" i="1"/>
  <c r="N13" i="1"/>
  <c r="L13" i="1"/>
  <c r="K13" i="1"/>
  <c r="J13" i="1"/>
  <c r="N6" i="1"/>
  <c r="L6" i="1"/>
  <c r="K6" i="1"/>
  <c r="J6" i="1"/>
  <c r="N7" i="1"/>
  <c r="L7" i="1"/>
  <c r="K7" i="1"/>
  <c r="J7" i="1"/>
  <c r="N11" i="1"/>
  <c r="L11" i="1"/>
  <c r="K11" i="1"/>
  <c r="J11" i="1"/>
  <c r="Q72" i="1" l="1"/>
  <c r="Q84" i="1"/>
  <c r="Q82" i="1"/>
  <c r="G13" i="5"/>
  <c r="G14" i="5"/>
  <c r="G19" i="5" l="1"/>
  <c r="L30" i="1"/>
  <c r="K30" i="1"/>
  <c r="J30" i="1"/>
  <c r="L37" i="1"/>
  <c r="K37" i="1"/>
  <c r="J37" i="1"/>
  <c r="L36" i="1"/>
  <c r="K36" i="1"/>
  <c r="J36" i="1"/>
  <c r="T18" i="5" l="1"/>
  <c r="U18" i="5" s="1"/>
  <c r="T9" i="5"/>
  <c r="U9" i="5" s="1"/>
  <c r="G49" i="5"/>
  <c r="T49" i="5" s="1"/>
  <c r="G48" i="5"/>
  <c r="T48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T24" i="5" s="1"/>
  <c r="U24" i="5" s="1"/>
  <c r="G23" i="5"/>
  <c r="G22" i="5"/>
  <c r="G21" i="5"/>
  <c r="G20" i="5"/>
  <c r="G17" i="5"/>
  <c r="G16" i="5"/>
  <c r="G15" i="5"/>
  <c r="L32" i="1"/>
  <c r="K32" i="1"/>
  <c r="J32" i="1"/>
  <c r="L33" i="1"/>
  <c r="K33" i="1"/>
  <c r="J33" i="1"/>
  <c r="P24" i="1"/>
  <c r="L24" i="1"/>
  <c r="K24" i="1"/>
  <c r="J24" i="1"/>
  <c r="G11" i="5"/>
  <c r="P20" i="1"/>
  <c r="L20" i="1"/>
  <c r="K20" i="1"/>
  <c r="J20" i="1"/>
  <c r="P15" i="1"/>
  <c r="L15" i="1"/>
  <c r="K15" i="1"/>
  <c r="J15" i="1"/>
  <c r="P14" i="1"/>
  <c r="L14" i="1"/>
  <c r="K14" i="1"/>
  <c r="J14" i="1"/>
  <c r="G10" i="5"/>
  <c r="G8" i="5"/>
  <c r="T8" i="5" s="1"/>
  <c r="G3" i="5"/>
  <c r="T20" i="5" l="1"/>
  <c r="U20" i="5" s="1"/>
  <c r="U48" i="5"/>
  <c r="T44" i="5"/>
  <c r="U44" i="5" s="1"/>
  <c r="T32" i="5"/>
  <c r="U32" i="5" s="1"/>
  <c r="T40" i="5"/>
  <c r="U40" i="5" s="1"/>
  <c r="T28" i="5"/>
  <c r="U28" i="5" s="1"/>
  <c r="T36" i="5"/>
  <c r="U36" i="5" s="1"/>
  <c r="T16" i="5"/>
  <c r="U16" i="5" s="1"/>
  <c r="T12" i="5"/>
  <c r="U12" i="5" s="1"/>
  <c r="T15" i="5"/>
  <c r="U15" i="5" s="1"/>
  <c r="T22" i="5"/>
  <c r="U22" i="5" s="1"/>
  <c r="T26" i="5"/>
  <c r="U26" i="5" s="1"/>
  <c r="T30" i="5"/>
  <c r="U30" i="5" s="1"/>
  <c r="T34" i="5"/>
  <c r="U34" i="5" s="1"/>
  <c r="T38" i="5"/>
  <c r="U38" i="5" s="1"/>
  <c r="T42" i="5"/>
  <c r="U42" i="5" s="1"/>
  <c r="T46" i="5"/>
  <c r="U46" i="5" s="1"/>
  <c r="T19" i="5"/>
  <c r="U19" i="5" s="1"/>
  <c r="T23" i="5"/>
  <c r="U23" i="5" s="1"/>
  <c r="T27" i="5"/>
  <c r="U27" i="5" s="1"/>
  <c r="T31" i="5"/>
  <c r="U31" i="5" s="1"/>
  <c r="T35" i="5"/>
  <c r="U35" i="5" s="1"/>
  <c r="T39" i="5"/>
  <c r="U39" i="5" s="1"/>
  <c r="T43" i="5"/>
  <c r="U43" i="5" s="1"/>
  <c r="T47" i="5"/>
  <c r="U47" i="5" s="1"/>
  <c r="T11" i="5"/>
  <c r="U11" i="5" s="1"/>
  <c r="T13" i="5"/>
  <c r="U13" i="5" s="1"/>
  <c r="T14" i="5"/>
  <c r="U14" i="5" s="1"/>
  <c r="T17" i="5"/>
  <c r="U17" i="5" s="1"/>
  <c r="T10" i="5"/>
  <c r="U10" i="5" s="1"/>
  <c r="T21" i="5"/>
  <c r="U21" i="5" s="1"/>
  <c r="T25" i="5"/>
  <c r="U25" i="5" s="1"/>
  <c r="T29" i="5"/>
  <c r="U29" i="5" s="1"/>
  <c r="T33" i="5"/>
  <c r="U33" i="5" s="1"/>
  <c r="T37" i="5"/>
  <c r="U37" i="5" s="1"/>
  <c r="T41" i="5"/>
  <c r="U41" i="5" s="1"/>
  <c r="T45" i="5"/>
  <c r="U45" i="5" s="1"/>
  <c r="U49" i="5"/>
  <c r="U8" i="5"/>
  <c r="T3" i="5"/>
  <c r="U3" i="5" s="1"/>
  <c r="L22" i="1" l="1"/>
  <c r="K22" i="1"/>
  <c r="J22" i="1"/>
  <c r="L16" i="1"/>
  <c r="K16" i="1"/>
  <c r="J16" i="1"/>
  <c r="L27" i="1"/>
  <c r="K27" i="1"/>
  <c r="J27" i="1"/>
  <c r="L29" i="1"/>
  <c r="K29" i="1"/>
  <c r="J29" i="1"/>
  <c r="L34" i="1"/>
  <c r="K34" i="1"/>
  <c r="J34" i="1"/>
  <c r="L35" i="1"/>
  <c r="K35" i="1"/>
  <c r="J35" i="1"/>
  <c r="L26" i="1"/>
  <c r="K26" i="1"/>
  <c r="J26" i="1"/>
  <c r="L25" i="1"/>
  <c r="K25" i="1"/>
  <c r="J25" i="1"/>
  <c r="L17" i="1"/>
  <c r="K17" i="1"/>
  <c r="J17" i="1"/>
  <c r="L19" i="1"/>
  <c r="K19" i="1"/>
  <c r="J19" i="1"/>
  <c r="L21" i="1"/>
  <c r="K21" i="1"/>
  <c r="J21" i="1"/>
  <c r="L18" i="1"/>
  <c r="K18" i="1"/>
  <c r="J18" i="1"/>
  <c r="L23" i="1"/>
  <c r="K23" i="1"/>
  <c r="J23" i="1"/>
  <c r="L3" i="1" l="1"/>
  <c r="K3" i="1"/>
  <c r="G7" i="4"/>
  <c r="T3" i="1" l="1"/>
  <c r="G2" i="1"/>
  <c r="G8" i="4"/>
  <c r="G10" i="4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Q39" i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Q24" i="1"/>
  <c r="P23" i="1"/>
  <c r="Q23" i="1" s="1"/>
  <c r="P22" i="1"/>
  <c r="Q22" i="1" s="1"/>
  <c r="P21" i="1"/>
  <c r="Q21" i="1" s="1"/>
  <c r="Q20" i="1"/>
  <c r="P19" i="1"/>
  <c r="Q19" i="1" s="1"/>
  <c r="P18" i="1"/>
  <c r="Q18" i="1" s="1"/>
  <c r="P17" i="1"/>
  <c r="Q17" i="1" s="1"/>
  <c r="P16" i="1"/>
  <c r="Q16" i="1" s="1"/>
  <c r="Q15" i="1"/>
  <c r="Q14" i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U3" i="1" l="1"/>
  <c r="U4" i="1" s="1"/>
  <c r="P6" i="1"/>
  <c r="P3" i="1" s="1"/>
  <c r="Q6" i="1" l="1"/>
  <c r="Q3" i="1" s="1"/>
  <c r="U5" i="1" s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H17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Suspance Entry
10575</t>
        </r>
      </text>
    </comment>
    <comment ref="J27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110935 Suspance entry </t>
        </r>
      </text>
    </comment>
    <comment ref="J293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109336 Wrong reel no
Suspance Entry</t>
        </r>
      </text>
    </comment>
    <comment ref="J314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105550</t>
        </r>
      </text>
    </comment>
    <comment ref="J315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105572</t>
        </r>
      </text>
    </comment>
    <comment ref="J316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105690</t>
        </r>
      </text>
    </comment>
    <comment ref="J37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Suspance entry 110783
</t>
        </r>
      </text>
    </comment>
    <comment ref="J372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110792 suspance Entry</t>
        </r>
      </text>
    </comment>
  </commentList>
</comments>
</file>

<file path=xl/sharedStrings.xml><?xml version="1.0" encoding="utf-8"?>
<sst xmlns="http://schemas.openxmlformats.org/spreadsheetml/2006/main" count="1806" uniqueCount="92">
  <si>
    <t>Date</t>
  </si>
  <si>
    <t>Paper Make</t>
  </si>
  <si>
    <t>Reel Size</t>
  </si>
  <si>
    <t>Qty</t>
  </si>
  <si>
    <t>Weight</t>
  </si>
  <si>
    <t>Reel no</t>
  </si>
  <si>
    <t>Recipet</t>
  </si>
  <si>
    <t>Issue</t>
  </si>
  <si>
    <t>Gsm</t>
  </si>
  <si>
    <t>Rulling</t>
  </si>
  <si>
    <t>Balance</t>
  </si>
  <si>
    <t>Reel</t>
  </si>
  <si>
    <t>Machine</t>
  </si>
  <si>
    <t>Production</t>
  </si>
  <si>
    <t>Cutof</t>
  </si>
  <si>
    <t>Sheet weight</t>
  </si>
  <si>
    <t>Diff</t>
  </si>
  <si>
    <t>Job Performance</t>
  </si>
  <si>
    <t>Anand Graphika</t>
  </si>
  <si>
    <t>Cut off</t>
  </si>
  <si>
    <t>sheets</t>
  </si>
  <si>
    <t>Ups</t>
  </si>
  <si>
    <t>Total Consume</t>
  </si>
  <si>
    <t>Paper Weight</t>
  </si>
  <si>
    <t>Cover Weight</t>
  </si>
  <si>
    <t>Pages Calculation from book weight</t>
  </si>
  <si>
    <t>Req weight</t>
  </si>
  <si>
    <t>Single line</t>
  </si>
  <si>
    <t>English</t>
  </si>
  <si>
    <t xml:space="preserve">Auto </t>
  </si>
  <si>
    <t>Lino</t>
  </si>
  <si>
    <t>Trident</t>
  </si>
  <si>
    <t>Rulling type</t>
  </si>
  <si>
    <t>Index</t>
  </si>
  <si>
    <t>Proprint</t>
  </si>
  <si>
    <t>India World</t>
  </si>
  <si>
    <t>Hindi /E.leaf</t>
  </si>
  <si>
    <t>Anand</t>
  </si>
  <si>
    <t>Gold</t>
  </si>
  <si>
    <t xml:space="preserve">English </t>
  </si>
  <si>
    <t>2 in 1</t>
  </si>
  <si>
    <t>.5" Squire</t>
  </si>
  <si>
    <t>Century</t>
  </si>
  <si>
    <t>Emami</t>
  </si>
  <si>
    <t>Plain</t>
  </si>
  <si>
    <t>K R</t>
  </si>
  <si>
    <t>Lipi</t>
  </si>
  <si>
    <t>.5"</t>
  </si>
  <si>
    <t>English/E.Leaf</t>
  </si>
  <si>
    <t>10 mm</t>
  </si>
  <si>
    <t>Five Line</t>
  </si>
  <si>
    <t>Khanna</t>
  </si>
  <si>
    <t>Quantom</t>
  </si>
  <si>
    <t>Science</t>
  </si>
  <si>
    <t>Reems</t>
  </si>
  <si>
    <t>Index 3 In 1</t>
  </si>
  <si>
    <t>Index 3 in 1</t>
  </si>
  <si>
    <t>Proprint Premium</t>
  </si>
  <si>
    <t>Paper Description</t>
  </si>
  <si>
    <t>Hindi/E.Leaf</t>
  </si>
  <si>
    <t>10 mm Squire</t>
  </si>
  <si>
    <t>.5"Squire</t>
  </si>
  <si>
    <t>KR</t>
  </si>
  <si>
    <t>20 mm Squire</t>
  </si>
  <si>
    <t>INDEX</t>
  </si>
  <si>
    <t>Plane</t>
  </si>
  <si>
    <t>Ree</t>
  </si>
  <si>
    <t>Total</t>
  </si>
  <si>
    <t>Copy Line</t>
  </si>
  <si>
    <t>H Enterrleaf</t>
  </si>
  <si>
    <t>10 MM</t>
  </si>
  <si>
    <t>Copy line</t>
  </si>
  <si>
    <t>Trident Super Line</t>
  </si>
  <si>
    <t>Mrp</t>
  </si>
  <si>
    <t>90-100</t>
  </si>
  <si>
    <t>Sale</t>
  </si>
  <si>
    <t>A4</t>
  </si>
  <si>
    <t>Convent</t>
  </si>
  <si>
    <t>Double Line</t>
  </si>
  <si>
    <t>Hindi /G</t>
  </si>
  <si>
    <t>English/G</t>
  </si>
  <si>
    <t>Hindi/G</t>
  </si>
  <si>
    <t>Graph</t>
  </si>
  <si>
    <t>No Of reels</t>
  </si>
  <si>
    <t>23-24 May</t>
  </si>
  <si>
    <t>26 -27 May</t>
  </si>
  <si>
    <t>TOTAL</t>
  </si>
  <si>
    <t xml:space="preserve"> </t>
  </si>
  <si>
    <t>Unrulled</t>
  </si>
  <si>
    <t>index</t>
  </si>
  <si>
    <t>31-MAY,1 June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</si>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</sst>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1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3" fillId="0" borderId="2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0" borderId="4" xfId="0" applyNumberFormat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3" fillId="3" borderId="2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6" fontId="3" fillId="3" borderId="2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</cellXfs>
  <cellStyles count="2">
    <cellStyle name="Comma 2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9"/>
  <sheetViews>
    <sheetView workbookViewId="0">
      <selection activeCell="E18" sqref="E18"/>
    </sheetView>
  </sheetViews>
  <sheetFormatPr defaultRowHeight="15" x14ac:dyDescent="0.25"/>
  <cols>
    <col min="1" max="1" width="13.7109375" style="1" customWidth="1"/>
    <col min="2" max="16384" width="9.140625" style="1"/>
  </cols>
  <sheetData>
    <row r="2" spans="1:18" x14ac:dyDescent="0.25">
      <c r="A2" s="4" t="s">
        <v>0</v>
      </c>
      <c r="B2" s="4" t="s">
        <v>4</v>
      </c>
      <c r="Q2" s="1" t="s">
        <v>73</v>
      </c>
      <c r="R2" s="1" t="s">
        <v>75</v>
      </c>
    </row>
    <row r="3" spans="1:18" x14ac:dyDescent="0.25">
      <c r="A3" s="3">
        <v>45067</v>
      </c>
      <c r="B3" s="8">
        <v>7.85</v>
      </c>
      <c r="P3" s="1" t="s">
        <v>76</v>
      </c>
      <c r="Q3" s="1">
        <v>32</v>
      </c>
      <c r="R3" s="1">
        <v>20</v>
      </c>
    </row>
    <row r="4" spans="1:18" x14ac:dyDescent="0.25">
      <c r="A4" s="3" t="s">
        <v>84</v>
      </c>
      <c r="B4" s="8">
        <v>35</v>
      </c>
      <c r="Q4" s="1">
        <v>50</v>
      </c>
      <c r="R4" s="1">
        <v>30</v>
      </c>
    </row>
    <row r="5" spans="1:18" x14ac:dyDescent="0.25">
      <c r="A5" s="3">
        <v>45071</v>
      </c>
      <c r="B5" s="8">
        <v>29</v>
      </c>
      <c r="Q5" s="1">
        <v>66</v>
      </c>
      <c r="R5" s="1">
        <v>40</v>
      </c>
    </row>
    <row r="6" spans="1:18" x14ac:dyDescent="0.25">
      <c r="A6" s="2" t="s">
        <v>85</v>
      </c>
      <c r="B6" s="8">
        <v>64</v>
      </c>
      <c r="Q6" s="1">
        <v>84</v>
      </c>
      <c r="R6" s="1">
        <v>50</v>
      </c>
    </row>
    <row r="7" spans="1:18" x14ac:dyDescent="0.25">
      <c r="A7" s="3">
        <v>45074</v>
      </c>
      <c r="B7" s="8">
        <v>47.5</v>
      </c>
      <c r="Q7" s="1">
        <v>104</v>
      </c>
      <c r="R7" s="1">
        <v>60</v>
      </c>
    </row>
    <row r="8" spans="1:18" x14ac:dyDescent="0.25">
      <c r="A8" s="3">
        <v>45076</v>
      </c>
      <c r="B8" s="8">
        <v>9.4</v>
      </c>
      <c r="Q8" s="1">
        <v>124</v>
      </c>
      <c r="R8" s="1">
        <v>70</v>
      </c>
    </row>
    <row r="9" spans="1:18" x14ac:dyDescent="0.25">
      <c r="A9" s="2" t="s">
        <v>90</v>
      </c>
      <c r="B9" s="8">
        <v>17</v>
      </c>
      <c r="Q9" s="1">
        <v>160</v>
      </c>
      <c r="R9" s="1" t="s">
        <v>74</v>
      </c>
    </row>
    <row r="10" spans="1:18" x14ac:dyDescent="0.25">
      <c r="A10" s="2"/>
      <c r="B10" s="8"/>
      <c r="Q10" s="1">
        <v>200</v>
      </c>
      <c r="R10" s="1">
        <v>120</v>
      </c>
    </row>
    <row r="11" spans="1:18" x14ac:dyDescent="0.25">
      <c r="A11" s="2"/>
      <c r="B11" s="8"/>
      <c r="P11" s="1" t="s">
        <v>77</v>
      </c>
      <c r="Q11" s="1">
        <v>16</v>
      </c>
      <c r="R11" s="1">
        <v>10</v>
      </c>
    </row>
    <row r="12" spans="1:18" x14ac:dyDescent="0.25">
      <c r="A12" s="2"/>
      <c r="B12" s="8"/>
      <c r="Q12" s="1">
        <v>24</v>
      </c>
      <c r="R12" s="1">
        <v>15</v>
      </c>
    </row>
    <row r="13" spans="1:18" x14ac:dyDescent="0.25">
      <c r="A13" s="2"/>
      <c r="B13" s="8"/>
    </row>
    <row r="14" spans="1:18" x14ac:dyDescent="0.25">
      <c r="A14" s="2"/>
      <c r="B14" s="8"/>
    </row>
    <row r="15" spans="1:18" x14ac:dyDescent="0.25">
      <c r="A15" s="2"/>
      <c r="B15" s="8"/>
    </row>
    <row r="16" spans="1:18" x14ac:dyDescent="0.25">
      <c r="A16" s="2"/>
      <c r="B16" s="8"/>
    </row>
    <row r="17" spans="1:2" x14ac:dyDescent="0.25">
      <c r="A17" s="2"/>
      <c r="B17" s="8"/>
    </row>
    <row r="18" spans="1:2" x14ac:dyDescent="0.25">
      <c r="A18" s="2"/>
      <c r="B18" s="8"/>
    </row>
    <row r="19" spans="1:2" x14ac:dyDescent="0.25">
      <c r="A19" s="4" t="s">
        <v>86</v>
      </c>
      <c r="B19" s="4">
        <f>SUM(B3:B18)</f>
        <v>209.75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15"/>
  <sheetViews>
    <sheetView workbookViewId="0">
      <selection activeCell="I9" sqref="I9"/>
    </sheetView>
  </sheetViews>
  <sheetFormatPr defaultRowHeight="15" x14ac:dyDescent="0.25"/>
  <cols>
    <col min="1" max="1" width="16.85546875" bestFit="1" customWidth="1"/>
    <col min="6" max="6" width="13" customWidth="1"/>
    <col min="7" max="7" width="12" bestFit="1" customWidth="1"/>
    <col min="19" max="19" width="14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30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42</v>
      </c>
      <c r="B3" s="2">
        <v>86</v>
      </c>
      <c r="C3" s="2">
        <v>42</v>
      </c>
      <c r="D3" s="2">
        <v>54</v>
      </c>
      <c r="E3" s="2">
        <v>3</v>
      </c>
      <c r="F3" s="2" t="s">
        <v>27</v>
      </c>
      <c r="G3" s="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0</v>
      </c>
      <c r="T3" s="2">
        <f>+G3-S3</f>
        <v>0</v>
      </c>
      <c r="U3" s="17">
        <f t="shared" ref="U3:U14" si="0">+T3/500</f>
        <v>0</v>
      </c>
    </row>
    <row r="4" spans="1:21" x14ac:dyDescent="0.25">
      <c r="A4" s="2" t="s">
        <v>42</v>
      </c>
      <c r="B4" s="2">
        <v>86</v>
      </c>
      <c r="C4" s="2">
        <v>42</v>
      </c>
      <c r="D4" s="2">
        <v>54</v>
      </c>
      <c r="E4" s="2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ref="T4:T5" si="1">+G4-S4</f>
        <v>0</v>
      </c>
      <c r="U4" s="17">
        <f t="shared" si="0"/>
        <v>0</v>
      </c>
    </row>
    <row r="5" spans="1:21" x14ac:dyDescent="0.25">
      <c r="A5" s="2" t="s">
        <v>42</v>
      </c>
      <c r="B5" s="2">
        <v>86</v>
      </c>
      <c r="C5" s="2">
        <v>42</v>
      </c>
      <c r="D5" s="2">
        <v>64</v>
      </c>
      <c r="E5" s="2">
        <v>3</v>
      </c>
      <c r="F5" s="2" t="s">
        <v>33</v>
      </c>
      <c r="G5" s="2"/>
      <c r="H5" s="2">
        <f>+H4+H3</f>
        <v>0</v>
      </c>
      <c r="I5" s="2">
        <f>+I4+I3</f>
        <v>0</v>
      </c>
      <c r="J5" s="2">
        <f t="shared" ref="J5:R5" si="2">+J4+J3</f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3">
        <f>(H5+I5+J5+K5+L5+M5+N5+O5+P5+Q5+R5)/E5</f>
        <v>0</v>
      </c>
      <c r="T5" s="2">
        <f t="shared" si="1"/>
        <v>0</v>
      </c>
      <c r="U5" s="17">
        <f t="shared" si="0"/>
        <v>0</v>
      </c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7"/>
    </row>
    <row r="7" spans="1:21" x14ac:dyDescent="0.25">
      <c r="A7" s="4" t="s">
        <v>58</v>
      </c>
      <c r="B7" s="4" t="s">
        <v>2</v>
      </c>
      <c r="C7" s="4" t="s">
        <v>19</v>
      </c>
      <c r="D7" s="4" t="s">
        <v>8</v>
      </c>
      <c r="E7" s="4" t="s">
        <v>21</v>
      </c>
      <c r="F7" s="4" t="s">
        <v>32</v>
      </c>
      <c r="G7" s="4" t="s">
        <v>20</v>
      </c>
      <c r="H7" s="16">
        <v>55</v>
      </c>
      <c r="I7" s="4">
        <v>41</v>
      </c>
      <c r="J7" s="4">
        <v>28</v>
      </c>
      <c r="K7" s="4">
        <v>29</v>
      </c>
      <c r="L7" s="4">
        <v>40</v>
      </c>
      <c r="M7" s="4">
        <v>224</v>
      </c>
      <c r="N7" s="4">
        <v>8.5</v>
      </c>
      <c r="O7" s="4">
        <v>260</v>
      </c>
      <c r="P7" s="4">
        <v>292</v>
      </c>
      <c r="Q7" s="4">
        <v>324</v>
      </c>
      <c r="R7" s="4">
        <v>20</v>
      </c>
      <c r="S7" s="4" t="s">
        <v>22</v>
      </c>
      <c r="T7" s="4" t="s">
        <v>10</v>
      </c>
      <c r="U7" s="4" t="s">
        <v>54</v>
      </c>
    </row>
    <row r="8" spans="1:21" x14ac:dyDescent="0.25">
      <c r="A8" s="2" t="s">
        <v>37</v>
      </c>
      <c r="B8" s="2">
        <v>86</v>
      </c>
      <c r="C8" s="2">
        <v>42</v>
      </c>
      <c r="D8" s="2">
        <v>54</v>
      </c>
      <c r="E8" s="2">
        <v>3</v>
      </c>
      <c r="F8" s="2" t="s">
        <v>27</v>
      </c>
      <c r="G8" s="2">
        <f>174806+73193+192384+85166</f>
        <v>525549</v>
      </c>
      <c r="H8" s="2">
        <v>5909</v>
      </c>
      <c r="I8" s="2">
        <v>7003</v>
      </c>
      <c r="J8" s="2"/>
      <c r="K8" s="2"/>
      <c r="L8" s="2"/>
      <c r="M8" s="2"/>
      <c r="N8" s="2"/>
      <c r="O8" s="2"/>
      <c r="P8" s="2"/>
      <c r="Q8" s="2"/>
      <c r="R8" s="2"/>
      <c r="S8" s="2">
        <f>(H8*H7+I8*I7+J8*J7+K8*K7+L8*L7+M8*M7+N8*N7+O8*O7+P8*P7+Q8*Q7+R8*R7)/E8</f>
        <v>204039.33333333334</v>
      </c>
      <c r="T8" s="2">
        <f>+G8-S8</f>
        <v>321509.66666666663</v>
      </c>
      <c r="U8" s="17">
        <f t="shared" si="0"/>
        <v>643.01933333333329</v>
      </c>
    </row>
    <row r="9" spans="1:21" x14ac:dyDescent="0.25">
      <c r="A9" s="2" t="s">
        <v>37</v>
      </c>
      <c r="B9" s="2">
        <v>86</v>
      </c>
      <c r="C9" s="2">
        <v>42</v>
      </c>
      <c r="D9" s="2">
        <v>54</v>
      </c>
      <c r="E9" s="2">
        <v>3</v>
      </c>
      <c r="F9" s="2" t="s">
        <v>79</v>
      </c>
      <c r="G9" s="2">
        <f>22153+71208</f>
        <v>93361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>(H9*H7+I9*I7+J9*J7+K9*K7+L9*L7+M9*M7+N9*N7+O9*O7+P9*P7+Q9*Q7+R9*R7)/E9</f>
        <v>0</v>
      </c>
      <c r="T9" s="2">
        <f t="shared" ref="T9:T10" si="3">+G9-S9</f>
        <v>93361</v>
      </c>
      <c r="U9" s="17">
        <f t="shared" si="0"/>
        <v>186.72200000000001</v>
      </c>
    </row>
    <row r="10" spans="1:21" x14ac:dyDescent="0.25">
      <c r="A10" s="2" t="s">
        <v>37</v>
      </c>
      <c r="B10" s="2">
        <v>86</v>
      </c>
      <c r="C10" s="2">
        <v>42</v>
      </c>
      <c r="D10" s="2">
        <v>64</v>
      </c>
      <c r="E10" s="2">
        <v>3</v>
      </c>
      <c r="F10" s="2" t="s">
        <v>33</v>
      </c>
      <c r="G10" s="2">
        <v>75591</v>
      </c>
      <c r="H10" s="2">
        <f>+H9+H8</f>
        <v>5909</v>
      </c>
      <c r="I10" s="2">
        <f>+I9+I8</f>
        <v>7003</v>
      </c>
      <c r="J10" s="2">
        <f t="shared" ref="J10" si="4">+J9+J8</f>
        <v>0</v>
      </c>
      <c r="K10" s="2">
        <f t="shared" ref="K10" si="5">+K9+K8</f>
        <v>0</v>
      </c>
      <c r="L10" s="2">
        <f t="shared" ref="L10" si="6">+L9+L8</f>
        <v>0</v>
      </c>
      <c r="M10" s="2">
        <f t="shared" ref="M10" si="7">+M9+M8</f>
        <v>0</v>
      </c>
      <c r="N10" s="2">
        <f t="shared" ref="N10" si="8">+N9+N8</f>
        <v>0</v>
      </c>
      <c r="O10" s="2">
        <f t="shared" ref="O10" si="9">+O9+O8</f>
        <v>0</v>
      </c>
      <c r="P10" s="2">
        <f t="shared" ref="P10" si="10">+P9+P8</f>
        <v>0</v>
      </c>
      <c r="Q10" s="2">
        <f t="shared" ref="Q10" si="11">+Q9+Q8</f>
        <v>0</v>
      </c>
      <c r="R10" s="2">
        <f t="shared" ref="R10" si="12">+R9+R8</f>
        <v>0</v>
      </c>
      <c r="S10" s="23">
        <f>(H10+I10+J10+K10+L10+M10+N10+O10+P10+Q10+R10)/E10</f>
        <v>4304</v>
      </c>
      <c r="T10" s="2">
        <f t="shared" si="3"/>
        <v>71287</v>
      </c>
      <c r="U10" s="17">
        <f t="shared" ref="U10" si="13">+T10/500</f>
        <v>142.57400000000001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7"/>
    </row>
    <row r="12" spans="1:21" x14ac:dyDescent="0.25">
      <c r="A12" s="4" t="s">
        <v>58</v>
      </c>
      <c r="B12" s="4" t="s">
        <v>2</v>
      </c>
      <c r="C12" s="4" t="s">
        <v>19</v>
      </c>
      <c r="D12" s="4" t="s">
        <v>8</v>
      </c>
      <c r="E12" s="4" t="s">
        <v>21</v>
      </c>
      <c r="F12" s="4" t="s">
        <v>32</v>
      </c>
      <c r="G12" s="4" t="s">
        <v>20</v>
      </c>
      <c r="H12" s="16">
        <v>17</v>
      </c>
      <c r="I12" s="16">
        <v>29</v>
      </c>
      <c r="J12" s="16">
        <v>39</v>
      </c>
      <c r="K12" s="16">
        <v>54</v>
      </c>
      <c r="L12" s="16">
        <v>32</v>
      </c>
      <c r="M12" s="16">
        <v>47</v>
      </c>
      <c r="N12" s="4">
        <v>8.5</v>
      </c>
      <c r="O12" s="4">
        <v>260</v>
      </c>
      <c r="P12" s="4">
        <v>292</v>
      </c>
      <c r="Q12" s="4">
        <v>324</v>
      </c>
      <c r="R12" s="4">
        <v>20</v>
      </c>
      <c r="S12" s="4" t="s">
        <v>22</v>
      </c>
      <c r="T12" s="4" t="s">
        <v>10</v>
      </c>
      <c r="U12" s="4" t="s">
        <v>54</v>
      </c>
    </row>
    <row r="13" spans="1:21" x14ac:dyDescent="0.25">
      <c r="A13" s="2" t="s">
        <v>34</v>
      </c>
      <c r="B13" s="2">
        <v>86</v>
      </c>
      <c r="C13" s="2">
        <v>42</v>
      </c>
      <c r="D13" s="2">
        <v>54</v>
      </c>
      <c r="E13" s="2">
        <v>3</v>
      </c>
      <c r="F13" s="2" t="s">
        <v>27</v>
      </c>
      <c r="G13" s="2">
        <f>+(320+120+45+116)*500+(22467+26482)+(21164+22316+21229)+192384+85166+260917+194205+64571+129381+190245+217279+85691+277644</f>
        <v>2111641</v>
      </c>
      <c r="H13" s="2">
        <v>4790</v>
      </c>
      <c r="I13" s="2">
        <v>16180</v>
      </c>
      <c r="J13" s="2">
        <v>8011</v>
      </c>
      <c r="K13" s="2">
        <v>8011</v>
      </c>
      <c r="L13" s="2">
        <v>2337</v>
      </c>
      <c r="M13" s="2">
        <v>2042</v>
      </c>
      <c r="N13" s="2"/>
      <c r="O13" s="2"/>
      <c r="P13" s="2"/>
      <c r="Q13" s="2"/>
      <c r="R13" s="2"/>
      <c r="S13" s="2">
        <f>(H13*H12+I13*I12+J13*J12+K13*K12+L13*L12+M13*M12+N13*N12+O13*O12+P13*P12+Q13*Q12+R13*R12)/E13</f>
        <v>488810.33333333331</v>
      </c>
      <c r="T13" s="2">
        <f>+G13-S13</f>
        <v>1622830.6666666667</v>
      </c>
      <c r="U13" s="17">
        <f t="shared" si="0"/>
        <v>3245.6613333333335</v>
      </c>
    </row>
    <row r="14" spans="1:21" x14ac:dyDescent="0.25">
      <c r="A14" s="2" t="s">
        <v>34</v>
      </c>
      <c r="B14" s="2">
        <v>86</v>
      </c>
      <c r="C14" s="2">
        <v>42</v>
      </c>
      <c r="D14" s="2">
        <v>54</v>
      </c>
      <c r="E14" s="2">
        <v>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>(H14*H12+I14*I12+J14*J12+K14*K12+L14*L12+M14*M12+N14*N12+O14*O12+P14*P12+Q14*Q12+R14*R12)/E14</f>
        <v>0</v>
      </c>
      <c r="T14" s="2">
        <f t="shared" ref="T14:T15" si="14">+G14-S14</f>
        <v>0</v>
      </c>
      <c r="U14" s="17">
        <f t="shared" si="0"/>
        <v>0</v>
      </c>
    </row>
    <row r="15" spans="1:21" x14ac:dyDescent="0.25">
      <c r="A15" s="2" t="s">
        <v>34</v>
      </c>
      <c r="B15" s="2">
        <v>86</v>
      </c>
      <c r="C15" s="2">
        <v>42</v>
      </c>
      <c r="D15" s="2">
        <v>64</v>
      </c>
      <c r="E15" s="2">
        <v>3</v>
      </c>
      <c r="F15" s="2" t="s">
        <v>33</v>
      </c>
      <c r="G15" s="2"/>
      <c r="H15" s="2">
        <f>+H14+H13</f>
        <v>4790</v>
      </c>
      <c r="I15" s="2">
        <f>+I14+I13</f>
        <v>16180</v>
      </c>
      <c r="J15" s="2">
        <f t="shared" ref="J15" si="15">+J14+J13</f>
        <v>8011</v>
      </c>
      <c r="K15" s="2">
        <f t="shared" ref="K15" si="16">+K14+K13</f>
        <v>8011</v>
      </c>
      <c r="L15" s="2">
        <f t="shared" ref="L15" si="17">+L14+L13</f>
        <v>2337</v>
      </c>
      <c r="M15" s="2">
        <f t="shared" ref="M15" si="18">+M14+M13</f>
        <v>2042</v>
      </c>
      <c r="N15" s="2">
        <f t="shared" ref="N15" si="19">+N14+N13</f>
        <v>0</v>
      </c>
      <c r="O15" s="2">
        <f t="shared" ref="O15" si="20">+O14+O13</f>
        <v>0</v>
      </c>
      <c r="P15" s="2">
        <f t="shared" ref="P15" si="21">+P14+P13</f>
        <v>0</v>
      </c>
      <c r="Q15" s="2">
        <f t="shared" ref="Q15" si="22">+Q14+Q13</f>
        <v>0</v>
      </c>
      <c r="R15" s="2">
        <f t="shared" ref="R15" si="23">+R14+R13</f>
        <v>0</v>
      </c>
      <c r="S15" s="23">
        <f>(H15+I15+J15+K15+L15+M15+N15+O15+P15+Q15+R15)/E15</f>
        <v>13790.333333333334</v>
      </c>
      <c r="T15" s="2">
        <f t="shared" si="14"/>
        <v>-13790.333333333334</v>
      </c>
      <c r="U15" s="17">
        <f t="shared" ref="U15" si="24">+T15/500</f>
        <v>-27.580666666666669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10"/>
  <sheetViews>
    <sheetView workbookViewId="0">
      <selection activeCell="L12" sqref="L12"/>
    </sheetView>
  </sheetViews>
  <sheetFormatPr defaultRowHeight="15" x14ac:dyDescent="0.25"/>
  <cols>
    <col min="1" max="1" width="14.42578125" customWidth="1"/>
    <col min="6" max="6" width="11.85546875" customWidth="1"/>
    <col min="19" max="19" width="14.28515625" bestFit="1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30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68</v>
      </c>
      <c r="B3" s="2">
        <v>84</v>
      </c>
      <c r="C3" s="2">
        <v>67</v>
      </c>
      <c r="D3" s="2">
        <v>50</v>
      </c>
      <c r="E3" s="2">
        <v>4</v>
      </c>
      <c r="F3" s="2" t="s">
        <v>27</v>
      </c>
      <c r="G3" s="2">
        <f>44*500</f>
        <v>22000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0</v>
      </c>
      <c r="T3" s="2">
        <f>+G3-S3</f>
        <v>22000</v>
      </c>
      <c r="U3" s="17">
        <f t="shared" ref="U3:U10" si="0">+T3/500</f>
        <v>44</v>
      </c>
    </row>
    <row r="4" spans="1:21" x14ac:dyDescent="0.25">
      <c r="A4" s="2" t="s">
        <v>68</v>
      </c>
      <c r="B4" s="2">
        <v>84</v>
      </c>
      <c r="C4" s="2">
        <v>67</v>
      </c>
      <c r="D4" s="2">
        <v>50</v>
      </c>
      <c r="E4" s="2">
        <v>4</v>
      </c>
      <c r="F4" s="2" t="s">
        <v>39</v>
      </c>
      <c r="G4" s="2">
        <f>60*500</f>
        <v>30000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ref="T4:T10" si="1">+G4-S4</f>
        <v>30000</v>
      </c>
      <c r="U4" s="17">
        <f t="shared" si="0"/>
        <v>60</v>
      </c>
    </row>
    <row r="5" spans="1:21" x14ac:dyDescent="0.25">
      <c r="A5" s="2" t="s">
        <v>68</v>
      </c>
      <c r="B5" s="2">
        <v>84</v>
      </c>
      <c r="C5" s="2">
        <v>67</v>
      </c>
      <c r="D5" s="2">
        <v>50</v>
      </c>
      <c r="E5" s="2">
        <v>4</v>
      </c>
      <c r="F5" s="2" t="s">
        <v>47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>(H5*H2+I5*I2+J5*J2+K5*K2+L5*L2+M5*M2+N5*N2+O5*O2+P5*P2+Q5*Q2+R5*R2)/E5</f>
        <v>0</v>
      </c>
      <c r="T5" s="2">
        <f t="shared" si="1"/>
        <v>0</v>
      </c>
      <c r="U5" s="17">
        <f t="shared" si="0"/>
        <v>0</v>
      </c>
    </row>
    <row r="6" spans="1:21" x14ac:dyDescent="0.25">
      <c r="A6" s="2" t="s">
        <v>68</v>
      </c>
      <c r="B6" s="2">
        <v>84</v>
      </c>
      <c r="C6" s="2">
        <v>67</v>
      </c>
      <c r="D6" s="2">
        <v>50</v>
      </c>
      <c r="E6" s="2">
        <v>4</v>
      </c>
      <c r="F6" s="2" t="s">
        <v>70</v>
      </c>
      <c r="G6" s="2">
        <f>35*500</f>
        <v>17500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(H6*H3+I6*I3+J6*J3+K6*K3+L6*L3+M6*M3+N6*N3+O6*O3+P6*P3+Q6*Q3+R6*R3)/E6</f>
        <v>0</v>
      </c>
      <c r="T6" s="2">
        <f t="shared" ref="T6" si="2">+G6-S6</f>
        <v>17500</v>
      </c>
      <c r="U6" s="17">
        <f t="shared" ref="U6" si="3">+T6/500</f>
        <v>35</v>
      </c>
    </row>
    <row r="7" spans="1:21" x14ac:dyDescent="0.25">
      <c r="A7" s="2" t="s">
        <v>68</v>
      </c>
      <c r="B7" s="2">
        <v>84</v>
      </c>
      <c r="C7" s="2">
        <v>67</v>
      </c>
      <c r="D7" s="2">
        <v>50</v>
      </c>
      <c r="E7" s="2">
        <v>4</v>
      </c>
      <c r="F7" s="2" t="s">
        <v>59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>(H7*H2+I7*I2+J7*J2+K7*K2+L7*L2+M7*M2+N7*N2+O7*O2+P7*P2+Q7*Q2+R7*R2)/E7</f>
        <v>0</v>
      </c>
      <c r="T7" s="2">
        <f t="shared" si="1"/>
        <v>0</v>
      </c>
      <c r="U7" s="17">
        <f t="shared" si="0"/>
        <v>0</v>
      </c>
    </row>
    <row r="8" spans="1:21" x14ac:dyDescent="0.25">
      <c r="A8" s="2" t="s">
        <v>68</v>
      </c>
      <c r="B8" s="2">
        <v>84</v>
      </c>
      <c r="C8" s="2">
        <v>67</v>
      </c>
      <c r="D8" s="2">
        <v>50</v>
      </c>
      <c r="E8" s="2">
        <v>4</v>
      </c>
      <c r="F8" s="19" t="s">
        <v>33</v>
      </c>
      <c r="G8" s="19"/>
      <c r="H8" s="19">
        <f>+H4+H5+H6+H7+H3</f>
        <v>0</v>
      </c>
      <c r="I8" s="19">
        <f t="shared" ref="I8:R8" si="4">+I4+I5+I6+I7+I3</f>
        <v>0</v>
      </c>
      <c r="J8" s="19">
        <f t="shared" si="4"/>
        <v>0</v>
      </c>
      <c r="K8" s="19">
        <f t="shared" si="4"/>
        <v>0</v>
      </c>
      <c r="L8" s="19">
        <f t="shared" si="4"/>
        <v>0</v>
      </c>
      <c r="M8" s="19">
        <f t="shared" si="4"/>
        <v>0</v>
      </c>
      <c r="N8" s="19">
        <f t="shared" si="4"/>
        <v>0</v>
      </c>
      <c r="O8" s="19">
        <f t="shared" si="4"/>
        <v>0</v>
      </c>
      <c r="P8" s="19">
        <f t="shared" si="4"/>
        <v>0</v>
      </c>
      <c r="Q8" s="19">
        <f t="shared" si="4"/>
        <v>0</v>
      </c>
      <c r="R8" s="19">
        <f t="shared" si="4"/>
        <v>0</v>
      </c>
      <c r="S8" s="19">
        <f>(H8+I8+J8+K8+L8+M8+N8+O8+P8+Q8+R8)/E8</f>
        <v>0</v>
      </c>
      <c r="T8" s="19">
        <f t="shared" si="1"/>
        <v>0</v>
      </c>
      <c r="U8" s="20">
        <f t="shared" si="0"/>
        <v>0</v>
      </c>
    </row>
    <row r="9" spans="1:21" x14ac:dyDescent="0.25">
      <c r="A9" s="2" t="s">
        <v>68</v>
      </c>
      <c r="B9" s="2">
        <v>84</v>
      </c>
      <c r="C9" s="2">
        <v>67</v>
      </c>
      <c r="D9" s="2">
        <v>50</v>
      </c>
      <c r="E9" s="2">
        <v>4</v>
      </c>
      <c r="F9" s="2" t="s">
        <v>40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>(H9*H2+I9*I2+J9*J2+K9*K2+L9*L2+M9*M2+N9*N2+O9*O2+P9*P2+Q9*Q2+R9*R2)/E9</f>
        <v>0</v>
      </c>
      <c r="T9" s="2">
        <f t="shared" si="1"/>
        <v>0</v>
      </c>
      <c r="U9" s="17">
        <f t="shared" si="0"/>
        <v>0</v>
      </c>
    </row>
    <row r="10" spans="1:21" x14ac:dyDescent="0.25">
      <c r="A10" s="2" t="s">
        <v>68</v>
      </c>
      <c r="B10" s="2">
        <v>84</v>
      </c>
      <c r="C10" s="2">
        <v>67</v>
      </c>
      <c r="D10" s="2">
        <v>50</v>
      </c>
      <c r="E10" s="2">
        <v>4</v>
      </c>
      <c r="F10" s="19" t="s">
        <v>56</v>
      </c>
      <c r="G10" s="19"/>
      <c r="H10" s="19">
        <f>+H9</f>
        <v>0</v>
      </c>
      <c r="I10" s="19">
        <f t="shared" ref="I10:R10" si="5">+I9</f>
        <v>0</v>
      </c>
      <c r="J10" s="19">
        <f t="shared" si="5"/>
        <v>0</v>
      </c>
      <c r="K10" s="19">
        <f t="shared" si="5"/>
        <v>0</v>
      </c>
      <c r="L10" s="19">
        <f t="shared" si="5"/>
        <v>0</v>
      </c>
      <c r="M10" s="19">
        <f t="shared" si="5"/>
        <v>0</v>
      </c>
      <c r="N10" s="19">
        <f t="shared" si="5"/>
        <v>0</v>
      </c>
      <c r="O10" s="19">
        <f t="shared" si="5"/>
        <v>0</v>
      </c>
      <c r="P10" s="19">
        <f t="shared" si="5"/>
        <v>0</v>
      </c>
      <c r="Q10" s="19">
        <f t="shared" si="5"/>
        <v>0</v>
      </c>
      <c r="R10" s="19">
        <f t="shared" si="5"/>
        <v>0</v>
      </c>
      <c r="S10" s="19">
        <f>(H10+I10+J10+K10+L10+M10+N10+O10+P10+Q10+R10)/E10</f>
        <v>0</v>
      </c>
      <c r="T10" s="19">
        <f t="shared" si="1"/>
        <v>0</v>
      </c>
      <c r="U10" s="20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22"/>
  <sheetViews>
    <sheetView topLeftCell="A4" workbookViewId="0">
      <selection activeCell="N21" sqref="N21"/>
    </sheetView>
  </sheetViews>
  <sheetFormatPr defaultRowHeight="15" x14ac:dyDescent="0.25"/>
  <cols>
    <col min="1" max="1" width="18.7109375" customWidth="1"/>
    <col min="5" max="5" width="10.28515625" customWidth="1"/>
    <col min="6" max="6" width="13.140625" customWidth="1"/>
    <col min="19" max="19" width="11.7109375" customWidth="1"/>
  </cols>
  <sheetData>
    <row r="3" spans="1:21" x14ac:dyDescent="0.25">
      <c r="A3" s="4" t="s">
        <v>58</v>
      </c>
      <c r="B3" s="4" t="s">
        <v>2</v>
      </c>
      <c r="C3" s="4" t="s">
        <v>19</v>
      </c>
      <c r="D3" s="4" t="s">
        <v>8</v>
      </c>
      <c r="E3" s="4" t="s">
        <v>21</v>
      </c>
      <c r="F3" s="4" t="s">
        <v>32</v>
      </c>
      <c r="G3" s="4" t="s">
        <v>20</v>
      </c>
      <c r="H3" s="16">
        <v>29</v>
      </c>
      <c r="I3" s="16">
        <v>40</v>
      </c>
      <c r="J3" s="16">
        <v>28</v>
      </c>
      <c r="K3" s="4"/>
      <c r="L3" s="4"/>
      <c r="M3" s="4"/>
      <c r="N3" s="4"/>
      <c r="O3" s="4"/>
      <c r="P3" s="4"/>
      <c r="Q3" s="4"/>
      <c r="R3" s="4"/>
      <c r="S3" s="4" t="s">
        <v>22</v>
      </c>
      <c r="T3" s="4" t="s">
        <v>10</v>
      </c>
      <c r="U3" s="4" t="s">
        <v>54</v>
      </c>
    </row>
    <row r="4" spans="1:21" x14ac:dyDescent="0.25">
      <c r="A4" s="2" t="s">
        <v>37</v>
      </c>
      <c r="B4" s="2">
        <v>80</v>
      </c>
      <c r="C4" s="2">
        <v>34.5</v>
      </c>
      <c r="D4" s="2">
        <v>54</v>
      </c>
      <c r="E4" s="2">
        <v>3</v>
      </c>
      <c r="F4" s="2" t="s">
        <v>27</v>
      </c>
      <c r="G4" s="2">
        <v>176034</v>
      </c>
      <c r="H4" s="22">
        <v>7977</v>
      </c>
      <c r="I4" s="22">
        <v>6013</v>
      </c>
      <c r="J4" s="22">
        <v>1545</v>
      </c>
      <c r="K4" s="22"/>
      <c r="L4" s="22"/>
      <c r="M4" s="22"/>
      <c r="N4" s="22"/>
      <c r="O4" s="22"/>
      <c r="P4" s="22"/>
      <c r="Q4" s="22"/>
      <c r="R4" s="22"/>
      <c r="S4" s="2">
        <f>(H4*H3+I4*I3+J4*J3+K4*K3+L4*L3+M4*M3+N4*N3+O4*O3+P4*P3+Q4*Q3+R4*R3)/E4</f>
        <v>171704.33333333334</v>
      </c>
      <c r="T4" s="2">
        <f>+G4-S4</f>
        <v>4329.666666666657</v>
      </c>
      <c r="U4" s="17">
        <f t="shared" ref="U4:U22" si="0">+T4/500</f>
        <v>8.6593333333333131</v>
      </c>
    </row>
    <row r="5" spans="1:21" x14ac:dyDescent="0.25">
      <c r="A5" s="2" t="s">
        <v>37</v>
      </c>
      <c r="B5" s="2">
        <v>80</v>
      </c>
      <c r="C5" s="2">
        <v>34.5</v>
      </c>
      <c r="D5" s="2">
        <v>54</v>
      </c>
      <c r="E5" s="2">
        <v>3</v>
      </c>
      <c r="F5" s="2" t="s">
        <v>65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>(H5*H3+I5*I3+J5*J3+K5*K3+L5*L3+M5*M3+N5*N3+O5*O3+P5*P3+Q5*Q3+R5*R3)/E5</f>
        <v>0</v>
      </c>
      <c r="T5" s="2">
        <f t="shared" ref="T5:T6" si="1">+G5-S5</f>
        <v>0</v>
      </c>
      <c r="U5" s="17">
        <f t="shared" si="0"/>
        <v>0</v>
      </c>
    </row>
    <row r="6" spans="1:21" x14ac:dyDescent="0.25">
      <c r="A6" s="2" t="s">
        <v>37</v>
      </c>
      <c r="B6" s="2">
        <v>80</v>
      </c>
      <c r="C6" s="2">
        <v>34.5</v>
      </c>
      <c r="D6" s="2">
        <v>64</v>
      </c>
      <c r="E6" s="2">
        <v>3</v>
      </c>
      <c r="F6" s="2" t="s">
        <v>47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(H6*H3+I6*I3+J6*J3+K6*K3+L6*L3+M6*M3+N6*N3+O6*O3+P6*P3+Q6*Q3+R6*R3)/E6</f>
        <v>0</v>
      </c>
      <c r="T6" s="2">
        <f t="shared" si="1"/>
        <v>0</v>
      </c>
      <c r="U6" s="17">
        <f t="shared" si="0"/>
        <v>0</v>
      </c>
    </row>
    <row r="7" spans="1:21" x14ac:dyDescent="0.25">
      <c r="A7" s="2" t="s">
        <v>37</v>
      </c>
      <c r="B7" s="2">
        <v>80</v>
      </c>
      <c r="C7" s="2">
        <v>34.5</v>
      </c>
      <c r="D7" s="2">
        <v>64</v>
      </c>
      <c r="E7" s="2">
        <v>3</v>
      </c>
      <c r="F7" s="2" t="s">
        <v>33</v>
      </c>
      <c r="G7" s="2">
        <v>89864</v>
      </c>
      <c r="H7" s="2">
        <f>+H6+H5+H4</f>
        <v>7977</v>
      </c>
      <c r="I7" s="2">
        <f t="shared" ref="I7:R7" si="2">+I6+I5+I4</f>
        <v>6013</v>
      </c>
      <c r="J7" s="2">
        <f t="shared" si="2"/>
        <v>1545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  <c r="Q7" s="2">
        <f t="shared" si="2"/>
        <v>0</v>
      </c>
      <c r="R7" s="2">
        <f t="shared" si="2"/>
        <v>0</v>
      </c>
      <c r="S7" s="2">
        <f>(R7+Q7+P7+O7+N7+M7+L7+K7+J7+I7+H7)/E7</f>
        <v>5178.333333333333</v>
      </c>
      <c r="T7" s="2">
        <f>+G7-S7</f>
        <v>84685.666666666672</v>
      </c>
      <c r="U7" s="17">
        <f t="shared" si="0"/>
        <v>169.37133333333335</v>
      </c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7"/>
    </row>
    <row r="9" spans="1:21" x14ac:dyDescent="0.25">
      <c r="A9" s="4" t="s">
        <v>58</v>
      </c>
      <c r="B9" s="4" t="s">
        <v>2</v>
      </c>
      <c r="C9" s="4" t="s">
        <v>19</v>
      </c>
      <c r="D9" s="4" t="s">
        <v>8</v>
      </c>
      <c r="E9" s="4" t="s">
        <v>21</v>
      </c>
      <c r="F9" s="4" t="s">
        <v>32</v>
      </c>
      <c r="G9" s="4" t="s">
        <v>20</v>
      </c>
      <c r="H9" s="4">
        <v>30</v>
      </c>
      <c r="I9" s="4">
        <v>21</v>
      </c>
      <c r="J9" s="4">
        <v>28</v>
      </c>
      <c r="K9" s="4">
        <v>29</v>
      </c>
      <c r="L9" s="4">
        <v>40</v>
      </c>
      <c r="M9" s="4">
        <v>224</v>
      </c>
      <c r="N9" s="4">
        <v>8.5</v>
      </c>
      <c r="O9" s="4">
        <v>260</v>
      </c>
      <c r="P9" s="4">
        <v>292</v>
      </c>
      <c r="Q9" s="4">
        <v>324</v>
      </c>
      <c r="R9" s="4">
        <v>20</v>
      </c>
      <c r="S9" s="4" t="s">
        <v>22</v>
      </c>
      <c r="T9" s="4" t="s">
        <v>10</v>
      </c>
      <c r="U9" s="4" t="s">
        <v>54</v>
      </c>
    </row>
    <row r="10" spans="1:21" x14ac:dyDescent="0.25">
      <c r="A10" s="2" t="s">
        <v>42</v>
      </c>
      <c r="B10" s="2">
        <v>80</v>
      </c>
      <c r="C10" s="2">
        <v>34.5</v>
      </c>
      <c r="D10" s="2">
        <v>56</v>
      </c>
      <c r="E10" s="2">
        <v>3</v>
      </c>
      <c r="F10" s="2" t="s">
        <v>27</v>
      </c>
      <c r="G10" s="2">
        <v>60000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">
        <f>(H10*H9+I10*I9+J10*J9+K10*K9+L10*L9+M10*M9+N10*N9+O10*O9+P10*P9+Q10*Q9+R10*R9)/E10</f>
        <v>0</v>
      </c>
      <c r="T10" s="2">
        <f>+G10-S10</f>
        <v>60000</v>
      </c>
      <c r="U10" s="17">
        <f t="shared" ref="U10:U12" si="3">+T10/500</f>
        <v>120</v>
      </c>
    </row>
    <row r="11" spans="1:21" x14ac:dyDescent="0.25">
      <c r="A11" s="2" t="s">
        <v>42</v>
      </c>
      <c r="B11" s="2">
        <v>80</v>
      </c>
      <c r="C11" s="2">
        <v>34.5</v>
      </c>
      <c r="D11" s="2">
        <v>52</v>
      </c>
      <c r="E11" s="2">
        <v>3</v>
      </c>
      <c r="F11" s="2" t="s">
        <v>27</v>
      </c>
      <c r="G11" s="2">
        <v>21000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>(H11*H9+I11*I9+J11*J9+K11*K9+L11*L9+M11*M9+N11*N9+O11*O9+P11*P9+Q11*Q9+R11*R9)/E11</f>
        <v>0</v>
      </c>
      <c r="T11" s="2">
        <f t="shared" ref="T11" si="4">+G11-S11</f>
        <v>21000</v>
      </c>
      <c r="U11" s="17">
        <f t="shared" si="3"/>
        <v>42</v>
      </c>
    </row>
    <row r="12" spans="1:21" x14ac:dyDescent="0.25">
      <c r="A12" s="2" t="s">
        <v>42</v>
      </c>
      <c r="B12" s="2">
        <v>80</v>
      </c>
      <c r="C12" s="2">
        <v>34.5</v>
      </c>
      <c r="D12" s="2">
        <v>64</v>
      </c>
      <c r="E12" s="2">
        <v>3</v>
      </c>
      <c r="F12" s="2" t="s">
        <v>33</v>
      </c>
      <c r="G12" s="2"/>
      <c r="H12" s="2">
        <f>+H11+H10</f>
        <v>0</v>
      </c>
      <c r="I12" s="2">
        <f t="shared" ref="I12:R12" si="5">+I11+I10</f>
        <v>0</v>
      </c>
      <c r="J12" s="2">
        <f t="shared" si="5"/>
        <v>0</v>
      </c>
      <c r="K12" s="2">
        <f t="shared" si="5"/>
        <v>0</v>
      </c>
      <c r="L12" s="2">
        <f t="shared" si="5"/>
        <v>0</v>
      </c>
      <c r="M12" s="2">
        <f t="shared" si="5"/>
        <v>0</v>
      </c>
      <c r="N12" s="2">
        <f t="shared" si="5"/>
        <v>0</v>
      </c>
      <c r="O12" s="2">
        <f t="shared" si="5"/>
        <v>0</v>
      </c>
      <c r="P12" s="2">
        <f t="shared" si="5"/>
        <v>0</v>
      </c>
      <c r="Q12" s="2">
        <f t="shared" si="5"/>
        <v>0</v>
      </c>
      <c r="R12" s="2">
        <f t="shared" si="5"/>
        <v>0</v>
      </c>
      <c r="S12" s="2">
        <f>(R12+Q12+P12+O12+N12+M12+L12+K12+J12+I12+H12)/E12</f>
        <v>0</v>
      </c>
      <c r="T12" s="2">
        <f>+G12-S12</f>
        <v>0</v>
      </c>
      <c r="U12" s="17">
        <f t="shared" si="3"/>
        <v>0</v>
      </c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7"/>
    </row>
    <row r="14" spans="1:21" x14ac:dyDescent="0.25">
      <c r="A14" s="4" t="s">
        <v>58</v>
      </c>
      <c r="B14" s="4" t="s">
        <v>2</v>
      </c>
      <c r="C14" s="4" t="s">
        <v>19</v>
      </c>
      <c r="D14" s="4" t="s">
        <v>8</v>
      </c>
      <c r="E14" s="4" t="s">
        <v>21</v>
      </c>
      <c r="F14" s="4" t="s">
        <v>32</v>
      </c>
      <c r="G14" s="4" t="s">
        <v>20</v>
      </c>
      <c r="H14" s="4">
        <v>30</v>
      </c>
      <c r="I14" s="4">
        <v>21</v>
      </c>
      <c r="J14" s="4">
        <v>28</v>
      </c>
      <c r="K14" s="4">
        <v>29</v>
      </c>
      <c r="L14" s="4">
        <v>40</v>
      </c>
      <c r="M14" s="4">
        <v>224</v>
      </c>
      <c r="N14" s="4">
        <v>8.5</v>
      </c>
      <c r="O14" s="4">
        <v>260</v>
      </c>
      <c r="P14" s="4">
        <v>292</v>
      </c>
      <c r="Q14" s="4">
        <v>324</v>
      </c>
      <c r="R14" s="4">
        <v>20</v>
      </c>
      <c r="S14" s="4" t="s">
        <v>22</v>
      </c>
      <c r="T14" s="4" t="s">
        <v>10</v>
      </c>
      <c r="U14" s="4" t="s">
        <v>54</v>
      </c>
    </row>
    <row r="15" spans="1:21" x14ac:dyDescent="0.25">
      <c r="A15" s="2" t="s">
        <v>62</v>
      </c>
      <c r="B15" s="2">
        <v>80</v>
      </c>
      <c r="C15" s="2">
        <v>34.5</v>
      </c>
      <c r="D15" s="2">
        <v>58</v>
      </c>
      <c r="E15" s="2">
        <v>3</v>
      </c>
      <c r="F15" s="2" t="s">
        <v>27</v>
      </c>
      <c r="G15" s="2">
        <v>27500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>(H15*H14+I15*I14+J15*J14+K15*K14+L15*L14+M15*M14+N15*N14+O15*O14+P15*P14+Q15*Q14+R15*R14)/E15</f>
        <v>0</v>
      </c>
      <c r="T15" s="2">
        <f>+G15-S15</f>
        <v>27500</v>
      </c>
      <c r="U15" s="17">
        <f t="shared" si="0"/>
        <v>55</v>
      </c>
    </row>
    <row r="16" spans="1:21" x14ac:dyDescent="0.25">
      <c r="A16" s="2"/>
      <c r="B16" s="2">
        <v>80</v>
      </c>
      <c r="C16" s="2">
        <v>34.5</v>
      </c>
      <c r="D16" s="2">
        <v>54</v>
      </c>
      <c r="E16" s="2">
        <v>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>(H16*H14+I16*I14+J16*J14+K16*K14+L16*L14+M16*M14+N16*N14+O16*O14+P16*P14+Q16*Q14+R16*R14)/E16</f>
        <v>0</v>
      </c>
      <c r="T16" s="2">
        <f t="shared" ref="T16:T17" si="6">+G16-S16</f>
        <v>0</v>
      </c>
      <c r="U16" s="17">
        <f t="shared" si="0"/>
        <v>0</v>
      </c>
    </row>
    <row r="17" spans="1:21" x14ac:dyDescent="0.25">
      <c r="A17" s="2"/>
      <c r="B17" s="2">
        <v>80</v>
      </c>
      <c r="C17" s="2">
        <v>34.5</v>
      </c>
      <c r="D17" s="2">
        <v>64</v>
      </c>
      <c r="E17" s="2">
        <v>3</v>
      </c>
      <c r="F17" s="2" t="s">
        <v>33</v>
      </c>
      <c r="G17" s="2"/>
      <c r="H17" s="2">
        <f>+H16+H15</f>
        <v>0</v>
      </c>
      <c r="I17" s="2">
        <f t="shared" ref="I17" si="7">+I16+I15</f>
        <v>0</v>
      </c>
      <c r="J17" s="2">
        <f t="shared" ref="J17" si="8">+J16+J15</f>
        <v>0</v>
      </c>
      <c r="K17" s="2">
        <f t="shared" ref="K17" si="9">+K16+K15</f>
        <v>0</v>
      </c>
      <c r="L17" s="2">
        <f t="shared" ref="L17" si="10">+L16+L15</f>
        <v>0</v>
      </c>
      <c r="M17" s="2">
        <f t="shared" ref="M17" si="11">+M16+M15</f>
        <v>0</v>
      </c>
      <c r="N17" s="2">
        <f t="shared" ref="N17" si="12">+N16+N15</f>
        <v>0</v>
      </c>
      <c r="O17" s="2">
        <f t="shared" ref="O17" si="13">+O16+O15</f>
        <v>0</v>
      </c>
      <c r="P17" s="2">
        <f t="shared" ref="P17" si="14">+P16+P15</f>
        <v>0</v>
      </c>
      <c r="Q17" s="2">
        <f t="shared" ref="Q17" si="15">+Q16+Q15</f>
        <v>0</v>
      </c>
      <c r="R17" s="2">
        <f t="shared" ref="R17" si="16">+R16+R15</f>
        <v>0</v>
      </c>
      <c r="S17" s="2">
        <f>(H17+I17+J17+K17+L17+M17+N17+O17+P17+Q17+R17)/E17</f>
        <v>0</v>
      </c>
      <c r="T17" s="2">
        <f t="shared" si="6"/>
        <v>0</v>
      </c>
      <c r="U17" s="17">
        <f t="shared" ref="U17" si="17">+T17/500</f>
        <v>0</v>
      </c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7"/>
    </row>
    <row r="19" spans="1:21" x14ac:dyDescent="0.25">
      <c r="A19" s="4" t="s">
        <v>58</v>
      </c>
      <c r="B19" s="4" t="s">
        <v>2</v>
      </c>
      <c r="C19" s="4" t="s">
        <v>19</v>
      </c>
      <c r="D19" s="4" t="s">
        <v>8</v>
      </c>
      <c r="E19" s="4" t="s">
        <v>21</v>
      </c>
      <c r="F19" s="4" t="s">
        <v>32</v>
      </c>
      <c r="G19" s="4" t="s">
        <v>20</v>
      </c>
      <c r="H19" s="16">
        <v>16</v>
      </c>
      <c r="I19" s="16">
        <v>24</v>
      </c>
      <c r="J19" s="16">
        <v>40</v>
      </c>
      <c r="K19" s="16">
        <v>23</v>
      </c>
      <c r="L19" s="16">
        <v>37</v>
      </c>
      <c r="M19" s="16">
        <v>53</v>
      </c>
      <c r="N19" s="16">
        <v>39</v>
      </c>
      <c r="O19" s="16">
        <v>54</v>
      </c>
      <c r="P19" s="4"/>
      <c r="Q19" s="4"/>
      <c r="R19" s="4"/>
      <c r="S19" s="4" t="s">
        <v>22</v>
      </c>
      <c r="T19" s="4" t="s">
        <v>10</v>
      </c>
      <c r="U19" s="4" t="s">
        <v>54</v>
      </c>
    </row>
    <row r="20" spans="1:21" x14ac:dyDescent="0.25">
      <c r="A20" s="2" t="s">
        <v>34</v>
      </c>
      <c r="B20" s="2">
        <v>80</v>
      </c>
      <c r="C20" s="2">
        <v>34.5</v>
      </c>
      <c r="D20" s="2">
        <v>54</v>
      </c>
      <c r="E20" s="2">
        <v>3</v>
      </c>
      <c r="F20" s="2" t="s">
        <v>27</v>
      </c>
      <c r="G20" s="2">
        <f>530000+385352+436741+129027</f>
        <v>1481120</v>
      </c>
      <c r="H20" s="2">
        <v>3020</v>
      </c>
      <c r="I20" s="2">
        <v>10145</v>
      </c>
      <c r="J20" s="2">
        <f>3000+10104</f>
        <v>13104</v>
      </c>
      <c r="K20" s="2">
        <f>10072+30126+39922</f>
        <v>80120</v>
      </c>
      <c r="L20" s="2">
        <v>9875</v>
      </c>
      <c r="M20" s="2">
        <v>5190</v>
      </c>
      <c r="N20" s="2">
        <f>2040+300</f>
        <v>2340</v>
      </c>
      <c r="O20" s="2">
        <v>1494</v>
      </c>
      <c r="P20" s="2"/>
      <c r="Q20" s="2"/>
      <c r="R20" s="2"/>
      <c r="S20" s="2">
        <f>(H20*H19+I20*I19+J20*J19+K20*K19+L20*L19+M20*M19+N20*N19+O20*O19+P20*P19+Q20*Q19+R20*R19)/E20</f>
        <v>1157033.6666666667</v>
      </c>
      <c r="T20" s="2">
        <f>+G20-S20</f>
        <v>324086.33333333326</v>
      </c>
      <c r="U20" s="17">
        <f t="shared" si="0"/>
        <v>648.17266666666649</v>
      </c>
    </row>
    <row r="21" spans="1:21" x14ac:dyDescent="0.25">
      <c r="A21" s="2" t="s">
        <v>34</v>
      </c>
      <c r="B21" s="2">
        <v>80</v>
      </c>
      <c r="C21" s="2">
        <v>34.5</v>
      </c>
      <c r="D21" s="2">
        <v>54</v>
      </c>
      <c r="E21" s="2">
        <v>3</v>
      </c>
      <c r="F21" s="2" t="s">
        <v>47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>(H21*H19+I21*I19+J21*J19+K21*K19+L21*L19+M21*M19+N21*N19+O21*O19+P21*P19+Q21*Q19+R21*R19)/E21</f>
        <v>0</v>
      </c>
      <c r="T21" s="2">
        <f t="shared" ref="T21" si="18">+G21-S21</f>
        <v>0</v>
      </c>
      <c r="U21" s="17">
        <f t="shared" si="0"/>
        <v>0</v>
      </c>
    </row>
    <row r="22" spans="1:21" x14ac:dyDescent="0.25">
      <c r="A22" s="2" t="s">
        <v>34</v>
      </c>
      <c r="B22" s="2">
        <v>80</v>
      </c>
      <c r="C22" s="2">
        <v>34.5</v>
      </c>
      <c r="D22" s="2">
        <v>54</v>
      </c>
      <c r="E22" s="2">
        <v>3</v>
      </c>
      <c r="F22" s="2" t="s">
        <v>33</v>
      </c>
      <c r="G22" s="2"/>
      <c r="H22" s="2">
        <f>+H21+H20</f>
        <v>3020</v>
      </c>
      <c r="I22" s="2">
        <f t="shared" ref="I22" si="19">+I21+I20</f>
        <v>10145</v>
      </c>
      <c r="J22" s="2">
        <f t="shared" ref="J22" si="20">+J21+J20</f>
        <v>13104</v>
      </c>
      <c r="K22" s="2">
        <f t="shared" ref="K22" si="21">+K21+K20</f>
        <v>80120</v>
      </c>
      <c r="L22" s="2">
        <f t="shared" ref="L22" si="22">+L21+L20</f>
        <v>9875</v>
      </c>
      <c r="M22" s="2">
        <f t="shared" ref="M22" si="23">+M21+M20</f>
        <v>5190</v>
      </c>
      <c r="N22" s="2">
        <f t="shared" ref="N22" si="24">+N21+N20</f>
        <v>2340</v>
      </c>
      <c r="O22" s="2">
        <f t="shared" ref="O22" si="25">+O21+O20</f>
        <v>1494</v>
      </c>
      <c r="P22" s="2">
        <f t="shared" ref="P22" si="26">+P21+P20</f>
        <v>0</v>
      </c>
      <c r="Q22" s="2">
        <f t="shared" ref="Q22" si="27">+Q21+Q20</f>
        <v>0</v>
      </c>
      <c r="R22" s="2">
        <f t="shared" ref="R22" si="28">+R21+R20</f>
        <v>0</v>
      </c>
      <c r="S22" s="2">
        <f>(R22+Q22+P22+O22+N22+M22+L22+K22+J22+I22+H22)/E22</f>
        <v>41762.666666666664</v>
      </c>
      <c r="T22" s="2">
        <f>+G22-S22</f>
        <v>-41762.666666666664</v>
      </c>
      <c r="U22" s="17">
        <f t="shared" si="0"/>
        <v>-83.525333333333322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16"/>
  <sheetViews>
    <sheetView topLeftCell="C1" workbookViewId="0">
      <selection activeCell="K22" sqref="K22"/>
    </sheetView>
  </sheetViews>
  <sheetFormatPr defaultRowHeight="15" x14ac:dyDescent="0.25"/>
  <cols>
    <col min="1" max="1" width="16" customWidth="1"/>
    <col min="2" max="2" width="14.42578125" customWidth="1"/>
    <col min="4" max="4" width="11.5703125" customWidth="1"/>
    <col min="5" max="5" width="12.140625" customWidth="1"/>
    <col min="6" max="6" width="12.7109375" customWidth="1"/>
    <col min="19" max="19" width="11.28515625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37</v>
      </c>
      <c r="I2" s="4">
        <v>33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31</v>
      </c>
      <c r="B3" s="2">
        <v>59</v>
      </c>
      <c r="C3" s="2">
        <v>42</v>
      </c>
      <c r="D3" s="2">
        <v>64</v>
      </c>
      <c r="E3" s="2">
        <v>2</v>
      </c>
      <c r="F3" s="2" t="s">
        <v>27</v>
      </c>
      <c r="G3" s="2">
        <f>23561+22738+23485+20239+19422+23749+22344+22770+22580+24329+23746+22911+23681+23591</f>
        <v>319146</v>
      </c>
      <c r="H3" s="22">
        <v>800</v>
      </c>
      <c r="I3" s="22">
        <v>1000</v>
      </c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31300</v>
      </c>
      <c r="T3" s="2">
        <f>+G3-S3</f>
        <v>287846</v>
      </c>
      <c r="U3" s="17">
        <f t="shared" ref="U3" si="0">+T3/500</f>
        <v>575.69200000000001</v>
      </c>
    </row>
    <row r="4" spans="1:21" x14ac:dyDescent="0.25">
      <c r="A4" s="2" t="s">
        <v>31</v>
      </c>
      <c r="B4" s="2">
        <v>59</v>
      </c>
      <c r="C4" s="2">
        <v>42</v>
      </c>
      <c r="D4" s="2">
        <v>64</v>
      </c>
      <c r="E4" s="2">
        <v>2</v>
      </c>
      <c r="F4" s="2" t="s">
        <v>69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>+G4-S4</f>
        <v>0</v>
      </c>
      <c r="U4" s="17">
        <f>+T4/500</f>
        <v>0</v>
      </c>
    </row>
    <row r="5" spans="1:21" x14ac:dyDescent="0.25">
      <c r="A5" s="2" t="s">
        <v>31</v>
      </c>
      <c r="B5" s="2">
        <v>59</v>
      </c>
      <c r="C5" s="2">
        <v>42</v>
      </c>
      <c r="D5" s="2">
        <v>64</v>
      </c>
      <c r="E5" s="2">
        <v>2</v>
      </c>
      <c r="F5" s="2" t="s">
        <v>65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>(H5*H2+I5*I2+J5*J2+K5*K2+L5*L2+M5*M2+N5*N2+O5*O2+P5*P2+Q5*Q2+R5*R2)/E5</f>
        <v>0</v>
      </c>
      <c r="T5" s="2">
        <f>+G5-S5</f>
        <v>0</v>
      </c>
      <c r="U5" s="17">
        <f>+T5/500</f>
        <v>0</v>
      </c>
    </row>
    <row r="6" spans="1:21" x14ac:dyDescent="0.25">
      <c r="A6" s="2" t="s">
        <v>31</v>
      </c>
      <c r="B6" s="2">
        <v>59</v>
      </c>
      <c r="C6" s="2">
        <v>42</v>
      </c>
      <c r="D6" s="2">
        <v>64</v>
      </c>
      <c r="E6" s="2">
        <v>2</v>
      </c>
      <c r="F6" s="2" t="s">
        <v>33</v>
      </c>
      <c r="G6" s="2"/>
      <c r="H6" s="2">
        <f>+H4+H3</f>
        <v>800</v>
      </c>
      <c r="I6" s="2">
        <f>+I4+I3+I5</f>
        <v>1000</v>
      </c>
      <c r="J6" s="2">
        <f t="shared" ref="J6:R6" si="1">+J4+J3+J5</f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>(R6+Q6+P6+O6+N6+M6+L6+K6+J6+I6+H6)/E6</f>
        <v>900</v>
      </c>
      <c r="T6" s="2">
        <f>+G6-S6</f>
        <v>-900</v>
      </c>
      <c r="U6" s="17">
        <f t="shared" ref="U6" si="2">+T6/500</f>
        <v>-1.8</v>
      </c>
    </row>
    <row r="9" spans="1:21" x14ac:dyDescent="0.25">
      <c r="A9" s="4" t="s">
        <v>58</v>
      </c>
      <c r="B9" s="4" t="s">
        <v>2</v>
      </c>
      <c r="C9" s="4" t="s">
        <v>19</v>
      </c>
      <c r="D9" s="4" t="s">
        <v>8</v>
      </c>
      <c r="E9" s="4" t="s">
        <v>21</v>
      </c>
      <c r="F9" s="4" t="s">
        <v>32</v>
      </c>
      <c r="G9" s="4" t="s">
        <v>20</v>
      </c>
      <c r="H9" s="4">
        <v>11</v>
      </c>
      <c r="I9" s="4">
        <v>6</v>
      </c>
      <c r="J9" s="4">
        <v>28</v>
      </c>
      <c r="K9" s="4">
        <v>29</v>
      </c>
      <c r="L9" s="4">
        <v>40</v>
      </c>
      <c r="M9" s="4">
        <v>224</v>
      </c>
      <c r="N9" s="4">
        <v>8.5</v>
      </c>
      <c r="O9" s="4">
        <v>260</v>
      </c>
      <c r="P9" s="4">
        <v>292</v>
      </c>
      <c r="Q9" s="4">
        <v>324</v>
      </c>
      <c r="R9" s="4">
        <v>20</v>
      </c>
      <c r="S9" s="4" t="s">
        <v>22</v>
      </c>
      <c r="T9" s="4" t="s">
        <v>10</v>
      </c>
      <c r="U9" s="4" t="s">
        <v>54</v>
      </c>
    </row>
    <row r="10" spans="1:21" x14ac:dyDescent="0.25">
      <c r="A10" s="2" t="s">
        <v>42</v>
      </c>
      <c r="B10" s="2">
        <v>59</v>
      </c>
      <c r="C10" s="2">
        <v>42</v>
      </c>
      <c r="D10" s="2">
        <v>110</v>
      </c>
      <c r="E10" s="2">
        <v>2</v>
      </c>
      <c r="F10" s="2" t="s">
        <v>27</v>
      </c>
      <c r="G10" s="2">
        <f>23561+22738+23485+20239+19422+23749+22344+22770+22580+24329+23746+22911+23681+23591</f>
        <v>319146</v>
      </c>
      <c r="H10" s="22">
        <v>3000</v>
      </c>
      <c r="I10" s="22">
        <v>5000</v>
      </c>
      <c r="J10" s="22"/>
      <c r="K10" s="22"/>
      <c r="L10" s="22"/>
      <c r="M10" s="22"/>
      <c r="N10" s="22"/>
      <c r="O10" s="22"/>
      <c r="P10" s="22"/>
      <c r="Q10" s="22"/>
      <c r="R10" s="22"/>
      <c r="S10" s="2">
        <f>(H10*H9+I10*I9+J10*J9+K10*K9+L10*L9+M10*M9+N10*N9+O10*O9+P10*P9+Q10*Q9+R10*R9)/E10</f>
        <v>31500</v>
      </c>
      <c r="T10" s="2">
        <f>+G10-S10</f>
        <v>287646</v>
      </c>
      <c r="U10" s="17">
        <f t="shared" ref="U10" si="3">+T10/500</f>
        <v>575.29200000000003</v>
      </c>
    </row>
    <row r="11" spans="1:21" x14ac:dyDescent="0.25">
      <c r="A11" s="2" t="s">
        <v>42</v>
      </c>
      <c r="B11" s="2">
        <v>59</v>
      </c>
      <c r="C11" s="2">
        <v>42</v>
      </c>
      <c r="D11" s="2">
        <v>110</v>
      </c>
      <c r="E11" s="2">
        <v>2</v>
      </c>
      <c r="F11" s="2" t="s">
        <v>69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>(H11*H9+I11*I9+J11*J9+K11*K9+L11*L9+M11*M9+N11*N9+O11*O9+P11*P9+Q11*Q9+R11*R9)/E11</f>
        <v>0</v>
      </c>
      <c r="T11" s="2">
        <f>+G11-S11</f>
        <v>0</v>
      </c>
      <c r="U11" s="17">
        <f>+T11/500</f>
        <v>0</v>
      </c>
    </row>
    <row r="12" spans="1:21" x14ac:dyDescent="0.25">
      <c r="A12" s="2" t="s">
        <v>42</v>
      </c>
      <c r="B12" s="2">
        <v>59</v>
      </c>
      <c r="C12" s="2">
        <v>42</v>
      </c>
      <c r="D12" s="2">
        <v>110</v>
      </c>
      <c r="E12" s="2">
        <v>2</v>
      </c>
      <c r="F12" s="2" t="s">
        <v>65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>(H12*H9+I12*I9+J12*J9+K12*K9+L12*L9+M12*M9+N12*N9+O12*O9+P12*P9+Q12*Q9+R12*R9)/E12</f>
        <v>0</v>
      </c>
      <c r="T12" s="2">
        <f>+G12-S12</f>
        <v>0</v>
      </c>
      <c r="U12" s="17">
        <f>+T12/500</f>
        <v>0</v>
      </c>
    </row>
    <row r="13" spans="1:21" x14ac:dyDescent="0.25">
      <c r="A13" s="2" t="s">
        <v>42</v>
      </c>
      <c r="B13" s="2">
        <v>59</v>
      </c>
      <c r="C13" s="2">
        <v>42</v>
      </c>
      <c r="D13" s="2">
        <v>110</v>
      </c>
      <c r="E13" s="2">
        <v>2</v>
      </c>
      <c r="F13" s="2" t="s">
        <v>33</v>
      </c>
      <c r="G13" s="2"/>
      <c r="H13" s="2">
        <f>+H11+H10</f>
        <v>3000</v>
      </c>
      <c r="I13" s="2">
        <f>+I11+I10+I12</f>
        <v>5000</v>
      </c>
      <c r="J13" s="2">
        <f t="shared" ref="J13" si="4">+J11+J10+J12</f>
        <v>0</v>
      </c>
      <c r="K13" s="2">
        <f t="shared" ref="K13" si="5">+K11+K10+K12</f>
        <v>0</v>
      </c>
      <c r="L13" s="2">
        <f t="shared" ref="L13" si="6">+L11+L10+L12</f>
        <v>0</v>
      </c>
      <c r="M13" s="2">
        <f t="shared" ref="M13" si="7">+M11+M10+M12</f>
        <v>0</v>
      </c>
      <c r="N13" s="2">
        <f t="shared" ref="N13" si="8">+N11+N10+N12</f>
        <v>0</v>
      </c>
      <c r="O13" s="2">
        <f t="shared" ref="O13" si="9">+O11+O10+O12</f>
        <v>0</v>
      </c>
      <c r="P13" s="2">
        <f t="shared" ref="P13" si="10">+P11+P10+P12</f>
        <v>0</v>
      </c>
      <c r="Q13" s="2">
        <f t="shared" ref="Q13" si="11">+Q11+Q10+Q12</f>
        <v>0</v>
      </c>
      <c r="R13" s="2">
        <f t="shared" ref="R13" si="12">+R11+R10+R12</f>
        <v>0</v>
      </c>
      <c r="S13" s="2">
        <f>(R13+Q13+P13+O13+N13+M13+L13+K13+J13+I13+H13)/E13</f>
        <v>4000</v>
      </c>
      <c r="T13" s="2">
        <f>+G13-S13</f>
        <v>-4000</v>
      </c>
      <c r="U13" s="17">
        <f t="shared" ref="U13" si="13">+T13/500</f>
        <v>-8</v>
      </c>
    </row>
    <row r="15" spans="1:21" x14ac:dyDescent="0.25">
      <c r="I15">
        <f>3000*11</f>
        <v>33000</v>
      </c>
    </row>
    <row r="16" spans="1:21" x14ac:dyDescent="0.25">
      <c r="I16">
        <f>+I15/2</f>
        <v>16500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10"/>
  <sheetViews>
    <sheetView workbookViewId="0">
      <selection activeCell="H4" sqref="H4"/>
    </sheetView>
  </sheetViews>
  <sheetFormatPr defaultRowHeight="15" x14ac:dyDescent="0.25"/>
  <cols>
    <col min="1" max="1" width="15" customWidth="1"/>
    <col min="6" max="6" width="11.5703125" bestFit="1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10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/>
      <c r="B3" s="2">
        <v>54</v>
      </c>
      <c r="C3" s="2">
        <v>44</v>
      </c>
      <c r="D3" s="2">
        <v>58</v>
      </c>
      <c r="E3" s="2">
        <v>2</v>
      </c>
      <c r="F3" s="2" t="s">
        <v>91</v>
      </c>
      <c r="G3" s="2">
        <f>+(35+42)*500</f>
        <v>38500</v>
      </c>
      <c r="H3" s="22">
        <v>6034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30170</v>
      </c>
      <c r="T3" s="2">
        <f>+G3-S3</f>
        <v>8330</v>
      </c>
      <c r="U3" s="17">
        <f t="shared" ref="U3:U5" si="0">+T3/500</f>
        <v>16.66</v>
      </c>
    </row>
    <row r="4" spans="1:21" x14ac:dyDescent="0.25">
      <c r="A4" s="2"/>
      <c r="B4" s="2">
        <v>54</v>
      </c>
      <c r="C4" s="2">
        <v>44</v>
      </c>
      <c r="D4" s="2">
        <v>58</v>
      </c>
      <c r="E4" s="2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ref="T4" si="1">+G4-S4</f>
        <v>0</v>
      </c>
      <c r="U4" s="17">
        <f t="shared" si="0"/>
        <v>0</v>
      </c>
    </row>
    <row r="5" spans="1:21" x14ac:dyDescent="0.25">
      <c r="A5" s="2"/>
      <c r="B5" s="2">
        <v>54</v>
      </c>
      <c r="C5" s="2">
        <v>44</v>
      </c>
      <c r="D5" s="2">
        <v>58</v>
      </c>
      <c r="E5" s="2">
        <v>2</v>
      </c>
      <c r="F5" s="2" t="s">
        <v>33</v>
      </c>
      <c r="G5" s="2"/>
      <c r="H5" s="2">
        <f>+H4+H3</f>
        <v>6034</v>
      </c>
      <c r="I5" s="2">
        <f>+I4+I3</f>
        <v>0</v>
      </c>
      <c r="J5" s="2">
        <f t="shared" ref="J5:R5" si="2">+J4+J3</f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>(R5+Q5+P5+O5+N5+M5+L5+K5+J5+I5+H5)/E5</f>
        <v>3017</v>
      </c>
      <c r="T5" s="2">
        <f>+G5-S5</f>
        <v>-3017</v>
      </c>
      <c r="U5" s="17">
        <f t="shared" si="0"/>
        <v>-6.0339999999999998</v>
      </c>
    </row>
    <row r="7" spans="1:21" x14ac:dyDescent="0.25">
      <c r="A7" s="4" t="s">
        <v>58</v>
      </c>
      <c r="B7" s="4" t="s">
        <v>2</v>
      </c>
      <c r="C7" s="4" t="s">
        <v>19</v>
      </c>
      <c r="D7" s="4" t="s">
        <v>8</v>
      </c>
      <c r="E7" s="4" t="s">
        <v>21</v>
      </c>
      <c r="F7" s="4" t="s">
        <v>32</v>
      </c>
      <c r="G7" s="4" t="s">
        <v>20</v>
      </c>
      <c r="H7" s="4">
        <v>10</v>
      </c>
      <c r="I7" s="4">
        <v>21</v>
      </c>
      <c r="J7" s="4">
        <v>28</v>
      </c>
      <c r="K7" s="4">
        <v>29</v>
      </c>
      <c r="L7" s="4">
        <v>40</v>
      </c>
      <c r="M7" s="4">
        <v>224</v>
      </c>
      <c r="N7" s="4">
        <v>8.5</v>
      </c>
      <c r="O7" s="4">
        <v>260</v>
      </c>
      <c r="P7" s="4">
        <v>292</v>
      </c>
      <c r="Q7" s="4">
        <v>324</v>
      </c>
      <c r="R7" s="4">
        <v>20</v>
      </c>
      <c r="S7" s="4" t="s">
        <v>22</v>
      </c>
      <c r="T7" s="4" t="s">
        <v>10</v>
      </c>
      <c r="U7" s="4" t="s">
        <v>54</v>
      </c>
    </row>
    <row r="8" spans="1:21" x14ac:dyDescent="0.25">
      <c r="A8" s="2" t="s">
        <v>31</v>
      </c>
      <c r="B8" s="2">
        <v>54</v>
      </c>
      <c r="C8" s="2">
        <v>44</v>
      </c>
      <c r="D8" s="2">
        <v>64</v>
      </c>
      <c r="E8" s="2">
        <v>2</v>
      </c>
      <c r="F8" s="2" t="s">
        <v>91</v>
      </c>
      <c r="G8" s="2">
        <v>209384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">
        <f>(H8*H7+I8*I7+J8*J7+K8*K7+L8*L7+M8*M7+N8*N7+O8*O7+P8*P7+Q8*Q7+R8*R7)/E8</f>
        <v>0</v>
      </c>
      <c r="T8" s="2">
        <f>+G8-S8</f>
        <v>209384</v>
      </c>
      <c r="U8" s="17">
        <f t="shared" ref="U8:U10" si="3">+T8/500</f>
        <v>418.76799999999997</v>
      </c>
    </row>
    <row r="9" spans="1:21" x14ac:dyDescent="0.25">
      <c r="A9" s="2"/>
      <c r="B9" s="2">
        <v>54</v>
      </c>
      <c r="C9" s="2">
        <v>44</v>
      </c>
      <c r="D9" s="2">
        <v>64</v>
      </c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>(H9*H7+I9*I7+J9*J7+K9*K7+L9*L7+M9*M7+N9*N7+O9*O7+P9*P7+Q9*Q7+R9*R7)/E9</f>
        <v>0</v>
      </c>
      <c r="T9" s="2">
        <f t="shared" ref="T9" si="4">+G9-S9</f>
        <v>0</v>
      </c>
      <c r="U9" s="17">
        <f t="shared" si="3"/>
        <v>0</v>
      </c>
    </row>
    <row r="10" spans="1:21" x14ac:dyDescent="0.25">
      <c r="A10" s="2"/>
      <c r="B10" s="2">
        <v>54</v>
      </c>
      <c r="C10" s="2">
        <v>44</v>
      </c>
      <c r="D10" s="2">
        <v>64</v>
      </c>
      <c r="E10" s="2">
        <v>2</v>
      </c>
      <c r="F10" s="2" t="s">
        <v>33</v>
      </c>
      <c r="G10" s="2"/>
      <c r="H10" s="2">
        <f>+H9+H8</f>
        <v>0</v>
      </c>
      <c r="I10" s="2">
        <f>+I9+I8</f>
        <v>0</v>
      </c>
      <c r="J10" s="2">
        <f t="shared" ref="J10:R10" si="5">+J9+J8</f>
        <v>0</v>
      </c>
      <c r="K10" s="2">
        <f t="shared" si="5"/>
        <v>0</v>
      </c>
      <c r="L10" s="2">
        <f t="shared" si="5"/>
        <v>0</v>
      </c>
      <c r="M10" s="2">
        <f t="shared" si="5"/>
        <v>0</v>
      </c>
      <c r="N10" s="2">
        <f t="shared" si="5"/>
        <v>0</v>
      </c>
      <c r="O10" s="2">
        <f t="shared" si="5"/>
        <v>0</v>
      </c>
      <c r="P10" s="2">
        <f t="shared" si="5"/>
        <v>0</v>
      </c>
      <c r="Q10" s="2">
        <f t="shared" si="5"/>
        <v>0</v>
      </c>
      <c r="R10" s="2">
        <f t="shared" si="5"/>
        <v>0</v>
      </c>
      <c r="S10" s="2">
        <f>(R10+Q10+P10+O10+N10+M10+L10+K10+J10+I10+H10)/E10</f>
        <v>0</v>
      </c>
      <c r="T10" s="2">
        <f>+G10-S10</f>
        <v>0</v>
      </c>
      <c r="U10" s="17">
        <f t="shared" si="3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12"/>
  <sheetViews>
    <sheetView workbookViewId="0">
      <selection activeCell="H4" sqref="H4"/>
    </sheetView>
  </sheetViews>
  <sheetFormatPr defaultRowHeight="15" x14ac:dyDescent="0.25"/>
  <cols>
    <col min="1" max="1" width="14.140625" customWidth="1"/>
    <col min="6" max="6" width="11.85546875" bestFit="1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12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34</v>
      </c>
      <c r="B3" s="2">
        <v>48</v>
      </c>
      <c r="C3" s="2">
        <v>38.5</v>
      </c>
      <c r="D3" s="2">
        <v>50</v>
      </c>
      <c r="E3" s="2">
        <v>2</v>
      </c>
      <c r="F3" s="2" t="s">
        <v>35</v>
      </c>
      <c r="G3" s="2">
        <f>20732+24296+24776+24975+50492+24956+24266+22264+3892</f>
        <v>220649</v>
      </c>
      <c r="H3" s="22">
        <v>3365</v>
      </c>
      <c r="I3" s="22">
        <v>1000</v>
      </c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30690</v>
      </c>
      <c r="T3" s="2">
        <f>+G3-S3</f>
        <v>189959</v>
      </c>
      <c r="U3" s="17">
        <f t="shared" ref="U3:U9" si="0">+T3/500</f>
        <v>379.91800000000001</v>
      </c>
    </row>
    <row r="4" spans="1:21" x14ac:dyDescent="0.25">
      <c r="A4" s="2" t="s">
        <v>34</v>
      </c>
      <c r="B4" s="2">
        <v>48</v>
      </c>
      <c r="C4" s="2">
        <v>38.5</v>
      </c>
      <c r="D4" s="2">
        <v>50</v>
      </c>
      <c r="E4" s="2">
        <v>2</v>
      </c>
      <c r="F4" s="2" t="s">
        <v>36</v>
      </c>
      <c r="G4" s="2">
        <f>3300+26186+24718+49915+26272+24784+25552+24643+25728+27924</f>
        <v>259022</v>
      </c>
      <c r="H4" s="2">
        <v>10510</v>
      </c>
      <c r="I4" s="2">
        <v>2206</v>
      </c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86223</v>
      </c>
      <c r="T4" s="2">
        <f t="shared" ref="T4:T9" si="1">+G4-S4</f>
        <v>172799</v>
      </c>
      <c r="U4" s="17">
        <f t="shared" si="0"/>
        <v>345.59800000000001</v>
      </c>
    </row>
    <row r="5" spans="1:21" x14ac:dyDescent="0.25">
      <c r="A5" s="2" t="s">
        <v>34</v>
      </c>
      <c r="B5" s="2">
        <v>48</v>
      </c>
      <c r="C5" s="2">
        <v>38.5</v>
      </c>
      <c r="D5" s="2">
        <v>50</v>
      </c>
      <c r="E5" s="2">
        <v>2</v>
      </c>
      <c r="F5" s="2" t="s">
        <v>33</v>
      </c>
      <c r="G5" s="2">
        <v>22225</v>
      </c>
      <c r="H5" s="2">
        <f>SUM(H3:H4)</f>
        <v>13875</v>
      </c>
      <c r="I5" s="2">
        <f t="shared" ref="I5:R5" si="2">SUM(I3:I4)</f>
        <v>3206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>(R5+Q5+P5+O5+N5+M5+L5+K5+J5+I5+H5)/E5</f>
        <v>8540.5</v>
      </c>
      <c r="T5" s="2">
        <f>+G5-S5</f>
        <v>13684.5</v>
      </c>
      <c r="U5" s="17">
        <f t="shared" si="0"/>
        <v>27.369</v>
      </c>
    </row>
    <row r="6" spans="1:21" x14ac:dyDescent="0.25">
      <c r="A6" s="2" t="s">
        <v>34</v>
      </c>
      <c r="B6" s="2">
        <v>48</v>
      </c>
      <c r="C6" s="2">
        <v>38.5</v>
      </c>
      <c r="D6" s="2">
        <v>50</v>
      </c>
      <c r="E6" s="2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si="1"/>
        <v>0</v>
      </c>
      <c r="U6" s="17">
        <f t="shared" si="0"/>
        <v>0</v>
      </c>
    </row>
    <row r="7" spans="1:21" x14ac:dyDescent="0.25">
      <c r="A7" s="2" t="s">
        <v>34</v>
      </c>
      <c r="B7" s="2">
        <v>48</v>
      </c>
      <c r="C7" s="2">
        <v>38.5</v>
      </c>
      <c r="D7" s="2">
        <v>50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>(H7*H2+I7*I2+J7*J2+K7*K2+L7*L2+M7*M2+N7*N2+O7*O2+P7*P2+Q7*Q2+R7*R2)/E7</f>
        <v>0</v>
      </c>
      <c r="T7" s="2">
        <f t="shared" si="1"/>
        <v>0</v>
      </c>
      <c r="U7" s="17">
        <f t="shared" si="0"/>
        <v>0</v>
      </c>
    </row>
    <row r="8" spans="1:21" x14ac:dyDescent="0.25">
      <c r="A8" s="2" t="s">
        <v>34</v>
      </c>
      <c r="B8" s="2">
        <v>48</v>
      </c>
      <c r="C8" s="2">
        <v>38.5</v>
      </c>
      <c r="D8" s="2">
        <v>50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(H8*H2+I8*I2+J8*J2+K8*K2+L8*L2+M8*M2+N8*N2+O8*O2+P8*P2+Q8*Q2+R8*R2)/E8</f>
        <v>0</v>
      </c>
      <c r="T8" s="2">
        <f t="shared" si="1"/>
        <v>0</v>
      </c>
      <c r="U8" s="17">
        <f t="shared" si="0"/>
        <v>0</v>
      </c>
    </row>
    <row r="9" spans="1:21" x14ac:dyDescent="0.25">
      <c r="A9" s="2" t="s">
        <v>34</v>
      </c>
      <c r="B9" s="2">
        <v>48</v>
      </c>
      <c r="C9" s="2">
        <v>38.5</v>
      </c>
      <c r="D9" s="2">
        <v>50</v>
      </c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>(H9*H2+I9*I2+J9*J2+K9*K2+L9*L2+M9*M2+N9*N2+O9*O2+P9*P2+Q9*Q2+R9*R2)/E9</f>
        <v>0</v>
      </c>
      <c r="T9" s="2">
        <f t="shared" si="1"/>
        <v>0</v>
      </c>
      <c r="U9" s="17">
        <f t="shared" si="0"/>
        <v>0</v>
      </c>
    </row>
    <row r="12" spans="1:21" x14ac:dyDescent="0.25">
      <c r="M12">
        <f>17081/2</f>
        <v>8540.5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U9"/>
  <sheetViews>
    <sheetView workbookViewId="0">
      <selection activeCell="S5" sqref="S5:U5"/>
    </sheetView>
  </sheetViews>
  <sheetFormatPr defaultRowHeight="15" x14ac:dyDescent="0.25"/>
  <cols>
    <col min="1" max="1" width="16.85546875" bestFit="1" customWidth="1"/>
    <col min="6" max="6" width="12" bestFit="1" customWidth="1"/>
    <col min="19" max="19" width="10.140625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3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82</v>
      </c>
      <c r="B3" s="2">
        <v>45</v>
      </c>
      <c r="C3" s="2">
        <v>55</v>
      </c>
      <c r="D3" s="2">
        <v>50</v>
      </c>
      <c r="E3" s="2">
        <v>2</v>
      </c>
      <c r="F3" s="2" t="s">
        <v>82</v>
      </c>
      <c r="G3" s="2"/>
      <c r="H3" s="22">
        <v>9050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13575</v>
      </c>
      <c r="T3" s="2">
        <f>+G3-S3</f>
        <v>-13575</v>
      </c>
      <c r="U3" s="17">
        <f t="shared" ref="U3:U9" si="0">+T3/500</f>
        <v>-27.15</v>
      </c>
    </row>
    <row r="4" spans="1:21" x14ac:dyDescent="0.25">
      <c r="A4" s="2" t="s">
        <v>82</v>
      </c>
      <c r="B4" s="2">
        <v>45</v>
      </c>
      <c r="C4" s="2">
        <v>55</v>
      </c>
      <c r="D4" s="2">
        <v>50</v>
      </c>
      <c r="E4" s="2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ref="T4:T9" si="1">+G4-S4</f>
        <v>0</v>
      </c>
      <c r="U4" s="17">
        <f t="shared" si="0"/>
        <v>0</v>
      </c>
    </row>
    <row r="5" spans="1:21" x14ac:dyDescent="0.25">
      <c r="A5" s="2" t="s">
        <v>82</v>
      </c>
      <c r="B5" s="2">
        <v>45</v>
      </c>
      <c r="C5" s="2">
        <v>55</v>
      </c>
      <c r="D5" s="2">
        <v>50</v>
      </c>
      <c r="E5" s="2">
        <v>2</v>
      </c>
      <c r="F5" s="2" t="s">
        <v>33</v>
      </c>
      <c r="G5" s="2"/>
      <c r="H5" s="2">
        <f>SUM(H3:H4)</f>
        <v>9050</v>
      </c>
      <c r="I5" s="2">
        <f t="shared" ref="I5:R5" si="2">SUM(I3:I4)</f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>(R5+Q5+P5+O5+N5+M5+L5+K5+J5+I5+H5)/E5</f>
        <v>4525</v>
      </c>
      <c r="T5" s="2">
        <f>+G5-S5</f>
        <v>-4525</v>
      </c>
      <c r="U5" s="17">
        <f t="shared" si="0"/>
        <v>-9.0500000000000007</v>
      </c>
    </row>
    <row r="6" spans="1:21" x14ac:dyDescent="0.25">
      <c r="A6" s="2" t="s">
        <v>82</v>
      </c>
      <c r="B6" s="2">
        <v>45</v>
      </c>
      <c r="C6" s="2">
        <v>55</v>
      </c>
      <c r="D6" s="2">
        <v>50</v>
      </c>
      <c r="E6" s="2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si="1"/>
        <v>0</v>
      </c>
      <c r="U6" s="17">
        <f t="shared" si="0"/>
        <v>0</v>
      </c>
    </row>
    <row r="7" spans="1:21" x14ac:dyDescent="0.25">
      <c r="A7" s="2" t="s">
        <v>82</v>
      </c>
      <c r="B7" s="2">
        <v>45</v>
      </c>
      <c r="C7" s="2">
        <v>55</v>
      </c>
      <c r="D7" s="2">
        <v>50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>(H7*H2+I7*I2+J7*J2+K7*K2+L7*L2+M7*M2+N7*N2+O7*O2+P7*P2+Q7*Q2+R7*R2)/E7</f>
        <v>0</v>
      </c>
      <c r="T7" s="2">
        <f t="shared" si="1"/>
        <v>0</v>
      </c>
      <c r="U7" s="17">
        <f t="shared" si="0"/>
        <v>0</v>
      </c>
    </row>
    <row r="8" spans="1:21" x14ac:dyDescent="0.25">
      <c r="A8" s="2" t="s">
        <v>82</v>
      </c>
      <c r="B8" s="2">
        <v>45</v>
      </c>
      <c r="C8" s="2">
        <v>55</v>
      </c>
      <c r="D8" s="2">
        <v>50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(H8*H2+I8*I2+J8*J2+K8*K2+L8*L2+M8*M2+N8*N2+O8*O2+P8*P2+Q8*Q2+R8*R2)/E8</f>
        <v>0</v>
      </c>
      <c r="T8" s="2">
        <f t="shared" si="1"/>
        <v>0</v>
      </c>
      <c r="U8" s="17">
        <f t="shared" si="0"/>
        <v>0</v>
      </c>
    </row>
    <row r="9" spans="1:21" x14ac:dyDescent="0.25">
      <c r="A9" s="2" t="s">
        <v>82</v>
      </c>
      <c r="B9" s="2">
        <v>45</v>
      </c>
      <c r="C9" s="2">
        <v>55</v>
      </c>
      <c r="D9" s="2">
        <v>50</v>
      </c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>(H9*H2+I9*I2+J9*J2+K9*K2+L9*L2+M9*M2+N9*N2+O9*O2+P9*P2+Q9*Q2+R9*R2)/E9</f>
        <v>0</v>
      </c>
      <c r="T9" s="2">
        <f t="shared" si="1"/>
        <v>0</v>
      </c>
      <c r="U9" s="17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10"/>
  <sheetViews>
    <sheetView workbookViewId="0">
      <selection activeCell="G21" sqref="G21"/>
    </sheetView>
  </sheetViews>
  <sheetFormatPr defaultRowHeight="15" x14ac:dyDescent="0.25"/>
  <cols>
    <col min="1" max="1" width="14.140625" customWidth="1"/>
    <col min="6" max="6" width="12.140625" customWidth="1"/>
    <col min="7" max="7" width="14.28515625" bestFit="1" customWidth="1"/>
  </cols>
  <sheetData>
    <row r="2" spans="1:10" s="1" customFormat="1" x14ac:dyDescent="0.25">
      <c r="A2" s="47" t="s">
        <v>25</v>
      </c>
      <c r="B2" s="48"/>
      <c r="C2" s="48"/>
      <c r="D2" s="48"/>
      <c r="E2" s="48"/>
      <c r="F2" s="48"/>
      <c r="G2" s="49"/>
    </row>
    <row r="3" spans="1:10" s="1" customFormat="1" x14ac:dyDescent="0.25">
      <c r="A3" s="4" t="s">
        <v>1</v>
      </c>
      <c r="B3" s="4" t="s">
        <v>2</v>
      </c>
      <c r="C3" s="4" t="s">
        <v>19</v>
      </c>
      <c r="D3" s="4" t="s">
        <v>8</v>
      </c>
      <c r="E3" s="4" t="s">
        <v>21</v>
      </c>
      <c r="F3" s="13">
        <v>128</v>
      </c>
      <c r="G3" s="4" t="s">
        <v>23</v>
      </c>
    </row>
    <row r="4" spans="1:10" s="1" customFormat="1" x14ac:dyDescent="0.25">
      <c r="A4" s="2"/>
      <c r="B4" s="2">
        <v>96</v>
      </c>
      <c r="C4" s="2">
        <v>36.5</v>
      </c>
      <c r="D4" s="2">
        <v>54</v>
      </c>
      <c r="E4" s="2">
        <v>16</v>
      </c>
      <c r="F4" s="14">
        <v>1</v>
      </c>
      <c r="G4" s="2">
        <f>(F4*F3/E4/20000/500)*B4*C4*D4</f>
        <v>0.15137280000000003</v>
      </c>
    </row>
    <row r="5" spans="1:10" x14ac:dyDescent="0.25">
      <c r="F5" s="11"/>
      <c r="G5" s="12"/>
      <c r="J5">
        <v>0.65</v>
      </c>
    </row>
    <row r="6" spans="1:10" s="1" customFormat="1" x14ac:dyDescent="0.25">
      <c r="A6" s="4" t="s">
        <v>1</v>
      </c>
      <c r="B6" s="4" t="s">
        <v>2</v>
      </c>
      <c r="C6" s="4" t="s">
        <v>19</v>
      </c>
      <c r="D6" s="4" t="s">
        <v>8</v>
      </c>
      <c r="E6" s="4" t="s">
        <v>21</v>
      </c>
      <c r="F6" s="13">
        <v>4</v>
      </c>
      <c r="G6" s="4" t="s">
        <v>24</v>
      </c>
      <c r="J6" s="1">
        <f>+J5/4</f>
        <v>0.16250000000000001</v>
      </c>
    </row>
    <row r="7" spans="1:10" s="1" customFormat="1" x14ac:dyDescent="0.25">
      <c r="A7" s="2"/>
      <c r="B7" s="2">
        <v>96</v>
      </c>
      <c r="C7" s="2">
        <v>37</v>
      </c>
      <c r="D7" s="2">
        <v>260</v>
      </c>
      <c r="E7" s="2">
        <v>4</v>
      </c>
      <c r="F7" s="14">
        <v>1</v>
      </c>
      <c r="G7" s="2">
        <f>+F7/20000/500*B7*C7*D7/E7</f>
        <v>2.3088000000000004E-2</v>
      </c>
    </row>
    <row r="8" spans="1:10" x14ac:dyDescent="0.25">
      <c r="G8" s="5">
        <f>G7+G4</f>
        <v>0.17446080000000003</v>
      </c>
    </row>
    <row r="9" spans="1:10" x14ac:dyDescent="0.25">
      <c r="F9" s="5" t="s">
        <v>26</v>
      </c>
      <c r="G9" s="15">
        <v>0.25</v>
      </c>
    </row>
    <row r="10" spans="1:10" x14ac:dyDescent="0.25">
      <c r="F10" s="5" t="s">
        <v>16</v>
      </c>
      <c r="G10" s="5">
        <f>+G8-G9</f>
        <v>-7.5539199999999973E-2</v>
      </c>
    </row>
  </sheetData>
  <mergeCells count="1">
    <mergeCell ref="A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49"/>
  <sheetViews>
    <sheetView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8" style="1" customWidth="1"/>
    <col min="2" max="2" width="21.7109375" style="1" customWidth="1"/>
    <col min="3" max="4" width="9.140625" style="1"/>
    <col min="5" max="5" width="15.140625" style="1" customWidth="1"/>
    <col min="6" max="6" width="10.5703125" style="1" customWidth="1"/>
    <col min="7" max="16384" width="9.140625" style="1"/>
  </cols>
  <sheetData>
    <row r="1" spans="1:6" x14ac:dyDescent="0.25">
      <c r="E1" s="6">
        <f>SUBTOTAL(9,E3:E2498)</f>
        <v>33</v>
      </c>
      <c r="F1" s="41">
        <f>SUBTOTAL(9,F3:F2498)</f>
        <v>15877</v>
      </c>
    </row>
    <row r="2" spans="1:6" x14ac:dyDescent="0.25">
      <c r="A2" s="4" t="s">
        <v>0</v>
      </c>
      <c r="B2" s="4" t="s">
        <v>1</v>
      </c>
      <c r="C2" s="4" t="s">
        <v>2</v>
      </c>
      <c r="D2" s="4" t="s">
        <v>8</v>
      </c>
      <c r="E2" s="4" t="s">
        <v>83</v>
      </c>
      <c r="F2" s="4" t="s">
        <v>4</v>
      </c>
    </row>
    <row r="3" spans="1:6" x14ac:dyDescent="0.25">
      <c r="A3" s="3">
        <v>45058</v>
      </c>
      <c r="B3" s="2" t="s">
        <v>18</v>
      </c>
      <c r="C3" s="2">
        <v>80</v>
      </c>
      <c r="D3" s="2">
        <v>54</v>
      </c>
      <c r="E3" s="2">
        <v>8</v>
      </c>
      <c r="F3" s="17">
        <v>3449</v>
      </c>
    </row>
    <row r="4" spans="1:6" x14ac:dyDescent="0.25">
      <c r="A4" s="3">
        <v>45058</v>
      </c>
      <c r="B4" s="2" t="s">
        <v>18</v>
      </c>
      <c r="C4" s="2">
        <v>86</v>
      </c>
      <c r="D4" s="2">
        <v>54</v>
      </c>
      <c r="E4" s="2">
        <v>10</v>
      </c>
      <c r="F4" s="17">
        <v>4864</v>
      </c>
    </row>
    <row r="5" spans="1:6" x14ac:dyDescent="0.25">
      <c r="A5" s="3">
        <v>45058</v>
      </c>
      <c r="B5" s="2" t="s">
        <v>18</v>
      </c>
      <c r="C5" s="2">
        <v>96</v>
      </c>
      <c r="D5" s="2">
        <v>54</v>
      </c>
      <c r="E5" s="2">
        <v>15</v>
      </c>
      <c r="F5" s="17">
        <v>7564</v>
      </c>
    </row>
    <row r="6" spans="1:6" hidden="1" x14ac:dyDescent="0.25">
      <c r="A6" s="3">
        <v>45061</v>
      </c>
      <c r="B6" s="2" t="s">
        <v>18</v>
      </c>
      <c r="C6" s="2">
        <v>80</v>
      </c>
      <c r="D6" s="2">
        <v>54</v>
      </c>
      <c r="E6" s="2">
        <v>8</v>
      </c>
      <c r="F6" s="17">
        <v>3435</v>
      </c>
    </row>
    <row r="7" spans="1:6" hidden="1" x14ac:dyDescent="0.25">
      <c r="A7" s="3">
        <v>45061</v>
      </c>
      <c r="B7" s="2" t="s">
        <v>18</v>
      </c>
      <c r="C7" s="2">
        <v>86</v>
      </c>
      <c r="D7" s="2">
        <v>54</v>
      </c>
      <c r="E7" s="2">
        <v>10</v>
      </c>
      <c r="F7" s="17">
        <v>4740</v>
      </c>
    </row>
    <row r="8" spans="1:6" hidden="1" x14ac:dyDescent="0.25">
      <c r="A8" s="3">
        <v>45061</v>
      </c>
      <c r="B8" s="2" t="s">
        <v>18</v>
      </c>
      <c r="C8" s="2">
        <v>96</v>
      </c>
      <c r="D8" s="2">
        <v>54</v>
      </c>
      <c r="E8" s="2">
        <v>14</v>
      </c>
      <c r="F8" s="17">
        <v>7377</v>
      </c>
    </row>
    <row r="9" spans="1:6" hidden="1" x14ac:dyDescent="0.25">
      <c r="A9" s="3">
        <v>45063</v>
      </c>
      <c r="B9" s="2" t="s">
        <v>57</v>
      </c>
      <c r="C9" s="2">
        <v>80</v>
      </c>
      <c r="D9" s="2">
        <v>54</v>
      </c>
      <c r="E9" s="2">
        <v>25</v>
      </c>
      <c r="F9" s="17">
        <v>9791</v>
      </c>
    </row>
    <row r="10" spans="1:6" hidden="1" x14ac:dyDescent="0.25">
      <c r="A10" s="3">
        <v>45063</v>
      </c>
      <c r="B10" s="2" t="s">
        <v>57</v>
      </c>
      <c r="C10" s="2">
        <v>86</v>
      </c>
      <c r="D10" s="2">
        <v>54</v>
      </c>
      <c r="E10" s="2">
        <v>13</v>
      </c>
      <c r="F10" s="17">
        <v>5485</v>
      </c>
    </row>
    <row r="11" spans="1:6" hidden="1" x14ac:dyDescent="0.25">
      <c r="A11" s="3">
        <v>45064</v>
      </c>
      <c r="B11" s="2" t="s">
        <v>57</v>
      </c>
      <c r="C11" s="2">
        <v>80</v>
      </c>
      <c r="D11" s="2">
        <v>54</v>
      </c>
      <c r="E11" s="2">
        <v>12</v>
      </c>
      <c r="F11" s="17">
        <v>4676</v>
      </c>
    </row>
    <row r="12" spans="1:6" hidden="1" x14ac:dyDescent="0.25">
      <c r="A12" s="3">
        <v>45064</v>
      </c>
      <c r="B12" s="2" t="s">
        <v>57</v>
      </c>
      <c r="C12" s="2">
        <v>86</v>
      </c>
      <c r="D12" s="2">
        <v>54</v>
      </c>
      <c r="E12" s="2">
        <v>25</v>
      </c>
      <c r="F12" s="17">
        <v>10584</v>
      </c>
    </row>
    <row r="13" spans="1:6" hidden="1" x14ac:dyDescent="0.25">
      <c r="A13" s="3">
        <v>45067</v>
      </c>
      <c r="B13" s="2" t="s">
        <v>72</v>
      </c>
      <c r="C13" s="2">
        <v>96</v>
      </c>
      <c r="D13" s="2">
        <v>52</v>
      </c>
      <c r="E13" s="2">
        <v>42</v>
      </c>
      <c r="F13" s="17">
        <v>24578.1</v>
      </c>
    </row>
    <row r="14" spans="1:6" hidden="1" x14ac:dyDescent="0.25">
      <c r="A14" s="3">
        <v>45069</v>
      </c>
      <c r="B14" s="2" t="s">
        <v>57</v>
      </c>
      <c r="C14" s="2">
        <v>86</v>
      </c>
      <c r="D14" s="2">
        <v>54</v>
      </c>
      <c r="E14" s="2">
        <v>3</v>
      </c>
      <c r="F14" s="17">
        <v>1325</v>
      </c>
    </row>
    <row r="15" spans="1:6" hidden="1" x14ac:dyDescent="0.25">
      <c r="A15" s="3">
        <v>45069</v>
      </c>
      <c r="B15" s="2" t="s">
        <v>57</v>
      </c>
      <c r="C15" s="2">
        <v>96</v>
      </c>
      <c r="D15" s="2">
        <v>54</v>
      </c>
      <c r="E15" s="2">
        <v>36</v>
      </c>
      <c r="F15" s="17">
        <v>17055</v>
      </c>
    </row>
    <row r="16" spans="1:6" hidden="1" x14ac:dyDescent="0.25">
      <c r="A16" s="3">
        <v>45070</v>
      </c>
      <c r="B16" s="2" t="s">
        <v>57</v>
      </c>
      <c r="C16" s="2">
        <v>86</v>
      </c>
      <c r="D16" s="2">
        <v>54</v>
      </c>
      <c r="E16" s="2">
        <v>38</v>
      </c>
      <c r="F16" s="17">
        <v>16152</v>
      </c>
    </row>
    <row r="17" spans="1:6" hidden="1" x14ac:dyDescent="0.25">
      <c r="A17" s="3">
        <v>45073</v>
      </c>
      <c r="B17" s="2" t="s">
        <v>72</v>
      </c>
      <c r="C17" s="2">
        <v>88</v>
      </c>
      <c r="D17" s="2">
        <v>64</v>
      </c>
      <c r="E17" s="2">
        <v>42</v>
      </c>
      <c r="F17" s="17">
        <v>22074</v>
      </c>
    </row>
    <row r="18" spans="1:6" hidden="1" x14ac:dyDescent="0.25">
      <c r="A18" s="3">
        <v>45073</v>
      </c>
      <c r="B18" s="2" t="s">
        <v>72</v>
      </c>
      <c r="C18" s="2">
        <v>96</v>
      </c>
      <c r="D18" s="2">
        <v>52</v>
      </c>
      <c r="E18" s="2">
        <v>6</v>
      </c>
      <c r="F18" s="17">
        <v>3101</v>
      </c>
    </row>
    <row r="19" spans="1:6" hidden="1" x14ac:dyDescent="0.25">
      <c r="A19" s="3">
        <v>45077</v>
      </c>
      <c r="B19" s="2" t="s">
        <v>72</v>
      </c>
      <c r="C19" s="2">
        <v>88</v>
      </c>
      <c r="D19" s="2">
        <v>64</v>
      </c>
      <c r="E19" s="2">
        <v>46</v>
      </c>
      <c r="F19" s="17">
        <v>24577.3</v>
      </c>
    </row>
    <row r="20" spans="1:6" hidden="1" x14ac:dyDescent="0.25">
      <c r="A20" s="3">
        <v>45077</v>
      </c>
      <c r="B20" s="2" t="s">
        <v>72</v>
      </c>
      <c r="C20" s="2">
        <v>54</v>
      </c>
      <c r="D20" s="2">
        <v>64</v>
      </c>
      <c r="E20" s="2">
        <v>11</v>
      </c>
      <c r="F20" s="17">
        <v>3440.9</v>
      </c>
    </row>
    <row r="21" spans="1:6" hidden="1" x14ac:dyDescent="0.25">
      <c r="A21" s="3">
        <v>45078</v>
      </c>
      <c r="B21" s="2" t="s">
        <v>72</v>
      </c>
      <c r="C21" s="2">
        <v>88</v>
      </c>
      <c r="D21" s="2">
        <v>64</v>
      </c>
      <c r="E21" s="2">
        <v>10</v>
      </c>
      <c r="F21" s="17">
        <v>5234.2</v>
      </c>
    </row>
    <row r="22" spans="1:6" hidden="1" x14ac:dyDescent="0.25">
      <c r="A22" s="3">
        <v>45079</v>
      </c>
      <c r="B22" s="2" t="s">
        <v>72</v>
      </c>
      <c r="C22" s="2">
        <v>96</v>
      </c>
      <c r="D22" s="2">
        <v>54</v>
      </c>
      <c r="E22" s="2">
        <v>25</v>
      </c>
      <c r="F22" s="2">
        <v>14344.1</v>
      </c>
    </row>
    <row r="23" spans="1:6" hidden="1" x14ac:dyDescent="0.25">
      <c r="A23" s="3">
        <v>45079</v>
      </c>
      <c r="B23" s="2" t="s">
        <v>72</v>
      </c>
      <c r="C23" s="2">
        <v>88</v>
      </c>
      <c r="D23" s="2">
        <v>64</v>
      </c>
      <c r="E23" s="2">
        <v>10</v>
      </c>
      <c r="F23" s="2">
        <v>5282.7</v>
      </c>
    </row>
    <row r="24" spans="1:6" hidden="1" x14ac:dyDescent="0.25">
      <c r="A24" s="3">
        <v>45079</v>
      </c>
      <c r="B24" s="2" t="s">
        <v>72</v>
      </c>
      <c r="C24" s="2">
        <v>80.5</v>
      </c>
      <c r="D24" s="2">
        <v>54</v>
      </c>
      <c r="E24" s="2">
        <v>7</v>
      </c>
      <c r="F24" s="2">
        <v>3122.5</v>
      </c>
    </row>
    <row r="25" spans="1:6" hidden="1" x14ac:dyDescent="0.25">
      <c r="A25" s="3">
        <v>45079</v>
      </c>
      <c r="B25" s="2" t="s">
        <v>72</v>
      </c>
      <c r="C25" s="2">
        <v>96</v>
      </c>
      <c r="D25" s="2">
        <v>54</v>
      </c>
      <c r="E25" s="2">
        <v>28</v>
      </c>
      <c r="F25" s="2">
        <v>15721.5</v>
      </c>
    </row>
    <row r="26" spans="1:6" hidden="1" x14ac:dyDescent="0.25">
      <c r="A26" s="3">
        <v>45079</v>
      </c>
      <c r="B26" s="2" t="s">
        <v>72</v>
      </c>
      <c r="C26" s="2">
        <v>54</v>
      </c>
      <c r="D26" s="2">
        <v>64</v>
      </c>
      <c r="E26" s="2">
        <v>1</v>
      </c>
      <c r="F26" s="2">
        <v>277.8</v>
      </c>
    </row>
    <row r="27" spans="1:6" hidden="1" x14ac:dyDescent="0.25">
      <c r="A27" s="3">
        <v>45079</v>
      </c>
      <c r="B27" s="2" t="s">
        <v>72</v>
      </c>
      <c r="C27" s="2">
        <v>80.5</v>
      </c>
      <c r="D27" s="2">
        <v>54</v>
      </c>
      <c r="E27" s="2">
        <v>1</v>
      </c>
      <c r="F27" s="2">
        <v>459.6</v>
      </c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</sheetData>
  <autoFilter ref="A2:F27" xr:uid="{00000000-0009-0000-0000-000001000000}">
    <filterColumn colId="0">
      <filters>
        <dateGroupItem year="2023" month="5" day="12" dateTimeGrouping="d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1"/>
  <sheetViews>
    <sheetView tabSelected="1" topLeftCell="B1" zoomScaleNormal="100" workbookViewId="0">
      <pane ySplit="5" topLeftCell="A6" activePane="bottomLeft" state="frozen"/>
      <selection pane="bottomLeft" activeCell="A4" sqref="A4:Q6"/>
    </sheetView>
  </sheetViews>
  <sheetFormatPr defaultRowHeight="15" outlineLevelCol="1" x14ac:dyDescent="0.25"/>
  <cols>
    <col min="1" max="1" width="9.140625" style="1" customWidth="1" outlineLevel="1"/>
    <col min="2" max="2" width="17.5703125" style="1" customWidth="1" outlineLevel="1"/>
    <col min="3" max="7" width="9.140625" style="1" customWidth="1" outlineLevel="1"/>
    <col min="8" max="8" width="10.5703125" style="1" customWidth="1"/>
    <col min="9" max="9" width="16.85546875" style="1" customWidth="1"/>
    <col min="10" max="12" width="9.140625" style="1"/>
    <col min="13" max="14" width="11" style="1" customWidth="1"/>
    <col min="15" max="15" width="17.7109375" style="1" customWidth="1"/>
    <col min="16" max="16" width="12.7109375" style="29" bestFit="1" customWidth="1"/>
    <col min="17" max="17" width="9.140625" style="29"/>
    <col min="18" max="16384" width="9.140625" style="1"/>
  </cols>
  <sheetData>
    <row r="1" spans="1:21" x14ac:dyDescent="0.25">
      <c r="E1" s="45" t="s">
        <v>10</v>
      </c>
      <c r="F1" s="9" t="s">
        <v>11</v>
      </c>
      <c r="G1" s="10">
        <f>+F3-K3</f>
        <v>139</v>
      </c>
      <c r="P1" s="1"/>
      <c r="Q1" s="1"/>
    </row>
    <row r="2" spans="1:21" x14ac:dyDescent="0.25">
      <c r="E2" s="45"/>
      <c r="F2" s="9" t="s">
        <v>4</v>
      </c>
      <c r="G2" s="10">
        <f>+G3-L3</f>
        <v>74061.399999999965</v>
      </c>
      <c r="P2" s="1"/>
      <c r="Q2" s="1"/>
      <c r="R2" s="5" t="s">
        <v>67</v>
      </c>
      <c r="S2" s="5" t="s">
        <v>66</v>
      </c>
    </row>
    <row r="3" spans="1:21" x14ac:dyDescent="0.25">
      <c r="F3" s="6">
        <f>SUBTOTAL(9,F6:F2503)</f>
        <v>445</v>
      </c>
      <c r="G3" s="39">
        <f>SUBTOTAL(9,G6:G2503)</f>
        <v>218710.70000000004</v>
      </c>
      <c r="K3" s="18">
        <f>SUBTOTAL(9,K6:K2504)</f>
        <v>306</v>
      </c>
      <c r="L3" s="18">
        <f>SUBTOTAL(9,L6:L2504)</f>
        <v>144649.30000000008</v>
      </c>
      <c r="O3" s="18">
        <f>SUBTOTAL(9,O6:O2504)</f>
        <v>7614300</v>
      </c>
      <c r="P3" s="18">
        <f>SUBTOTAL(9,P6:P2504)</f>
        <v>143717.99592480008</v>
      </c>
      <c r="Q3" s="18">
        <f>SUBTOTAL(9,Q6:Q2504)</f>
        <v>-74992.704075199988</v>
      </c>
      <c r="R3" s="1">
        <f>+O3/500</f>
        <v>15228.6</v>
      </c>
      <c r="S3" s="21">
        <f>80*54*34.5/20000</f>
        <v>7.452</v>
      </c>
      <c r="T3" s="1">
        <f>+L3/R3</f>
        <v>9.4985290834351197</v>
      </c>
      <c r="U3" s="1">
        <f>+S3-T3</f>
        <v>-2.0465290834351197</v>
      </c>
    </row>
    <row r="4" spans="1:21" s="5" customFormat="1" x14ac:dyDescent="0.25">
      <c r="A4" s="43" t="s">
        <v>6</v>
      </c>
      <c r="B4" s="43"/>
      <c r="C4" s="43"/>
      <c r="D4" s="43"/>
      <c r="E4" s="43"/>
      <c r="F4" s="43"/>
      <c r="G4" s="43"/>
      <c r="H4" s="44" t="s">
        <v>7</v>
      </c>
      <c r="I4" s="44"/>
      <c r="J4" s="44"/>
      <c r="K4" s="44"/>
      <c r="L4" s="44"/>
      <c r="M4" s="46" t="s">
        <v>17</v>
      </c>
      <c r="N4" s="46"/>
      <c r="O4" s="46"/>
      <c r="P4" s="46"/>
      <c r="Q4" s="46"/>
      <c r="U4" s="5">
        <f>+U3*R3</f>
        <v>-31165.772800000064</v>
      </c>
    </row>
    <row r="5" spans="1:21" s="5" customFormat="1" x14ac:dyDescent="0.25">
      <c r="A5" s="4" t="s">
        <v>0</v>
      </c>
      <c r="B5" s="4" t="s">
        <v>1</v>
      </c>
      <c r="C5" s="4" t="s">
        <v>2</v>
      </c>
      <c r="D5" s="4" t="s">
        <v>8</v>
      </c>
      <c r="E5" s="4" t="s">
        <v>5</v>
      </c>
      <c r="F5" s="4" t="s">
        <v>3</v>
      </c>
      <c r="G5" s="4" t="s">
        <v>4</v>
      </c>
      <c r="H5" s="4" t="s">
        <v>0</v>
      </c>
      <c r="I5" s="4" t="s">
        <v>9</v>
      </c>
      <c r="J5" s="4" t="s">
        <v>5</v>
      </c>
      <c r="K5" s="4" t="s">
        <v>3</v>
      </c>
      <c r="L5" s="4" t="s">
        <v>4</v>
      </c>
      <c r="M5" s="4" t="s">
        <v>12</v>
      </c>
      <c r="N5" s="4" t="s">
        <v>14</v>
      </c>
      <c r="O5" s="4" t="s">
        <v>13</v>
      </c>
      <c r="P5" s="4" t="s">
        <v>15</v>
      </c>
      <c r="Q5" s="4" t="s">
        <v>16</v>
      </c>
      <c r="U5" s="5">
        <f>+Q3/L3*100</f>
        <v>-51.844498435319039</v>
      </c>
    </row>
    <row r="6" spans="1:21" x14ac:dyDescent="0.25">
      <c r="A6" s="50">
        <v>45058</v>
      </c>
      <c r="B6" s="51" t="s">
        <v>18</v>
      </c>
      <c r="C6" s="2">
        <v>80</v>
      </c>
      <c r="D6" s="2">
        <v>54</v>
      </c>
      <c r="E6" s="2">
        <v>9210</v>
      </c>
      <c r="F6" s="2">
        <v>1</v>
      </c>
      <c r="G6" s="52">
        <v>447</v>
      </c>
      <c r="H6" s="3">
        <v>45059</v>
      </c>
      <c r="I6" s="51" t="s">
        <v>27</v>
      </c>
      <c r="J6" s="2">
        <f t="shared" ref="J6:L7" si="0">+E6</f>
        <v>9210</v>
      </c>
      <c r="K6" s="2">
        <f t="shared" si="0"/>
        <v>1</v>
      </c>
      <c r="L6" s="2">
        <f t="shared" si="0"/>
        <v>447</v>
      </c>
      <c r="M6" s="7" t="s">
        <v>30</v>
      </c>
      <c r="N6" s="2">
        <f>69/2</f>
        <v>34.5</v>
      </c>
      <c r="O6" s="2">
        <v>29372</v>
      </c>
      <c r="P6" s="8">
        <f>(O6/20000/500)*C6*D6*N6</f>
        <v>437.76028799999995</v>
      </c>
      <c r="Q6" s="8">
        <f>+P6-G6</f>
        <v>-9.2397120000000541</v>
      </c>
    </row>
    <row r="7" spans="1:21" x14ac:dyDescent="0.25">
      <c r="A7" s="3">
        <v>45058</v>
      </c>
      <c r="B7" s="2" t="s">
        <v>18</v>
      </c>
      <c r="C7" s="2">
        <v>80</v>
      </c>
      <c r="D7" s="2">
        <v>54</v>
      </c>
      <c r="E7" s="2">
        <v>9215</v>
      </c>
      <c r="F7" s="2">
        <v>1</v>
      </c>
      <c r="G7" s="8">
        <v>471</v>
      </c>
      <c r="H7" s="3">
        <v>45059</v>
      </c>
      <c r="I7" s="2" t="s">
        <v>27</v>
      </c>
      <c r="J7" s="2">
        <f t="shared" si="0"/>
        <v>9215</v>
      </c>
      <c r="K7" s="2">
        <f t="shared" si="0"/>
        <v>1</v>
      </c>
      <c r="L7" s="2">
        <f t="shared" si="0"/>
        <v>471</v>
      </c>
      <c r="M7" s="7" t="s">
        <v>30</v>
      </c>
      <c r="N7" s="2">
        <f>69/2</f>
        <v>34.5</v>
      </c>
      <c r="O7" s="2">
        <v>32341</v>
      </c>
      <c r="P7" s="8">
        <f t="shared" ref="P7:P46" si="1">(O7/20000/500)*C7*D7*N7</f>
        <v>482.01026400000006</v>
      </c>
      <c r="Q7" s="8">
        <f t="shared" ref="Q7:Q46" si="2">+P7-G7</f>
        <v>11.010264000000063</v>
      </c>
    </row>
    <row r="8" spans="1:21" x14ac:dyDescent="0.25">
      <c r="A8" s="3">
        <v>45058</v>
      </c>
      <c r="B8" s="2" t="s">
        <v>18</v>
      </c>
      <c r="C8" s="2">
        <v>80</v>
      </c>
      <c r="D8" s="2">
        <v>54</v>
      </c>
      <c r="E8" s="2">
        <v>9230</v>
      </c>
      <c r="F8" s="2">
        <v>1</v>
      </c>
      <c r="G8" s="8">
        <v>438</v>
      </c>
      <c r="H8" s="3"/>
      <c r="I8" s="2"/>
      <c r="J8" s="2"/>
      <c r="K8" s="2"/>
      <c r="L8" s="2"/>
      <c r="M8" s="2"/>
      <c r="N8" s="2"/>
      <c r="O8" s="2"/>
      <c r="P8" s="8">
        <f t="shared" si="1"/>
        <v>0</v>
      </c>
      <c r="Q8" s="8">
        <f t="shared" si="2"/>
        <v>-438</v>
      </c>
    </row>
    <row r="9" spans="1:21" x14ac:dyDescent="0.25">
      <c r="A9" s="3">
        <v>45058</v>
      </c>
      <c r="B9" s="2" t="s">
        <v>18</v>
      </c>
      <c r="C9" s="2">
        <v>80</v>
      </c>
      <c r="D9" s="2">
        <v>54</v>
      </c>
      <c r="E9" s="2">
        <v>9240</v>
      </c>
      <c r="F9" s="2">
        <v>1</v>
      </c>
      <c r="G9" s="8">
        <v>446</v>
      </c>
      <c r="H9" s="3">
        <v>45059</v>
      </c>
      <c r="I9" s="2" t="s">
        <v>27</v>
      </c>
      <c r="J9" s="2">
        <f t="shared" ref="J9:L11" si="3">+E9</f>
        <v>9240</v>
      </c>
      <c r="K9" s="2">
        <f t="shared" si="3"/>
        <v>1</v>
      </c>
      <c r="L9" s="2">
        <f t="shared" si="3"/>
        <v>446</v>
      </c>
      <c r="M9" s="7" t="s">
        <v>30</v>
      </c>
      <c r="N9" s="2">
        <f>69/2</f>
        <v>34.5</v>
      </c>
      <c r="O9" s="2">
        <v>29049</v>
      </c>
      <c r="P9" s="8">
        <f t="shared" si="1"/>
        <v>432.94629600000007</v>
      </c>
      <c r="Q9" s="8">
        <f t="shared" si="2"/>
        <v>-13.053703999999925</v>
      </c>
    </row>
    <row r="10" spans="1:21" x14ac:dyDescent="0.25">
      <c r="A10" s="3">
        <v>45058</v>
      </c>
      <c r="B10" s="2" t="s">
        <v>18</v>
      </c>
      <c r="C10" s="2">
        <v>80</v>
      </c>
      <c r="D10" s="2">
        <v>54</v>
      </c>
      <c r="E10" s="2">
        <v>9255</v>
      </c>
      <c r="F10" s="2">
        <v>1</v>
      </c>
      <c r="G10" s="8">
        <v>458</v>
      </c>
      <c r="H10" s="3">
        <v>45059</v>
      </c>
      <c r="I10" s="2" t="s">
        <v>27</v>
      </c>
      <c r="J10" s="2">
        <f t="shared" si="3"/>
        <v>9255</v>
      </c>
      <c r="K10" s="2">
        <f t="shared" si="3"/>
        <v>1</v>
      </c>
      <c r="L10" s="2">
        <f t="shared" si="3"/>
        <v>458</v>
      </c>
      <c r="M10" s="7" t="s">
        <v>30</v>
      </c>
      <c r="N10" s="2">
        <f>69/2</f>
        <v>34.5</v>
      </c>
      <c r="O10" s="2">
        <v>30180</v>
      </c>
      <c r="P10" s="8">
        <f t="shared" si="1"/>
        <v>449.80271999999997</v>
      </c>
      <c r="Q10" s="8">
        <f t="shared" si="2"/>
        <v>-8.1972800000000348</v>
      </c>
    </row>
    <row r="11" spans="1:21" x14ac:dyDescent="0.25">
      <c r="A11" s="3">
        <v>45058</v>
      </c>
      <c r="B11" s="2" t="s">
        <v>18</v>
      </c>
      <c r="C11" s="2">
        <v>80</v>
      </c>
      <c r="D11" s="2">
        <v>54</v>
      </c>
      <c r="E11" s="2">
        <v>9259</v>
      </c>
      <c r="F11" s="2">
        <v>1</v>
      </c>
      <c r="G11" s="8">
        <v>368</v>
      </c>
      <c r="H11" s="3">
        <v>45059</v>
      </c>
      <c r="I11" s="2" t="s">
        <v>27</v>
      </c>
      <c r="J11" s="2">
        <f t="shared" si="3"/>
        <v>9259</v>
      </c>
      <c r="K11" s="2">
        <f t="shared" si="3"/>
        <v>1</v>
      </c>
      <c r="L11" s="2">
        <f t="shared" si="3"/>
        <v>368</v>
      </c>
      <c r="M11" s="7" t="s">
        <v>30</v>
      </c>
      <c r="N11" s="2">
        <f>69/2</f>
        <v>34.5</v>
      </c>
      <c r="O11" s="2">
        <v>24624</v>
      </c>
      <c r="P11" s="8">
        <f t="shared" si="1"/>
        <v>366.99609600000002</v>
      </c>
      <c r="Q11" s="8">
        <f t="shared" si="2"/>
        <v>-1.0039039999999773</v>
      </c>
    </row>
    <row r="12" spans="1:21" x14ac:dyDescent="0.25">
      <c r="A12" s="3">
        <v>45058</v>
      </c>
      <c r="B12" s="2" t="s">
        <v>18</v>
      </c>
      <c r="C12" s="2">
        <v>80</v>
      </c>
      <c r="D12" s="2">
        <v>54</v>
      </c>
      <c r="E12" s="2">
        <v>9260</v>
      </c>
      <c r="F12" s="2">
        <v>1</v>
      </c>
      <c r="G12" s="8">
        <v>366</v>
      </c>
      <c r="H12" s="2"/>
      <c r="I12" s="2"/>
      <c r="J12" s="2"/>
      <c r="K12" s="2"/>
      <c r="L12" s="2"/>
      <c r="M12" s="2"/>
      <c r="N12" s="2"/>
      <c r="O12" s="2"/>
      <c r="P12" s="8">
        <f t="shared" si="1"/>
        <v>0</v>
      </c>
      <c r="Q12" s="8">
        <f t="shared" si="2"/>
        <v>-366</v>
      </c>
    </row>
    <row r="13" spans="1:21" x14ac:dyDescent="0.25">
      <c r="A13" s="3">
        <v>45058</v>
      </c>
      <c r="B13" s="2" t="s">
        <v>18</v>
      </c>
      <c r="C13" s="2">
        <v>80</v>
      </c>
      <c r="D13" s="2">
        <v>54</v>
      </c>
      <c r="E13" s="2">
        <v>9265</v>
      </c>
      <c r="F13" s="2">
        <v>1</v>
      </c>
      <c r="G13" s="8">
        <v>455</v>
      </c>
      <c r="H13" s="3">
        <v>45059</v>
      </c>
      <c r="I13" s="2" t="s">
        <v>27</v>
      </c>
      <c r="J13" s="2">
        <f>+E13</f>
        <v>9265</v>
      </c>
      <c r="K13" s="2">
        <f>+F13</f>
        <v>1</v>
      </c>
      <c r="L13" s="2">
        <f>+G13</f>
        <v>455</v>
      </c>
      <c r="M13" s="7" t="s">
        <v>30</v>
      </c>
      <c r="N13" s="2">
        <f>69/2</f>
        <v>34.5</v>
      </c>
      <c r="O13" s="2">
        <v>30468</v>
      </c>
      <c r="P13" s="8">
        <f t="shared" si="1"/>
        <v>454.09507200000002</v>
      </c>
      <c r="Q13" s="8">
        <f t="shared" si="2"/>
        <v>-0.90492799999998397</v>
      </c>
    </row>
    <row r="14" spans="1:21" x14ac:dyDescent="0.25">
      <c r="A14" s="3">
        <v>45058</v>
      </c>
      <c r="B14" s="2" t="s">
        <v>18</v>
      </c>
      <c r="C14" s="2">
        <v>86</v>
      </c>
      <c r="D14" s="2">
        <v>54</v>
      </c>
      <c r="E14" s="2">
        <v>9208</v>
      </c>
      <c r="F14" s="2">
        <v>1</v>
      </c>
      <c r="G14" s="8">
        <v>485</v>
      </c>
      <c r="H14" s="3">
        <v>45059</v>
      </c>
      <c r="I14" s="2" t="s">
        <v>27</v>
      </c>
      <c r="J14" s="2">
        <f t="shared" ref="J14" si="4">+E14</f>
        <v>9208</v>
      </c>
      <c r="K14" s="2">
        <f t="shared" ref="K14" si="5">+F14</f>
        <v>1</v>
      </c>
      <c r="L14" s="2">
        <f t="shared" ref="L14" si="6">+G14</f>
        <v>485</v>
      </c>
      <c r="M14" s="2" t="s">
        <v>29</v>
      </c>
      <c r="N14" s="2">
        <v>42</v>
      </c>
      <c r="O14" s="2">
        <v>24188</v>
      </c>
      <c r="P14" s="8">
        <f t="shared" ref="P14" si="7">(O14/20000/500)*C14*D14*N14</f>
        <v>471.78210239999999</v>
      </c>
      <c r="Q14" s="8">
        <f t="shared" si="2"/>
        <v>-13.217897600000015</v>
      </c>
    </row>
    <row r="15" spans="1:21" x14ac:dyDescent="0.25">
      <c r="A15" s="3">
        <v>45058</v>
      </c>
      <c r="B15" s="2" t="s">
        <v>18</v>
      </c>
      <c r="C15" s="2">
        <v>86</v>
      </c>
      <c r="D15" s="2">
        <v>54</v>
      </c>
      <c r="E15" s="2">
        <v>9209</v>
      </c>
      <c r="F15" s="2" t="s">
        <v>87</v>
      </c>
      <c r="G15" s="8">
        <v>483</v>
      </c>
      <c r="H15" s="3">
        <v>45059</v>
      </c>
      <c r="I15" s="2" t="s">
        <v>27</v>
      </c>
      <c r="J15" s="2">
        <f t="shared" ref="J15" si="8">+E15</f>
        <v>9209</v>
      </c>
      <c r="K15" s="2" t="str">
        <f t="shared" ref="K15" si="9">+F15</f>
        <v xml:space="preserve"> </v>
      </c>
      <c r="L15" s="2">
        <f t="shared" ref="L15" si="10">+G15</f>
        <v>483</v>
      </c>
      <c r="M15" s="2" t="s">
        <v>29</v>
      </c>
      <c r="N15" s="2">
        <v>42</v>
      </c>
      <c r="O15" s="2">
        <v>24283</v>
      </c>
      <c r="P15" s="8">
        <f t="shared" ref="P15" si="11">(O15/20000/500)*C15*D15*N15</f>
        <v>473.63505839999993</v>
      </c>
      <c r="Q15" s="8">
        <f t="shared" si="2"/>
        <v>-9.3649416000000656</v>
      </c>
    </row>
    <row r="16" spans="1:21" x14ac:dyDescent="0.25">
      <c r="A16" s="3">
        <v>45058</v>
      </c>
      <c r="B16" s="2" t="s">
        <v>18</v>
      </c>
      <c r="C16" s="2">
        <v>86</v>
      </c>
      <c r="D16" s="2">
        <v>54</v>
      </c>
      <c r="E16" s="2">
        <v>9213</v>
      </c>
      <c r="F16" s="2">
        <v>1</v>
      </c>
      <c r="G16" s="8">
        <v>508</v>
      </c>
      <c r="H16" s="3">
        <v>45058</v>
      </c>
      <c r="I16" s="2" t="s">
        <v>27</v>
      </c>
      <c r="J16" s="2">
        <f t="shared" ref="J16:L20" si="12">+E16</f>
        <v>9213</v>
      </c>
      <c r="K16" s="2">
        <f t="shared" si="12"/>
        <v>1</v>
      </c>
      <c r="L16" s="2">
        <f t="shared" si="12"/>
        <v>508</v>
      </c>
      <c r="M16" s="2" t="s">
        <v>29</v>
      </c>
      <c r="N16" s="2">
        <v>42</v>
      </c>
      <c r="O16" s="2">
        <v>26087</v>
      </c>
      <c r="P16" s="8">
        <f t="shared" si="1"/>
        <v>508.8217176</v>
      </c>
      <c r="Q16" s="8">
        <f t="shared" si="2"/>
        <v>0.82171759999999949</v>
      </c>
    </row>
    <row r="17" spans="1:17" x14ac:dyDescent="0.25">
      <c r="A17" s="3">
        <v>45058</v>
      </c>
      <c r="B17" s="2" t="s">
        <v>18</v>
      </c>
      <c r="C17" s="2">
        <v>86</v>
      </c>
      <c r="D17" s="2">
        <v>54</v>
      </c>
      <c r="E17" s="2">
        <v>9225</v>
      </c>
      <c r="F17" s="2">
        <v>1</v>
      </c>
      <c r="G17" s="8">
        <v>477</v>
      </c>
      <c r="H17" s="3">
        <v>45058</v>
      </c>
      <c r="I17" s="2" t="s">
        <v>27</v>
      </c>
      <c r="J17" s="2">
        <f t="shared" si="12"/>
        <v>9225</v>
      </c>
      <c r="K17" s="2">
        <f t="shared" si="12"/>
        <v>1</v>
      </c>
      <c r="L17" s="2">
        <f t="shared" si="12"/>
        <v>477</v>
      </c>
      <c r="M17" s="2" t="s">
        <v>30</v>
      </c>
      <c r="N17" s="2">
        <v>42</v>
      </c>
      <c r="O17" s="2">
        <v>24168</v>
      </c>
      <c r="P17" s="8">
        <f t="shared" si="1"/>
        <v>471.3920063999999</v>
      </c>
      <c r="Q17" s="8">
        <f t="shared" si="2"/>
        <v>-5.6079936000000998</v>
      </c>
    </row>
    <row r="18" spans="1:17" x14ac:dyDescent="0.25">
      <c r="A18" s="3">
        <v>45058</v>
      </c>
      <c r="B18" s="2" t="s">
        <v>18</v>
      </c>
      <c r="C18" s="2">
        <v>86</v>
      </c>
      <c r="D18" s="2">
        <v>54</v>
      </c>
      <c r="E18" s="2">
        <v>9229</v>
      </c>
      <c r="F18" s="2">
        <v>1</v>
      </c>
      <c r="G18" s="8">
        <v>474</v>
      </c>
      <c r="H18" s="3">
        <v>45058</v>
      </c>
      <c r="I18" s="2" t="s">
        <v>27</v>
      </c>
      <c r="J18" s="2">
        <f t="shared" si="12"/>
        <v>9229</v>
      </c>
      <c r="K18" s="2">
        <f t="shared" si="12"/>
        <v>1</v>
      </c>
      <c r="L18" s="2">
        <f t="shared" si="12"/>
        <v>474</v>
      </c>
      <c r="M18" s="2" t="s">
        <v>30</v>
      </c>
      <c r="N18" s="2">
        <v>42</v>
      </c>
      <c r="O18" s="2">
        <v>24119</v>
      </c>
      <c r="P18" s="8">
        <f t="shared" si="1"/>
        <v>470.43627120000002</v>
      </c>
      <c r="Q18" s="8">
        <f t="shared" si="2"/>
        <v>-3.5637287999999785</v>
      </c>
    </row>
    <row r="19" spans="1:17" x14ac:dyDescent="0.25">
      <c r="A19" s="3">
        <v>45058</v>
      </c>
      <c r="B19" s="2" t="s">
        <v>18</v>
      </c>
      <c r="C19" s="2">
        <v>86</v>
      </c>
      <c r="D19" s="2">
        <v>54</v>
      </c>
      <c r="E19" s="2">
        <v>9234</v>
      </c>
      <c r="F19" s="2">
        <v>1</v>
      </c>
      <c r="G19" s="8">
        <v>481</v>
      </c>
      <c r="H19" s="3">
        <v>45058</v>
      </c>
      <c r="I19" s="2" t="s">
        <v>27</v>
      </c>
      <c r="J19" s="2">
        <f t="shared" si="12"/>
        <v>9234</v>
      </c>
      <c r="K19" s="2">
        <f t="shared" si="12"/>
        <v>1</v>
      </c>
      <c r="L19" s="2">
        <f t="shared" si="12"/>
        <v>481</v>
      </c>
      <c r="M19" s="2" t="s">
        <v>30</v>
      </c>
      <c r="N19" s="2">
        <v>42</v>
      </c>
      <c r="O19" s="2">
        <v>24750</v>
      </c>
      <c r="P19" s="8">
        <f t="shared" si="1"/>
        <v>482.74380000000002</v>
      </c>
      <c r="Q19" s="8">
        <f t="shared" si="2"/>
        <v>1.7438000000000216</v>
      </c>
    </row>
    <row r="20" spans="1:17" x14ac:dyDescent="0.25">
      <c r="A20" s="3">
        <v>45058</v>
      </c>
      <c r="B20" s="2" t="s">
        <v>18</v>
      </c>
      <c r="C20" s="2">
        <v>86</v>
      </c>
      <c r="D20" s="2">
        <v>54</v>
      </c>
      <c r="E20" s="2">
        <v>9243</v>
      </c>
      <c r="F20" s="2">
        <v>1</v>
      </c>
      <c r="G20" s="8">
        <v>481</v>
      </c>
      <c r="H20" s="3">
        <v>45059</v>
      </c>
      <c r="I20" s="2" t="s">
        <v>27</v>
      </c>
      <c r="J20" s="2">
        <f t="shared" si="12"/>
        <v>9243</v>
      </c>
      <c r="K20" s="2">
        <f t="shared" si="12"/>
        <v>1</v>
      </c>
      <c r="L20" s="2">
        <f t="shared" si="12"/>
        <v>481</v>
      </c>
      <c r="M20" s="2" t="s">
        <v>29</v>
      </c>
      <c r="N20" s="2">
        <v>42</v>
      </c>
      <c r="O20" s="2">
        <v>24722</v>
      </c>
      <c r="P20" s="8">
        <f t="shared" si="1"/>
        <v>482.19766559999999</v>
      </c>
      <c r="Q20" s="8">
        <f t="shared" si="2"/>
        <v>1.1976655999999934</v>
      </c>
    </row>
    <row r="21" spans="1:17" x14ac:dyDescent="0.25">
      <c r="A21" s="3">
        <v>45058</v>
      </c>
      <c r="B21" s="2" t="s">
        <v>18</v>
      </c>
      <c r="C21" s="2">
        <v>86</v>
      </c>
      <c r="D21" s="2">
        <v>54</v>
      </c>
      <c r="E21" s="2">
        <v>9244</v>
      </c>
      <c r="F21" s="2">
        <v>1</v>
      </c>
      <c r="G21" s="8">
        <v>482</v>
      </c>
      <c r="H21" s="3">
        <v>45058</v>
      </c>
      <c r="I21" s="2" t="s">
        <v>27</v>
      </c>
      <c r="J21" s="2">
        <f t="shared" ref="J21:L24" si="13">+E21</f>
        <v>9244</v>
      </c>
      <c r="K21" s="2">
        <f t="shared" si="13"/>
        <v>1</v>
      </c>
      <c r="L21" s="2">
        <f t="shared" si="13"/>
        <v>482</v>
      </c>
      <c r="M21" s="2" t="s">
        <v>30</v>
      </c>
      <c r="N21" s="2">
        <v>42</v>
      </c>
      <c r="O21" s="2">
        <v>24609</v>
      </c>
      <c r="P21" s="8">
        <f t="shared" si="1"/>
        <v>479.99362320000006</v>
      </c>
      <c r="Q21" s="8">
        <f t="shared" si="2"/>
        <v>-2.0063767999999413</v>
      </c>
    </row>
    <row r="22" spans="1:17" x14ac:dyDescent="0.25">
      <c r="A22" s="3">
        <v>45058</v>
      </c>
      <c r="B22" s="2" t="s">
        <v>18</v>
      </c>
      <c r="C22" s="2">
        <v>86</v>
      </c>
      <c r="D22" s="2">
        <v>54</v>
      </c>
      <c r="E22" s="2">
        <v>9248</v>
      </c>
      <c r="F22" s="2">
        <v>1</v>
      </c>
      <c r="G22" s="8">
        <v>504</v>
      </c>
      <c r="H22" s="3">
        <v>45058</v>
      </c>
      <c r="I22" s="2" t="s">
        <v>27</v>
      </c>
      <c r="J22" s="2">
        <f t="shared" si="13"/>
        <v>9248</v>
      </c>
      <c r="K22" s="2">
        <f t="shared" si="13"/>
        <v>1</v>
      </c>
      <c r="L22" s="2">
        <f t="shared" si="13"/>
        <v>504</v>
      </c>
      <c r="M22" s="2" t="s">
        <v>29</v>
      </c>
      <c r="N22" s="2">
        <v>42</v>
      </c>
      <c r="O22" s="2">
        <v>25931</v>
      </c>
      <c r="P22" s="8">
        <f t="shared" si="1"/>
        <v>505.77896879999997</v>
      </c>
      <c r="Q22" s="8">
        <f t="shared" si="2"/>
        <v>1.7789687999999728</v>
      </c>
    </row>
    <row r="23" spans="1:17" x14ac:dyDescent="0.25">
      <c r="A23" s="3">
        <v>45058</v>
      </c>
      <c r="B23" s="2" t="s">
        <v>18</v>
      </c>
      <c r="C23" s="2">
        <v>86</v>
      </c>
      <c r="D23" s="2">
        <v>54</v>
      </c>
      <c r="E23" s="2">
        <v>9249</v>
      </c>
      <c r="F23" s="2">
        <v>1</v>
      </c>
      <c r="G23" s="8">
        <v>489</v>
      </c>
      <c r="H23" s="3">
        <v>45058</v>
      </c>
      <c r="I23" s="2" t="s">
        <v>27</v>
      </c>
      <c r="J23" s="2">
        <f t="shared" si="13"/>
        <v>9249</v>
      </c>
      <c r="K23" s="2">
        <f t="shared" si="13"/>
        <v>1</v>
      </c>
      <c r="L23" s="2">
        <f t="shared" si="13"/>
        <v>489</v>
      </c>
      <c r="M23" s="2" t="s">
        <v>30</v>
      </c>
      <c r="N23" s="2">
        <v>42</v>
      </c>
      <c r="O23" s="2">
        <v>25142</v>
      </c>
      <c r="P23" s="8">
        <f t="shared" si="1"/>
        <v>490.38968160000007</v>
      </c>
      <c r="Q23" s="8">
        <f t="shared" si="2"/>
        <v>1.389681600000074</v>
      </c>
    </row>
    <row r="24" spans="1:17" x14ac:dyDescent="0.25">
      <c r="A24" s="3">
        <v>45058</v>
      </c>
      <c r="B24" s="2" t="s">
        <v>18</v>
      </c>
      <c r="C24" s="2">
        <v>96</v>
      </c>
      <c r="D24" s="2">
        <v>54</v>
      </c>
      <c r="E24" s="2">
        <v>9206</v>
      </c>
      <c r="F24" s="2">
        <v>1</v>
      </c>
      <c r="G24" s="8">
        <v>535</v>
      </c>
      <c r="H24" s="3">
        <v>45059</v>
      </c>
      <c r="I24" s="2" t="s">
        <v>28</v>
      </c>
      <c r="J24" s="2">
        <f t="shared" si="13"/>
        <v>9206</v>
      </c>
      <c r="K24" s="2">
        <f t="shared" si="13"/>
        <v>1</v>
      </c>
      <c r="L24" s="2">
        <f t="shared" si="13"/>
        <v>535</v>
      </c>
      <c r="M24" s="2" t="s">
        <v>30</v>
      </c>
      <c r="N24" s="2">
        <v>36.5</v>
      </c>
      <c r="O24" s="2">
        <v>27726</v>
      </c>
      <c r="P24" s="8">
        <f t="shared" ref="P24" si="14">(O24/20000/500)*C24*D24*N24</f>
        <v>524.6202816</v>
      </c>
      <c r="Q24" s="8">
        <f t="shared" si="2"/>
        <v>-10.379718400000002</v>
      </c>
    </row>
    <row r="25" spans="1:17" x14ac:dyDescent="0.25">
      <c r="A25" s="3">
        <v>45058</v>
      </c>
      <c r="B25" s="2" t="s">
        <v>18</v>
      </c>
      <c r="C25" s="2">
        <v>96</v>
      </c>
      <c r="D25" s="2">
        <v>54</v>
      </c>
      <c r="E25" s="2">
        <v>9207</v>
      </c>
      <c r="F25" s="2">
        <v>1</v>
      </c>
      <c r="G25" s="8">
        <v>537</v>
      </c>
      <c r="H25" s="3">
        <v>45058</v>
      </c>
      <c r="I25" s="2" t="s">
        <v>28</v>
      </c>
      <c r="J25" s="2">
        <f t="shared" ref="J25:L27" si="15">+E25</f>
        <v>9207</v>
      </c>
      <c r="K25" s="2">
        <f t="shared" si="15"/>
        <v>1</v>
      </c>
      <c r="L25" s="2">
        <f t="shared" si="15"/>
        <v>537</v>
      </c>
      <c r="M25" s="2" t="s">
        <v>30</v>
      </c>
      <c r="N25" s="2">
        <v>36.5</v>
      </c>
      <c r="O25" s="2">
        <v>27737</v>
      </c>
      <c r="P25" s="8">
        <f t="shared" si="1"/>
        <v>524.82841919999998</v>
      </c>
      <c r="Q25" s="8">
        <f t="shared" si="2"/>
        <v>-12.171580800000015</v>
      </c>
    </row>
    <row r="26" spans="1:17" x14ac:dyDescent="0.25">
      <c r="A26" s="3">
        <v>45058</v>
      </c>
      <c r="B26" s="2" t="s">
        <v>18</v>
      </c>
      <c r="C26" s="2">
        <v>96</v>
      </c>
      <c r="D26" s="2">
        <v>54</v>
      </c>
      <c r="E26" s="2">
        <v>9242</v>
      </c>
      <c r="F26" s="2">
        <v>1</v>
      </c>
      <c r="G26" s="8">
        <v>532</v>
      </c>
      <c r="H26" s="3">
        <v>45058</v>
      </c>
      <c r="I26" s="2" t="s">
        <v>28</v>
      </c>
      <c r="J26" s="2">
        <f t="shared" si="15"/>
        <v>9242</v>
      </c>
      <c r="K26" s="2">
        <f t="shared" si="15"/>
        <v>1</v>
      </c>
      <c r="L26" s="2">
        <f t="shared" si="15"/>
        <v>532</v>
      </c>
      <c r="M26" s="2" t="s">
        <v>30</v>
      </c>
      <c r="N26" s="2">
        <v>36.5</v>
      </c>
      <c r="O26" s="2">
        <v>28278</v>
      </c>
      <c r="P26" s="8">
        <f t="shared" si="1"/>
        <v>535.06500479999988</v>
      </c>
      <c r="Q26" s="8">
        <f t="shared" si="2"/>
        <v>3.0650047999998833</v>
      </c>
    </row>
    <row r="27" spans="1:17" x14ac:dyDescent="0.25">
      <c r="A27" s="3">
        <v>45058</v>
      </c>
      <c r="B27" s="2" t="s">
        <v>18</v>
      </c>
      <c r="C27" s="2">
        <v>96</v>
      </c>
      <c r="D27" s="2">
        <v>54</v>
      </c>
      <c r="E27" s="2">
        <v>9243</v>
      </c>
      <c r="F27" s="2">
        <v>1</v>
      </c>
      <c r="G27" s="8">
        <v>558</v>
      </c>
      <c r="H27" s="3">
        <v>45058</v>
      </c>
      <c r="I27" s="2" t="s">
        <v>28</v>
      </c>
      <c r="J27" s="2">
        <f t="shared" si="15"/>
        <v>9243</v>
      </c>
      <c r="K27" s="2">
        <f t="shared" si="15"/>
        <v>1</v>
      </c>
      <c r="L27" s="2">
        <f t="shared" si="15"/>
        <v>558</v>
      </c>
      <c r="M27" s="2" t="s">
        <v>30</v>
      </c>
      <c r="N27" s="2">
        <v>36.5</v>
      </c>
      <c r="O27" s="2">
        <v>29350</v>
      </c>
      <c r="P27" s="8">
        <f t="shared" si="1"/>
        <v>555.34896000000003</v>
      </c>
      <c r="Q27" s="8">
        <f t="shared" si="2"/>
        <v>-2.6510399999999663</v>
      </c>
    </row>
    <row r="28" spans="1:17" x14ac:dyDescent="0.25">
      <c r="A28" s="3">
        <v>45058</v>
      </c>
      <c r="B28" s="2" t="s">
        <v>18</v>
      </c>
      <c r="C28" s="2">
        <v>96</v>
      </c>
      <c r="D28" s="2">
        <v>54</v>
      </c>
      <c r="E28" s="2">
        <v>9251</v>
      </c>
      <c r="F28" s="2">
        <v>1</v>
      </c>
      <c r="G28" s="8">
        <v>526</v>
      </c>
      <c r="H28" s="3">
        <v>45060</v>
      </c>
      <c r="I28" s="2" t="s">
        <v>41</v>
      </c>
      <c r="J28" s="2">
        <f t="shared" ref="J28" si="16">+E28</f>
        <v>9251</v>
      </c>
      <c r="K28" s="2">
        <f t="shared" ref="K28" si="17">+F28</f>
        <v>1</v>
      </c>
      <c r="L28" s="2">
        <f t="shared" ref="L28" si="18">+G28</f>
        <v>526</v>
      </c>
      <c r="M28" s="2" t="s">
        <v>30</v>
      </c>
      <c r="N28" s="2">
        <v>36.5</v>
      </c>
      <c r="O28" s="2">
        <v>27942</v>
      </c>
      <c r="P28" s="8">
        <f t="shared" si="1"/>
        <v>528.70734720000007</v>
      </c>
      <c r="Q28" s="8">
        <f t="shared" si="2"/>
        <v>2.707347200000072</v>
      </c>
    </row>
    <row r="29" spans="1:17" x14ac:dyDescent="0.25">
      <c r="A29" s="3">
        <v>45058</v>
      </c>
      <c r="B29" s="2" t="s">
        <v>18</v>
      </c>
      <c r="C29" s="2">
        <v>96</v>
      </c>
      <c r="D29" s="2">
        <v>54</v>
      </c>
      <c r="E29" s="2">
        <v>9252</v>
      </c>
      <c r="F29" s="2">
        <v>1</v>
      </c>
      <c r="G29" s="8">
        <v>547</v>
      </c>
      <c r="H29" s="3">
        <v>45058</v>
      </c>
      <c r="I29" s="2" t="s">
        <v>28</v>
      </c>
      <c r="J29" s="2">
        <f>+E29</f>
        <v>9252</v>
      </c>
      <c r="K29" s="2">
        <f>+F29</f>
        <v>1</v>
      </c>
      <c r="L29" s="2">
        <f>+G29</f>
        <v>547</v>
      </c>
      <c r="M29" s="2" t="s">
        <v>30</v>
      </c>
      <c r="N29" s="2">
        <v>36.5</v>
      </c>
      <c r="O29" s="2">
        <v>28863</v>
      </c>
      <c r="P29" s="8">
        <f t="shared" si="1"/>
        <v>546.13414080000007</v>
      </c>
      <c r="Q29" s="8">
        <f t="shared" si="2"/>
        <v>-0.86585919999993166</v>
      </c>
    </row>
    <row r="30" spans="1:17" x14ac:dyDescent="0.25">
      <c r="A30" s="3">
        <v>45058</v>
      </c>
      <c r="B30" s="2" t="s">
        <v>18</v>
      </c>
      <c r="C30" s="2">
        <v>96</v>
      </c>
      <c r="D30" s="2">
        <v>54</v>
      </c>
      <c r="E30" s="2">
        <v>9256</v>
      </c>
      <c r="F30" s="2">
        <v>1</v>
      </c>
      <c r="G30" s="8">
        <v>436</v>
      </c>
      <c r="H30" s="3">
        <v>45059</v>
      </c>
      <c r="I30" s="2" t="s">
        <v>28</v>
      </c>
      <c r="J30" s="2">
        <f t="shared" ref="J30:J31" si="19">+E30</f>
        <v>9256</v>
      </c>
      <c r="K30" s="2">
        <f t="shared" ref="K30:K31" si="20">+F30</f>
        <v>1</v>
      </c>
      <c r="L30" s="2">
        <f t="shared" ref="L30:L31" si="21">+G30</f>
        <v>436</v>
      </c>
      <c r="M30" s="2" t="s">
        <v>30</v>
      </c>
      <c r="N30" s="2">
        <v>36.5</v>
      </c>
      <c r="O30" s="2">
        <v>23322</v>
      </c>
      <c r="P30" s="8">
        <f t="shared" si="1"/>
        <v>441.2895552</v>
      </c>
      <c r="Q30" s="8">
        <f t="shared" si="2"/>
        <v>5.2895551999999952</v>
      </c>
    </row>
    <row r="31" spans="1:17" x14ac:dyDescent="0.25">
      <c r="A31" s="3">
        <v>45058</v>
      </c>
      <c r="B31" s="2" t="s">
        <v>18</v>
      </c>
      <c r="C31" s="2">
        <v>96</v>
      </c>
      <c r="D31" s="2">
        <v>54</v>
      </c>
      <c r="E31" s="2">
        <v>9257</v>
      </c>
      <c r="F31" s="2">
        <v>1</v>
      </c>
      <c r="G31" s="8">
        <v>438</v>
      </c>
      <c r="H31" s="3">
        <v>45060</v>
      </c>
      <c r="I31" s="2" t="s">
        <v>41</v>
      </c>
      <c r="J31" s="2">
        <f t="shared" si="19"/>
        <v>9257</v>
      </c>
      <c r="K31" s="2">
        <f t="shared" si="20"/>
        <v>1</v>
      </c>
      <c r="L31" s="2">
        <f t="shared" si="21"/>
        <v>438</v>
      </c>
      <c r="M31" s="2" t="s">
        <v>30</v>
      </c>
      <c r="N31" s="2">
        <v>36.5</v>
      </c>
      <c r="O31" s="2">
        <v>23317</v>
      </c>
      <c r="P31" s="8">
        <f t="shared" si="1"/>
        <v>441.1949472</v>
      </c>
      <c r="Q31" s="8">
        <f t="shared" si="2"/>
        <v>3.1949472000000014</v>
      </c>
    </row>
    <row r="32" spans="1:17" x14ac:dyDescent="0.25">
      <c r="A32" s="3">
        <v>45058</v>
      </c>
      <c r="B32" s="2" t="s">
        <v>18</v>
      </c>
      <c r="C32" s="2">
        <v>96</v>
      </c>
      <c r="D32" s="2">
        <v>54</v>
      </c>
      <c r="E32" s="2">
        <v>9258</v>
      </c>
      <c r="F32" s="2">
        <v>1</v>
      </c>
      <c r="G32" s="8">
        <v>441</v>
      </c>
      <c r="H32" s="3">
        <v>45059</v>
      </c>
      <c r="I32" s="2" t="s">
        <v>28</v>
      </c>
      <c r="J32" s="2">
        <f t="shared" ref="J32" si="22">+E32</f>
        <v>9258</v>
      </c>
      <c r="K32" s="2">
        <f t="shared" ref="K32" si="23">+F32</f>
        <v>1</v>
      </c>
      <c r="L32" s="2">
        <f t="shared" ref="L32" si="24">+G32</f>
        <v>441</v>
      </c>
      <c r="M32" s="2" t="s">
        <v>30</v>
      </c>
      <c r="N32" s="2">
        <v>36.5</v>
      </c>
      <c r="O32" s="2">
        <v>23323</v>
      </c>
      <c r="P32" s="8">
        <f t="shared" si="1"/>
        <v>441.30847679999994</v>
      </c>
      <c r="Q32" s="8">
        <f t="shared" si="2"/>
        <v>0.30847679999993716</v>
      </c>
    </row>
    <row r="33" spans="1:17" x14ac:dyDescent="0.25">
      <c r="A33" s="3">
        <v>45058</v>
      </c>
      <c r="B33" s="2" t="s">
        <v>18</v>
      </c>
      <c r="C33" s="2">
        <v>96</v>
      </c>
      <c r="D33" s="2">
        <v>54</v>
      </c>
      <c r="E33" s="2">
        <v>9261</v>
      </c>
      <c r="F33" s="2">
        <v>1</v>
      </c>
      <c r="G33" s="8">
        <v>540</v>
      </c>
      <c r="H33" s="3">
        <v>45059</v>
      </c>
      <c r="I33" s="2" t="s">
        <v>28</v>
      </c>
      <c r="J33" s="2">
        <f t="shared" ref="J33" si="25">+E33</f>
        <v>9261</v>
      </c>
      <c r="K33" s="2">
        <f t="shared" ref="K33" si="26">+F33</f>
        <v>1</v>
      </c>
      <c r="L33" s="2">
        <f t="shared" ref="L33" si="27">+G33</f>
        <v>540</v>
      </c>
      <c r="M33" s="2" t="s">
        <v>30</v>
      </c>
      <c r="N33" s="2">
        <v>36.5</v>
      </c>
      <c r="O33" s="2">
        <v>29101</v>
      </c>
      <c r="P33" s="8">
        <f t="shared" si="1"/>
        <v>550.6374816</v>
      </c>
      <c r="Q33" s="8">
        <f t="shared" si="2"/>
        <v>10.637481600000001</v>
      </c>
    </row>
    <row r="34" spans="1:17" x14ac:dyDescent="0.25">
      <c r="A34" s="3">
        <v>45058</v>
      </c>
      <c r="B34" s="2" t="s">
        <v>18</v>
      </c>
      <c r="C34" s="2">
        <v>96</v>
      </c>
      <c r="D34" s="2">
        <v>54</v>
      </c>
      <c r="E34" s="2">
        <v>9262</v>
      </c>
      <c r="F34" s="2">
        <v>1</v>
      </c>
      <c r="G34" s="8">
        <v>542</v>
      </c>
      <c r="H34" s="3">
        <v>45058</v>
      </c>
      <c r="I34" s="2" t="s">
        <v>28</v>
      </c>
      <c r="J34" s="2">
        <f t="shared" ref="J34:L36" si="28">+E34</f>
        <v>9262</v>
      </c>
      <c r="K34" s="2">
        <f t="shared" si="28"/>
        <v>1</v>
      </c>
      <c r="L34" s="2">
        <f t="shared" si="28"/>
        <v>542</v>
      </c>
      <c r="M34" s="2" t="s">
        <v>30</v>
      </c>
      <c r="N34" s="2">
        <v>36.5</v>
      </c>
      <c r="O34" s="2">
        <v>28916</v>
      </c>
      <c r="P34" s="8">
        <f t="shared" si="1"/>
        <v>547.1369856</v>
      </c>
      <c r="Q34" s="8">
        <f t="shared" si="2"/>
        <v>5.1369856000000027</v>
      </c>
    </row>
    <row r="35" spans="1:17" x14ac:dyDescent="0.25">
      <c r="A35" s="3">
        <v>45058</v>
      </c>
      <c r="B35" s="2" t="s">
        <v>18</v>
      </c>
      <c r="C35" s="2">
        <v>96</v>
      </c>
      <c r="D35" s="2">
        <v>54</v>
      </c>
      <c r="E35" s="2">
        <v>9263</v>
      </c>
      <c r="F35" s="2">
        <v>1</v>
      </c>
      <c r="G35" s="8">
        <v>522</v>
      </c>
      <c r="H35" s="3">
        <v>45058</v>
      </c>
      <c r="I35" s="2" t="s">
        <v>28</v>
      </c>
      <c r="J35" s="2">
        <f t="shared" si="28"/>
        <v>9263</v>
      </c>
      <c r="K35" s="2">
        <f t="shared" si="28"/>
        <v>1</v>
      </c>
      <c r="L35" s="2">
        <f t="shared" si="28"/>
        <v>522</v>
      </c>
      <c r="M35" s="2" t="s">
        <v>30</v>
      </c>
      <c r="N35" s="2">
        <v>36.5</v>
      </c>
      <c r="O35" s="2">
        <v>27530</v>
      </c>
      <c r="P35" s="8">
        <f t="shared" si="1"/>
        <v>520.91164800000001</v>
      </c>
      <c r="Q35" s="8">
        <f t="shared" si="2"/>
        <v>-1.0883519999999862</v>
      </c>
    </row>
    <row r="36" spans="1:17" x14ac:dyDescent="0.25">
      <c r="A36" s="3">
        <v>45058</v>
      </c>
      <c r="B36" s="2" t="s">
        <v>18</v>
      </c>
      <c r="C36" s="2">
        <v>96</v>
      </c>
      <c r="D36" s="2">
        <v>54</v>
      </c>
      <c r="E36" s="2">
        <v>9266</v>
      </c>
      <c r="F36" s="2">
        <v>1</v>
      </c>
      <c r="G36" s="8">
        <v>468</v>
      </c>
      <c r="H36" s="3">
        <v>45059</v>
      </c>
      <c r="I36" s="2" t="s">
        <v>28</v>
      </c>
      <c r="J36" s="2">
        <f t="shared" si="28"/>
        <v>9266</v>
      </c>
      <c r="K36" s="2">
        <f t="shared" si="28"/>
        <v>1</v>
      </c>
      <c r="L36" s="2">
        <f t="shared" si="28"/>
        <v>468</v>
      </c>
      <c r="M36" s="2" t="s">
        <v>30</v>
      </c>
      <c r="N36" s="2">
        <v>36.5</v>
      </c>
      <c r="O36" s="2">
        <v>25017</v>
      </c>
      <c r="P36" s="8">
        <f t="shared" si="1"/>
        <v>473.3616672</v>
      </c>
      <c r="Q36" s="8">
        <f t="shared" si="2"/>
        <v>5.3616671999999994</v>
      </c>
    </row>
    <row r="37" spans="1:17" x14ac:dyDescent="0.25">
      <c r="A37" s="3">
        <v>45058</v>
      </c>
      <c r="B37" s="2" t="s">
        <v>18</v>
      </c>
      <c r="C37" s="2">
        <v>96</v>
      </c>
      <c r="D37" s="2">
        <v>54</v>
      </c>
      <c r="E37" s="2">
        <v>9267</v>
      </c>
      <c r="F37" s="2">
        <v>1</v>
      </c>
      <c r="G37" s="8">
        <v>470</v>
      </c>
      <c r="H37" s="3">
        <v>45059</v>
      </c>
      <c r="I37" s="2" t="s">
        <v>28</v>
      </c>
      <c r="J37" s="2">
        <f t="shared" ref="J37:J38" si="29">+E37</f>
        <v>9267</v>
      </c>
      <c r="K37" s="2">
        <f t="shared" ref="K37:K38" si="30">+F37</f>
        <v>1</v>
      </c>
      <c r="L37" s="2">
        <f t="shared" ref="L37:L38" si="31">+G37</f>
        <v>470</v>
      </c>
      <c r="M37" s="2" t="s">
        <v>30</v>
      </c>
      <c r="N37" s="2">
        <v>36.5</v>
      </c>
      <c r="O37" s="2">
        <v>24999</v>
      </c>
      <c r="P37" s="8">
        <f t="shared" si="1"/>
        <v>473.02107840000002</v>
      </c>
      <c r="Q37" s="8">
        <f t="shared" si="2"/>
        <v>3.0210784000000217</v>
      </c>
    </row>
    <row r="38" spans="1:17" x14ac:dyDescent="0.25">
      <c r="A38" s="3">
        <v>45058</v>
      </c>
      <c r="B38" s="2" t="s">
        <v>18</v>
      </c>
      <c r="C38" s="2">
        <v>96</v>
      </c>
      <c r="D38" s="2">
        <v>54</v>
      </c>
      <c r="E38" s="2">
        <v>9238</v>
      </c>
      <c r="F38" s="2">
        <v>1</v>
      </c>
      <c r="G38" s="8">
        <v>472</v>
      </c>
      <c r="H38" s="3">
        <v>45060</v>
      </c>
      <c r="I38" s="2" t="s">
        <v>41</v>
      </c>
      <c r="J38" s="2">
        <f t="shared" si="29"/>
        <v>9238</v>
      </c>
      <c r="K38" s="2">
        <f t="shared" si="30"/>
        <v>1</v>
      </c>
      <c r="L38" s="2">
        <f t="shared" si="31"/>
        <v>472</v>
      </c>
      <c r="M38" s="2" t="s">
        <v>30</v>
      </c>
      <c r="N38" s="2">
        <v>36.5</v>
      </c>
      <c r="O38" s="2">
        <v>24800</v>
      </c>
      <c r="P38" s="8">
        <f t="shared" si="1"/>
        <v>469.25567999999998</v>
      </c>
      <c r="Q38" s="8">
        <f t="shared" si="2"/>
        <v>-2.7443200000000161</v>
      </c>
    </row>
    <row r="39" spans="1:17" x14ac:dyDescent="0.25">
      <c r="A39" s="3">
        <v>45061</v>
      </c>
      <c r="B39" s="2" t="s">
        <v>18</v>
      </c>
      <c r="C39" s="2">
        <v>86</v>
      </c>
      <c r="D39" s="2">
        <v>54</v>
      </c>
      <c r="E39" s="2">
        <v>9214</v>
      </c>
      <c r="F39" s="2">
        <v>1</v>
      </c>
      <c r="G39" s="8">
        <v>507</v>
      </c>
      <c r="H39" s="3">
        <v>45066</v>
      </c>
      <c r="I39" s="2" t="s">
        <v>33</v>
      </c>
      <c r="J39" s="2">
        <f t="shared" ref="J39" si="32">+E39</f>
        <v>9214</v>
      </c>
      <c r="K39" s="2">
        <f t="shared" ref="K39" si="33">+F39</f>
        <v>1</v>
      </c>
      <c r="L39" s="2">
        <f t="shared" ref="L39" si="34">+G39</f>
        <v>507</v>
      </c>
      <c r="M39" s="2" t="s">
        <v>30</v>
      </c>
      <c r="N39" s="2">
        <v>42</v>
      </c>
      <c r="O39" s="2">
        <v>26509</v>
      </c>
      <c r="P39" s="8">
        <f>(O39/20000/500)*C39*D39*N39</f>
        <v>517.05274320000001</v>
      </c>
      <c r="Q39" s="8">
        <f t="shared" si="2"/>
        <v>10.052743200000009</v>
      </c>
    </row>
    <row r="40" spans="1:17" x14ac:dyDescent="0.25">
      <c r="A40" s="3">
        <v>45061</v>
      </c>
      <c r="B40" s="2" t="s">
        <v>18</v>
      </c>
      <c r="C40" s="2">
        <v>86</v>
      </c>
      <c r="D40" s="2">
        <v>54</v>
      </c>
      <c r="E40" s="2">
        <v>9219</v>
      </c>
      <c r="F40" s="2">
        <v>1</v>
      </c>
      <c r="G40" s="8">
        <v>427</v>
      </c>
      <c r="H40" s="3">
        <v>45078</v>
      </c>
      <c r="I40" s="2" t="s">
        <v>79</v>
      </c>
      <c r="J40" s="2">
        <f t="shared" ref="J40" si="35">+E40</f>
        <v>9219</v>
      </c>
      <c r="K40" s="2">
        <f t="shared" ref="K40" si="36">+F40</f>
        <v>1</v>
      </c>
      <c r="L40" s="2">
        <f t="shared" ref="L40" si="37">+G40</f>
        <v>427</v>
      </c>
      <c r="M40" s="2" t="s">
        <v>30</v>
      </c>
      <c r="N40" s="2">
        <v>42</v>
      </c>
      <c r="O40" s="2">
        <v>22468</v>
      </c>
      <c r="P40" s="8">
        <f t="shared" si="1"/>
        <v>438.23384639999995</v>
      </c>
      <c r="Q40" s="8">
        <f t="shared" si="2"/>
        <v>11.233846399999948</v>
      </c>
    </row>
    <row r="41" spans="1:17" x14ac:dyDescent="0.25">
      <c r="A41" s="3">
        <v>45061</v>
      </c>
      <c r="B41" s="2" t="s">
        <v>18</v>
      </c>
      <c r="C41" s="2">
        <v>86</v>
      </c>
      <c r="D41" s="2">
        <v>54</v>
      </c>
      <c r="E41" s="2">
        <v>9228</v>
      </c>
      <c r="F41" s="2">
        <v>1</v>
      </c>
      <c r="G41" s="8">
        <v>473</v>
      </c>
      <c r="H41" s="3">
        <v>45078</v>
      </c>
      <c r="I41" s="2" t="s">
        <v>79</v>
      </c>
      <c r="J41" s="2">
        <f t="shared" ref="J41" si="38">+E41</f>
        <v>9228</v>
      </c>
      <c r="K41" s="2">
        <f t="shared" ref="K41" si="39">+F41</f>
        <v>1</v>
      </c>
      <c r="L41" s="2">
        <f t="shared" ref="L41" si="40">+G41</f>
        <v>473</v>
      </c>
      <c r="M41" s="2" t="s">
        <v>30</v>
      </c>
      <c r="N41" s="2">
        <v>42</v>
      </c>
      <c r="O41" s="2">
        <v>24155</v>
      </c>
      <c r="P41" s="8">
        <f t="shared" si="1"/>
        <v>471.13844399999999</v>
      </c>
      <c r="Q41" s="8">
        <f t="shared" si="2"/>
        <v>-1.8615560000000073</v>
      </c>
    </row>
    <row r="42" spans="1:17" x14ac:dyDescent="0.25">
      <c r="A42" s="3">
        <v>45061</v>
      </c>
      <c r="B42" s="2" t="s">
        <v>18</v>
      </c>
      <c r="C42" s="2">
        <v>86</v>
      </c>
      <c r="D42" s="2">
        <v>54</v>
      </c>
      <c r="E42" s="2">
        <v>9239</v>
      </c>
      <c r="F42" s="2">
        <v>1</v>
      </c>
      <c r="G42" s="8">
        <v>481</v>
      </c>
      <c r="H42" s="3">
        <v>45066</v>
      </c>
      <c r="I42" s="2" t="s">
        <v>33</v>
      </c>
      <c r="J42" s="2">
        <f t="shared" ref="J42" si="41">+E42</f>
        <v>9239</v>
      </c>
      <c r="K42" s="2">
        <f t="shared" ref="K42" si="42">+F42</f>
        <v>1</v>
      </c>
      <c r="L42" s="2">
        <f t="shared" ref="L42" si="43">+G42</f>
        <v>481</v>
      </c>
      <c r="M42" s="2" t="s">
        <v>30</v>
      </c>
      <c r="N42" s="2">
        <v>42</v>
      </c>
      <c r="O42" s="2">
        <v>24581</v>
      </c>
      <c r="P42" s="8">
        <f t="shared" si="1"/>
        <v>479.44748879999997</v>
      </c>
      <c r="Q42" s="8">
        <f t="shared" si="2"/>
        <v>-1.5525112000000263</v>
      </c>
    </row>
    <row r="43" spans="1:17" x14ac:dyDescent="0.25">
      <c r="A43" s="3">
        <v>45061</v>
      </c>
      <c r="B43" s="2" t="s">
        <v>18</v>
      </c>
      <c r="C43" s="2">
        <v>86</v>
      </c>
      <c r="D43" s="2">
        <v>54</v>
      </c>
      <c r="E43" s="2">
        <v>9254</v>
      </c>
      <c r="F43" s="2">
        <v>1</v>
      </c>
      <c r="G43" s="8">
        <v>493</v>
      </c>
      <c r="H43" s="3">
        <v>45066</v>
      </c>
      <c r="I43" s="2" t="s">
        <v>33</v>
      </c>
      <c r="J43" s="2">
        <f t="shared" ref="J43" si="44">+E43</f>
        <v>9254</v>
      </c>
      <c r="K43" s="2">
        <f t="shared" ref="K43" si="45">+F43</f>
        <v>1</v>
      </c>
      <c r="L43" s="2">
        <f t="shared" ref="L43" si="46">+G43</f>
        <v>493</v>
      </c>
      <c r="M43" s="2" t="s">
        <v>30</v>
      </c>
      <c r="N43" s="2">
        <v>42</v>
      </c>
      <c r="O43" s="2">
        <v>24501</v>
      </c>
      <c r="P43" s="8">
        <f t="shared" si="1"/>
        <v>477.88710479999997</v>
      </c>
      <c r="Q43" s="8">
        <f t="shared" si="2"/>
        <v>-15.112895200000025</v>
      </c>
    </row>
    <row r="44" spans="1:17" x14ac:dyDescent="0.25">
      <c r="A44" s="3">
        <v>45061</v>
      </c>
      <c r="B44" s="2" t="s">
        <v>18</v>
      </c>
      <c r="C44" s="2">
        <v>86</v>
      </c>
      <c r="D44" s="2">
        <v>54</v>
      </c>
      <c r="E44" s="2">
        <v>9218</v>
      </c>
      <c r="F44" s="2">
        <v>1</v>
      </c>
      <c r="G44" s="8">
        <v>427</v>
      </c>
      <c r="H44" s="3">
        <v>45077</v>
      </c>
      <c r="I44" s="2" t="s">
        <v>79</v>
      </c>
      <c r="J44" s="2">
        <f t="shared" ref="J44" si="47">+E44</f>
        <v>9218</v>
      </c>
      <c r="K44" s="2">
        <f t="shared" ref="K44" si="48">+F44</f>
        <v>1</v>
      </c>
      <c r="L44" s="2">
        <f t="shared" ref="L44" si="49">+G44</f>
        <v>427</v>
      </c>
      <c r="M44" s="2" t="s">
        <v>30</v>
      </c>
      <c r="N44" s="2">
        <v>42</v>
      </c>
      <c r="O44" s="2">
        <v>22153</v>
      </c>
      <c r="P44" s="8">
        <f t="shared" si="1"/>
        <v>432.08983439999997</v>
      </c>
      <c r="Q44" s="8">
        <f t="shared" si="2"/>
        <v>5.0898343999999724</v>
      </c>
    </row>
    <row r="45" spans="1:17" x14ac:dyDescent="0.25">
      <c r="A45" s="3">
        <v>45061</v>
      </c>
      <c r="B45" s="2" t="s">
        <v>18</v>
      </c>
      <c r="C45" s="2">
        <v>86</v>
      </c>
      <c r="D45" s="2">
        <v>54</v>
      </c>
      <c r="E45" s="2">
        <v>9223</v>
      </c>
      <c r="F45" s="2">
        <v>1</v>
      </c>
      <c r="G45" s="8">
        <v>475</v>
      </c>
      <c r="H45" s="2"/>
      <c r="I45" s="2"/>
      <c r="J45" s="2"/>
      <c r="K45" s="2"/>
      <c r="L45" s="2"/>
      <c r="M45" s="2"/>
      <c r="N45" s="2"/>
      <c r="O45" s="2"/>
      <c r="P45" s="8">
        <f t="shared" si="1"/>
        <v>0</v>
      </c>
      <c r="Q45" s="8">
        <f t="shared" si="2"/>
        <v>-475</v>
      </c>
    </row>
    <row r="46" spans="1:17" x14ac:dyDescent="0.25">
      <c r="A46" s="3">
        <v>45061</v>
      </c>
      <c r="B46" s="2" t="s">
        <v>18</v>
      </c>
      <c r="C46" s="2">
        <v>86</v>
      </c>
      <c r="D46" s="2">
        <v>54</v>
      </c>
      <c r="E46" s="2">
        <v>9233</v>
      </c>
      <c r="F46" s="2">
        <v>1</v>
      </c>
      <c r="G46" s="8">
        <v>482</v>
      </c>
      <c r="H46" s="2"/>
      <c r="I46" s="2"/>
      <c r="J46" s="2"/>
      <c r="K46" s="2"/>
      <c r="L46" s="2"/>
      <c r="M46" s="2"/>
      <c r="N46" s="2"/>
      <c r="O46" s="2"/>
      <c r="P46" s="8">
        <f t="shared" si="1"/>
        <v>0</v>
      </c>
      <c r="Q46" s="8">
        <f t="shared" si="2"/>
        <v>-482</v>
      </c>
    </row>
    <row r="47" spans="1:17" x14ac:dyDescent="0.25">
      <c r="A47" s="3">
        <v>45061</v>
      </c>
      <c r="B47" s="2" t="s">
        <v>18</v>
      </c>
      <c r="C47" s="2">
        <v>86</v>
      </c>
      <c r="D47" s="2">
        <v>54</v>
      </c>
      <c r="E47" s="2">
        <v>9253</v>
      </c>
      <c r="F47" s="2">
        <v>1</v>
      </c>
      <c r="G47" s="8">
        <v>494</v>
      </c>
      <c r="H47" s="2"/>
      <c r="I47" s="2"/>
      <c r="J47" s="2"/>
      <c r="K47" s="2"/>
      <c r="L47" s="2"/>
      <c r="M47" s="2"/>
      <c r="N47" s="2"/>
      <c r="O47" s="2"/>
      <c r="P47" s="8">
        <f t="shared" ref="P47:P111" si="50">(O47/20000/500)*C47*D47*N47</f>
        <v>0</v>
      </c>
      <c r="Q47" s="8">
        <f t="shared" ref="Q47:Q111" si="51">+P47-G47</f>
        <v>-494</v>
      </c>
    </row>
    <row r="48" spans="1:17" x14ac:dyDescent="0.25">
      <c r="A48" s="3">
        <v>45061</v>
      </c>
      <c r="B48" s="2" t="s">
        <v>18</v>
      </c>
      <c r="C48" s="2">
        <v>86</v>
      </c>
      <c r="D48" s="2">
        <v>54</v>
      </c>
      <c r="E48" s="2">
        <v>9239</v>
      </c>
      <c r="F48" s="2">
        <v>1</v>
      </c>
      <c r="G48" s="8">
        <v>481</v>
      </c>
      <c r="H48" s="3">
        <v>45078</v>
      </c>
      <c r="I48" s="2" t="s">
        <v>79</v>
      </c>
      <c r="J48" s="2">
        <f t="shared" ref="J48" si="52">+E48</f>
        <v>9239</v>
      </c>
      <c r="K48" s="2">
        <f t="shared" ref="K48" si="53">+F48</f>
        <v>1</v>
      </c>
      <c r="L48" s="2">
        <f t="shared" ref="L48" si="54">+G48</f>
        <v>481</v>
      </c>
      <c r="M48" s="2" t="s">
        <v>30</v>
      </c>
      <c r="N48" s="2">
        <v>42</v>
      </c>
      <c r="O48" s="2">
        <v>24585</v>
      </c>
      <c r="P48" s="8">
        <f t="shared" si="50"/>
        <v>479.52550799999995</v>
      </c>
      <c r="Q48" s="8">
        <f t="shared" si="51"/>
        <v>-1.4744920000000548</v>
      </c>
    </row>
    <row r="49" spans="1:17" x14ac:dyDescent="0.25">
      <c r="A49" s="3">
        <v>45061</v>
      </c>
      <c r="B49" s="2" t="s">
        <v>18</v>
      </c>
      <c r="C49" s="2">
        <v>96</v>
      </c>
      <c r="D49" s="2">
        <v>54</v>
      </c>
      <c r="E49" s="2">
        <v>9211</v>
      </c>
      <c r="F49" s="2">
        <v>1</v>
      </c>
      <c r="G49" s="8">
        <v>563</v>
      </c>
      <c r="H49" s="3">
        <v>45062</v>
      </c>
      <c r="I49" s="2" t="s">
        <v>27</v>
      </c>
      <c r="J49" s="2">
        <f t="shared" ref="J49" si="55">+E49</f>
        <v>9211</v>
      </c>
      <c r="K49" s="2">
        <f t="shared" ref="K49" si="56">+F49</f>
        <v>1</v>
      </c>
      <c r="L49" s="2">
        <f t="shared" ref="L49" si="57">+G49</f>
        <v>563</v>
      </c>
      <c r="M49" s="2" t="s">
        <v>30</v>
      </c>
      <c r="N49" s="2">
        <v>36.5</v>
      </c>
      <c r="O49" s="2">
        <v>29740</v>
      </c>
      <c r="P49" s="8">
        <f t="shared" si="50"/>
        <v>562.72838400000001</v>
      </c>
      <c r="Q49" s="8">
        <f t="shared" si="51"/>
        <v>-0.27161599999999453</v>
      </c>
    </row>
    <row r="50" spans="1:17" x14ac:dyDescent="0.25">
      <c r="A50" s="3">
        <v>45061</v>
      </c>
      <c r="B50" s="2" t="s">
        <v>18</v>
      </c>
      <c r="C50" s="2">
        <v>96</v>
      </c>
      <c r="D50" s="2">
        <v>54</v>
      </c>
      <c r="E50" s="2">
        <v>9216</v>
      </c>
      <c r="F50" s="2">
        <v>1</v>
      </c>
      <c r="G50" s="8">
        <v>473</v>
      </c>
      <c r="H50" s="2"/>
      <c r="I50" s="2"/>
      <c r="J50" s="2"/>
      <c r="K50" s="2"/>
      <c r="L50" s="2"/>
      <c r="M50" s="2"/>
      <c r="N50" s="2"/>
      <c r="O50" s="2"/>
      <c r="P50" s="8">
        <f t="shared" si="50"/>
        <v>0</v>
      </c>
      <c r="Q50" s="8">
        <f t="shared" si="51"/>
        <v>-473</v>
      </c>
    </row>
    <row r="51" spans="1:17" x14ac:dyDescent="0.25">
      <c r="A51" s="3">
        <v>45061</v>
      </c>
      <c r="B51" s="2" t="s">
        <v>18</v>
      </c>
      <c r="C51" s="2">
        <v>96</v>
      </c>
      <c r="D51" s="2">
        <v>54</v>
      </c>
      <c r="E51" s="2">
        <v>9221</v>
      </c>
      <c r="F51" s="2">
        <v>1</v>
      </c>
      <c r="G51" s="8">
        <v>526</v>
      </c>
      <c r="H51" s="3">
        <v>45062</v>
      </c>
      <c r="I51" s="2" t="s">
        <v>27</v>
      </c>
      <c r="J51" s="2">
        <f t="shared" ref="J51" si="58">+E51</f>
        <v>9221</v>
      </c>
      <c r="K51" s="2">
        <f t="shared" ref="K51" si="59">+F51</f>
        <v>1</v>
      </c>
      <c r="L51" s="2">
        <f t="shared" ref="L51" si="60">+G51</f>
        <v>526</v>
      </c>
      <c r="M51" s="2" t="s">
        <v>30</v>
      </c>
      <c r="N51" s="2">
        <v>36.5</v>
      </c>
      <c r="O51" s="2">
        <v>27666</v>
      </c>
      <c r="P51" s="8">
        <f t="shared" si="50"/>
        <v>523.48498559999996</v>
      </c>
      <c r="Q51" s="8">
        <f t="shared" si="51"/>
        <v>-2.515014400000041</v>
      </c>
    </row>
    <row r="52" spans="1:17" x14ac:dyDescent="0.25">
      <c r="A52" s="3">
        <v>45061</v>
      </c>
      <c r="B52" s="2" t="s">
        <v>18</v>
      </c>
      <c r="C52" s="2">
        <v>96</v>
      </c>
      <c r="D52" s="2">
        <v>54</v>
      </c>
      <c r="E52" s="2">
        <v>9226</v>
      </c>
      <c r="F52" s="2">
        <v>1</v>
      </c>
      <c r="G52" s="8">
        <v>522</v>
      </c>
      <c r="H52" s="3">
        <v>45062</v>
      </c>
      <c r="I52" s="2" t="s">
        <v>27</v>
      </c>
      <c r="J52" s="2">
        <f t="shared" ref="J52" si="61">+E52</f>
        <v>9226</v>
      </c>
      <c r="K52" s="2">
        <f t="shared" ref="K52" si="62">+F52</f>
        <v>1</v>
      </c>
      <c r="L52" s="2">
        <f t="shared" ref="L52" si="63">+G52</f>
        <v>522</v>
      </c>
      <c r="M52" s="2" t="s">
        <v>30</v>
      </c>
      <c r="N52" s="2">
        <v>36.5</v>
      </c>
      <c r="O52" s="2">
        <v>27515</v>
      </c>
      <c r="P52" s="8">
        <f t="shared" si="50"/>
        <v>520.62782400000003</v>
      </c>
      <c r="Q52" s="8">
        <f t="shared" si="51"/>
        <v>-1.3721759999999676</v>
      </c>
    </row>
    <row r="53" spans="1:17" x14ac:dyDescent="0.25">
      <c r="A53" s="3">
        <v>45061</v>
      </c>
      <c r="B53" s="2" t="s">
        <v>18</v>
      </c>
      <c r="C53" s="2">
        <v>96</v>
      </c>
      <c r="D53" s="2">
        <v>54</v>
      </c>
      <c r="E53" s="2">
        <v>9231</v>
      </c>
      <c r="F53" s="2">
        <v>1</v>
      </c>
      <c r="G53" s="8">
        <v>531</v>
      </c>
      <c r="H53" s="3">
        <v>45062</v>
      </c>
      <c r="I53" s="2" t="s">
        <v>33</v>
      </c>
      <c r="J53" s="2">
        <f t="shared" ref="J53" si="64">+E53</f>
        <v>9231</v>
      </c>
      <c r="K53" s="2">
        <f t="shared" ref="K53" si="65">+F53</f>
        <v>1</v>
      </c>
      <c r="L53" s="2">
        <f t="shared" ref="L53" si="66">+G53</f>
        <v>531</v>
      </c>
      <c r="M53" s="2" t="s">
        <v>30</v>
      </c>
      <c r="N53" s="2">
        <v>36.5</v>
      </c>
      <c r="O53" s="2">
        <v>28315</v>
      </c>
      <c r="P53" s="8">
        <f t="shared" si="50"/>
        <v>535.76510400000006</v>
      </c>
      <c r="Q53" s="8">
        <f t="shared" si="51"/>
        <v>4.7651040000000648</v>
      </c>
    </row>
    <row r="54" spans="1:17" x14ac:dyDescent="0.25">
      <c r="A54" s="3">
        <v>45061</v>
      </c>
      <c r="B54" s="2" t="s">
        <v>18</v>
      </c>
      <c r="C54" s="2">
        <v>96</v>
      </c>
      <c r="D54" s="2">
        <v>54</v>
      </c>
      <c r="E54" s="2">
        <v>9236</v>
      </c>
      <c r="F54" s="2">
        <v>1</v>
      </c>
      <c r="G54" s="8">
        <v>530</v>
      </c>
      <c r="H54" s="2"/>
      <c r="I54" s="2"/>
      <c r="J54" s="2"/>
      <c r="K54" s="2"/>
      <c r="L54" s="2"/>
      <c r="M54" s="2"/>
      <c r="N54" s="2"/>
      <c r="O54" s="2"/>
      <c r="P54" s="8">
        <f t="shared" si="50"/>
        <v>0</v>
      </c>
      <c r="Q54" s="8">
        <f t="shared" si="51"/>
        <v>-530</v>
      </c>
    </row>
    <row r="55" spans="1:17" x14ac:dyDescent="0.25">
      <c r="A55" s="3">
        <v>45061</v>
      </c>
      <c r="B55" s="2" t="s">
        <v>18</v>
      </c>
      <c r="C55" s="2">
        <v>96</v>
      </c>
      <c r="D55" s="2">
        <v>54</v>
      </c>
      <c r="E55" s="2">
        <v>9241</v>
      </c>
      <c r="F55" s="2">
        <v>1</v>
      </c>
      <c r="G55" s="8">
        <v>530</v>
      </c>
      <c r="H55" s="3">
        <v>45062</v>
      </c>
      <c r="I55" s="2" t="s">
        <v>27</v>
      </c>
      <c r="J55" s="2">
        <f t="shared" ref="J55" si="67">+E55</f>
        <v>9241</v>
      </c>
      <c r="K55" s="2">
        <f t="shared" ref="K55" si="68">+F55</f>
        <v>1</v>
      </c>
      <c r="L55" s="2">
        <f t="shared" ref="L55" si="69">+G55</f>
        <v>530</v>
      </c>
      <c r="M55" s="2" t="s">
        <v>30</v>
      </c>
      <c r="N55" s="2">
        <v>36.5</v>
      </c>
      <c r="O55" s="2">
        <v>28121</v>
      </c>
      <c r="P55" s="8">
        <f t="shared" si="50"/>
        <v>532.09431360000008</v>
      </c>
      <c r="Q55" s="8">
        <f t="shared" si="51"/>
        <v>2.0943136000000777</v>
      </c>
    </row>
    <row r="56" spans="1:17" x14ac:dyDescent="0.25">
      <c r="A56" s="3">
        <v>45061</v>
      </c>
      <c r="B56" s="2" t="s">
        <v>18</v>
      </c>
      <c r="C56" s="2">
        <v>96</v>
      </c>
      <c r="D56" s="2">
        <v>54</v>
      </c>
      <c r="E56" s="2">
        <v>9212</v>
      </c>
      <c r="F56" s="2">
        <v>1</v>
      </c>
      <c r="G56" s="8">
        <v>562</v>
      </c>
      <c r="H56" s="2"/>
      <c r="I56" s="2"/>
      <c r="J56" s="2"/>
      <c r="K56" s="2"/>
      <c r="L56" s="2"/>
      <c r="M56" s="2"/>
      <c r="N56" s="2"/>
      <c r="O56" s="2"/>
      <c r="P56" s="8">
        <f t="shared" si="50"/>
        <v>0</v>
      </c>
      <c r="Q56" s="8">
        <f t="shared" si="51"/>
        <v>-562</v>
      </c>
    </row>
    <row r="57" spans="1:17" x14ac:dyDescent="0.25">
      <c r="A57" s="3">
        <v>45061</v>
      </c>
      <c r="B57" s="2" t="s">
        <v>18</v>
      </c>
      <c r="C57" s="2">
        <v>96</v>
      </c>
      <c r="D57" s="2">
        <v>54</v>
      </c>
      <c r="E57" s="2">
        <v>9217</v>
      </c>
      <c r="F57" s="2">
        <v>1</v>
      </c>
      <c r="G57" s="8">
        <v>473</v>
      </c>
      <c r="H57" s="3">
        <v>45062</v>
      </c>
      <c r="I57" s="2" t="s">
        <v>33</v>
      </c>
      <c r="J57" s="2">
        <f t="shared" ref="J57:J60" si="70">+E57</f>
        <v>9217</v>
      </c>
      <c r="K57" s="2">
        <f t="shared" ref="K57:K58" si="71">+F57</f>
        <v>1</v>
      </c>
      <c r="L57" s="2">
        <f t="shared" ref="L57:L58" si="72">+G57</f>
        <v>473</v>
      </c>
      <c r="M57" s="2" t="s">
        <v>30</v>
      </c>
      <c r="N57" s="2">
        <v>36.5</v>
      </c>
      <c r="O57" s="2">
        <v>25696</v>
      </c>
      <c r="P57" s="8">
        <f t="shared" si="50"/>
        <v>486.20943360000001</v>
      </c>
      <c r="Q57" s="8">
        <f t="shared" si="51"/>
        <v>13.209433600000011</v>
      </c>
    </row>
    <row r="58" spans="1:17" x14ac:dyDescent="0.25">
      <c r="A58" s="3">
        <v>45061</v>
      </c>
      <c r="B58" s="2" t="s">
        <v>18</v>
      </c>
      <c r="C58" s="2">
        <v>96</v>
      </c>
      <c r="D58" s="2">
        <v>54</v>
      </c>
      <c r="E58" s="2">
        <v>9222</v>
      </c>
      <c r="F58" s="2">
        <v>1</v>
      </c>
      <c r="G58" s="8">
        <v>527</v>
      </c>
      <c r="H58" s="3">
        <v>45062</v>
      </c>
      <c r="I58" s="2" t="s">
        <v>55</v>
      </c>
      <c r="J58" s="2">
        <f t="shared" si="70"/>
        <v>9222</v>
      </c>
      <c r="K58" s="2">
        <f t="shared" si="71"/>
        <v>1</v>
      </c>
      <c r="L58" s="2">
        <f t="shared" si="72"/>
        <v>527</v>
      </c>
      <c r="M58" s="2" t="s">
        <v>30</v>
      </c>
      <c r="N58" s="2">
        <v>36.5</v>
      </c>
      <c r="O58" s="2">
        <v>12647</v>
      </c>
      <c r="P58" s="8">
        <f t="shared" si="50"/>
        <v>239.3014752</v>
      </c>
      <c r="Q58" s="8">
        <f t="shared" si="51"/>
        <v>-287.69852479999997</v>
      </c>
    </row>
    <row r="59" spans="1:17" x14ac:dyDescent="0.25">
      <c r="A59" s="3"/>
      <c r="B59" s="2" t="s">
        <v>18</v>
      </c>
      <c r="C59" s="2">
        <v>96</v>
      </c>
      <c r="D59" s="2">
        <v>54</v>
      </c>
      <c r="E59" s="2">
        <v>9222</v>
      </c>
      <c r="F59" s="2"/>
      <c r="G59" s="8"/>
      <c r="H59" s="3">
        <v>45062</v>
      </c>
      <c r="I59" s="2" t="s">
        <v>27</v>
      </c>
      <c r="J59" s="2">
        <f t="shared" si="70"/>
        <v>9222</v>
      </c>
      <c r="K59" s="2"/>
      <c r="L59" s="2"/>
      <c r="M59" s="2" t="s">
        <v>30</v>
      </c>
      <c r="N59" s="2">
        <v>36.5</v>
      </c>
      <c r="O59" s="2">
        <v>15279</v>
      </c>
      <c r="P59" s="8">
        <f t="shared" ref="P59" si="73">(O59/20000/500)*C59*D59*N59</f>
        <v>289.10312640000001</v>
      </c>
      <c r="Q59" s="8">
        <f t="shared" ref="Q59" si="74">+P59-G59</f>
        <v>289.10312640000001</v>
      </c>
    </row>
    <row r="60" spans="1:17" x14ac:dyDescent="0.25">
      <c r="A60" s="3">
        <v>45061</v>
      </c>
      <c r="B60" s="2" t="s">
        <v>18</v>
      </c>
      <c r="C60" s="2">
        <v>96</v>
      </c>
      <c r="D60" s="2">
        <v>54</v>
      </c>
      <c r="E60" s="2">
        <v>9227</v>
      </c>
      <c r="F60" s="2">
        <v>1</v>
      </c>
      <c r="G60" s="8">
        <v>522</v>
      </c>
      <c r="H60" s="3">
        <v>45062</v>
      </c>
      <c r="I60" s="2" t="s">
        <v>27</v>
      </c>
      <c r="J60" s="2">
        <f t="shared" si="70"/>
        <v>9227</v>
      </c>
      <c r="K60" s="2">
        <f t="shared" ref="K60" si="75">+F60</f>
        <v>1</v>
      </c>
      <c r="L60" s="2">
        <f t="shared" ref="L60" si="76">+G60</f>
        <v>522</v>
      </c>
      <c r="M60" s="2" t="s">
        <v>30</v>
      </c>
      <c r="N60" s="2">
        <v>36.5</v>
      </c>
      <c r="O60" s="2">
        <v>27643</v>
      </c>
      <c r="P60" s="8">
        <f t="shared" si="50"/>
        <v>523.04978879999999</v>
      </c>
      <c r="Q60" s="8">
        <f t="shared" si="51"/>
        <v>1.0497887999999875</v>
      </c>
    </row>
    <row r="61" spans="1:17" x14ac:dyDescent="0.25">
      <c r="A61" s="3">
        <v>45061</v>
      </c>
      <c r="B61" s="2" t="s">
        <v>18</v>
      </c>
      <c r="C61" s="2">
        <v>96</v>
      </c>
      <c r="D61" s="2">
        <v>54</v>
      </c>
      <c r="E61" s="2">
        <v>9232</v>
      </c>
      <c r="F61" s="2">
        <v>1</v>
      </c>
      <c r="G61" s="8">
        <v>532</v>
      </c>
      <c r="H61" s="3">
        <v>45062</v>
      </c>
      <c r="I61" s="2" t="s">
        <v>33</v>
      </c>
      <c r="J61" s="2">
        <f t="shared" ref="J61" si="77">+E61</f>
        <v>9232</v>
      </c>
      <c r="K61" s="2">
        <f t="shared" ref="K61" si="78">+F61</f>
        <v>1</v>
      </c>
      <c r="L61" s="2">
        <f t="shared" ref="L61" si="79">+G61</f>
        <v>532</v>
      </c>
      <c r="M61" s="2" t="s">
        <v>30</v>
      </c>
      <c r="N61" s="2">
        <v>36.5</v>
      </c>
      <c r="O61" s="2">
        <v>28224</v>
      </c>
      <c r="P61" s="8">
        <f t="shared" si="50"/>
        <v>534.04323840000006</v>
      </c>
      <c r="Q61" s="8">
        <f t="shared" si="51"/>
        <v>2.0432384000000638</v>
      </c>
    </row>
    <row r="62" spans="1:17" x14ac:dyDescent="0.25">
      <c r="A62" s="3">
        <v>45061</v>
      </c>
      <c r="B62" s="2" t="s">
        <v>18</v>
      </c>
      <c r="C62" s="2">
        <v>96</v>
      </c>
      <c r="D62" s="2">
        <v>54</v>
      </c>
      <c r="E62" s="2">
        <v>9237</v>
      </c>
      <c r="F62" s="2">
        <v>1</v>
      </c>
      <c r="G62" s="8">
        <v>531</v>
      </c>
      <c r="H62" s="3">
        <v>45062</v>
      </c>
      <c r="I62" s="2" t="s">
        <v>33</v>
      </c>
      <c r="J62" s="2">
        <f t="shared" ref="J62" si="80">+E62</f>
        <v>9237</v>
      </c>
      <c r="K62" s="2">
        <f t="shared" ref="K62" si="81">+F62</f>
        <v>1</v>
      </c>
      <c r="L62" s="2">
        <f t="shared" ref="L62" si="82">+G62</f>
        <v>531</v>
      </c>
      <c r="M62" s="2" t="s">
        <v>30</v>
      </c>
      <c r="N62" s="2">
        <v>36.5</v>
      </c>
      <c r="O62" s="2">
        <v>25265</v>
      </c>
      <c r="P62" s="8">
        <f t="shared" si="50"/>
        <v>478.05422400000003</v>
      </c>
      <c r="Q62" s="8">
        <f t="shared" si="51"/>
        <v>-52.945775999999967</v>
      </c>
    </row>
    <row r="63" spans="1:17" x14ac:dyDescent="0.25">
      <c r="A63" s="3">
        <v>45061</v>
      </c>
      <c r="B63" s="2" t="s">
        <v>18</v>
      </c>
      <c r="C63" s="2">
        <v>96</v>
      </c>
      <c r="D63" s="2">
        <v>54</v>
      </c>
      <c r="E63" s="2">
        <v>9246</v>
      </c>
      <c r="F63" s="2">
        <v>1</v>
      </c>
      <c r="G63" s="8">
        <v>555</v>
      </c>
      <c r="H63" s="3">
        <v>45062</v>
      </c>
      <c r="I63" s="2" t="s">
        <v>55</v>
      </c>
      <c r="J63" s="2">
        <f t="shared" ref="J63" si="83">+E63</f>
        <v>9246</v>
      </c>
      <c r="K63" s="2">
        <f t="shared" ref="K63" si="84">+F63</f>
        <v>1</v>
      </c>
      <c r="L63" s="2">
        <f t="shared" ref="L63" si="85">+G63</f>
        <v>555</v>
      </c>
      <c r="M63" s="2" t="s">
        <v>30</v>
      </c>
      <c r="N63" s="2">
        <v>36.5</v>
      </c>
      <c r="O63" s="2">
        <v>28474</v>
      </c>
      <c r="P63" s="8">
        <f t="shared" si="50"/>
        <v>538.77363839999998</v>
      </c>
      <c r="Q63" s="8">
        <f t="shared" si="51"/>
        <v>-16.226361600000018</v>
      </c>
    </row>
    <row r="64" spans="1:17" x14ac:dyDescent="0.25">
      <c r="A64" s="3">
        <v>45061</v>
      </c>
      <c r="B64" s="2" t="s">
        <v>18</v>
      </c>
      <c r="C64" s="2">
        <v>80</v>
      </c>
      <c r="D64" s="2">
        <v>54</v>
      </c>
      <c r="E64" s="2">
        <v>9220</v>
      </c>
      <c r="F64" s="2">
        <v>1</v>
      </c>
      <c r="G64" s="8">
        <v>395</v>
      </c>
      <c r="H64" s="2"/>
      <c r="I64" s="2"/>
      <c r="J64" s="2"/>
      <c r="K64" s="2"/>
      <c r="L64" s="2"/>
      <c r="M64" s="2"/>
      <c r="N64" s="2"/>
      <c r="O64" s="2"/>
      <c r="P64" s="8">
        <f t="shared" si="50"/>
        <v>0</v>
      </c>
      <c r="Q64" s="8">
        <f t="shared" si="51"/>
        <v>-395</v>
      </c>
    </row>
    <row r="65" spans="1:17" x14ac:dyDescent="0.25">
      <c r="A65" s="3">
        <v>45061</v>
      </c>
      <c r="B65" s="2" t="s">
        <v>18</v>
      </c>
      <c r="C65" s="2">
        <v>80</v>
      </c>
      <c r="D65" s="2">
        <v>54</v>
      </c>
      <c r="E65" s="2">
        <v>9235</v>
      </c>
      <c r="F65" s="2">
        <v>1</v>
      </c>
      <c r="G65" s="8">
        <v>447</v>
      </c>
      <c r="H65" s="2"/>
      <c r="I65" s="2"/>
      <c r="J65" s="2"/>
      <c r="K65" s="2"/>
      <c r="L65" s="2"/>
      <c r="M65" s="2"/>
      <c r="N65" s="2"/>
      <c r="O65" s="2"/>
      <c r="P65" s="8">
        <f t="shared" si="50"/>
        <v>0</v>
      </c>
      <c r="Q65" s="8">
        <f t="shared" si="51"/>
        <v>-447</v>
      </c>
    </row>
    <row r="66" spans="1:17" x14ac:dyDescent="0.25">
      <c r="A66" s="3">
        <v>45061</v>
      </c>
      <c r="B66" s="2" t="s">
        <v>18</v>
      </c>
      <c r="C66" s="2">
        <v>80</v>
      </c>
      <c r="D66" s="2">
        <v>54</v>
      </c>
      <c r="E66" s="2">
        <v>9250</v>
      </c>
      <c r="F66" s="2">
        <v>1</v>
      </c>
      <c r="G66" s="8">
        <v>468</v>
      </c>
      <c r="H66" s="2"/>
      <c r="I66" s="2"/>
      <c r="J66" s="2"/>
      <c r="K66" s="2"/>
      <c r="L66" s="2"/>
      <c r="M66" s="2"/>
      <c r="N66" s="2"/>
      <c r="O66" s="2"/>
      <c r="P66" s="8">
        <f t="shared" si="50"/>
        <v>0</v>
      </c>
      <c r="Q66" s="8">
        <f t="shared" si="51"/>
        <v>-468</v>
      </c>
    </row>
    <row r="67" spans="1:17" x14ac:dyDescent="0.25">
      <c r="A67" s="3">
        <v>45061</v>
      </c>
      <c r="B67" s="2" t="s">
        <v>18</v>
      </c>
      <c r="C67" s="2">
        <v>80</v>
      </c>
      <c r="D67" s="2">
        <v>54</v>
      </c>
      <c r="E67" s="2">
        <v>9269</v>
      </c>
      <c r="F67" s="2">
        <v>1</v>
      </c>
      <c r="G67" s="8">
        <v>394</v>
      </c>
      <c r="H67" s="2"/>
      <c r="I67" s="2"/>
      <c r="J67" s="2"/>
      <c r="K67" s="2"/>
      <c r="L67" s="2"/>
      <c r="M67" s="2"/>
      <c r="N67" s="2"/>
      <c r="O67" s="2"/>
      <c r="P67" s="8">
        <f t="shared" si="50"/>
        <v>0</v>
      </c>
      <c r="Q67" s="8">
        <f t="shared" si="51"/>
        <v>-394</v>
      </c>
    </row>
    <row r="68" spans="1:17" x14ac:dyDescent="0.25">
      <c r="A68" s="3">
        <v>45061</v>
      </c>
      <c r="B68" s="2" t="s">
        <v>18</v>
      </c>
      <c r="C68" s="2">
        <v>80</v>
      </c>
      <c r="D68" s="2">
        <v>54</v>
      </c>
      <c r="E68" s="2">
        <v>9225</v>
      </c>
      <c r="F68" s="2">
        <v>1</v>
      </c>
      <c r="G68" s="8">
        <v>443</v>
      </c>
      <c r="H68" s="3">
        <v>45066</v>
      </c>
      <c r="I68" s="2" t="s">
        <v>33</v>
      </c>
      <c r="J68" s="2">
        <f t="shared" ref="J68" si="86">+E68</f>
        <v>9225</v>
      </c>
      <c r="K68" s="2">
        <f t="shared" ref="K68" si="87">+F68</f>
        <v>1</v>
      </c>
      <c r="L68" s="2">
        <f t="shared" ref="L68" si="88">+G68</f>
        <v>443</v>
      </c>
      <c r="M68" s="2" t="s">
        <v>30</v>
      </c>
      <c r="N68" s="2">
        <f>69/2</f>
        <v>34.5</v>
      </c>
      <c r="O68" s="2">
        <v>29595</v>
      </c>
      <c r="P68" s="8">
        <f t="shared" si="50"/>
        <v>441.08388000000002</v>
      </c>
      <c r="Q68" s="8">
        <f t="shared" si="51"/>
        <v>-1.9161199999999781</v>
      </c>
    </row>
    <row r="69" spans="1:17" x14ac:dyDescent="0.25">
      <c r="A69" s="3">
        <v>45061</v>
      </c>
      <c r="B69" s="2" t="s">
        <v>18</v>
      </c>
      <c r="C69" s="2">
        <v>80</v>
      </c>
      <c r="D69" s="2">
        <v>54</v>
      </c>
      <c r="E69" s="2">
        <v>9245</v>
      </c>
      <c r="F69" s="2">
        <v>1</v>
      </c>
      <c r="G69" s="8">
        <v>447</v>
      </c>
      <c r="H69" s="3">
        <v>45066</v>
      </c>
      <c r="I69" s="2" t="s">
        <v>33</v>
      </c>
      <c r="J69" s="2">
        <f t="shared" ref="J69" si="89">+E69</f>
        <v>9245</v>
      </c>
      <c r="K69" s="2">
        <f t="shared" ref="K69" si="90">+F69</f>
        <v>1</v>
      </c>
      <c r="L69" s="2">
        <f t="shared" ref="L69" si="91">+G69</f>
        <v>447</v>
      </c>
      <c r="M69" s="2" t="s">
        <v>30</v>
      </c>
      <c r="N69" s="2">
        <f t="shared" ref="N69:N70" si="92">69/2</f>
        <v>34.5</v>
      </c>
      <c r="O69" s="2">
        <v>30062</v>
      </c>
      <c r="P69" s="8">
        <f t="shared" si="50"/>
        <v>448.04404799999998</v>
      </c>
      <c r="Q69" s="8">
        <f t="shared" si="51"/>
        <v>1.0440479999999752</v>
      </c>
    </row>
    <row r="70" spans="1:17" x14ac:dyDescent="0.25">
      <c r="A70" s="3">
        <v>45061</v>
      </c>
      <c r="B70" s="2" t="s">
        <v>18</v>
      </c>
      <c r="C70" s="2">
        <v>80</v>
      </c>
      <c r="D70" s="2">
        <v>54</v>
      </c>
      <c r="E70" s="2">
        <v>9264</v>
      </c>
      <c r="F70" s="2">
        <v>1</v>
      </c>
      <c r="G70" s="8">
        <v>447</v>
      </c>
      <c r="H70" s="3">
        <v>45066</v>
      </c>
      <c r="I70" s="2" t="s">
        <v>33</v>
      </c>
      <c r="J70" s="2">
        <f t="shared" ref="J70" si="93">+E70</f>
        <v>9264</v>
      </c>
      <c r="K70" s="2">
        <f t="shared" ref="K70" si="94">+F70</f>
        <v>1</v>
      </c>
      <c r="L70" s="2">
        <f t="shared" ref="L70" si="95">+G70</f>
        <v>447</v>
      </c>
      <c r="M70" s="2" t="s">
        <v>30</v>
      </c>
      <c r="N70" s="2">
        <f t="shared" si="92"/>
        <v>34.5</v>
      </c>
      <c r="O70" s="2">
        <v>30207</v>
      </c>
      <c r="P70" s="8">
        <f>(O70/20000/500)*C70*D70*N70</f>
        <v>450.20512800000006</v>
      </c>
      <c r="Q70" s="8">
        <f t="shared" si="51"/>
        <v>3.2051280000000588</v>
      </c>
    </row>
    <row r="71" spans="1:17" x14ac:dyDescent="0.25">
      <c r="A71" s="3">
        <v>45061</v>
      </c>
      <c r="B71" s="2" t="s">
        <v>18</v>
      </c>
      <c r="C71" s="2">
        <v>80</v>
      </c>
      <c r="D71" s="2">
        <v>54</v>
      </c>
      <c r="E71" s="2">
        <v>9270</v>
      </c>
      <c r="F71" s="2">
        <v>1</v>
      </c>
      <c r="G71" s="8">
        <v>394</v>
      </c>
      <c r="H71" s="2"/>
      <c r="I71" s="2"/>
      <c r="J71" s="2"/>
      <c r="K71" s="2"/>
      <c r="L71" s="2"/>
      <c r="M71" s="2"/>
      <c r="N71" s="2"/>
      <c r="O71" s="2"/>
      <c r="P71" s="8">
        <f t="shared" si="50"/>
        <v>0</v>
      </c>
      <c r="Q71" s="8">
        <f t="shared" si="51"/>
        <v>-394</v>
      </c>
    </row>
    <row r="72" spans="1:17" x14ac:dyDescent="0.25">
      <c r="A72" s="3">
        <v>45063</v>
      </c>
      <c r="B72" s="2" t="s">
        <v>57</v>
      </c>
      <c r="C72" s="2">
        <v>86</v>
      </c>
      <c r="D72" s="2">
        <v>54</v>
      </c>
      <c r="E72" s="2">
        <v>9762</v>
      </c>
      <c r="F72" s="2">
        <v>1</v>
      </c>
      <c r="G72" s="8">
        <v>418</v>
      </c>
      <c r="H72" s="3">
        <v>45063</v>
      </c>
      <c r="I72" s="2" t="s">
        <v>27</v>
      </c>
      <c r="J72" s="2">
        <f t="shared" ref="J72:J73" si="96">+E72</f>
        <v>9762</v>
      </c>
      <c r="K72" s="2">
        <f t="shared" ref="K72:K73" si="97">+F72</f>
        <v>1</v>
      </c>
      <c r="L72" s="2">
        <f t="shared" ref="L72:L73" si="98">+G72</f>
        <v>418</v>
      </c>
      <c r="M72" s="2" t="s">
        <v>29</v>
      </c>
      <c r="N72" s="2">
        <v>42</v>
      </c>
      <c r="O72" s="2">
        <v>20612</v>
      </c>
      <c r="P72" s="8">
        <f t="shared" si="50"/>
        <v>402.03293760000003</v>
      </c>
      <c r="Q72" s="8">
        <f t="shared" si="51"/>
        <v>-15.967062399999975</v>
      </c>
    </row>
    <row r="73" spans="1:17" x14ac:dyDescent="0.25">
      <c r="A73" s="3">
        <v>45063</v>
      </c>
      <c r="B73" s="2" t="s">
        <v>57</v>
      </c>
      <c r="C73" s="2">
        <v>86</v>
      </c>
      <c r="D73" s="2">
        <v>54</v>
      </c>
      <c r="E73" s="2">
        <v>9755</v>
      </c>
      <c r="F73" s="2">
        <v>1</v>
      </c>
      <c r="G73" s="8">
        <v>428</v>
      </c>
      <c r="H73" s="3">
        <v>45064</v>
      </c>
      <c r="I73" s="2" t="s">
        <v>27</v>
      </c>
      <c r="J73" s="2">
        <f t="shared" si="96"/>
        <v>9755</v>
      </c>
      <c r="K73" s="2">
        <f t="shared" si="97"/>
        <v>1</v>
      </c>
      <c r="L73" s="2">
        <f t="shared" si="98"/>
        <v>428</v>
      </c>
      <c r="M73" s="2" t="s">
        <v>29</v>
      </c>
      <c r="N73" s="2">
        <v>42</v>
      </c>
      <c r="O73" s="2">
        <v>21310</v>
      </c>
      <c r="P73" s="8">
        <f t="shared" si="50"/>
        <v>415.64728799999995</v>
      </c>
      <c r="Q73" s="8">
        <f t="shared" si="51"/>
        <v>-12.352712000000054</v>
      </c>
    </row>
    <row r="74" spans="1:17" x14ac:dyDescent="0.25">
      <c r="A74" s="3">
        <v>45063</v>
      </c>
      <c r="B74" s="2" t="s">
        <v>57</v>
      </c>
      <c r="C74" s="2">
        <v>86</v>
      </c>
      <c r="D74" s="2">
        <v>54</v>
      </c>
      <c r="E74" s="2">
        <v>9757</v>
      </c>
      <c r="F74" s="2">
        <v>1</v>
      </c>
      <c r="G74" s="8">
        <v>408</v>
      </c>
      <c r="H74" s="3">
        <v>45064</v>
      </c>
      <c r="I74" s="2" t="s">
        <v>27</v>
      </c>
      <c r="J74" s="2">
        <f t="shared" ref="J74" si="99">+E74</f>
        <v>9757</v>
      </c>
      <c r="K74" s="2">
        <f t="shared" ref="K74" si="100">+F74</f>
        <v>1</v>
      </c>
      <c r="L74" s="2">
        <f t="shared" ref="L74" si="101">+G74</f>
        <v>408</v>
      </c>
      <c r="M74" s="2" t="s">
        <v>29</v>
      </c>
      <c r="N74" s="2">
        <v>42</v>
      </c>
      <c r="O74" s="2">
        <v>20467</v>
      </c>
      <c r="P74" s="8">
        <f t="shared" si="50"/>
        <v>399.20474159999998</v>
      </c>
      <c r="Q74" s="8">
        <f t="shared" si="51"/>
        <v>-8.7952584000000229</v>
      </c>
    </row>
    <row r="75" spans="1:17" x14ac:dyDescent="0.25">
      <c r="A75" s="3">
        <v>45063</v>
      </c>
      <c r="B75" s="2" t="s">
        <v>57</v>
      </c>
      <c r="C75" s="2">
        <v>86</v>
      </c>
      <c r="D75" s="2">
        <v>54</v>
      </c>
      <c r="E75" s="2">
        <v>9759</v>
      </c>
      <c r="F75" s="2">
        <v>1</v>
      </c>
      <c r="G75" s="8">
        <v>424</v>
      </c>
      <c r="H75" s="3">
        <v>45064</v>
      </c>
      <c r="I75" s="2" t="s">
        <v>27</v>
      </c>
      <c r="J75" s="2">
        <f t="shared" ref="J75" si="102">+E75</f>
        <v>9759</v>
      </c>
      <c r="K75" s="2">
        <f t="shared" ref="K75" si="103">+F75</f>
        <v>1</v>
      </c>
      <c r="L75" s="2">
        <f t="shared" ref="L75" si="104">+G75</f>
        <v>424</v>
      </c>
      <c r="M75" s="2" t="s">
        <v>29</v>
      </c>
      <c r="N75" s="2">
        <v>42</v>
      </c>
      <c r="O75" s="2">
        <v>21846</v>
      </c>
      <c r="P75" s="8">
        <f t="shared" ref="P75" si="105">(O75/20000/500)*C75*D75*N75</f>
        <v>426.10186080000005</v>
      </c>
      <c r="Q75" s="8">
        <f t="shared" si="51"/>
        <v>2.101860800000054</v>
      </c>
    </row>
    <row r="76" spans="1:17" x14ac:dyDescent="0.25">
      <c r="A76" s="3">
        <v>45063</v>
      </c>
      <c r="B76" s="2" t="s">
        <v>57</v>
      </c>
      <c r="C76" s="2">
        <v>86</v>
      </c>
      <c r="D76" s="2">
        <v>54</v>
      </c>
      <c r="E76" s="2">
        <v>9763</v>
      </c>
      <c r="F76" s="2">
        <v>1</v>
      </c>
      <c r="G76" s="8">
        <v>412</v>
      </c>
      <c r="H76" s="3">
        <v>45063</v>
      </c>
      <c r="I76" s="2" t="s">
        <v>27</v>
      </c>
      <c r="J76" s="2">
        <f t="shared" ref="J76" si="106">+E76</f>
        <v>9763</v>
      </c>
      <c r="K76" s="2">
        <f t="shared" ref="K76" si="107">+F76</f>
        <v>1</v>
      </c>
      <c r="L76" s="2">
        <f t="shared" ref="L76" si="108">+G76</f>
        <v>412</v>
      </c>
      <c r="M76" s="2" t="s">
        <v>29</v>
      </c>
      <c r="N76" s="2">
        <v>42</v>
      </c>
      <c r="O76" s="2">
        <v>20624</v>
      </c>
      <c r="P76" s="8">
        <f t="shared" si="50"/>
        <v>402.26699519999994</v>
      </c>
      <c r="Q76" s="8">
        <f t="shared" si="51"/>
        <v>-9.7330048000000602</v>
      </c>
    </row>
    <row r="77" spans="1:17" x14ac:dyDescent="0.25">
      <c r="A77" s="3">
        <v>45063</v>
      </c>
      <c r="B77" s="2" t="s">
        <v>57</v>
      </c>
      <c r="C77" s="2">
        <v>86</v>
      </c>
      <c r="D77" s="2">
        <v>54</v>
      </c>
      <c r="E77" s="2">
        <v>9761</v>
      </c>
      <c r="F77" s="2">
        <v>1</v>
      </c>
      <c r="G77" s="8">
        <v>427</v>
      </c>
      <c r="H77" s="3">
        <v>45063</v>
      </c>
      <c r="I77" s="2" t="s">
        <v>27</v>
      </c>
      <c r="J77" s="2">
        <f t="shared" ref="J77" si="109">+E77</f>
        <v>9761</v>
      </c>
      <c r="K77" s="2">
        <f t="shared" ref="K77" si="110">+F77</f>
        <v>1</v>
      </c>
      <c r="L77" s="2">
        <f t="shared" ref="L77" si="111">+G77</f>
        <v>427</v>
      </c>
      <c r="M77" s="2" t="s">
        <v>29</v>
      </c>
      <c r="N77" s="2">
        <v>42</v>
      </c>
      <c r="O77" s="2">
        <v>21782</v>
      </c>
      <c r="P77" s="8">
        <f t="shared" si="50"/>
        <v>424.85355359999994</v>
      </c>
      <c r="Q77" s="8">
        <f t="shared" si="51"/>
        <v>-2.1464464000000589</v>
      </c>
    </row>
    <row r="78" spans="1:17" x14ac:dyDescent="0.25">
      <c r="A78" s="3">
        <v>45063</v>
      </c>
      <c r="B78" s="2" t="s">
        <v>57</v>
      </c>
      <c r="C78" s="2">
        <v>86</v>
      </c>
      <c r="D78" s="2">
        <v>54</v>
      </c>
      <c r="E78" s="2">
        <v>9764</v>
      </c>
      <c r="F78" s="2">
        <v>1</v>
      </c>
      <c r="G78" s="8">
        <v>435</v>
      </c>
      <c r="H78" s="3">
        <v>45063</v>
      </c>
      <c r="I78" s="2" t="s">
        <v>27</v>
      </c>
      <c r="J78" s="2">
        <f t="shared" ref="J78" si="112">+E78</f>
        <v>9764</v>
      </c>
      <c r="K78" s="2">
        <f t="shared" ref="K78" si="113">+F78</f>
        <v>1</v>
      </c>
      <c r="L78" s="2">
        <f t="shared" ref="L78" si="114">+G78</f>
        <v>435</v>
      </c>
      <c r="M78" s="2" t="s">
        <v>29</v>
      </c>
      <c r="N78" s="2">
        <v>42</v>
      </c>
      <c r="O78" s="2">
        <v>21315</v>
      </c>
      <c r="P78" s="8">
        <f t="shared" si="50"/>
        <v>415.74481199999997</v>
      </c>
      <c r="Q78" s="8">
        <f t="shared" si="51"/>
        <v>-19.255188000000032</v>
      </c>
    </row>
    <row r="79" spans="1:17" x14ac:dyDescent="0.25">
      <c r="A79" s="3">
        <v>45063</v>
      </c>
      <c r="B79" s="2" t="s">
        <v>57</v>
      </c>
      <c r="C79" s="2">
        <v>86</v>
      </c>
      <c r="D79" s="2">
        <v>54</v>
      </c>
      <c r="E79" s="2">
        <v>9722</v>
      </c>
      <c r="F79" s="2">
        <v>1</v>
      </c>
      <c r="G79" s="8">
        <v>413</v>
      </c>
      <c r="H79" s="3">
        <v>45063</v>
      </c>
      <c r="I79" s="2" t="s">
        <v>27</v>
      </c>
      <c r="J79" s="2">
        <f t="shared" ref="J79" si="115">+E79</f>
        <v>9722</v>
      </c>
      <c r="K79" s="2">
        <f t="shared" ref="K79" si="116">+F79</f>
        <v>1</v>
      </c>
      <c r="L79" s="2">
        <f t="shared" ref="L79" si="117">+G79</f>
        <v>413</v>
      </c>
      <c r="M79" s="2" t="s">
        <v>29</v>
      </c>
      <c r="N79" s="2">
        <v>42</v>
      </c>
      <c r="O79" s="2">
        <v>21200</v>
      </c>
      <c r="P79" s="8">
        <f t="shared" si="50"/>
        <v>413.50175999999993</v>
      </c>
      <c r="Q79" s="8">
        <f t="shared" si="51"/>
        <v>0.50175999999993337</v>
      </c>
    </row>
    <row r="80" spans="1:17" x14ac:dyDescent="0.25">
      <c r="A80" s="3">
        <v>45063</v>
      </c>
      <c r="B80" s="2" t="s">
        <v>57</v>
      </c>
      <c r="C80" s="2">
        <v>86</v>
      </c>
      <c r="D80" s="2">
        <v>54</v>
      </c>
      <c r="E80" s="2">
        <v>9713</v>
      </c>
      <c r="F80" s="2">
        <v>1</v>
      </c>
      <c r="G80" s="8">
        <v>416</v>
      </c>
      <c r="H80" s="3">
        <v>45063</v>
      </c>
      <c r="I80" s="2" t="s">
        <v>27</v>
      </c>
      <c r="J80" s="2">
        <f t="shared" ref="J80" si="118">+E80</f>
        <v>9713</v>
      </c>
      <c r="K80" s="2">
        <f t="shared" ref="K80" si="119">+F80</f>
        <v>1</v>
      </c>
      <c r="L80" s="2">
        <f t="shared" ref="L80" si="120">+G80</f>
        <v>416</v>
      </c>
      <c r="M80" s="2" t="s">
        <v>29</v>
      </c>
      <c r="N80" s="2">
        <v>42</v>
      </c>
      <c r="O80" s="2">
        <v>21306</v>
      </c>
      <c r="P80" s="8">
        <f t="shared" si="50"/>
        <v>415.56926879999997</v>
      </c>
      <c r="Q80" s="8">
        <f t="shared" si="51"/>
        <v>-0.43073120000002518</v>
      </c>
    </row>
    <row r="81" spans="1:17" x14ac:dyDescent="0.25">
      <c r="A81" s="3">
        <v>45063</v>
      </c>
      <c r="B81" s="2" t="s">
        <v>57</v>
      </c>
      <c r="C81" s="2">
        <v>86</v>
      </c>
      <c r="D81" s="2">
        <v>54</v>
      </c>
      <c r="E81" s="2">
        <v>9721</v>
      </c>
      <c r="F81" s="2">
        <v>1</v>
      </c>
      <c r="G81" s="8">
        <v>424</v>
      </c>
      <c r="H81" s="3">
        <v>45063</v>
      </c>
      <c r="I81" s="2" t="s">
        <v>27</v>
      </c>
      <c r="J81" s="2">
        <f t="shared" ref="J81" si="121">+E81</f>
        <v>9721</v>
      </c>
      <c r="K81" s="2">
        <f t="shared" ref="K81" si="122">+F81</f>
        <v>1</v>
      </c>
      <c r="L81" s="2">
        <f t="shared" ref="L81" si="123">+G81</f>
        <v>424</v>
      </c>
      <c r="M81" s="2" t="s">
        <v>29</v>
      </c>
      <c r="N81" s="2">
        <v>42</v>
      </c>
      <c r="O81" s="2">
        <v>21781</v>
      </c>
      <c r="P81" s="8">
        <f t="shared" si="50"/>
        <v>424.83404880000001</v>
      </c>
      <c r="Q81" s="8">
        <f t="shared" si="51"/>
        <v>0.83404880000000503</v>
      </c>
    </row>
    <row r="82" spans="1:17" x14ac:dyDescent="0.25">
      <c r="A82" s="3">
        <v>45063</v>
      </c>
      <c r="B82" s="2" t="s">
        <v>57</v>
      </c>
      <c r="C82" s="2">
        <v>86</v>
      </c>
      <c r="D82" s="2">
        <v>54</v>
      </c>
      <c r="E82" s="2">
        <v>9723</v>
      </c>
      <c r="F82" s="2">
        <v>1</v>
      </c>
      <c r="G82" s="8">
        <v>461</v>
      </c>
      <c r="H82" s="3">
        <v>45063</v>
      </c>
      <c r="I82" s="2" t="s">
        <v>27</v>
      </c>
      <c r="J82" s="2">
        <f t="shared" ref="J82" si="124">+E82</f>
        <v>9723</v>
      </c>
      <c r="K82" s="2">
        <f t="shared" ref="K82" si="125">+F82</f>
        <v>1</v>
      </c>
      <c r="L82" s="2">
        <f t="shared" ref="L82" si="126">+G82</f>
        <v>461</v>
      </c>
      <c r="M82" s="2" t="s">
        <v>29</v>
      </c>
      <c r="N82" s="2">
        <v>42</v>
      </c>
      <c r="O82" s="2">
        <v>23429</v>
      </c>
      <c r="P82" s="8">
        <f t="shared" si="50"/>
        <v>456.97795920000004</v>
      </c>
      <c r="Q82" s="8">
        <f t="shared" si="51"/>
        <v>-4.0220407999999566</v>
      </c>
    </row>
    <row r="83" spans="1:17" x14ac:dyDescent="0.25">
      <c r="A83" s="3">
        <v>45063</v>
      </c>
      <c r="B83" s="2" t="s">
        <v>57</v>
      </c>
      <c r="C83" s="2">
        <v>86</v>
      </c>
      <c r="D83" s="2">
        <v>54</v>
      </c>
      <c r="E83" s="2">
        <v>9726</v>
      </c>
      <c r="F83" s="2">
        <v>1</v>
      </c>
      <c r="G83" s="8">
        <v>399</v>
      </c>
      <c r="H83" s="3">
        <v>45063</v>
      </c>
      <c r="I83" s="2" t="s">
        <v>27</v>
      </c>
      <c r="J83" s="2">
        <f t="shared" ref="J83" si="127">+E83</f>
        <v>9726</v>
      </c>
      <c r="K83" s="2">
        <f t="shared" ref="K83" si="128">+F83</f>
        <v>1</v>
      </c>
      <c r="L83" s="2">
        <f t="shared" ref="L83" si="129">+G83</f>
        <v>399</v>
      </c>
      <c r="M83" s="2" t="s">
        <v>29</v>
      </c>
      <c r="N83" s="2">
        <v>42</v>
      </c>
      <c r="O83" s="2">
        <v>20335</v>
      </c>
      <c r="P83" s="8">
        <f t="shared" si="50"/>
        <v>396.63010800000001</v>
      </c>
      <c r="Q83" s="8">
        <f t="shared" si="51"/>
        <v>-2.369891999999993</v>
      </c>
    </row>
    <row r="84" spans="1:17" x14ac:dyDescent="0.25">
      <c r="A84" s="3">
        <v>45063</v>
      </c>
      <c r="B84" s="2" t="s">
        <v>57</v>
      </c>
      <c r="C84" s="2">
        <v>86</v>
      </c>
      <c r="D84" s="2">
        <v>54</v>
      </c>
      <c r="E84" s="2">
        <v>9728</v>
      </c>
      <c r="F84" s="2">
        <v>1</v>
      </c>
      <c r="G84" s="8">
        <v>420</v>
      </c>
      <c r="H84" s="3">
        <v>45064</v>
      </c>
      <c r="I84" s="2" t="s">
        <v>27</v>
      </c>
      <c r="J84" s="2">
        <f t="shared" ref="J84" si="130">+E84</f>
        <v>9728</v>
      </c>
      <c r="K84" s="2">
        <f t="shared" ref="K84" si="131">+F84</f>
        <v>1</v>
      </c>
      <c r="L84" s="2">
        <f t="shared" ref="L84" si="132">+G84</f>
        <v>420</v>
      </c>
      <c r="M84" s="2" t="s">
        <v>29</v>
      </c>
      <c r="N84" s="2">
        <v>42</v>
      </c>
      <c r="O84" s="2">
        <v>21543</v>
      </c>
      <c r="P84" s="8">
        <f t="shared" si="50"/>
        <v>420.19190640000005</v>
      </c>
      <c r="Q84" s="8">
        <f t="shared" si="51"/>
        <v>0.19190640000005033</v>
      </c>
    </row>
    <row r="85" spans="1:17" x14ac:dyDescent="0.25">
      <c r="A85" s="3">
        <v>45063</v>
      </c>
      <c r="B85" s="2" t="s">
        <v>57</v>
      </c>
      <c r="C85" s="2">
        <v>80</v>
      </c>
      <c r="D85" s="2">
        <v>54</v>
      </c>
      <c r="E85" s="2">
        <v>9803</v>
      </c>
      <c r="F85" s="2">
        <v>1</v>
      </c>
      <c r="G85" s="8">
        <v>390</v>
      </c>
      <c r="H85" s="3">
        <v>45063</v>
      </c>
      <c r="I85" s="2" t="s">
        <v>27</v>
      </c>
      <c r="J85" s="2">
        <f t="shared" ref="J85:L86" si="133">+E85</f>
        <v>9803</v>
      </c>
      <c r="K85" s="2">
        <f t="shared" si="133"/>
        <v>1</v>
      </c>
      <c r="L85" s="2">
        <f t="shared" si="133"/>
        <v>390</v>
      </c>
      <c r="M85" s="7" t="s">
        <v>30</v>
      </c>
      <c r="N85" s="2">
        <f t="shared" ref="N85:N110" si="134">69/2</f>
        <v>34.5</v>
      </c>
      <c r="O85" s="2">
        <v>25738</v>
      </c>
      <c r="P85" s="8">
        <f t="shared" si="50"/>
        <v>383.59915199999995</v>
      </c>
      <c r="Q85" s="8">
        <f t="shared" si="51"/>
        <v>-6.4008480000000532</v>
      </c>
    </row>
    <row r="86" spans="1:17" x14ac:dyDescent="0.25">
      <c r="A86" s="3">
        <v>45063</v>
      </c>
      <c r="B86" s="2" t="s">
        <v>57</v>
      </c>
      <c r="C86" s="2">
        <v>80</v>
      </c>
      <c r="D86" s="2">
        <v>54</v>
      </c>
      <c r="E86" s="2">
        <v>9797</v>
      </c>
      <c r="F86" s="2">
        <v>1</v>
      </c>
      <c r="G86" s="8">
        <v>398</v>
      </c>
      <c r="H86" s="3">
        <v>45063</v>
      </c>
      <c r="I86" s="2" t="s">
        <v>27</v>
      </c>
      <c r="J86" s="2">
        <f t="shared" si="133"/>
        <v>9797</v>
      </c>
      <c r="K86" s="2">
        <f t="shared" si="133"/>
        <v>1</v>
      </c>
      <c r="L86" s="2">
        <f t="shared" si="133"/>
        <v>398</v>
      </c>
      <c r="M86" s="7" t="s">
        <v>30</v>
      </c>
      <c r="N86" s="2">
        <f t="shared" si="134"/>
        <v>34.5</v>
      </c>
      <c r="O86" s="2">
        <v>26234</v>
      </c>
      <c r="P86" s="8">
        <f t="shared" si="50"/>
        <v>390.991536</v>
      </c>
      <c r="Q86" s="8">
        <f t="shared" si="51"/>
        <v>-7.0084640000000036</v>
      </c>
    </row>
    <row r="87" spans="1:17" x14ac:dyDescent="0.25">
      <c r="A87" s="3">
        <v>45063</v>
      </c>
      <c r="B87" s="2" t="s">
        <v>57</v>
      </c>
      <c r="C87" s="2">
        <v>80</v>
      </c>
      <c r="D87" s="2">
        <v>54</v>
      </c>
      <c r="E87" s="2">
        <v>9775</v>
      </c>
      <c r="F87" s="2">
        <v>1</v>
      </c>
      <c r="G87" s="8">
        <v>393</v>
      </c>
      <c r="H87" s="3">
        <v>45064</v>
      </c>
      <c r="I87" s="2" t="s">
        <v>27</v>
      </c>
      <c r="J87" s="2">
        <f t="shared" ref="J87" si="135">+E87</f>
        <v>9775</v>
      </c>
      <c r="K87" s="2">
        <f t="shared" ref="K87" si="136">+F87</f>
        <v>1</v>
      </c>
      <c r="L87" s="2">
        <f t="shared" ref="L87" si="137">+G87</f>
        <v>393</v>
      </c>
      <c r="M87" s="7" t="s">
        <v>30</v>
      </c>
      <c r="N87" s="2">
        <f t="shared" si="134"/>
        <v>34.5</v>
      </c>
      <c r="O87" s="2">
        <v>25309</v>
      </c>
      <c r="P87" s="8">
        <f t="shared" ref="P87" si="138">(O87/20000/500)*C87*D87*N87</f>
        <v>377.20533599999993</v>
      </c>
      <c r="Q87" s="8">
        <f t="shared" ref="Q87" si="139">+P87-G87</f>
        <v>-15.794664000000068</v>
      </c>
    </row>
    <row r="88" spans="1:17" x14ac:dyDescent="0.25">
      <c r="A88" s="3">
        <v>45063</v>
      </c>
      <c r="B88" s="2" t="s">
        <v>57</v>
      </c>
      <c r="C88" s="2">
        <v>80</v>
      </c>
      <c r="D88" s="2">
        <v>54</v>
      </c>
      <c r="E88" s="2">
        <v>9766</v>
      </c>
      <c r="F88" s="2">
        <v>1</v>
      </c>
      <c r="G88" s="8">
        <v>371</v>
      </c>
      <c r="H88" s="3">
        <v>45063</v>
      </c>
      <c r="I88" s="2" t="s">
        <v>27</v>
      </c>
      <c r="J88" s="2">
        <f t="shared" ref="J88:L89" si="140">+E88</f>
        <v>9766</v>
      </c>
      <c r="K88" s="2">
        <f t="shared" si="140"/>
        <v>1</v>
      </c>
      <c r="L88" s="2">
        <f t="shared" si="140"/>
        <v>371</v>
      </c>
      <c r="M88" s="7" t="s">
        <v>30</v>
      </c>
      <c r="N88" s="2">
        <f t="shared" si="134"/>
        <v>34.5</v>
      </c>
      <c r="O88" s="2">
        <v>24462</v>
      </c>
      <c r="P88" s="8">
        <f t="shared" si="50"/>
        <v>364.58164799999992</v>
      </c>
      <c r="Q88" s="8">
        <f t="shared" si="51"/>
        <v>-6.418352000000084</v>
      </c>
    </row>
    <row r="89" spans="1:17" x14ac:dyDescent="0.25">
      <c r="A89" s="3">
        <v>45063</v>
      </c>
      <c r="B89" s="2" t="s">
        <v>57</v>
      </c>
      <c r="C89" s="2">
        <v>80</v>
      </c>
      <c r="D89" s="2">
        <v>54</v>
      </c>
      <c r="E89" s="2">
        <v>9810</v>
      </c>
      <c r="F89" s="2">
        <v>1</v>
      </c>
      <c r="G89" s="8">
        <v>426</v>
      </c>
      <c r="H89" s="3">
        <v>45063</v>
      </c>
      <c r="I89" s="2" t="s">
        <v>27</v>
      </c>
      <c r="J89" s="2">
        <f t="shared" si="140"/>
        <v>9810</v>
      </c>
      <c r="K89" s="2">
        <f t="shared" si="140"/>
        <v>1</v>
      </c>
      <c r="L89" s="2">
        <f t="shared" si="140"/>
        <v>426</v>
      </c>
      <c r="M89" s="7" t="s">
        <v>30</v>
      </c>
      <c r="N89" s="2">
        <f t="shared" si="134"/>
        <v>34.5</v>
      </c>
      <c r="O89" s="2">
        <v>27727</v>
      </c>
      <c r="P89" s="8">
        <f t="shared" si="50"/>
        <v>413.24320799999998</v>
      </c>
      <c r="Q89" s="8">
        <f t="shared" si="51"/>
        <v>-12.756792000000019</v>
      </c>
    </row>
    <row r="90" spans="1:17" x14ac:dyDescent="0.25">
      <c r="A90" s="3">
        <v>45063</v>
      </c>
      <c r="B90" s="2" t="s">
        <v>57</v>
      </c>
      <c r="C90" s="2">
        <v>80</v>
      </c>
      <c r="D90" s="2">
        <v>54</v>
      </c>
      <c r="E90" s="2">
        <v>9811</v>
      </c>
      <c r="F90" s="2">
        <v>1</v>
      </c>
      <c r="G90" s="8">
        <v>381</v>
      </c>
      <c r="H90" s="3">
        <v>45064</v>
      </c>
      <c r="I90" s="2" t="s">
        <v>27</v>
      </c>
      <c r="J90" s="2">
        <f t="shared" ref="J90:L95" si="141">+E90</f>
        <v>9811</v>
      </c>
      <c r="K90" s="2">
        <f t="shared" si="141"/>
        <v>1</v>
      </c>
      <c r="L90" s="2">
        <f t="shared" si="141"/>
        <v>381</v>
      </c>
      <c r="M90" s="7" t="s">
        <v>30</v>
      </c>
      <c r="N90" s="2">
        <f t="shared" si="134"/>
        <v>34.5</v>
      </c>
      <c r="O90" s="2">
        <v>25074</v>
      </c>
      <c r="P90" s="8">
        <f t="shared" si="50"/>
        <v>373.70289600000001</v>
      </c>
      <c r="Q90" s="8">
        <f t="shared" si="51"/>
        <v>-7.2971039999999903</v>
      </c>
    </row>
    <row r="91" spans="1:17" x14ac:dyDescent="0.25">
      <c r="A91" s="3">
        <v>45063</v>
      </c>
      <c r="B91" s="2" t="s">
        <v>57</v>
      </c>
      <c r="C91" s="2">
        <v>80</v>
      </c>
      <c r="D91" s="2">
        <v>54</v>
      </c>
      <c r="E91" s="2">
        <v>9801</v>
      </c>
      <c r="F91" s="2">
        <v>1</v>
      </c>
      <c r="G91" s="8">
        <v>393</v>
      </c>
      <c r="H91" s="3">
        <v>45063</v>
      </c>
      <c r="I91" s="2" t="s">
        <v>27</v>
      </c>
      <c r="J91" s="2">
        <f t="shared" si="141"/>
        <v>9801</v>
      </c>
      <c r="K91" s="2">
        <f t="shared" si="141"/>
        <v>1</v>
      </c>
      <c r="L91" s="2">
        <f t="shared" si="141"/>
        <v>393</v>
      </c>
      <c r="M91" s="7" t="s">
        <v>30</v>
      </c>
      <c r="N91" s="2">
        <f t="shared" si="134"/>
        <v>34.5</v>
      </c>
      <c r="O91" s="2">
        <v>25249</v>
      </c>
      <c r="P91" s="8">
        <f t="shared" si="50"/>
        <v>376.31109599999996</v>
      </c>
      <c r="Q91" s="8">
        <f t="shared" si="51"/>
        <v>-16.688904000000036</v>
      </c>
    </row>
    <row r="92" spans="1:17" x14ac:dyDescent="0.25">
      <c r="A92" s="3">
        <v>45063</v>
      </c>
      <c r="B92" s="2" t="s">
        <v>57</v>
      </c>
      <c r="C92" s="2">
        <v>80</v>
      </c>
      <c r="D92" s="2">
        <v>54</v>
      </c>
      <c r="E92" s="2">
        <v>9820</v>
      </c>
      <c r="F92" s="2">
        <v>1</v>
      </c>
      <c r="G92" s="8">
        <v>387</v>
      </c>
      <c r="H92" s="3">
        <v>45064</v>
      </c>
      <c r="I92" s="2" t="s">
        <v>27</v>
      </c>
      <c r="J92" s="2">
        <f t="shared" si="141"/>
        <v>9820</v>
      </c>
      <c r="K92" s="2">
        <f t="shared" si="141"/>
        <v>1</v>
      </c>
      <c r="L92" s="2">
        <f t="shared" si="141"/>
        <v>387</v>
      </c>
      <c r="M92" s="7" t="s">
        <v>30</v>
      </c>
      <c r="N92" s="2">
        <f t="shared" si="134"/>
        <v>34.5</v>
      </c>
      <c r="O92" s="2">
        <v>25595</v>
      </c>
      <c r="P92" s="8">
        <f t="shared" si="50"/>
        <v>381.46787999999998</v>
      </c>
      <c r="Q92" s="8">
        <f t="shared" si="51"/>
        <v>-5.5321200000000204</v>
      </c>
    </row>
    <row r="93" spans="1:17" x14ac:dyDescent="0.25">
      <c r="A93" s="3">
        <v>45063</v>
      </c>
      <c r="B93" s="2" t="s">
        <v>57</v>
      </c>
      <c r="C93" s="2">
        <v>80</v>
      </c>
      <c r="D93" s="2">
        <v>54</v>
      </c>
      <c r="E93" s="2">
        <v>9767</v>
      </c>
      <c r="F93" s="2">
        <v>1</v>
      </c>
      <c r="G93" s="8">
        <v>405</v>
      </c>
      <c r="H93" s="3">
        <v>45063</v>
      </c>
      <c r="I93" s="2" t="s">
        <v>27</v>
      </c>
      <c r="J93" s="2">
        <f t="shared" si="141"/>
        <v>9767</v>
      </c>
      <c r="K93" s="2">
        <f t="shared" si="141"/>
        <v>1</v>
      </c>
      <c r="L93" s="2">
        <f t="shared" si="141"/>
        <v>405</v>
      </c>
      <c r="M93" s="7" t="s">
        <v>30</v>
      </c>
      <c r="N93" s="2">
        <f t="shared" si="134"/>
        <v>34.5</v>
      </c>
      <c r="O93" s="2">
        <v>27019</v>
      </c>
      <c r="P93" s="8">
        <f t="shared" si="50"/>
        <v>402.69117600000004</v>
      </c>
      <c r="Q93" s="8">
        <f t="shared" si="51"/>
        <v>-2.3088239999999587</v>
      </c>
    </row>
    <row r="94" spans="1:17" x14ac:dyDescent="0.25">
      <c r="A94" s="3">
        <v>45063</v>
      </c>
      <c r="B94" s="2" t="s">
        <v>57</v>
      </c>
      <c r="C94" s="2">
        <v>80</v>
      </c>
      <c r="D94" s="2">
        <v>54</v>
      </c>
      <c r="E94" s="2">
        <v>9804</v>
      </c>
      <c r="F94" s="2">
        <v>1</v>
      </c>
      <c r="G94" s="8">
        <v>379</v>
      </c>
      <c r="H94" s="3">
        <v>45064</v>
      </c>
      <c r="I94" s="2" t="s">
        <v>27</v>
      </c>
      <c r="J94" s="2">
        <f t="shared" si="141"/>
        <v>9804</v>
      </c>
      <c r="K94" s="2">
        <f t="shared" si="141"/>
        <v>1</v>
      </c>
      <c r="L94" s="2">
        <f t="shared" si="141"/>
        <v>379</v>
      </c>
      <c r="M94" s="7" t="s">
        <v>30</v>
      </c>
      <c r="N94" s="2">
        <f t="shared" si="134"/>
        <v>34.5</v>
      </c>
      <c r="O94" s="2">
        <v>24914</v>
      </c>
      <c r="P94" s="8">
        <f t="shared" si="50"/>
        <v>371.31825600000002</v>
      </c>
      <c r="Q94" s="8">
        <f t="shared" si="51"/>
        <v>-7.6817439999999806</v>
      </c>
    </row>
    <row r="95" spans="1:17" x14ac:dyDescent="0.25">
      <c r="A95" s="3">
        <v>45063</v>
      </c>
      <c r="B95" s="2" t="s">
        <v>57</v>
      </c>
      <c r="C95" s="2">
        <v>80</v>
      </c>
      <c r="D95" s="2">
        <v>54</v>
      </c>
      <c r="E95" s="2">
        <v>9796</v>
      </c>
      <c r="F95" s="2">
        <v>1</v>
      </c>
      <c r="G95" s="8">
        <v>416</v>
      </c>
      <c r="H95" s="3">
        <v>45064</v>
      </c>
      <c r="I95" s="2" t="s">
        <v>27</v>
      </c>
      <c r="J95" s="2">
        <f t="shared" si="141"/>
        <v>9796</v>
      </c>
      <c r="K95" s="2">
        <f t="shared" si="141"/>
        <v>1</v>
      </c>
      <c r="L95" s="2">
        <f t="shared" si="141"/>
        <v>416</v>
      </c>
      <c r="M95" s="7" t="s">
        <v>30</v>
      </c>
      <c r="N95" s="2">
        <f t="shared" si="134"/>
        <v>34.5</v>
      </c>
      <c r="O95" s="2">
        <v>27415</v>
      </c>
      <c r="P95" s="8">
        <f t="shared" si="50"/>
        <v>408.59316000000001</v>
      </c>
      <c r="Q95" s="8">
        <f t="shared" si="51"/>
        <v>-7.4068399999999883</v>
      </c>
    </row>
    <row r="96" spans="1:17" x14ac:dyDescent="0.25">
      <c r="A96" s="3">
        <v>45063</v>
      </c>
      <c r="B96" s="2" t="s">
        <v>57</v>
      </c>
      <c r="C96" s="2">
        <v>80</v>
      </c>
      <c r="D96" s="2">
        <v>54</v>
      </c>
      <c r="E96" s="2">
        <v>9770</v>
      </c>
      <c r="F96" s="2">
        <v>1</v>
      </c>
      <c r="G96" s="8">
        <v>381</v>
      </c>
      <c r="H96" s="3">
        <v>45063</v>
      </c>
      <c r="I96" s="2" t="s">
        <v>27</v>
      </c>
      <c r="J96" s="2">
        <f t="shared" ref="J96:L99" si="142">+E96</f>
        <v>9770</v>
      </c>
      <c r="K96" s="2">
        <f t="shared" si="142"/>
        <v>1</v>
      </c>
      <c r="L96" s="2">
        <f t="shared" si="142"/>
        <v>381</v>
      </c>
      <c r="M96" s="7" t="s">
        <v>30</v>
      </c>
      <c r="N96" s="2">
        <f t="shared" si="134"/>
        <v>34.5</v>
      </c>
      <c r="O96" s="2">
        <v>25515</v>
      </c>
      <c r="P96" s="8">
        <f t="shared" si="50"/>
        <v>380.27555999999998</v>
      </c>
      <c r="Q96" s="8">
        <f t="shared" si="51"/>
        <v>-0.72444000000001552</v>
      </c>
    </row>
    <row r="97" spans="1:17" x14ac:dyDescent="0.25">
      <c r="A97" s="3">
        <v>45063</v>
      </c>
      <c r="B97" s="2" t="s">
        <v>57</v>
      </c>
      <c r="C97" s="2">
        <v>80</v>
      </c>
      <c r="D97" s="2">
        <v>54</v>
      </c>
      <c r="E97" s="2">
        <v>9805</v>
      </c>
      <c r="F97" s="2">
        <v>1</v>
      </c>
      <c r="G97" s="8">
        <v>401</v>
      </c>
      <c r="H97" s="3">
        <v>45063</v>
      </c>
      <c r="I97" s="2" t="s">
        <v>27</v>
      </c>
      <c r="J97" s="2">
        <f t="shared" si="142"/>
        <v>9805</v>
      </c>
      <c r="K97" s="2">
        <f t="shared" si="142"/>
        <v>1</v>
      </c>
      <c r="L97" s="2">
        <f t="shared" si="142"/>
        <v>401</v>
      </c>
      <c r="M97" s="7" t="s">
        <v>30</v>
      </c>
      <c r="N97" s="2">
        <f t="shared" si="134"/>
        <v>34.5</v>
      </c>
      <c r="O97" s="2">
        <v>25630</v>
      </c>
      <c r="P97" s="8">
        <f t="shared" si="50"/>
        <v>381.98952000000003</v>
      </c>
      <c r="Q97" s="8">
        <f t="shared" si="51"/>
        <v>-19.010479999999973</v>
      </c>
    </row>
    <row r="98" spans="1:17" x14ac:dyDescent="0.25">
      <c r="A98" s="3">
        <v>45063</v>
      </c>
      <c r="B98" s="2" t="s">
        <v>57</v>
      </c>
      <c r="C98" s="2">
        <v>80</v>
      </c>
      <c r="D98" s="2">
        <v>54</v>
      </c>
      <c r="E98" s="2">
        <v>9771</v>
      </c>
      <c r="F98" s="2">
        <v>1</v>
      </c>
      <c r="G98" s="8">
        <v>380</v>
      </c>
      <c r="H98" s="3">
        <v>45063</v>
      </c>
      <c r="I98" s="2" t="s">
        <v>27</v>
      </c>
      <c r="J98" s="2">
        <f t="shared" si="142"/>
        <v>9771</v>
      </c>
      <c r="K98" s="2">
        <f t="shared" si="142"/>
        <v>1</v>
      </c>
      <c r="L98" s="2">
        <f t="shared" si="142"/>
        <v>380</v>
      </c>
      <c r="M98" s="7" t="s">
        <v>30</v>
      </c>
      <c r="N98" s="2">
        <f t="shared" si="134"/>
        <v>34.5</v>
      </c>
      <c r="O98" s="2">
        <v>25158</v>
      </c>
      <c r="P98" s="8">
        <f t="shared" si="50"/>
        <v>374.95483200000001</v>
      </c>
      <c r="Q98" s="8">
        <f t="shared" si="51"/>
        <v>-5.0451679999999897</v>
      </c>
    </row>
    <row r="99" spans="1:17" x14ac:dyDescent="0.25">
      <c r="A99" s="3">
        <v>45063</v>
      </c>
      <c r="B99" s="2" t="s">
        <v>57</v>
      </c>
      <c r="C99" s="2">
        <v>80</v>
      </c>
      <c r="D99" s="2">
        <v>54</v>
      </c>
      <c r="E99" s="2">
        <v>9772</v>
      </c>
      <c r="F99" s="2">
        <v>1</v>
      </c>
      <c r="G99" s="8">
        <v>382</v>
      </c>
      <c r="H99" s="3">
        <v>45063</v>
      </c>
      <c r="I99" s="2" t="s">
        <v>27</v>
      </c>
      <c r="J99" s="2">
        <f t="shared" si="142"/>
        <v>9772</v>
      </c>
      <c r="K99" s="2">
        <f t="shared" si="142"/>
        <v>1</v>
      </c>
      <c r="L99" s="2">
        <f t="shared" si="142"/>
        <v>382</v>
      </c>
      <c r="M99" s="7" t="s">
        <v>30</v>
      </c>
      <c r="N99" s="2">
        <f t="shared" si="134"/>
        <v>34.5</v>
      </c>
      <c r="O99" s="2">
        <v>25256</v>
      </c>
      <c r="P99" s="8">
        <f t="shared" si="50"/>
        <v>376.41542399999997</v>
      </c>
      <c r="Q99" s="8">
        <f t="shared" si="51"/>
        <v>-5.5845760000000269</v>
      </c>
    </row>
    <row r="100" spans="1:17" x14ac:dyDescent="0.25">
      <c r="A100" s="3">
        <v>45063</v>
      </c>
      <c r="B100" s="2" t="s">
        <v>57</v>
      </c>
      <c r="C100" s="2">
        <v>80</v>
      </c>
      <c r="D100" s="2">
        <v>54</v>
      </c>
      <c r="E100" s="2">
        <v>9774</v>
      </c>
      <c r="F100" s="2">
        <v>1</v>
      </c>
      <c r="G100" s="8">
        <v>395</v>
      </c>
      <c r="H100" s="3">
        <v>45064</v>
      </c>
      <c r="I100" s="2" t="s">
        <v>27</v>
      </c>
      <c r="J100" s="2">
        <f t="shared" ref="J100" si="143">+E100</f>
        <v>9774</v>
      </c>
      <c r="K100" s="2">
        <f t="shared" ref="K100" si="144">+F100</f>
        <v>1</v>
      </c>
      <c r="L100" s="2">
        <f t="shared" ref="L100" si="145">+G100</f>
        <v>395</v>
      </c>
      <c r="M100" s="7" t="s">
        <v>30</v>
      </c>
      <c r="N100" s="2">
        <f t="shared" si="134"/>
        <v>34.5</v>
      </c>
      <c r="O100" s="2">
        <v>25740</v>
      </c>
      <c r="P100" s="8">
        <f t="shared" si="50"/>
        <v>383.62895999999995</v>
      </c>
      <c r="Q100" s="8">
        <f t="shared" si="51"/>
        <v>-11.37104000000005</v>
      </c>
    </row>
    <row r="101" spans="1:17" x14ac:dyDescent="0.25">
      <c r="A101" s="3">
        <v>45063</v>
      </c>
      <c r="B101" s="2" t="s">
        <v>57</v>
      </c>
      <c r="C101" s="2">
        <v>80</v>
      </c>
      <c r="D101" s="2">
        <v>54</v>
      </c>
      <c r="E101" s="2">
        <v>9765</v>
      </c>
      <c r="F101" s="2">
        <v>1</v>
      </c>
      <c r="G101" s="8">
        <v>422</v>
      </c>
      <c r="H101" s="3">
        <v>45064</v>
      </c>
      <c r="I101" s="2" t="s">
        <v>27</v>
      </c>
      <c r="J101" s="2">
        <f t="shared" ref="J101" si="146">+E101</f>
        <v>9765</v>
      </c>
      <c r="K101" s="2">
        <f t="shared" ref="K101" si="147">+F101</f>
        <v>1</v>
      </c>
      <c r="L101" s="2">
        <f t="shared" ref="L101" si="148">+G101</f>
        <v>422</v>
      </c>
      <c r="M101" s="7" t="s">
        <v>30</v>
      </c>
      <c r="N101" s="2">
        <f t="shared" si="134"/>
        <v>34.5</v>
      </c>
      <c r="O101" s="2">
        <v>27890</v>
      </c>
      <c r="P101" s="8">
        <f t="shared" si="50"/>
        <v>415.67256000000003</v>
      </c>
      <c r="Q101" s="8">
        <f t="shared" si="51"/>
        <v>-6.3274399999999673</v>
      </c>
    </row>
    <row r="102" spans="1:17" x14ac:dyDescent="0.25">
      <c r="A102" s="3">
        <v>45063</v>
      </c>
      <c r="B102" s="2" t="s">
        <v>57</v>
      </c>
      <c r="C102" s="2">
        <v>80</v>
      </c>
      <c r="D102" s="2">
        <v>54</v>
      </c>
      <c r="E102" s="2">
        <v>9795</v>
      </c>
      <c r="F102" s="2">
        <v>1</v>
      </c>
      <c r="G102" s="8">
        <v>376</v>
      </c>
      <c r="H102" s="3">
        <v>45064</v>
      </c>
      <c r="I102" s="2" t="s">
        <v>27</v>
      </c>
      <c r="J102" s="2">
        <f t="shared" ref="J102" si="149">+E102</f>
        <v>9795</v>
      </c>
      <c r="K102" s="2">
        <f t="shared" ref="K102" si="150">+F102</f>
        <v>1</v>
      </c>
      <c r="L102" s="2">
        <f t="shared" ref="L102" si="151">+G102</f>
        <v>376</v>
      </c>
      <c r="M102" s="7" t="s">
        <v>30</v>
      </c>
      <c r="N102" s="2">
        <f t="shared" si="134"/>
        <v>34.5</v>
      </c>
      <c r="O102" s="2">
        <v>24243</v>
      </c>
      <c r="P102" s="8">
        <f t="shared" si="50"/>
        <v>361.31767200000002</v>
      </c>
      <c r="Q102" s="8">
        <f t="shared" si="51"/>
        <v>-14.682327999999984</v>
      </c>
    </row>
    <row r="103" spans="1:17" x14ac:dyDescent="0.25">
      <c r="A103" s="3">
        <v>45063</v>
      </c>
      <c r="B103" s="2" t="s">
        <v>57</v>
      </c>
      <c r="C103" s="2">
        <v>80</v>
      </c>
      <c r="D103" s="2">
        <v>54</v>
      </c>
      <c r="E103" s="2">
        <v>9802</v>
      </c>
      <c r="F103" s="2">
        <v>1</v>
      </c>
      <c r="G103" s="8">
        <v>383</v>
      </c>
      <c r="H103" s="3">
        <v>45064</v>
      </c>
      <c r="I103" s="2" t="s">
        <v>27</v>
      </c>
      <c r="J103" s="2">
        <f t="shared" ref="J103" si="152">+E103</f>
        <v>9802</v>
      </c>
      <c r="K103" s="2">
        <f t="shared" ref="K103" si="153">+F103</f>
        <v>1</v>
      </c>
      <c r="L103" s="2">
        <f t="shared" ref="L103" si="154">+G103</f>
        <v>383</v>
      </c>
      <c r="M103" s="7" t="s">
        <v>30</v>
      </c>
      <c r="N103" s="2">
        <f t="shared" si="134"/>
        <v>34.5</v>
      </c>
      <c r="O103" s="2">
        <v>25074</v>
      </c>
      <c r="P103" s="8">
        <f t="shared" si="50"/>
        <v>373.70289600000001</v>
      </c>
      <c r="Q103" s="8">
        <f t="shared" si="51"/>
        <v>-9.2971039999999903</v>
      </c>
    </row>
    <row r="104" spans="1:17" x14ac:dyDescent="0.25">
      <c r="A104" s="3">
        <v>45063</v>
      </c>
      <c r="B104" s="2" t="s">
        <v>57</v>
      </c>
      <c r="C104" s="2">
        <v>80</v>
      </c>
      <c r="D104" s="2">
        <v>54</v>
      </c>
      <c r="E104" s="2">
        <v>9794</v>
      </c>
      <c r="F104" s="2">
        <v>1</v>
      </c>
      <c r="G104" s="8">
        <v>384</v>
      </c>
      <c r="H104" s="3">
        <v>45063</v>
      </c>
      <c r="I104" s="2" t="s">
        <v>27</v>
      </c>
      <c r="J104" s="2">
        <f t="shared" ref="J104:L107" si="155">+E104</f>
        <v>9794</v>
      </c>
      <c r="K104" s="2">
        <f t="shared" si="155"/>
        <v>1</v>
      </c>
      <c r="L104" s="2">
        <f t="shared" si="155"/>
        <v>384</v>
      </c>
      <c r="M104" s="7" t="s">
        <v>30</v>
      </c>
      <c r="N104" s="2">
        <f t="shared" si="134"/>
        <v>34.5</v>
      </c>
      <c r="O104" s="2">
        <v>25132</v>
      </c>
      <c r="P104" s="8">
        <f t="shared" si="50"/>
        <v>374.56732799999997</v>
      </c>
      <c r="Q104" s="8">
        <f t="shared" si="51"/>
        <v>-9.432672000000025</v>
      </c>
    </row>
    <row r="105" spans="1:17" x14ac:dyDescent="0.25">
      <c r="A105" s="3">
        <v>45063</v>
      </c>
      <c r="B105" s="2" t="s">
        <v>57</v>
      </c>
      <c r="C105" s="2">
        <v>80</v>
      </c>
      <c r="D105" s="2">
        <v>54</v>
      </c>
      <c r="E105" s="2">
        <v>9799</v>
      </c>
      <c r="F105" s="2">
        <v>1</v>
      </c>
      <c r="G105" s="8">
        <v>382</v>
      </c>
      <c r="H105" s="3">
        <v>45063</v>
      </c>
      <c r="I105" s="2" t="s">
        <v>27</v>
      </c>
      <c r="J105" s="2">
        <f t="shared" si="155"/>
        <v>9799</v>
      </c>
      <c r="K105" s="2">
        <f t="shared" si="155"/>
        <v>1</v>
      </c>
      <c r="L105" s="2">
        <f t="shared" si="155"/>
        <v>382</v>
      </c>
      <c r="M105" s="7" t="s">
        <v>30</v>
      </c>
      <c r="N105" s="2">
        <f t="shared" si="134"/>
        <v>34.5</v>
      </c>
      <c r="O105" s="2">
        <v>25411</v>
      </c>
      <c r="P105" s="8">
        <f t="shared" si="50"/>
        <v>378.72554400000001</v>
      </c>
      <c r="Q105" s="8">
        <f t="shared" si="51"/>
        <v>-3.2744559999999865</v>
      </c>
    </row>
    <row r="106" spans="1:17" x14ac:dyDescent="0.25">
      <c r="A106" s="3">
        <v>45063</v>
      </c>
      <c r="B106" s="2" t="s">
        <v>57</v>
      </c>
      <c r="C106" s="2">
        <v>80</v>
      </c>
      <c r="D106" s="2">
        <v>54</v>
      </c>
      <c r="E106" s="2">
        <v>9800</v>
      </c>
      <c r="F106" s="2">
        <v>1</v>
      </c>
      <c r="G106" s="8">
        <v>380</v>
      </c>
      <c r="H106" s="3">
        <v>45063</v>
      </c>
      <c r="I106" s="2" t="s">
        <v>27</v>
      </c>
      <c r="J106" s="2">
        <f t="shared" si="155"/>
        <v>9800</v>
      </c>
      <c r="K106" s="2">
        <f t="shared" si="155"/>
        <v>1</v>
      </c>
      <c r="L106" s="2">
        <f t="shared" si="155"/>
        <v>380</v>
      </c>
      <c r="M106" s="7" t="s">
        <v>30</v>
      </c>
      <c r="N106" s="2">
        <f t="shared" si="134"/>
        <v>34.5</v>
      </c>
      <c r="O106" s="2">
        <v>25112</v>
      </c>
      <c r="P106" s="8">
        <f t="shared" si="50"/>
        <v>374.269248</v>
      </c>
      <c r="Q106" s="8">
        <f t="shared" si="51"/>
        <v>-5.7307519999999954</v>
      </c>
    </row>
    <row r="107" spans="1:17" x14ac:dyDescent="0.25">
      <c r="A107" s="3">
        <v>45063</v>
      </c>
      <c r="B107" s="2" t="s">
        <v>57</v>
      </c>
      <c r="C107" s="2">
        <v>80</v>
      </c>
      <c r="D107" s="2">
        <v>54</v>
      </c>
      <c r="E107" s="2">
        <v>9701</v>
      </c>
      <c r="F107" s="2">
        <v>1</v>
      </c>
      <c r="G107" s="8">
        <v>386</v>
      </c>
      <c r="H107" s="3">
        <v>45063</v>
      </c>
      <c r="I107" s="2" t="s">
        <v>27</v>
      </c>
      <c r="J107" s="2">
        <f t="shared" si="155"/>
        <v>9701</v>
      </c>
      <c r="K107" s="2">
        <f t="shared" si="155"/>
        <v>1</v>
      </c>
      <c r="L107" s="2">
        <f t="shared" si="155"/>
        <v>386</v>
      </c>
      <c r="M107" s="7" t="s">
        <v>30</v>
      </c>
      <c r="N107" s="2">
        <f t="shared" si="134"/>
        <v>34.5</v>
      </c>
      <c r="O107" s="2">
        <v>25778</v>
      </c>
      <c r="P107" s="8">
        <f t="shared" si="50"/>
        <v>384.195312</v>
      </c>
      <c r="Q107" s="8">
        <f t="shared" si="51"/>
        <v>-1.8046879999999987</v>
      </c>
    </row>
    <row r="108" spans="1:17" x14ac:dyDescent="0.25">
      <c r="A108" s="3">
        <v>45063</v>
      </c>
      <c r="B108" s="2" t="s">
        <v>57</v>
      </c>
      <c r="C108" s="2">
        <v>80</v>
      </c>
      <c r="D108" s="2">
        <v>54</v>
      </c>
      <c r="E108" s="2">
        <v>9705</v>
      </c>
      <c r="F108" s="2">
        <v>1</v>
      </c>
      <c r="G108" s="8">
        <v>406</v>
      </c>
      <c r="H108" s="3">
        <v>45064</v>
      </c>
      <c r="I108" s="2" t="s">
        <v>27</v>
      </c>
      <c r="J108" s="2">
        <f t="shared" ref="J108" si="156">+E108</f>
        <v>9705</v>
      </c>
      <c r="K108" s="2">
        <f t="shared" ref="K108" si="157">+F108</f>
        <v>1</v>
      </c>
      <c r="L108" s="2">
        <f t="shared" ref="L108" si="158">+G108</f>
        <v>406</v>
      </c>
      <c r="M108" s="7" t="s">
        <v>30</v>
      </c>
      <c r="N108" s="2">
        <f t="shared" si="134"/>
        <v>34.5</v>
      </c>
      <c r="O108" s="2">
        <v>26234</v>
      </c>
      <c r="P108" s="8">
        <f t="shared" ref="P108" si="159">(O108/20000/500)*C108*D108*N108</f>
        <v>390.991536</v>
      </c>
      <c r="Q108" s="8">
        <f t="shared" si="51"/>
        <v>-15.008464000000004</v>
      </c>
    </row>
    <row r="109" spans="1:17" x14ac:dyDescent="0.25">
      <c r="A109" s="3">
        <v>45063</v>
      </c>
      <c r="B109" s="2" t="s">
        <v>57</v>
      </c>
      <c r="C109" s="2">
        <v>80</v>
      </c>
      <c r="D109" s="2">
        <v>54</v>
      </c>
      <c r="E109" s="2">
        <v>9798</v>
      </c>
      <c r="F109" s="2">
        <v>1</v>
      </c>
      <c r="G109" s="8">
        <v>394</v>
      </c>
      <c r="H109" s="3">
        <v>45063</v>
      </c>
      <c r="I109" s="2" t="s">
        <v>27</v>
      </c>
      <c r="J109" s="2">
        <f t="shared" ref="J109:L110" si="160">+E109</f>
        <v>9798</v>
      </c>
      <c r="K109" s="2">
        <f t="shared" si="160"/>
        <v>1</v>
      </c>
      <c r="L109" s="2">
        <f t="shared" si="160"/>
        <v>394</v>
      </c>
      <c r="M109" s="7" t="s">
        <v>30</v>
      </c>
      <c r="N109" s="2">
        <f t="shared" si="134"/>
        <v>34.5</v>
      </c>
      <c r="O109" s="2">
        <v>25931</v>
      </c>
      <c r="P109" s="8">
        <f t="shared" si="50"/>
        <v>386.47562400000004</v>
      </c>
      <c r="Q109" s="8">
        <f t="shared" si="51"/>
        <v>-7.5243759999999611</v>
      </c>
    </row>
    <row r="110" spans="1:17" x14ac:dyDescent="0.25">
      <c r="A110" s="3">
        <v>45064</v>
      </c>
      <c r="B110" s="2" t="s">
        <v>57</v>
      </c>
      <c r="C110" s="2">
        <v>80</v>
      </c>
      <c r="D110" s="2">
        <v>54</v>
      </c>
      <c r="E110" s="2">
        <v>9702</v>
      </c>
      <c r="F110" s="2">
        <v>1</v>
      </c>
      <c r="G110" s="8">
        <v>392</v>
      </c>
      <c r="H110" s="3">
        <v>45065</v>
      </c>
      <c r="I110" s="2" t="s">
        <v>27</v>
      </c>
      <c r="J110" s="2">
        <f t="shared" si="160"/>
        <v>9702</v>
      </c>
      <c r="K110" s="2">
        <f t="shared" si="160"/>
        <v>1</v>
      </c>
      <c r="L110" s="2">
        <f t="shared" si="160"/>
        <v>392</v>
      </c>
      <c r="M110" s="7" t="s">
        <v>30</v>
      </c>
      <c r="N110" s="2">
        <f t="shared" si="134"/>
        <v>34.5</v>
      </c>
      <c r="O110" s="2">
        <v>26376</v>
      </c>
      <c r="P110" s="8">
        <f t="shared" ref="P110" si="161">(O110/20000/500)*C110*D110*N110</f>
        <v>393.10790400000002</v>
      </c>
      <c r="Q110" s="8">
        <f t="shared" si="51"/>
        <v>1.1079040000000191</v>
      </c>
    </row>
    <row r="111" spans="1:17" x14ac:dyDescent="0.25">
      <c r="A111" s="3">
        <v>45064</v>
      </c>
      <c r="B111" s="2" t="s">
        <v>57</v>
      </c>
      <c r="C111" s="2">
        <v>80</v>
      </c>
      <c r="D111" s="2">
        <v>54</v>
      </c>
      <c r="E111" s="2">
        <v>9703</v>
      </c>
      <c r="F111" s="2">
        <v>1</v>
      </c>
      <c r="G111" s="8">
        <v>372</v>
      </c>
      <c r="H111" s="3">
        <v>45064</v>
      </c>
      <c r="I111" s="2" t="s">
        <v>27</v>
      </c>
      <c r="J111" s="2">
        <f t="shared" ref="J111:L113" si="162">+E111</f>
        <v>9703</v>
      </c>
      <c r="K111" s="2">
        <f t="shared" si="162"/>
        <v>1</v>
      </c>
      <c r="L111" s="2">
        <f t="shared" si="162"/>
        <v>372</v>
      </c>
      <c r="M111" s="7" t="s">
        <v>30</v>
      </c>
      <c r="N111" s="2">
        <f t="shared" ref="N111:N121" si="163">69/2</f>
        <v>34.5</v>
      </c>
      <c r="O111" s="2">
        <v>24804</v>
      </c>
      <c r="P111" s="8">
        <f t="shared" si="50"/>
        <v>369.67881599999998</v>
      </c>
      <c r="Q111" s="8">
        <f t="shared" si="51"/>
        <v>-2.3211840000000166</v>
      </c>
    </row>
    <row r="112" spans="1:17" x14ac:dyDescent="0.25">
      <c r="A112" s="3">
        <v>45064</v>
      </c>
      <c r="B112" s="2" t="s">
        <v>57</v>
      </c>
      <c r="C112" s="2">
        <v>80</v>
      </c>
      <c r="D112" s="2">
        <v>54</v>
      </c>
      <c r="E112" s="2">
        <v>9704</v>
      </c>
      <c r="F112" s="2">
        <v>1</v>
      </c>
      <c r="G112" s="8">
        <v>370</v>
      </c>
      <c r="H112" s="3">
        <v>45064</v>
      </c>
      <c r="I112" s="2" t="s">
        <v>27</v>
      </c>
      <c r="J112" s="2">
        <f t="shared" si="162"/>
        <v>9704</v>
      </c>
      <c r="K112" s="2">
        <f t="shared" si="162"/>
        <v>1</v>
      </c>
      <c r="L112" s="2">
        <f t="shared" si="162"/>
        <v>370</v>
      </c>
      <c r="M112" s="7" t="s">
        <v>30</v>
      </c>
      <c r="N112" s="2">
        <f t="shared" si="163"/>
        <v>34.5</v>
      </c>
      <c r="O112" s="2">
        <v>24754</v>
      </c>
      <c r="P112" s="8">
        <f t="shared" ref="P112:P176" si="164">(O112/20000/500)*C112*D112*N112</f>
        <v>368.93361600000003</v>
      </c>
      <c r="Q112" s="8">
        <f t="shared" ref="Q112:Q176" si="165">+P112-G112</f>
        <v>-1.0663839999999709</v>
      </c>
    </row>
    <row r="113" spans="1:17" x14ac:dyDescent="0.25">
      <c r="A113" s="3">
        <v>45064</v>
      </c>
      <c r="B113" s="2" t="s">
        <v>57</v>
      </c>
      <c r="C113" s="2">
        <v>80</v>
      </c>
      <c r="D113" s="2">
        <v>54</v>
      </c>
      <c r="E113" s="2">
        <v>9768</v>
      </c>
      <c r="F113" s="2">
        <v>1</v>
      </c>
      <c r="G113" s="8">
        <v>394</v>
      </c>
      <c r="H113" s="3">
        <v>45064</v>
      </c>
      <c r="I113" s="2" t="s">
        <v>27</v>
      </c>
      <c r="J113" s="2">
        <f t="shared" si="162"/>
        <v>9768</v>
      </c>
      <c r="K113" s="2">
        <f t="shared" si="162"/>
        <v>1</v>
      </c>
      <c r="L113" s="2">
        <f t="shared" si="162"/>
        <v>394</v>
      </c>
      <c r="M113" s="7" t="s">
        <v>30</v>
      </c>
      <c r="N113" s="2">
        <f t="shared" si="163"/>
        <v>34.5</v>
      </c>
      <c r="O113" s="2">
        <v>25530</v>
      </c>
      <c r="P113" s="8">
        <f t="shared" si="164"/>
        <v>380.49912</v>
      </c>
      <c r="Q113" s="8">
        <f t="shared" si="165"/>
        <v>-13.500879999999995</v>
      </c>
    </row>
    <row r="114" spans="1:17" x14ac:dyDescent="0.25">
      <c r="A114" s="3">
        <v>45064</v>
      </c>
      <c r="B114" s="2" t="s">
        <v>57</v>
      </c>
      <c r="C114" s="2">
        <v>80</v>
      </c>
      <c r="D114" s="2">
        <v>54</v>
      </c>
      <c r="E114" s="2">
        <v>9685</v>
      </c>
      <c r="F114" s="2">
        <v>1</v>
      </c>
      <c r="G114" s="8">
        <v>403</v>
      </c>
      <c r="H114" s="3">
        <v>45065</v>
      </c>
      <c r="I114" s="2" t="s">
        <v>27</v>
      </c>
      <c r="J114" s="2">
        <f t="shared" ref="J114" si="166">+E114</f>
        <v>9685</v>
      </c>
      <c r="K114" s="2">
        <f t="shared" ref="K114" si="167">+F114</f>
        <v>1</v>
      </c>
      <c r="L114" s="2">
        <f t="shared" ref="L114" si="168">+G114</f>
        <v>403</v>
      </c>
      <c r="M114" s="7" t="s">
        <v>30</v>
      </c>
      <c r="N114" s="2">
        <f t="shared" si="163"/>
        <v>34.5</v>
      </c>
      <c r="O114" s="2">
        <v>26241</v>
      </c>
      <c r="P114" s="8">
        <f t="shared" ref="P114" si="169">(O114/20000/500)*C114*D114*N114</f>
        <v>391.09586400000001</v>
      </c>
      <c r="Q114" s="8">
        <f t="shared" si="165"/>
        <v>-11.904135999999994</v>
      </c>
    </row>
    <row r="115" spans="1:17" x14ac:dyDescent="0.25">
      <c r="A115" s="3">
        <v>45064</v>
      </c>
      <c r="B115" s="2" t="s">
        <v>57</v>
      </c>
      <c r="C115" s="2">
        <v>80</v>
      </c>
      <c r="D115" s="2">
        <v>54</v>
      </c>
      <c r="E115" s="2">
        <v>9769</v>
      </c>
      <c r="F115" s="2">
        <v>1</v>
      </c>
      <c r="G115" s="8">
        <v>384</v>
      </c>
      <c r="H115" s="3">
        <v>45064</v>
      </c>
      <c r="I115" s="2" t="s">
        <v>27</v>
      </c>
      <c r="J115" s="2">
        <f t="shared" ref="J115:L116" si="170">+E115</f>
        <v>9769</v>
      </c>
      <c r="K115" s="2">
        <f t="shared" si="170"/>
        <v>1</v>
      </c>
      <c r="L115" s="2">
        <f t="shared" si="170"/>
        <v>384</v>
      </c>
      <c r="M115" s="7" t="s">
        <v>30</v>
      </c>
      <c r="N115" s="2">
        <f t="shared" si="163"/>
        <v>34.5</v>
      </c>
      <c r="O115" s="2">
        <v>25301</v>
      </c>
      <c r="P115" s="8">
        <f t="shared" si="164"/>
        <v>377.08610400000003</v>
      </c>
      <c r="Q115" s="8">
        <f t="shared" si="165"/>
        <v>-6.9138959999999656</v>
      </c>
    </row>
    <row r="116" spans="1:17" x14ac:dyDescent="0.25">
      <c r="A116" s="3">
        <v>45064</v>
      </c>
      <c r="B116" s="2" t="s">
        <v>57</v>
      </c>
      <c r="C116" s="2">
        <v>80</v>
      </c>
      <c r="D116" s="2">
        <v>54</v>
      </c>
      <c r="E116" s="2">
        <v>9777</v>
      </c>
      <c r="F116" s="2">
        <v>1</v>
      </c>
      <c r="G116" s="8">
        <v>381</v>
      </c>
      <c r="H116" s="3">
        <v>45065</v>
      </c>
      <c r="I116" s="2" t="s">
        <v>27</v>
      </c>
      <c r="J116" s="2">
        <f t="shared" si="170"/>
        <v>9777</v>
      </c>
      <c r="K116" s="2">
        <f t="shared" si="170"/>
        <v>1</v>
      </c>
      <c r="L116" s="2">
        <f t="shared" si="170"/>
        <v>381</v>
      </c>
      <c r="M116" s="7" t="s">
        <v>30</v>
      </c>
      <c r="N116" s="2">
        <f t="shared" si="163"/>
        <v>34.5</v>
      </c>
      <c r="O116" s="2">
        <v>25113</v>
      </c>
      <c r="P116" s="8">
        <f t="shared" ref="P116" si="171">(O116/20000/500)*C116*D116*N116</f>
        <v>374.28415199999995</v>
      </c>
      <c r="Q116" s="8">
        <f t="shared" si="165"/>
        <v>-6.7158480000000509</v>
      </c>
    </row>
    <row r="117" spans="1:17" x14ac:dyDescent="0.25">
      <c r="A117" s="3">
        <v>45064</v>
      </c>
      <c r="B117" s="2" t="s">
        <v>57</v>
      </c>
      <c r="C117" s="2">
        <v>80</v>
      </c>
      <c r="D117" s="2">
        <v>54</v>
      </c>
      <c r="E117" s="2">
        <v>9684</v>
      </c>
      <c r="F117" s="2">
        <v>1</v>
      </c>
      <c r="G117" s="8">
        <v>406</v>
      </c>
      <c r="H117" s="3">
        <v>45064</v>
      </c>
      <c r="I117" s="2" t="s">
        <v>27</v>
      </c>
      <c r="J117" s="2">
        <f t="shared" ref="J117:L118" si="172">+E117</f>
        <v>9684</v>
      </c>
      <c r="K117" s="2">
        <f t="shared" si="172"/>
        <v>1</v>
      </c>
      <c r="L117" s="2">
        <f t="shared" si="172"/>
        <v>406</v>
      </c>
      <c r="M117" s="7" t="s">
        <v>30</v>
      </c>
      <c r="N117" s="2">
        <f t="shared" si="163"/>
        <v>34.5</v>
      </c>
      <c r="O117" s="2">
        <v>27324</v>
      </c>
      <c r="P117" s="8">
        <f t="shared" si="164"/>
        <v>407.23689600000006</v>
      </c>
      <c r="Q117" s="8">
        <f t="shared" si="165"/>
        <v>1.2368960000000584</v>
      </c>
    </row>
    <row r="118" spans="1:17" x14ac:dyDescent="0.25">
      <c r="A118" s="3">
        <v>45064</v>
      </c>
      <c r="B118" s="2" t="s">
        <v>57</v>
      </c>
      <c r="C118" s="2">
        <v>80</v>
      </c>
      <c r="D118" s="2">
        <v>54</v>
      </c>
      <c r="E118" s="2">
        <v>9778</v>
      </c>
      <c r="F118" s="2">
        <v>1</v>
      </c>
      <c r="G118" s="8">
        <v>396</v>
      </c>
      <c r="H118" s="3">
        <v>45064</v>
      </c>
      <c r="I118" s="2" t="s">
        <v>27</v>
      </c>
      <c r="J118" s="2">
        <f t="shared" si="172"/>
        <v>9778</v>
      </c>
      <c r="K118" s="2">
        <f t="shared" si="172"/>
        <v>1</v>
      </c>
      <c r="L118" s="2">
        <f t="shared" si="172"/>
        <v>396</v>
      </c>
      <c r="M118" s="7" t="s">
        <v>30</v>
      </c>
      <c r="N118" s="2">
        <f t="shared" si="163"/>
        <v>34.5</v>
      </c>
      <c r="O118" s="2">
        <v>25874</v>
      </c>
      <c r="P118" s="8">
        <f t="shared" si="164"/>
        <v>385.62609600000002</v>
      </c>
      <c r="Q118" s="8">
        <f t="shared" si="165"/>
        <v>-10.373903999999982</v>
      </c>
    </row>
    <row r="119" spans="1:17" x14ac:dyDescent="0.25">
      <c r="A119" s="3">
        <v>45064</v>
      </c>
      <c r="B119" s="2" t="s">
        <v>57</v>
      </c>
      <c r="C119" s="2">
        <v>80</v>
      </c>
      <c r="D119" s="2">
        <v>54</v>
      </c>
      <c r="E119" s="2">
        <v>9776</v>
      </c>
      <c r="F119" s="2">
        <v>1</v>
      </c>
      <c r="G119" s="8">
        <v>390</v>
      </c>
      <c r="H119" s="3">
        <v>45065</v>
      </c>
      <c r="I119" s="2" t="s">
        <v>27</v>
      </c>
      <c r="J119" s="2">
        <f t="shared" ref="J119" si="173">+E119</f>
        <v>9776</v>
      </c>
      <c r="K119" s="2">
        <f t="shared" ref="K119" si="174">+F119</f>
        <v>1</v>
      </c>
      <c r="L119" s="2">
        <f t="shared" ref="L119" si="175">+G119</f>
        <v>390</v>
      </c>
      <c r="M119" s="7" t="s">
        <v>30</v>
      </c>
      <c r="N119" s="2">
        <f t="shared" si="163"/>
        <v>34.5</v>
      </c>
      <c r="O119" s="2">
        <v>24888</v>
      </c>
      <c r="P119" s="8">
        <f t="shared" si="164"/>
        <v>370.93075199999993</v>
      </c>
      <c r="Q119" s="8">
        <f t="shared" si="165"/>
        <v>-19.069248000000073</v>
      </c>
    </row>
    <row r="120" spans="1:17" x14ac:dyDescent="0.25">
      <c r="A120" s="3">
        <v>45064</v>
      </c>
      <c r="B120" s="2" t="s">
        <v>57</v>
      </c>
      <c r="C120" s="2">
        <v>80</v>
      </c>
      <c r="D120" s="2">
        <v>54</v>
      </c>
      <c r="E120" s="2">
        <v>9779</v>
      </c>
      <c r="F120" s="2">
        <v>1</v>
      </c>
      <c r="G120" s="8">
        <v>396</v>
      </c>
      <c r="H120" s="3">
        <v>45064</v>
      </c>
      <c r="I120" s="2" t="s">
        <v>27</v>
      </c>
      <c r="J120" s="2">
        <f t="shared" ref="J120:L122" si="176">+E120</f>
        <v>9779</v>
      </c>
      <c r="K120" s="2">
        <f t="shared" si="176"/>
        <v>1</v>
      </c>
      <c r="L120" s="2">
        <f t="shared" si="176"/>
        <v>396</v>
      </c>
      <c r="M120" s="7" t="s">
        <v>30</v>
      </c>
      <c r="N120" s="2">
        <f t="shared" si="163"/>
        <v>34.5</v>
      </c>
      <c r="O120" s="2">
        <v>25666</v>
      </c>
      <c r="P120" s="8">
        <f t="shared" si="164"/>
        <v>382.52606400000002</v>
      </c>
      <c r="Q120" s="8">
        <f t="shared" si="165"/>
        <v>-13.473935999999981</v>
      </c>
    </row>
    <row r="121" spans="1:17" x14ac:dyDescent="0.25">
      <c r="A121" s="3">
        <v>45064</v>
      </c>
      <c r="B121" s="2" t="s">
        <v>57</v>
      </c>
      <c r="C121" s="2">
        <v>80</v>
      </c>
      <c r="D121" s="2">
        <v>54</v>
      </c>
      <c r="E121" s="2">
        <v>9773</v>
      </c>
      <c r="F121" s="2">
        <v>1</v>
      </c>
      <c r="G121" s="8">
        <v>392</v>
      </c>
      <c r="H121" s="3">
        <v>45065</v>
      </c>
      <c r="I121" s="2" t="s">
        <v>27</v>
      </c>
      <c r="J121" s="2">
        <f t="shared" si="176"/>
        <v>9773</v>
      </c>
      <c r="K121" s="2">
        <f t="shared" si="176"/>
        <v>1</v>
      </c>
      <c r="L121" s="2">
        <f t="shared" si="176"/>
        <v>392</v>
      </c>
      <c r="M121" s="7" t="s">
        <v>30</v>
      </c>
      <c r="N121" s="2">
        <f t="shared" si="163"/>
        <v>34.5</v>
      </c>
      <c r="O121" s="2">
        <v>26409</v>
      </c>
      <c r="P121" s="8">
        <f t="shared" ref="P121" si="177">(O121/20000/500)*C121*D121*N121</f>
        <v>393.59973600000001</v>
      </c>
      <c r="Q121" s="8">
        <f t="shared" si="165"/>
        <v>1.5997360000000072</v>
      </c>
    </row>
    <row r="122" spans="1:17" x14ac:dyDescent="0.25">
      <c r="A122" s="3">
        <v>45064</v>
      </c>
      <c r="B122" s="2" t="s">
        <v>57</v>
      </c>
      <c r="C122" s="2">
        <v>86</v>
      </c>
      <c r="D122" s="2">
        <v>54</v>
      </c>
      <c r="E122" s="2">
        <v>9727</v>
      </c>
      <c r="F122" s="2">
        <v>1</v>
      </c>
      <c r="G122" s="8">
        <v>413</v>
      </c>
      <c r="H122" s="3">
        <v>45065</v>
      </c>
      <c r="I122" s="2" t="s">
        <v>27</v>
      </c>
      <c r="J122" s="2">
        <f t="shared" si="176"/>
        <v>9727</v>
      </c>
      <c r="K122" s="2">
        <f t="shared" si="176"/>
        <v>1</v>
      </c>
      <c r="L122" s="2">
        <f t="shared" si="176"/>
        <v>413</v>
      </c>
      <c r="M122" s="7" t="s">
        <v>29</v>
      </c>
      <c r="N122" s="2">
        <v>42</v>
      </c>
      <c r="O122" s="2">
        <v>21070</v>
      </c>
      <c r="P122" s="8">
        <f>(O122/20000/500)*C122*D122*N122</f>
        <v>410.96613600000006</v>
      </c>
      <c r="Q122" s="8">
        <f t="shared" si="165"/>
        <v>-2.0338639999999373</v>
      </c>
    </row>
    <row r="123" spans="1:17" x14ac:dyDescent="0.25">
      <c r="A123" s="3">
        <v>45064</v>
      </c>
      <c r="B123" s="2" t="s">
        <v>57</v>
      </c>
      <c r="C123" s="2">
        <v>86</v>
      </c>
      <c r="D123" s="2">
        <v>54</v>
      </c>
      <c r="E123" s="2">
        <v>9729</v>
      </c>
      <c r="F123" s="2">
        <v>1</v>
      </c>
      <c r="G123" s="8">
        <v>418</v>
      </c>
      <c r="H123" s="3">
        <v>45066</v>
      </c>
      <c r="I123" s="2" t="s">
        <v>27</v>
      </c>
      <c r="J123" s="2">
        <f t="shared" ref="J123" si="178">+E123</f>
        <v>9729</v>
      </c>
      <c r="K123" s="2">
        <f t="shared" ref="K123" si="179">+F123</f>
        <v>1</v>
      </c>
      <c r="L123" s="2">
        <f t="shared" ref="L123" si="180">+G123</f>
        <v>418</v>
      </c>
      <c r="M123" s="7" t="s">
        <v>29</v>
      </c>
      <c r="N123" s="2">
        <v>42</v>
      </c>
      <c r="O123" s="2">
        <v>20991</v>
      </c>
      <c r="P123" s="8">
        <f t="shared" si="164"/>
        <v>409.42525680000006</v>
      </c>
      <c r="Q123" s="8">
        <f t="shared" si="165"/>
        <v>-8.5747431999999435</v>
      </c>
    </row>
    <row r="124" spans="1:17" x14ac:dyDescent="0.25">
      <c r="A124" s="3">
        <v>45064</v>
      </c>
      <c r="B124" s="2" t="s">
        <v>57</v>
      </c>
      <c r="C124" s="2">
        <v>86</v>
      </c>
      <c r="D124" s="2">
        <v>54</v>
      </c>
      <c r="E124" s="2">
        <v>9731</v>
      </c>
      <c r="F124" s="2">
        <v>1</v>
      </c>
      <c r="G124" s="8">
        <v>403</v>
      </c>
      <c r="H124" s="3">
        <v>45065</v>
      </c>
      <c r="I124" s="2" t="s">
        <v>27</v>
      </c>
      <c r="J124" s="2">
        <f t="shared" ref="J124:L126" si="181">+E124</f>
        <v>9731</v>
      </c>
      <c r="K124" s="2">
        <f t="shared" si="181"/>
        <v>1</v>
      </c>
      <c r="L124" s="2">
        <f t="shared" si="181"/>
        <v>403</v>
      </c>
      <c r="M124" s="7" t="s">
        <v>29</v>
      </c>
      <c r="N124" s="2">
        <v>42</v>
      </c>
      <c r="O124" s="2">
        <v>20369</v>
      </c>
      <c r="P124" s="8">
        <f t="shared" si="164"/>
        <v>397.29327120000005</v>
      </c>
      <c r="Q124" s="8">
        <f t="shared" si="165"/>
        <v>-5.7067287999999508</v>
      </c>
    </row>
    <row r="125" spans="1:17" x14ac:dyDescent="0.25">
      <c r="A125" s="3">
        <v>45064</v>
      </c>
      <c r="B125" s="2" t="s">
        <v>57</v>
      </c>
      <c r="C125" s="2">
        <v>86</v>
      </c>
      <c r="D125" s="2">
        <v>54</v>
      </c>
      <c r="E125" s="2">
        <v>9732</v>
      </c>
      <c r="F125" s="2">
        <v>1</v>
      </c>
      <c r="G125" s="8">
        <v>400</v>
      </c>
      <c r="H125" s="3">
        <v>45065</v>
      </c>
      <c r="I125" s="2" t="s">
        <v>27</v>
      </c>
      <c r="J125" s="2">
        <f t="shared" si="181"/>
        <v>9732</v>
      </c>
      <c r="K125" s="2">
        <f t="shared" si="181"/>
        <v>1</v>
      </c>
      <c r="L125" s="2">
        <f t="shared" si="181"/>
        <v>400</v>
      </c>
      <c r="M125" s="7" t="s">
        <v>29</v>
      </c>
      <c r="N125" s="2">
        <v>42</v>
      </c>
      <c r="O125" s="2">
        <v>20731</v>
      </c>
      <c r="P125" s="8">
        <f t="shared" si="164"/>
        <v>404.35400879999997</v>
      </c>
      <c r="Q125" s="8">
        <f t="shared" si="165"/>
        <v>4.3540087999999741</v>
      </c>
    </row>
    <row r="126" spans="1:17" x14ac:dyDescent="0.25">
      <c r="A126" s="3">
        <v>45064</v>
      </c>
      <c r="B126" s="2" t="s">
        <v>57</v>
      </c>
      <c r="C126" s="2">
        <v>86</v>
      </c>
      <c r="D126" s="2">
        <v>54</v>
      </c>
      <c r="E126" s="2">
        <v>9736</v>
      </c>
      <c r="F126" s="2">
        <v>1</v>
      </c>
      <c r="G126" s="8">
        <v>406</v>
      </c>
      <c r="H126" s="3">
        <v>45066</v>
      </c>
      <c r="I126" s="2" t="s">
        <v>27</v>
      </c>
      <c r="J126" s="2">
        <f t="shared" si="181"/>
        <v>9736</v>
      </c>
      <c r="K126" s="2">
        <f t="shared" si="181"/>
        <v>1</v>
      </c>
      <c r="L126" s="2">
        <f t="shared" si="181"/>
        <v>406</v>
      </c>
      <c r="M126" s="7" t="s">
        <v>29</v>
      </c>
      <c r="N126" s="2">
        <v>42</v>
      </c>
      <c r="O126" s="2">
        <v>20907</v>
      </c>
      <c r="P126" s="8">
        <f t="shared" si="164"/>
        <v>407.78685359999997</v>
      </c>
      <c r="Q126" s="8">
        <f t="shared" si="165"/>
        <v>1.7868535999999722</v>
      </c>
    </row>
    <row r="127" spans="1:17" x14ac:dyDescent="0.25">
      <c r="A127" s="3">
        <v>45064</v>
      </c>
      <c r="B127" s="2" t="s">
        <v>57</v>
      </c>
      <c r="C127" s="2">
        <v>86</v>
      </c>
      <c r="D127" s="2">
        <v>54</v>
      </c>
      <c r="E127" s="2">
        <v>9760</v>
      </c>
      <c r="F127" s="2">
        <v>1</v>
      </c>
      <c r="G127" s="8">
        <v>418</v>
      </c>
      <c r="H127" s="3">
        <v>45066</v>
      </c>
      <c r="I127" s="2" t="s">
        <v>27</v>
      </c>
      <c r="J127" s="2">
        <f t="shared" ref="J127" si="182">+E127</f>
        <v>9760</v>
      </c>
      <c r="K127" s="2">
        <f t="shared" ref="K127" si="183">+F127</f>
        <v>1</v>
      </c>
      <c r="L127" s="2">
        <f t="shared" ref="L127" si="184">+G127</f>
        <v>418</v>
      </c>
      <c r="M127" s="7" t="s">
        <v>29</v>
      </c>
      <c r="N127" s="2">
        <v>42</v>
      </c>
      <c r="O127" s="2">
        <v>21269</v>
      </c>
      <c r="P127" s="8">
        <f t="shared" si="164"/>
        <v>414.84759120000001</v>
      </c>
      <c r="Q127" s="8">
        <f t="shared" si="165"/>
        <v>-3.1524087999999892</v>
      </c>
    </row>
    <row r="128" spans="1:17" x14ac:dyDescent="0.25">
      <c r="A128" s="3">
        <v>45064</v>
      </c>
      <c r="B128" s="2" t="s">
        <v>57</v>
      </c>
      <c r="C128" s="2">
        <v>86</v>
      </c>
      <c r="D128" s="2">
        <v>54</v>
      </c>
      <c r="E128" s="2">
        <v>9758</v>
      </c>
      <c r="F128" s="2">
        <v>1</v>
      </c>
      <c r="G128" s="8">
        <v>416</v>
      </c>
      <c r="H128" s="3">
        <v>45065</v>
      </c>
      <c r="I128" s="2" t="s">
        <v>27</v>
      </c>
      <c r="J128" s="2">
        <f t="shared" ref="J128:L130" si="185">+E128</f>
        <v>9758</v>
      </c>
      <c r="K128" s="2">
        <f t="shared" si="185"/>
        <v>1</v>
      </c>
      <c r="L128" s="2">
        <f t="shared" si="185"/>
        <v>416</v>
      </c>
      <c r="M128" s="7" t="s">
        <v>29</v>
      </c>
      <c r="N128" s="2">
        <v>42</v>
      </c>
      <c r="O128" s="2">
        <v>20397</v>
      </c>
      <c r="P128" s="8">
        <f t="shared" si="164"/>
        <v>397.83940559999996</v>
      </c>
      <c r="Q128" s="8">
        <f t="shared" si="165"/>
        <v>-18.160594400000036</v>
      </c>
    </row>
    <row r="129" spans="1:17" x14ac:dyDescent="0.25">
      <c r="A129" s="3">
        <v>45064</v>
      </c>
      <c r="B129" s="2" t="s">
        <v>57</v>
      </c>
      <c r="C129" s="2">
        <v>86</v>
      </c>
      <c r="D129" s="2">
        <v>54</v>
      </c>
      <c r="E129" s="2">
        <v>9753</v>
      </c>
      <c r="F129" s="2">
        <v>1</v>
      </c>
      <c r="G129" s="8">
        <v>427</v>
      </c>
      <c r="H129" s="3">
        <v>45065</v>
      </c>
      <c r="I129" s="2" t="s">
        <v>27</v>
      </c>
      <c r="J129" s="2">
        <f t="shared" si="185"/>
        <v>9753</v>
      </c>
      <c r="K129" s="2">
        <f t="shared" si="185"/>
        <v>1</v>
      </c>
      <c r="L129" s="2">
        <f t="shared" si="185"/>
        <v>427</v>
      </c>
      <c r="M129" s="7" t="s">
        <v>29</v>
      </c>
      <c r="N129" s="2">
        <v>42</v>
      </c>
      <c r="O129" s="2">
        <v>21896</v>
      </c>
      <c r="P129" s="8">
        <f t="shared" si="164"/>
        <v>427.07710079999998</v>
      </c>
      <c r="Q129" s="8">
        <f t="shared" si="165"/>
        <v>7.7100799999982428E-2</v>
      </c>
    </row>
    <row r="130" spans="1:17" x14ac:dyDescent="0.25">
      <c r="A130" s="3">
        <v>45064</v>
      </c>
      <c r="B130" s="2" t="s">
        <v>57</v>
      </c>
      <c r="C130" s="2">
        <v>86</v>
      </c>
      <c r="D130" s="2">
        <v>54</v>
      </c>
      <c r="E130" s="2">
        <v>9725</v>
      </c>
      <c r="F130" s="2">
        <v>1</v>
      </c>
      <c r="G130" s="8">
        <v>441</v>
      </c>
      <c r="H130" s="3">
        <v>45065</v>
      </c>
      <c r="I130" s="2" t="s">
        <v>27</v>
      </c>
      <c r="J130" s="2">
        <f t="shared" si="185"/>
        <v>9725</v>
      </c>
      <c r="K130" s="2">
        <f t="shared" si="185"/>
        <v>1</v>
      </c>
      <c r="L130" s="2">
        <f t="shared" si="185"/>
        <v>441</v>
      </c>
      <c r="M130" s="7" t="s">
        <v>29</v>
      </c>
      <c r="N130" s="2">
        <v>42</v>
      </c>
      <c r="O130" s="2">
        <v>22416</v>
      </c>
      <c r="P130" s="8">
        <f t="shared" si="164"/>
        <v>437.21959679999998</v>
      </c>
      <c r="Q130" s="8">
        <f t="shared" si="165"/>
        <v>-3.7804032000000234</v>
      </c>
    </row>
    <row r="131" spans="1:17" x14ac:dyDescent="0.25">
      <c r="A131" s="3">
        <v>45064</v>
      </c>
      <c r="B131" s="2" t="s">
        <v>57</v>
      </c>
      <c r="C131" s="2">
        <v>86</v>
      </c>
      <c r="D131" s="2">
        <v>54</v>
      </c>
      <c r="E131" s="2">
        <v>9724</v>
      </c>
      <c r="F131" s="2">
        <v>1</v>
      </c>
      <c r="G131" s="8">
        <v>416</v>
      </c>
      <c r="H131" s="3">
        <v>45066</v>
      </c>
      <c r="I131" s="2" t="s">
        <v>27</v>
      </c>
      <c r="J131" s="2">
        <f t="shared" ref="J131" si="186">+E131</f>
        <v>9724</v>
      </c>
      <c r="K131" s="2">
        <f t="shared" ref="K131" si="187">+F131</f>
        <v>1</v>
      </c>
      <c r="L131" s="2">
        <f t="shared" ref="L131" si="188">+G131</f>
        <v>416</v>
      </c>
      <c r="M131" s="7" t="s">
        <v>29</v>
      </c>
      <c r="N131" s="2">
        <v>42</v>
      </c>
      <c r="O131" s="2">
        <v>21256</v>
      </c>
      <c r="P131" s="8">
        <f t="shared" si="164"/>
        <v>414.59402880000005</v>
      </c>
      <c r="Q131" s="8">
        <f t="shared" si="165"/>
        <v>-1.4059711999999536</v>
      </c>
    </row>
    <row r="132" spans="1:17" x14ac:dyDescent="0.25">
      <c r="A132" s="3">
        <v>45064</v>
      </c>
      <c r="B132" s="2" t="s">
        <v>57</v>
      </c>
      <c r="C132" s="2">
        <v>86</v>
      </c>
      <c r="D132" s="2">
        <v>54</v>
      </c>
      <c r="E132" s="2">
        <v>9717</v>
      </c>
      <c r="F132" s="2">
        <v>1</v>
      </c>
      <c r="G132" s="8">
        <v>436</v>
      </c>
      <c r="H132" s="3">
        <v>45065</v>
      </c>
      <c r="I132" s="2" t="s">
        <v>27</v>
      </c>
      <c r="J132" s="2">
        <f t="shared" ref="J132:L133" si="189">+E132</f>
        <v>9717</v>
      </c>
      <c r="K132" s="2">
        <f t="shared" si="189"/>
        <v>1</v>
      </c>
      <c r="L132" s="2">
        <f t="shared" si="189"/>
        <v>436</v>
      </c>
      <c r="M132" s="7" t="s">
        <v>29</v>
      </c>
      <c r="N132" s="2">
        <v>42</v>
      </c>
      <c r="O132" s="2">
        <v>21861</v>
      </c>
      <c r="P132" s="8">
        <f t="shared" si="164"/>
        <v>426.39443280000006</v>
      </c>
      <c r="Q132" s="8">
        <f t="shared" si="165"/>
        <v>-9.605567199999939</v>
      </c>
    </row>
    <row r="133" spans="1:17" x14ac:dyDescent="0.25">
      <c r="A133" s="3">
        <v>45064</v>
      </c>
      <c r="B133" s="2" t="s">
        <v>57</v>
      </c>
      <c r="C133" s="2">
        <v>86</v>
      </c>
      <c r="D133" s="2">
        <v>54</v>
      </c>
      <c r="E133" s="2">
        <v>9733</v>
      </c>
      <c r="F133" s="2">
        <v>1</v>
      </c>
      <c r="G133" s="8">
        <v>405</v>
      </c>
      <c r="H133" s="3">
        <v>45069</v>
      </c>
      <c r="I133" s="2" t="s">
        <v>27</v>
      </c>
      <c r="J133" s="2">
        <f t="shared" si="189"/>
        <v>9733</v>
      </c>
      <c r="K133" s="2">
        <f t="shared" si="189"/>
        <v>1</v>
      </c>
      <c r="L133" s="2">
        <f t="shared" si="189"/>
        <v>405</v>
      </c>
      <c r="M133" s="7" t="s">
        <v>29</v>
      </c>
      <c r="N133" s="2">
        <v>42</v>
      </c>
      <c r="O133" s="2">
        <v>20613</v>
      </c>
      <c r="P133" s="8">
        <f t="shared" si="164"/>
        <v>402.05244240000002</v>
      </c>
      <c r="Q133" s="8">
        <f t="shared" si="165"/>
        <v>-2.9475575999999819</v>
      </c>
    </row>
    <row r="134" spans="1:17" x14ac:dyDescent="0.25">
      <c r="A134" s="3">
        <v>45064</v>
      </c>
      <c r="B134" s="2" t="s">
        <v>57</v>
      </c>
      <c r="C134" s="2">
        <v>86</v>
      </c>
      <c r="D134" s="2">
        <v>54</v>
      </c>
      <c r="E134" s="2">
        <v>9756</v>
      </c>
      <c r="F134" s="2">
        <v>1</v>
      </c>
      <c r="G134" s="8">
        <v>436</v>
      </c>
      <c r="H134" s="3">
        <v>45066</v>
      </c>
      <c r="I134" s="2" t="s">
        <v>27</v>
      </c>
      <c r="J134" s="2">
        <f t="shared" ref="J134:J135" si="190">+E134</f>
        <v>9756</v>
      </c>
      <c r="K134" s="2">
        <f t="shared" ref="K134:K135" si="191">+F134</f>
        <v>1</v>
      </c>
      <c r="L134" s="2">
        <f t="shared" ref="L134:L135" si="192">+G134</f>
        <v>436</v>
      </c>
      <c r="M134" s="7" t="s">
        <v>29</v>
      </c>
      <c r="N134" s="2">
        <v>42</v>
      </c>
      <c r="O134" s="2">
        <v>22283</v>
      </c>
      <c r="P134" s="8">
        <f t="shared" si="164"/>
        <v>434.62545840000001</v>
      </c>
      <c r="Q134" s="8">
        <f t="shared" si="165"/>
        <v>-1.3745415999999864</v>
      </c>
    </row>
    <row r="135" spans="1:17" x14ac:dyDescent="0.25">
      <c r="A135" s="3">
        <v>45064</v>
      </c>
      <c r="B135" s="2" t="s">
        <v>57</v>
      </c>
      <c r="C135" s="2">
        <v>86</v>
      </c>
      <c r="D135" s="2">
        <v>54</v>
      </c>
      <c r="E135" s="2">
        <v>9730</v>
      </c>
      <c r="F135" s="2">
        <v>1</v>
      </c>
      <c r="G135" s="8">
        <v>461</v>
      </c>
      <c r="H135" s="3">
        <v>45069</v>
      </c>
      <c r="I135" s="2" t="s">
        <v>27</v>
      </c>
      <c r="J135" s="2">
        <f t="shared" si="190"/>
        <v>9730</v>
      </c>
      <c r="K135" s="2">
        <f t="shared" si="191"/>
        <v>1</v>
      </c>
      <c r="L135" s="2">
        <f t="shared" si="192"/>
        <v>461</v>
      </c>
      <c r="M135" s="7" t="s">
        <v>29</v>
      </c>
      <c r="N135" s="2">
        <v>42</v>
      </c>
      <c r="O135" s="2">
        <v>23300</v>
      </c>
      <c r="P135" s="8">
        <f t="shared" si="164"/>
        <v>454.46184</v>
      </c>
      <c r="Q135" s="8">
        <f t="shared" si="165"/>
        <v>-6.5381600000000049</v>
      </c>
    </row>
    <row r="136" spans="1:17" x14ac:dyDescent="0.25">
      <c r="A136" s="3">
        <v>45064</v>
      </c>
      <c r="B136" s="2" t="s">
        <v>57</v>
      </c>
      <c r="C136" s="2">
        <v>86</v>
      </c>
      <c r="D136" s="2">
        <v>54</v>
      </c>
      <c r="E136" s="2">
        <v>9735</v>
      </c>
      <c r="F136" s="2">
        <v>1</v>
      </c>
      <c r="G136" s="8">
        <v>406</v>
      </c>
      <c r="H136" s="3">
        <v>45070</v>
      </c>
      <c r="I136" s="2" t="s">
        <v>27</v>
      </c>
      <c r="J136" s="2">
        <f t="shared" ref="J136" si="193">+E136</f>
        <v>9735</v>
      </c>
      <c r="K136" s="2">
        <f t="shared" ref="K136" si="194">+F136</f>
        <v>1</v>
      </c>
      <c r="L136" s="2">
        <f t="shared" ref="L136" si="195">+G136</f>
        <v>406</v>
      </c>
      <c r="M136" s="7" t="s">
        <v>29</v>
      </c>
      <c r="N136" s="2">
        <v>42</v>
      </c>
      <c r="O136" s="2">
        <v>20868</v>
      </c>
      <c r="P136" s="8">
        <f t="shared" si="164"/>
        <v>407.02616640000002</v>
      </c>
      <c r="Q136" s="8">
        <f t="shared" si="165"/>
        <v>1.0261664000000223</v>
      </c>
    </row>
    <row r="137" spans="1:17" x14ac:dyDescent="0.25">
      <c r="A137" s="3">
        <v>45064</v>
      </c>
      <c r="B137" s="2" t="s">
        <v>57</v>
      </c>
      <c r="C137" s="2">
        <v>86</v>
      </c>
      <c r="D137" s="2">
        <v>54</v>
      </c>
      <c r="E137" s="2">
        <v>9754</v>
      </c>
      <c r="F137" s="2">
        <v>1</v>
      </c>
      <c r="G137" s="8">
        <v>426</v>
      </c>
      <c r="H137" s="3">
        <v>45065</v>
      </c>
      <c r="I137" s="2" t="s">
        <v>27</v>
      </c>
      <c r="J137" s="2">
        <f t="shared" ref="J137:L140" si="196">+E137</f>
        <v>9754</v>
      </c>
      <c r="K137" s="2">
        <f t="shared" si="196"/>
        <v>1</v>
      </c>
      <c r="L137" s="2">
        <f t="shared" si="196"/>
        <v>426</v>
      </c>
      <c r="M137" s="7" t="s">
        <v>29</v>
      </c>
      <c r="N137" s="2">
        <v>42</v>
      </c>
      <c r="O137" s="2">
        <v>21463</v>
      </c>
      <c r="P137" s="8">
        <f t="shared" si="164"/>
        <v>418.63152240000005</v>
      </c>
      <c r="Q137" s="8">
        <f t="shared" si="165"/>
        <v>-7.3684775999999488</v>
      </c>
    </row>
    <row r="138" spans="1:17" x14ac:dyDescent="0.25">
      <c r="A138" s="3">
        <v>45064</v>
      </c>
      <c r="B138" s="2" t="s">
        <v>57</v>
      </c>
      <c r="C138" s="2">
        <v>86</v>
      </c>
      <c r="D138" s="2">
        <v>54</v>
      </c>
      <c r="E138" s="2">
        <v>9683</v>
      </c>
      <c r="F138" s="2">
        <v>1</v>
      </c>
      <c r="G138" s="8">
        <v>437</v>
      </c>
      <c r="H138" s="3">
        <v>45065</v>
      </c>
      <c r="I138" s="2" t="s">
        <v>27</v>
      </c>
      <c r="J138" s="2">
        <f t="shared" si="196"/>
        <v>9683</v>
      </c>
      <c r="K138" s="2">
        <f t="shared" si="196"/>
        <v>1</v>
      </c>
      <c r="L138" s="2">
        <f t="shared" si="196"/>
        <v>437</v>
      </c>
      <c r="M138" s="7" t="s">
        <v>29</v>
      </c>
      <c r="N138" s="2">
        <v>42</v>
      </c>
      <c r="O138" s="2">
        <v>22609</v>
      </c>
      <c r="P138" s="8">
        <f t="shared" si="164"/>
        <v>440.98402319999997</v>
      </c>
      <c r="Q138" s="8">
        <f t="shared" si="165"/>
        <v>3.9840231999999673</v>
      </c>
    </row>
    <row r="139" spans="1:17" x14ac:dyDescent="0.25">
      <c r="A139" s="3">
        <v>45064</v>
      </c>
      <c r="B139" s="2" t="s">
        <v>57</v>
      </c>
      <c r="C139" s="2">
        <v>86</v>
      </c>
      <c r="D139" s="2">
        <v>54</v>
      </c>
      <c r="E139" s="2">
        <v>9716</v>
      </c>
      <c r="F139" s="2">
        <v>1</v>
      </c>
      <c r="G139" s="8">
        <v>450</v>
      </c>
      <c r="H139" s="3">
        <v>45065</v>
      </c>
      <c r="I139" s="2" t="s">
        <v>27</v>
      </c>
      <c r="J139" s="2">
        <f t="shared" si="196"/>
        <v>9716</v>
      </c>
      <c r="K139" s="2">
        <f t="shared" si="196"/>
        <v>1</v>
      </c>
      <c r="L139" s="2">
        <f t="shared" si="196"/>
        <v>450</v>
      </c>
      <c r="M139" s="7" t="s">
        <v>29</v>
      </c>
      <c r="N139" s="2">
        <v>42</v>
      </c>
      <c r="O139" s="2">
        <v>24417</v>
      </c>
      <c r="P139" s="8">
        <f t="shared" si="164"/>
        <v>476.24870159999995</v>
      </c>
      <c r="Q139" s="8">
        <f t="shared" si="165"/>
        <v>26.248701599999947</v>
      </c>
    </row>
    <row r="140" spans="1:17" x14ac:dyDescent="0.25">
      <c r="A140" s="3">
        <v>45064</v>
      </c>
      <c r="B140" s="2" t="s">
        <v>57</v>
      </c>
      <c r="C140" s="2">
        <v>86</v>
      </c>
      <c r="D140" s="2">
        <v>54</v>
      </c>
      <c r="E140" s="2">
        <v>9682</v>
      </c>
      <c r="F140" s="2">
        <v>1</v>
      </c>
      <c r="G140" s="8">
        <v>435</v>
      </c>
      <c r="H140" s="3">
        <v>45065</v>
      </c>
      <c r="I140" s="2" t="s">
        <v>27</v>
      </c>
      <c r="J140" s="2">
        <f t="shared" si="196"/>
        <v>9682</v>
      </c>
      <c r="K140" s="2">
        <f t="shared" si="196"/>
        <v>1</v>
      </c>
      <c r="L140" s="2">
        <f t="shared" si="196"/>
        <v>435</v>
      </c>
      <c r="M140" s="7" t="s">
        <v>29</v>
      </c>
      <c r="N140" s="2">
        <v>42</v>
      </c>
      <c r="O140" s="2">
        <v>22116</v>
      </c>
      <c r="P140" s="8">
        <f t="shared" si="164"/>
        <v>431.36815679999995</v>
      </c>
      <c r="Q140" s="8">
        <f t="shared" si="165"/>
        <v>-3.6318432000000485</v>
      </c>
    </row>
    <row r="141" spans="1:17" x14ac:dyDescent="0.25">
      <c r="A141" s="3">
        <v>45064</v>
      </c>
      <c r="B141" s="2" t="s">
        <v>57</v>
      </c>
      <c r="C141" s="2">
        <v>86</v>
      </c>
      <c r="D141" s="2">
        <v>54</v>
      </c>
      <c r="E141" s="2">
        <v>9714</v>
      </c>
      <c r="F141" s="2">
        <v>1</v>
      </c>
      <c r="G141" s="8">
        <v>404</v>
      </c>
      <c r="H141" s="3">
        <v>45069</v>
      </c>
      <c r="I141" s="2" t="s">
        <v>27</v>
      </c>
      <c r="J141" s="2">
        <f t="shared" ref="J141" si="197">+E141</f>
        <v>9714</v>
      </c>
      <c r="K141" s="2">
        <f t="shared" ref="K141" si="198">+F141</f>
        <v>1</v>
      </c>
      <c r="L141" s="2">
        <f t="shared" ref="L141" si="199">+G141</f>
        <v>404</v>
      </c>
      <c r="M141" s="7" t="s">
        <v>29</v>
      </c>
      <c r="N141" s="2">
        <v>42</v>
      </c>
      <c r="O141" s="2">
        <v>20658</v>
      </c>
      <c r="P141" s="8">
        <f t="shared" si="164"/>
        <v>402.93015839999998</v>
      </c>
      <c r="Q141" s="8">
        <f t="shared" si="165"/>
        <v>-1.0698416000000179</v>
      </c>
    </row>
    <row r="142" spans="1:17" x14ac:dyDescent="0.25">
      <c r="A142" s="3">
        <v>45064</v>
      </c>
      <c r="B142" s="2" t="s">
        <v>57</v>
      </c>
      <c r="C142" s="2">
        <v>86</v>
      </c>
      <c r="D142" s="2">
        <v>54</v>
      </c>
      <c r="E142" s="2">
        <v>9718</v>
      </c>
      <c r="F142" s="2">
        <v>1</v>
      </c>
      <c r="G142" s="8">
        <v>454</v>
      </c>
      <c r="H142" s="3">
        <v>45066</v>
      </c>
      <c r="I142" s="2" t="s">
        <v>27</v>
      </c>
      <c r="J142" s="2">
        <f t="shared" ref="J142" si="200">+E142</f>
        <v>9718</v>
      </c>
      <c r="K142" s="2">
        <f t="shared" ref="K142" si="201">+F142</f>
        <v>1</v>
      </c>
      <c r="L142" s="2">
        <f t="shared" ref="L142" si="202">+G142</f>
        <v>454</v>
      </c>
      <c r="M142" s="7" t="s">
        <v>29</v>
      </c>
      <c r="N142" s="2">
        <v>42</v>
      </c>
      <c r="O142" s="2">
        <v>23367</v>
      </c>
      <c r="P142" s="8">
        <f t="shared" si="164"/>
        <v>455.76866159999997</v>
      </c>
      <c r="Q142" s="8">
        <f t="shared" si="165"/>
        <v>1.7686615999999731</v>
      </c>
    </row>
    <row r="143" spans="1:17" x14ac:dyDescent="0.25">
      <c r="A143" s="3">
        <v>45064</v>
      </c>
      <c r="B143" s="2" t="s">
        <v>57</v>
      </c>
      <c r="C143" s="2">
        <v>86</v>
      </c>
      <c r="D143" s="2">
        <v>54</v>
      </c>
      <c r="E143" s="2">
        <v>9715</v>
      </c>
      <c r="F143" s="2">
        <v>1</v>
      </c>
      <c r="G143" s="8">
        <v>423</v>
      </c>
      <c r="H143" s="3">
        <v>45066</v>
      </c>
      <c r="I143" s="2" t="s">
        <v>27</v>
      </c>
      <c r="J143" s="2">
        <f t="shared" ref="J143" si="203">+E143</f>
        <v>9715</v>
      </c>
      <c r="K143" s="2">
        <f t="shared" ref="K143" si="204">+F143</f>
        <v>1</v>
      </c>
      <c r="L143" s="2">
        <f t="shared" ref="L143" si="205">+G143</f>
        <v>423</v>
      </c>
      <c r="M143" s="7" t="s">
        <v>29</v>
      </c>
      <c r="N143" s="2">
        <v>42</v>
      </c>
      <c r="O143" s="2">
        <v>21676</v>
      </c>
      <c r="P143" s="8">
        <f t="shared" si="164"/>
        <v>422.78604480000001</v>
      </c>
      <c r="Q143" s="8">
        <f t="shared" si="165"/>
        <v>-0.21395519999998669</v>
      </c>
    </row>
    <row r="144" spans="1:17" x14ac:dyDescent="0.25">
      <c r="A144" s="3">
        <v>45064</v>
      </c>
      <c r="B144" s="2" t="s">
        <v>57</v>
      </c>
      <c r="C144" s="2">
        <v>86</v>
      </c>
      <c r="D144" s="2">
        <v>54</v>
      </c>
      <c r="E144" s="2">
        <v>9734</v>
      </c>
      <c r="F144" s="2">
        <v>1</v>
      </c>
      <c r="G144" s="8">
        <v>404</v>
      </c>
      <c r="H144" s="3">
        <v>45066</v>
      </c>
      <c r="I144" s="2" t="s">
        <v>27</v>
      </c>
      <c r="J144" s="2">
        <f t="shared" ref="J144" si="206">+E144</f>
        <v>9734</v>
      </c>
      <c r="K144" s="2">
        <f t="shared" ref="K144" si="207">+F144</f>
        <v>1</v>
      </c>
      <c r="L144" s="2">
        <f t="shared" ref="L144" si="208">+G144</f>
        <v>404</v>
      </c>
      <c r="M144" s="7" t="s">
        <v>29</v>
      </c>
      <c r="N144" s="2">
        <v>42</v>
      </c>
      <c r="O144" s="2">
        <v>20734</v>
      </c>
      <c r="P144" s="8">
        <f t="shared" si="164"/>
        <v>404.41252320000001</v>
      </c>
      <c r="Q144" s="8">
        <f t="shared" si="165"/>
        <v>0.41252320000000964</v>
      </c>
    </row>
    <row r="145" spans="1:17" x14ac:dyDescent="0.25">
      <c r="A145" s="3">
        <v>45064</v>
      </c>
      <c r="B145" s="2" t="s">
        <v>57</v>
      </c>
      <c r="C145" s="2">
        <v>86</v>
      </c>
      <c r="D145" s="2">
        <v>54</v>
      </c>
      <c r="E145" s="2">
        <v>9719</v>
      </c>
      <c r="F145" s="2">
        <v>1</v>
      </c>
      <c r="G145" s="8">
        <v>434</v>
      </c>
      <c r="H145" s="3">
        <v>45066</v>
      </c>
      <c r="I145" s="2" t="s">
        <v>27</v>
      </c>
      <c r="J145" s="2">
        <f t="shared" ref="J145" si="209">+E145</f>
        <v>9719</v>
      </c>
      <c r="K145" s="2">
        <f t="shared" ref="K145" si="210">+F145</f>
        <v>1</v>
      </c>
      <c r="L145" s="2">
        <f t="shared" ref="L145" si="211">+G145</f>
        <v>434</v>
      </c>
      <c r="M145" s="7" t="s">
        <v>29</v>
      </c>
      <c r="N145" s="2">
        <v>42</v>
      </c>
      <c r="O145" s="2">
        <v>21722</v>
      </c>
      <c r="P145" s="8">
        <f t="shared" ref="P145" si="212">(O145/20000/500)*C145*D145*N145</f>
        <v>423.68326559999997</v>
      </c>
      <c r="Q145" s="8">
        <f t="shared" si="165"/>
        <v>-10.31673440000003</v>
      </c>
    </row>
    <row r="146" spans="1:17" x14ac:dyDescent="0.25">
      <c r="A146" s="3">
        <v>45064</v>
      </c>
      <c r="B146" s="2" t="s">
        <v>57</v>
      </c>
      <c r="C146" s="2">
        <v>86</v>
      </c>
      <c r="D146" s="2">
        <v>54</v>
      </c>
      <c r="E146" s="2">
        <v>9720</v>
      </c>
      <c r="F146" s="2">
        <v>1</v>
      </c>
      <c r="G146" s="8">
        <v>415</v>
      </c>
      <c r="H146" s="3">
        <v>45065</v>
      </c>
      <c r="I146" s="2" t="s">
        <v>27</v>
      </c>
      <c r="J146" s="2">
        <f>+E146</f>
        <v>9720</v>
      </c>
      <c r="K146" s="2">
        <f>+F146</f>
        <v>1</v>
      </c>
      <c r="L146" s="2">
        <f>+G146</f>
        <v>415</v>
      </c>
      <c r="M146" s="7" t="s">
        <v>29</v>
      </c>
      <c r="N146" s="2">
        <v>42</v>
      </c>
      <c r="O146" s="2">
        <v>21572</v>
      </c>
      <c r="P146" s="8">
        <f t="shared" si="164"/>
        <v>420.75754560000001</v>
      </c>
      <c r="Q146" s="8">
        <f t="shared" si="165"/>
        <v>5.7575456000000145</v>
      </c>
    </row>
    <row r="147" spans="1:17" x14ac:dyDescent="0.25">
      <c r="A147" s="3">
        <v>45067</v>
      </c>
      <c r="B147" s="2" t="s">
        <v>72</v>
      </c>
      <c r="C147" s="2">
        <v>96</v>
      </c>
      <c r="D147" s="2">
        <v>52</v>
      </c>
      <c r="E147" s="2">
        <v>105691</v>
      </c>
      <c r="F147" s="2">
        <v>1</v>
      </c>
      <c r="G147" s="8">
        <v>572.29999999999995</v>
      </c>
      <c r="H147" s="3">
        <v>45072</v>
      </c>
      <c r="I147" s="2" t="s">
        <v>40</v>
      </c>
      <c r="J147" s="2">
        <f t="shared" ref="J147" si="213">+E147</f>
        <v>105691</v>
      </c>
      <c r="K147" s="2">
        <f t="shared" ref="K147" si="214">+F147</f>
        <v>1</v>
      </c>
      <c r="L147" s="2">
        <f t="shared" ref="L147" si="215">+G147</f>
        <v>572.29999999999995</v>
      </c>
      <c r="M147" s="2" t="s">
        <v>30</v>
      </c>
      <c r="N147" s="2">
        <f t="shared" ref="N147:N154" si="216">73/2</f>
        <v>36.5</v>
      </c>
      <c r="O147" s="2">
        <v>31626</v>
      </c>
      <c r="P147" s="8">
        <f t="shared" si="164"/>
        <v>576.25102079999999</v>
      </c>
      <c r="Q147" s="8">
        <f t="shared" si="165"/>
        <v>3.9510208000000375</v>
      </c>
    </row>
    <row r="148" spans="1:17" x14ac:dyDescent="0.25">
      <c r="A148" s="3">
        <v>45067</v>
      </c>
      <c r="B148" s="2" t="s">
        <v>72</v>
      </c>
      <c r="C148" s="2">
        <v>96</v>
      </c>
      <c r="D148" s="2">
        <v>52</v>
      </c>
      <c r="E148" s="2">
        <v>105693</v>
      </c>
      <c r="F148" s="2">
        <v>1</v>
      </c>
      <c r="G148" s="8">
        <v>616.79999999999995</v>
      </c>
      <c r="H148" s="3">
        <v>45072</v>
      </c>
      <c r="I148" s="2" t="s">
        <v>80</v>
      </c>
      <c r="J148" s="2">
        <f t="shared" ref="J148" si="217">+E148</f>
        <v>105693</v>
      </c>
      <c r="K148" s="2">
        <f t="shared" ref="K148" si="218">+F148</f>
        <v>1</v>
      </c>
      <c r="L148" s="2">
        <f t="shared" ref="L148" si="219">+G148</f>
        <v>616.79999999999995</v>
      </c>
      <c r="M148" s="2" t="s">
        <v>30</v>
      </c>
      <c r="N148" s="2">
        <f t="shared" si="216"/>
        <v>36.5</v>
      </c>
      <c r="O148" s="2">
        <v>33393</v>
      </c>
      <c r="P148" s="8">
        <f t="shared" si="164"/>
        <v>608.44717439999999</v>
      </c>
      <c r="Q148" s="8">
        <f t="shared" si="165"/>
        <v>-8.3528255999999601</v>
      </c>
    </row>
    <row r="149" spans="1:17" x14ac:dyDescent="0.25">
      <c r="A149" s="3">
        <v>45067</v>
      </c>
      <c r="B149" s="2" t="s">
        <v>72</v>
      </c>
      <c r="C149" s="2">
        <v>96</v>
      </c>
      <c r="D149" s="2">
        <v>52</v>
      </c>
      <c r="E149" s="2">
        <v>105694</v>
      </c>
      <c r="F149" s="2">
        <v>1</v>
      </c>
      <c r="G149" s="8">
        <v>612.4</v>
      </c>
      <c r="H149" s="3">
        <v>45069</v>
      </c>
      <c r="I149" s="2" t="s">
        <v>27</v>
      </c>
      <c r="J149" s="2">
        <f t="shared" ref="J149:L154" si="220">+E149</f>
        <v>105694</v>
      </c>
      <c r="K149" s="2">
        <f t="shared" si="220"/>
        <v>1</v>
      </c>
      <c r="L149" s="2">
        <f t="shared" si="220"/>
        <v>612.4</v>
      </c>
      <c r="M149" s="2" t="s">
        <v>30</v>
      </c>
      <c r="N149" s="2">
        <f t="shared" si="216"/>
        <v>36.5</v>
      </c>
      <c r="O149" s="2">
        <v>33384</v>
      </c>
      <c r="P149" s="8">
        <f t="shared" si="164"/>
        <v>608.28318719999993</v>
      </c>
      <c r="Q149" s="8">
        <f t="shared" si="165"/>
        <v>-4.1168128000000479</v>
      </c>
    </row>
    <row r="150" spans="1:17" x14ac:dyDescent="0.25">
      <c r="A150" s="3">
        <v>45067</v>
      </c>
      <c r="B150" s="2" t="s">
        <v>72</v>
      </c>
      <c r="C150" s="2">
        <v>96</v>
      </c>
      <c r="D150" s="2">
        <v>52</v>
      </c>
      <c r="E150" s="2">
        <v>105696</v>
      </c>
      <c r="F150" s="2">
        <v>1</v>
      </c>
      <c r="G150" s="8">
        <v>589.5</v>
      </c>
      <c r="H150" s="3">
        <v>45069</v>
      </c>
      <c r="I150" s="2" t="s">
        <v>27</v>
      </c>
      <c r="J150" s="2">
        <f t="shared" si="220"/>
        <v>105696</v>
      </c>
      <c r="K150" s="2">
        <f t="shared" si="220"/>
        <v>1</v>
      </c>
      <c r="L150" s="2">
        <f t="shared" si="220"/>
        <v>589.5</v>
      </c>
      <c r="M150" s="2" t="s">
        <v>30</v>
      </c>
      <c r="N150" s="2">
        <f t="shared" si="216"/>
        <v>36.5</v>
      </c>
      <c r="O150" s="2">
        <v>31296</v>
      </c>
      <c r="P150" s="8">
        <f t="shared" si="164"/>
        <v>570.23815679999996</v>
      </c>
      <c r="Q150" s="8">
        <f t="shared" si="165"/>
        <v>-19.261843200000044</v>
      </c>
    </row>
    <row r="151" spans="1:17" x14ac:dyDescent="0.25">
      <c r="A151" s="3">
        <v>45067</v>
      </c>
      <c r="B151" s="2" t="s">
        <v>72</v>
      </c>
      <c r="C151" s="2">
        <v>96</v>
      </c>
      <c r="D151" s="2">
        <v>52</v>
      </c>
      <c r="E151" s="2">
        <v>105697</v>
      </c>
      <c r="F151" s="2">
        <v>1</v>
      </c>
      <c r="G151" s="8">
        <v>587.20000000000005</v>
      </c>
      <c r="H151" s="3">
        <v>45069</v>
      </c>
      <c r="I151" s="2" t="s">
        <v>27</v>
      </c>
      <c r="J151" s="2">
        <f t="shared" si="220"/>
        <v>105697</v>
      </c>
      <c r="K151" s="2">
        <f t="shared" si="220"/>
        <v>1</v>
      </c>
      <c r="L151" s="2">
        <f t="shared" si="220"/>
        <v>587.20000000000005</v>
      </c>
      <c r="M151" s="2" t="s">
        <v>30</v>
      </c>
      <c r="N151" s="2">
        <f t="shared" si="216"/>
        <v>36.5</v>
      </c>
      <c r="O151" s="2">
        <v>31591</v>
      </c>
      <c r="P151" s="8">
        <f t="shared" si="164"/>
        <v>575.61329280000007</v>
      </c>
      <c r="Q151" s="8">
        <f t="shared" si="165"/>
        <v>-11.586707199999978</v>
      </c>
    </row>
    <row r="152" spans="1:17" x14ac:dyDescent="0.25">
      <c r="A152" s="3">
        <v>45067</v>
      </c>
      <c r="B152" s="2" t="s">
        <v>72</v>
      </c>
      <c r="C152" s="2">
        <v>96</v>
      </c>
      <c r="D152" s="2">
        <v>52</v>
      </c>
      <c r="E152" s="2">
        <v>105708</v>
      </c>
      <c r="F152" s="2">
        <v>1</v>
      </c>
      <c r="G152" s="8">
        <v>604</v>
      </c>
      <c r="H152" s="3">
        <v>45069</v>
      </c>
      <c r="I152" s="2" t="s">
        <v>27</v>
      </c>
      <c r="J152" s="2">
        <f t="shared" si="220"/>
        <v>105708</v>
      </c>
      <c r="K152" s="2">
        <f t="shared" si="220"/>
        <v>1</v>
      </c>
      <c r="L152" s="2">
        <f t="shared" si="220"/>
        <v>604</v>
      </c>
      <c r="M152" s="2" t="s">
        <v>30</v>
      </c>
      <c r="N152" s="2">
        <f t="shared" si="216"/>
        <v>36.5</v>
      </c>
      <c r="O152" s="2">
        <v>33590</v>
      </c>
      <c r="P152" s="8">
        <f t="shared" si="164"/>
        <v>612.03667199999995</v>
      </c>
      <c r="Q152" s="8">
        <f t="shared" si="165"/>
        <v>8.0366719999999532</v>
      </c>
    </row>
    <row r="153" spans="1:17" x14ac:dyDescent="0.25">
      <c r="A153" s="3">
        <v>45067</v>
      </c>
      <c r="B153" s="2" t="s">
        <v>72</v>
      </c>
      <c r="C153" s="2">
        <v>96</v>
      </c>
      <c r="D153" s="2">
        <v>52</v>
      </c>
      <c r="E153" s="2">
        <v>105709</v>
      </c>
      <c r="F153" s="2">
        <v>1</v>
      </c>
      <c r="G153" s="8">
        <v>607.1</v>
      </c>
      <c r="H153" s="3">
        <v>45069</v>
      </c>
      <c r="I153" s="2" t="s">
        <v>27</v>
      </c>
      <c r="J153" s="2">
        <f t="shared" si="220"/>
        <v>105709</v>
      </c>
      <c r="K153" s="2">
        <f t="shared" si="220"/>
        <v>1</v>
      </c>
      <c r="L153" s="2">
        <f t="shared" si="220"/>
        <v>607.1</v>
      </c>
      <c r="M153" s="2" t="s">
        <v>30</v>
      </c>
      <c r="N153" s="2">
        <f t="shared" si="216"/>
        <v>36.5</v>
      </c>
      <c r="O153" s="2">
        <v>33842</v>
      </c>
      <c r="P153" s="8">
        <f t="shared" si="164"/>
        <v>616.62831359999996</v>
      </c>
      <c r="Q153" s="8">
        <f t="shared" si="165"/>
        <v>9.5283135999999331</v>
      </c>
    </row>
    <row r="154" spans="1:17" x14ac:dyDescent="0.25">
      <c r="A154" s="3">
        <v>45067</v>
      </c>
      <c r="B154" s="2" t="s">
        <v>72</v>
      </c>
      <c r="C154" s="2">
        <v>96</v>
      </c>
      <c r="D154" s="2">
        <v>52</v>
      </c>
      <c r="E154" s="2">
        <v>105711</v>
      </c>
      <c r="F154" s="2">
        <v>1</v>
      </c>
      <c r="G154" s="8">
        <v>605.4</v>
      </c>
      <c r="H154" s="3">
        <v>45067</v>
      </c>
      <c r="I154" s="2" t="s">
        <v>27</v>
      </c>
      <c r="J154" s="2">
        <f t="shared" si="220"/>
        <v>105711</v>
      </c>
      <c r="K154" s="2">
        <f t="shared" si="220"/>
        <v>1</v>
      </c>
      <c r="L154" s="2">
        <f t="shared" si="220"/>
        <v>605.4</v>
      </c>
      <c r="M154" s="2" t="s">
        <v>30</v>
      </c>
      <c r="N154" s="2">
        <f t="shared" si="216"/>
        <v>36.5</v>
      </c>
      <c r="O154" s="2">
        <v>33506</v>
      </c>
      <c r="P154" s="8">
        <f t="shared" si="164"/>
        <v>610.50612479999995</v>
      </c>
      <c r="Q154" s="8">
        <f t="shared" si="165"/>
        <v>5.106124799999975</v>
      </c>
    </row>
    <row r="155" spans="1:17" x14ac:dyDescent="0.25">
      <c r="A155" s="3">
        <v>45067</v>
      </c>
      <c r="B155" s="2" t="s">
        <v>72</v>
      </c>
      <c r="C155" s="2">
        <v>96</v>
      </c>
      <c r="D155" s="2">
        <v>52</v>
      </c>
      <c r="E155" s="2">
        <v>105712</v>
      </c>
      <c r="F155" s="2">
        <v>1</v>
      </c>
      <c r="G155" s="8">
        <v>603.9</v>
      </c>
      <c r="H155" s="3">
        <v>45072</v>
      </c>
      <c r="I155" s="2" t="s">
        <v>47</v>
      </c>
      <c r="J155" s="2">
        <f t="shared" ref="J155:L156" si="221">+E155</f>
        <v>105712</v>
      </c>
      <c r="K155" s="2">
        <f t="shared" si="221"/>
        <v>1</v>
      </c>
      <c r="L155" s="2">
        <f t="shared" si="221"/>
        <v>603.9</v>
      </c>
      <c r="M155" s="2" t="s">
        <v>30</v>
      </c>
      <c r="N155" s="2">
        <f t="shared" ref="N155:N162" si="222">73/2</f>
        <v>36.5</v>
      </c>
      <c r="O155" s="2">
        <v>33432</v>
      </c>
      <c r="P155" s="8">
        <f t="shared" si="164"/>
        <v>609.15778560000001</v>
      </c>
      <c r="Q155" s="8">
        <f t="shared" si="165"/>
        <v>5.2577856000000338</v>
      </c>
    </row>
    <row r="156" spans="1:17" x14ac:dyDescent="0.25">
      <c r="A156" s="3">
        <v>45067</v>
      </c>
      <c r="B156" s="2" t="s">
        <v>72</v>
      </c>
      <c r="C156" s="2">
        <v>96</v>
      </c>
      <c r="D156" s="2">
        <v>52</v>
      </c>
      <c r="E156" s="2">
        <v>105714</v>
      </c>
      <c r="F156" s="2">
        <v>1</v>
      </c>
      <c r="G156" s="8">
        <v>615.9</v>
      </c>
      <c r="H156" s="3">
        <v>45074</v>
      </c>
      <c r="I156" s="2" t="s">
        <v>28</v>
      </c>
      <c r="J156" s="2">
        <f t="shared" si="221"/>
        <v>105714</v>
      </c>
      <c r="K156" s="2">
        <f t="shared" si="221"/>
        <v>1</v>
      </c>
      <c r="L156" s="2">
        <f t="shared" si="221"/>
        <v>615.9</v>
      </c>
      <c r="M156" s="2" t="s">
        <v>30</v>
      </c>
      <c r="N156" s="2">
        <f t="shared" si="222"/>
        <v>36.5</v>
      </c>
      <c r="O156" s="2">
        <v>34421</v>
      </c>
      <c r="P156" s="8">
        <f t="shared" si="164"/>
        <v>627.17815680000001</v>
      </c>
      <c r="Q156" s="8">
        <f t="shared" si="165"/>
        <v>11.278156800000033</v>
      </c>
    </row>
    <row r="157" spans="1:17" x14ac:dyDescent="0.25">
      <c r="A157" s="3">
        <v>45067</v>
      </c>
      <c r="B157" s="2" t="s">
        <v>72</v>
      </c>
      <c r="C157" s="2">
        <v>96</v>
      </c>
      <c r="D157" s="2">
        <v>52</v>
      </c>
      <c r="E157" s="2">
        <v>105722</v>
      </c>
      <c r="F157" s="2">
        <v>1</v>
      </c>
      <c r="G157" s="8">
        <v>568</v>
      </c>
      <c r="H157" s="3">
        <v>45069</v>
      </c>
      <c r="I157" s="2" t="s">
        <v>27</v>
      </c>
      <c r="J157" s="2">
        <f t="shared" ref="J157:L158" si="223">+E157</f>
        <v>105722</v>
      </c>
      <c r="K157" s="2">
        <f t="shared" si="223"/>
        <v>1</v>
      </c>
      <c r="L157" s="2">
        <f t="shared" si="223"/>
        <v>568</v>
      </c>
      <c r="M157" s="2" t="s">
        <v>30</v>
      </c>
      <c r="N157" s="2">
        <f t="shared" si="222"/>
        <v>36.5</v>
      </c>
      <c r="O157" s="2">
        <v>31055</v>
      </c>
      <c r="P157" s="8">
        <f t="shared" si="164"/>
        <v>565.84694400000001</v>
      </c>
      <c r="Q157" s="8">
        <f t="shared" si="165"/>
        <v>-2.1530559999999923</v>
      </c>
    </row>
    <row r="158" spans="1:17" x14ac:dyDescent="0.25">
      <c r="A158" s="3">
        <v>45067</v>
      </c>
      <c r="B158" s="2" t="s">
        <v>72</v>
      </c>
      <c r="C158" s="2">
        <v>96</v>
      </c>
      <c r="D158" s="2">
        <v>52</v>
      </c>
      <c r="E158" s="2">
        <v>105723</v>
      </c>
      <c r="F158" s="2">
        <v>1</v>
      </c>
      <c r="G158" s="8">
        <v>563.70000000000005</v>
      </c>
      <c r="H158" s="3">
        <v>45072</v>
      </c>
      <c r="I158" s="2" t="s">
        <v>47</v>
      </c>
      <c r="J158" s="2">
        <f t="shared" si="223"/>
        <v>105723</v>
      </c>
      <c r="K158" s="2">
        <f t="shared" si="223"/>
        <v>1</v>
      </c>
      <c r="L158" s="2">
        <f t="shared" si="223"/>
        <v>563.70000000000005</v>
      </c>
      <c r="M158" s="2" t="s">
        <v>30</v>
      </c>
      <c r="N158" s="2">
        <f t="shared" si="222"/>
        <v>36.5</v>
      </c>
      <c r="O158" s="2">
        <v>31006</v>
      </c>
      <c r="P158" s="8">
        <f t="shared" si="164"/>
        <v>564.95412480000005</v>
      </c>
      <c r="Q158" s="8">
        <f t="shared" si="165"/>
        <v>1.2541247999999996</v>
      </c>
    </row>
    <row r="159" spans="1:17" x14ac:dyDescent="0.25">
      <c r="A159" s="3">
        <v>45067</v>
      </c>
      <c r="B159" s="2" t="s">
        <v>72</v>
      </c>
      <c r="C159" s="2">
        <v>96</v>
      </c>
      <c r="D159" s="2">
        <v>52</v>
      </c>
      <c r="E159" s="2">
        <v>105725</v>
      </c>
      <c r="F159" s="2">
        <v>1</v>
      </c>
      <c r="G159" s="8">
        <v>627.79999999999995</v>
      </c>
      <c r="H159" s="3">
        <v>45074</v>
      </c>
      <c r="I159" s="2" t="s">
        <v>28</v>
      </c>
      <c r="J159" s="2">
        <f t="shared" ref="J159" si="224">+E159</f>
        <v>105725</v>
      </c>
      <c r="K159" s="2">
        <f t="shared" ref="K159" si="225">+F159</f>
        <v>1</v>
      </c>
      <c r="L159" s="2">
        <f t="shared" ref="L159" si="226">+G159</f>
        <v>627.79999999999995</v>
      </c>
      <c r="M159" s="2" t="s">
        <v>30</v>
      </c>
      <c r="N159" s="2">
        <f t="shared" si="222"/>
        <v>36.5</v>
      </c>
      <c r="O159" s="2">
        <v>34619</v>
      </c>
      <c r="P159" s="8">
        <f t="shared" si="164"/>
        <v>630.78587519999996</v>
      </c>
      <c r="Q159" s="8">
        <f t="shared" si="165"/>
        <v>2.9858752000000095</v>
      </c>
    </row>
    <row r="160" spans="1:17" x14ac:dyDescent="0.25">
      <c r="A160" s="3">
        <v>45067</v>
      </c>
      <c r="B160" s="2" t="s">
        <v>72</v>
      </c>
      <c r="C160" s="2">
        <v>96</v>
      </c>
      <c r="D160" s="2">
        <v>52</v>
      </c>
      <c r="E160" s="2">
        <v>105726</v>
      </c>
      <c r="F160" s="2">
        <v>1</v>
      </c>
      <c r="G160" s="8">
        <v>620.4</v>
      </c>
      <c r="H160" s="3">
        <v>45074</v>
      </c>
      <c r="I160" s="2" t="s">
        <v>28</v>
      </c>
      <c r="J160" s="2">
        <f t="shared" ref="J160" si="227">+E160</f>
        <v>105726</v>
      </c>
      <c r="K160" s="2">
        <f t="shared" ref="K160" si="228">+F160</f>
        <v>1</v>
      </c>
      <c r="L160" s="2">
        <f t="shared" ref="L160" si="229">+G160</f>
        <v>620.4</v>
      </c>
      <c r="M160" s="2" t="s">
        <v>30</v>
      </c>
      <c r="N160" s="2">
        <f t="shared" si="222"/>
        <v>36.5</v>
      </c>
      <c r="O160" s="2">
        <v>33865</v>
      </c>
      <c r="P160" s="8">
        <f t="shared" ref="P160" si="230">(O160/20000/500)*C160*D160*N160</f>
        <v>617.04739199999995</v>
      </c>
      <c r="Q160" s="8">
        <f t="shared" si="165"/>
        <v>-3.352608000000032</v>
      </c>
    </row>
    <row r="161" spans="1:17" x14ac:dyDescent="0.25">
      <c r="A161" s="3">
        <v>45067</v>
      </c>
      <c r="B161" s="2" t="s">
        <v>72</v>
      </c>
      <c r="C161" s="2">
        <v>96</v>
      </c>
      <c r="D161" s="2">
        <v>52</v>
      </c>
      <c r="E161" s="2">
        <v>105728</v>
      </c>
      <c r="F161" s="2">
        <v>1</v>
      </c>
      <c r="G161" s="8">
        <v>533.6</v>
      </c>
      <c r="H161" s="3">
        <v>45067</v>
      </c>
      <c r="I161" s="2" t="s">
        <v>27</v>
      </c>
      <c r="J161" s="2">
        <f t="shared" ref="J161:L162" si="231">+E161</f>
        <v>105728</v>
      </c>
      <c r="K161" s="2">
        <f t="shared" si="231"/>
        <v>1</v>
      </c>
      <c r="L161" s="2">
        <f t="shared" si="231"/>
        <v>533.6</v>
      </c>
      <c r="M161" s="2" t="s">
        <v>30</v>
      </c>
      <c r="N161" s="2">
        <f t="shared" si="222"/>
        <v>36.5</v>
      </c>
      <c r="O161" s="2">
        <v>29560</v>
      </c>
      <c r="P161" s="8">
        <f t="shared" si="164"/>
        <v>538.6068479999999</v>
      </c>
      <c r="Q161" s="8">
        <f t="shared" si="165"/>
        <v>5.0068479999998772</v>
      </c>
    </row>
    <row r="162" spans="1:17" x14ac:dyDescent="0.25">
      <c r="A162" s="3">
        <v>45067</v>
      </c>
      <c r="B162" s="2" t="s">
        <v>72</v>
      </c>
      <c r="C162" s="2">
        <v>96</v>
      </c>
      <c r="D162" s="2">
        <v>52</v>
      </c>
      <c r="E162" s="2">
        <v>105729</v>
      </c>
      <c r="F162" s="2">
        <v>1</v>
      </c>
      <c r="G162" s="8">
        <v>540.6</v>
      </c>
      <c r="H162" s="3">
        <v>45069</v>
      </c>
      <c r="I162" s="2" t="s">
        <v>27</v>
      </c>
      <c r="J162" s="2">
        <f t="shared" si="231"/>
        <v>105729</v>
      </c>
      <c r="K162" s="2">
        <f t="shared" si="231"/>
        <v>1</v>
      </c>
      <c r="L162" s="2">
        <f t="shared" si="231"/>
        <v>540.6</v>
      </c>
      <c r="M162" s="2" t="s">
        <v>30</v>
      </c>
      <c r="N162" s="2">
        <f t="shared" si="222"/>
        <v>36.5</v>
      </c>
      <c r="O162" s="2">
        <v>29537</v>
      </c>
      <c r="P162" s="8">
        <f t="shared" si="164"/>
        <v>538.18776960000002</v>
      </c>
      <c r="Q162" s="8">
        <f t="shared" si="165"/>
        <v>-2.4122303999999986</v>
      </c>
    </row>
    <row r="163" spans="1:17" x14ac:dyDescent="0.25">
      <c r="A163" s="3">
        <v>45067</v>
      </c>
      <c r="B163" s="2" t="s">
        <v>72</v>
      </c>
      <c r="C163" s="2">
        <v>96</v>
      </c>
      <c r="D163" s="2">
        <v>52</v>
      </c>
      <c r="E163" s="2">
        <v>105768</v>
      </c>
      <c r="F163" s="2">
        <v>1</v>
      </c>
      <c r="G163" s="8">
        <v>620.4</v>
      </c>
      <c r="H163" s="2"/>
      <c r="I163" s="2"/>
      <c r="J163" s="2"/>
      <c r="K163" s="2"/>
      <c r="L163" s="2"/>
      <c r="M163" s="2"/>
      <c r="N163" s="2"/>
      <c r="O163" s="2"/>
      <c r="P163" s="8">
        <f t="shared" si="164"/>
        <v>0</v>
      </c>
      <c r="Q163" s="8">
        <f t="shared" si="165"/>
        <v>-620.4</v>
      </c>
    </row>
    <row r="164" spans="1:17" x14ac:dyDescent="0.25">
      <c r="A164" s="3">
        <v>45067</v>
      </c>
      <c r="B164" s="2" t="s">
        <v>72</v>
      </c>
      <c r="C164" s="2">
        <v>96</v>
      </c>
      <c r="D164" s="2">
        <v>52</v>
      </c>
      <c r="E164" s="2">
        <v>105774</v>
      </c>
      <c r="F164" s="2">
        <v>1</v>
      </c>
      <c r="G164" s="8">
        <v>601.1</v>
      </c>
      <c r="H164" s="3">
        <v>45072</v>
      </c>
      <c r="I164" s="2" t="s">
        <v>47</v>
      </c>
      <c r="J164" s="2">
        <f t="shared" ref="J164" si="232">+E164</f>
        <v>105774</v>
      </c>
      <c r="K164" s="2">
        <f t="shared" ref="K164" si="233">+F164</f>
        <v>1</v>
      </c>
      <c r="L164" s="2">
        <f t="shared" ref="L164" si="234">+G164</f>
        <v>601.1</v>
      </c>
      <c r="M164" s="2" t="s">
        <v>30</v>
      </c>
      <c r="N164" s="2">
        <f t="shared" ref="N164:N172" si="235">73/2</f>
        <v>36.5</v>
      </c>
      <c r="O164" s="2">
        <v>32821</v>
      </c>
      <c r="P164" s="8">
        <f t="shared" si="164"/>
        <v>598.0248767999999</v>
      </c>
      <c r="Q164" s="8">
        <f t="shared" si="165"/>
        <v>-3.075123200000121</v>
      </c>
    </row>
    <row r="165" spans="1:17" x14ac:dyDescent="0.25">
      <c r="A165" s="3">
        <v>45067</v>
      </c>
      <c r="B165" s="2" t="s">
        <v>72</v>
      </c>
      <c r="C165" s="2">
        <v>96</v>
      </c>
      <c r="D165" s="2">
        <v>52</v>
      </c>
      <c r="E165" s="2">
        <v>105782</v>
      </c>
      <c r="F165" s="2">
        <v>1</v>
      </c>
      <c r="G165" s="8">
        <v>601.5</v>
      </c>
      <c r="H165" s="3">
        <v>45069</v>
      </c>
      <c r="I165" s="2" t="s">
        <v>27</v>
      </c>
      <c r="J165" s="2">
        <f t="shared" ref="J165:L166" si="236">+E165</f>
        <v>105782</v>
      </c>
      <c r="K165" s="2">
        <f t="shared" si="236"/>
        <v>1</v>
      </c>
      <c r="L165" s="2">
        <f t="shared" si="236"/>
        <v>601.5</v>
      </c>
      <c r="M165" s="2" t="s">
        <v>30</v>
      </c>
      <c r="N165" s="2">
        <f t="shared" si="235"/>
        <v>36.5</v>
      </c>
      <c r="O165" s="2">
        <v>32180</v>
      </c>
      <c r="P165" s="8">
        <f t="shared" si="164"/>
        <v>586.34534400000007</v>
      </c>
      <c r="Q165" s="8">
        <f t="shared" si="165"/>
        <v>-15.154655999999932</v>
      </c>
    </row>
    <row r="166" spans="1:17" x14ac:dyDescent="0.25">
      <c r="A166" s="3">
        <v>45067</v>
      </c>
      <c r="B166" s="2" t="s">
        <v>72</v>
      </c>
      <c r="C166" s="2">
        <v>96</v>
      </c>
      <c r="D166" s="2">
        <v>52</v>
      </c>
      <c r="E166" s="2">
        <v>105783</v>
      </c>
      <c r="F166" s="2">
        <v>1</v>
      </c>
      <c r="G166" s="8">
        <v>597.5</v>
      </c>
      <c r="H166" s="3">
        <v>45069</v>
      </c>
      <c r="I166" s="2" t="s">
        <v>27</v>
      </c>
      <c r="J166" s="2">
        <f t="shared" si="236"/>
        <v>105783</v>
      </c>
      <c r="K166" s="2">
        <f t="shared" si="236"/>
        <v>1</v>
      </c>
      <c r="L166" s="2">
        <f t="shared" si="236"/>
        <v>597.5</v>
      </c>
      <c r="M166" s="2" t="s">
        <v>30</v>
      </c>
      <c r="N166" s="2">
        <f t="shared" si="235"/>
        <v>36.5</v>
      </c>
      <c r="O166" s="2">
        <v>32183</v>
      </c>
      <c r="P166" s="8">
        <f t="shared" si="164"/>
        <v>586.40000640000005</v>
      </c>
      <c r="Q166" s="8">
        <f t="shared" si="165"/>
        <v>-11.099993599999948</v>
      </c>
    </row>
    <row r="167" spans="1:17" x14ac:dyDescent="0.25">
      <c r="A167" s="3">
        <v>45067</v>
      </c>
      <c r="B167" s="2" t="s">
        <v>72</v>
      </c>
      <c r="C167" s="2">
        <v>96</v>
      </c>
      <c r="D167" s="2">
        <v>52</v>
      </c>
      <c r="E167" s="2">
        <v>105786</v>
      </c>
      <c r="F167" s="2">
        <v>1</v>
      </c>
      <c r="G167" s="8">
        <v>625.6</v>
      </c>
      <c r="H167" s="3">
        <v>45072</v>
      </c>
      <c r="I167" s="2" t="s">
        <v>40</v>
      </c>
      <c r="J167" s="2">
        <f t="shared" ref="J167" si="237">+E167</f>
        <v>105786</v>
      </c>
      <c r="K167" s="2">
        <f t="shared" ref="K167" si="238">+F167</f>
        <v>1</v>
      </c>
      <c r="L167" s="2">
        <f t="shared" ref="L167" si="239">+G167</f>
        <v>625.6</v>
      </c>
      <c r="M167" s="2" t="s">
        <v>30</v>
      </c>
      <c r="N167" s="2">
        <f t="shared" si="235"/>
        <v>36.5</v>
      </c>
      <c r="O167" s="2">
        <v>33958</v>
      </c>
      <c r="P167" s="8">
        <f t="shared" si="164"/>
        <v>618.74192640000001</v>
      </c>
      <c r="Q167" s="8">
        <f t="shared" si="165"/>
        <v>-6.8580736000000115</v>
      </c>
    </row>
    <row r="168" spans="1:17" x14ac:dyDescent="0.25">
      <c r="A168" s="3">
        <v>45067</v>
      </c>
      <c r="B168" s="2" t="s">
        <v>72</v>
      </c>
      <c r="C168" s="2">
        <v>96</v>
      </c>
      <c r="D168" s="2">
        <v>52</v>
      </c>
      <c r="E168" s="2">
        <v>105787</v>
      </c>
      <c r="F168" s="2">
        <v>1</v>
      </c>
      <c r="G168" s="8">
        <v>629.1</v>
      </c>
      <c r="H168" s="3">
        <v>45072</v>
      </c>
      <c r="I168" s="2" t="s">
        <v>80</v>
      </c>
      <c r="J168" s="2">
        <f t="shared" ref="J168:J169" si="240">+E168</f>
        <v>105787</v>
      </c>
      <c r="K168" s="2">
        <f t="shared" ref="K168" si="241">+F168</f>
        <v>1</v>
      </c>
      <c r="L168" s="2">
        <v>426</v>
      </c>
      <c r="M168" s="2" t="s">
        <v>30</v>
      </c>
      <c r="N168" s="2">
        <f t="shared" si="235"/>
        <v>36.5</v>
      </c>
      <c r="O168" s="2">
        <v>23375</v>
      </c>
      <c r="P168" s="8">
        <f t="shared" si="164"/>
        <v>425.91119999999995</v>
      </c>
      <c r="Q168" s="8">
        <f t="shared" si="165"/>
        <v>-203.18880000000007</v>
      </c>
    </row>
    <row r="169" spans="1:17" x14ac:dyDescent="0.25">
      <c r="A169" s="3"/>
      <c r="B169" s="2" t="s">
        <v>72</v>
      </c>
      <c r="C169" s="2">
        <v>96</v>
      </c>
      <c r="D169" s="2">
        <v>52</v>
      </c>
      <c r="E169" s="2">
        <v>105787</v>
      </c>
      <c r="F169" s="2"/>
      <c r="G169" s="8"/>
      <c r="H169" s="3">
        <v>45072</v>
      </c>
      <c r="I169" s="2" t="s">
        <v>40</v>
      </c>
      <c r="J169" s="2">
        <f t="shared" si="240"/>
        <v>105787</v>
      </c>
      <c r="K169" s="2"/>
      <c r="L169" s="2">
        <f>+G168-L168</f>
        <v>203.10000000000002</v>
      </c>
      <c r="M169" s="2" t="s">
        <v>30</v>
      </c>
      <c r="N169" s="2">
        <f t="shared" si="235"/>
        <v>36.5</v>
      </c>
      <c r="O169" s="2">
        <v>10596</v>
      </c>
      <c r="P169" s="8">
        <f t="shared" si="164"/>
        <v>193.06759680000005</v>
      </c>
      <c r="Q169" s="8">
        <f>+P169-G169</f>
        <v>193.06759680000005</v>
      </c>
    </row>
    <row r="170" spans="1:17" x14ac:dyDescent="0.25">
      <c r="A170" s="3">
        <v>45067</v>
      </c>
      <c r="B170" s="2" t="s">
        <v>72</v>
      </c>
      <c r="C170" s="2">
        <v>96</v>
      </c>
      <c r="D170" s="2">
        <v>52</v>
      </c>
      <c r="E170" s="2">
        <v>105788</v>
      </c>
      <c r="F170" s="2">
        <v>1</v>
      </c>
      <c r="G170" s="8">
        <v>590.79999999999995</v>
      </c>
      <c r="H170" s="3">
        <v>45069</v>
      </c>
      <c r="I170" s="2" t="s">
        <v>27</v>
      </c>
      <c r="J170" s="2">
        <f t="shared" ref="J170:L173" si="242">+E170</f>
        <v>105788</v>
      </c>
      <c r="K170" s="2">
        <f t="shared" si="242"/>
        <v>1</v>
      </c>
      <c r="L170" s="2">
        <f t="shared" si="242"/>
        <v>590.79999999999995</v>
      </c>
      <c r="M170" s="2" t="s">
        <v>30</v>
      </c>
      <c r="N170" s="2">
        <f t="shared" si="235"/>
        <v>36.5</v>
      </c>
      <c r="O170" s="2">
        <v>33456</v>
      </c>
      <c r="P170" s="8">
        <f t="shared" si="164"/>
        <v>609.5950848</v>
      </c>
      <c r="Q170" s="8">
        <f t="shared" si="165"/>
        <v>18.795084800000041</v>
      </c>
    </row>
    <row r="171" spans="1:17" x14ac:dyDescent="0.25">
      <c r="A171" s="3">
        <v>45067</v>
      </c>
      <c r="B171" s="2" t="s">
        <v>72</v>
      </c>
      <c r="C171" s="2">
        <v>96</v>
      </c>
      <c r="D171" s="2">
        <v>52</v>
      </c>
      <c r="E171" s="2">
        <v>105473</v>
      </c>
      <c r="F171" s="2">
        <v>1</v>
      </c>
      <c r="G171" s="8">
        <v>560.5</v>
      </c>
      <c r="H171" s="3">
        <v>45067</v>
      </c>
      <c r="I171" s="2" t="s">
        <v>27</v>
      </c>
      <c r="J171" s="2">
        <f t="shared" si="242"/>
        <v>105473</v>
      </c>
      <c r="K171" s="2">
        <f t="shared" si="242"/>
        <v>1</v>
      </c>
      <c r="L171" s="2">
        <f t="shared" si="242"/>
        <v>560.5</v>
      </c>
      <c r="M171" s="2" t="s">
        <v>30</v>
      </c>
      <c r="N171" s="2">
        <f t="shared" si="235"/>
        <v>36.5</v>
      </c>
      <c r="O171" s="2">
        <v>31221</v>
      </c>
      <c r="P171" s="8">
        <f t="shared" si="164"/>
        <v>568.87159680000002</v>
      </c>
      <c r="Q171" s="8">
        <f t="shared" si="165"/>
        <v>8.3715968000000203</v>
      </c>
    </row>
    <row r="172" spans="1:17" x14ac:dyDescent="0.25">
      <c r="A172" s="3">
        <v>45067</v>
      </c>
      <c r="B172" s="2" t="s">
        <v>72</v>
      </c>
      <c r="C172" s="2">
        <v>96</v>
      </c>
      <c r="D172" s="2">
        <v>52</v>
      </c>
      <c r="E172" s="2">
        <v>105476</v>
      </c>
      <c r="F172" s="2">
        <v>1</v>
      </c>
      <c r="G172" s="8">
        <v>574</v>
      </c>
      <c r="H172" s="3">
        <v>45069</v>
      </c>
      <c r="I172" s="2" t="s">
        <v>27</v>
      </c>
      <c r="J172" s="2">
        <f t="shared" si="242"/>
        <v>105476</v>
      </c>
      <c r="K172" s="2">
        <f t="shared" si="242"/>
        <v>1</v>
      </c>
      <c r="L172" s="2">
        <f t="shared" si="242"/>
        <v>574</v>
      </c>
      <c r="M172" s="2" t="s">
        <v>30</v>
      </c>
      <c r="N172" s="2">
        <f t="shared" si="235"/>
        <v>36.5</v>
      </c>
      <c r="O172" s="2">
        <v>31350</v>
      </c>
      <c r="P172" s="8">
        <f t="shared" si="164"/>
        <v>571.22208000000001</v>
      </c>
      <c r="Q172" s="8">
        <f t="shared" si="165"/>
        <v>-2.7779199999999946</v>
      </c>
    </row>
    <row r="173" spans="1:17" s="35" customFormat="1" x14ac:dyDescent="0.25">
      <c r="A173" s="32">
        <v>45067</v>
      </c>
      <c r="B173" s="33" t="s">
        <v>72</v>
      </c>
      <c r="C173" s="33">
        <v>96</v>
      </c>
      <c r="D173" s="33">
        <v>52</v>
      </c>
      <c r="E173" s="33">
        <v>105477</v>
      </c>
      <c r="F173" s="33">
        <v>1</v>
      </c>
      <c r="G173" s="34">
        <v>568.70000000000005</v>
      </c>
      <c r="H173" s="32">
        <v>45072</v>
      </c>
      <c r="I173" s="33" t="s">
        <v>47</v>
      </c>
      <c r="J173" s="33">
        <f t="shared" si="242"/>
        <v>105477</v>
      </c>
      <c r="K173" s="33">
        <f t="shared" si="242"/>
        <v>1</v>
      </c>
      <c r="L173" s="33">
        <f t="shared" si="242"/>
        <v>568.70000000000005</v>
      </c>
      <c r="M173" s="33" t="s">
        <v>30</v>
      </c>
      <c r="N173" s="33">
        <f>73/2</f>
        <v>36.5</v>
      </c>
      <c r="O173" s="33">
        <v>32348</v>
      </c>
      <c r="P173" s="34">
        <f t="shared" ref="P173" si="243">(O173/20000/500)*C173*D173*N173</f>
        <v>589.40643839999996</v>
      </c>
      <c r="Q173" s="34">
        <f t="shared" si="165"/>
        <v>20.706438399999911</v>
      </c>
    </row>
    <row r="174" spans="1:17" x14ac:dyDescent="0.25">
      <c r="A174" s="3">
        <v>45067</v>
      </c>
      <c r="B174" s="2" t="s">
        <v>72</v>
      </c>
      <c r="C174" s="2">
        <v>96</v>
      </c>
      <c r="D174" s="2">
        <v>52</v>
      </c>
      <c r="E174" s="2">
        <v>105479</v>
      </c>
      <c r="F174" s="2">
        <v>1</v>
      </c>
      <c r="G174" s="8">
        <v>583.79999999999995</v>
      </c>
      <c r="H174" s="3">
        <v>45067</v>
      </c>
      <c r="I174" s="2" t="s">
        <v>27</v>
      </c>
      <c r="J174" s="2">
        <f>+E174</f>
        <v>105479</v>
      </c>
      <c r="K174" s="2">
        <f>+F174</f>
        <v>1</v>
      </c>
      <c r="L174" s="2">
        <f>+G174</f>
        <v>583.79999999999995</v>
      </c>
      <c r="M174" s="2" t="s">
        <v>30</v>
      </c>
      <c r="N174" s="2">
        <f>73/2</f>
        <v>36.5</v>
      </c>
      <c r="O174" s="2">
        <v>31913</v>
      </c>
      <c r="P174" s="8">
        <f t="shared" si="164"/>
        <v>581.48039039999992</v>
      </c>
      <c r="Q174" s="8">
        <f t="shared" si="165"/>
        <v>-2.3196096000000352</v>
      </c>
    </row>
    <row r="175" spans="1:17" x14ac:dyDescent="0.25">
      <c r="A175" s="3">
        <v>45067</v>
      </c>
      <c r="B175" s="2" t="s">
        <v>72</v>
      </c>
      <c r="C175" s="2">
        <v>96</v>
      </c>
      <c r="D175" s="2">
        <v>52</v>
      </c>
      <c r="E175" s="2">
        <v>105480</v>
      </c>
      <c r="F175" s="2">
        <v>1</v>
      </c>
      <c r="G175" s="8">
        <v>588.79999999999995</v>
      </c>
      <c r="H175" s="3">
        <v>45074</v>
      </c>
      <c r="I175" s="2" t="s">
        <v>28</v>
      </c>
      <c r="J175" s="2">
        <f t="shared" ref="J175" si="244">+E175</f>
        <v>105480</v>
      </c>
      <c r="K175" s="2">
        <f t="shared" ref="K175" si="245">+F175</f>
        <v>1</v>
      </c>
      <c r="L175" s="2">
        <f t="shared" ref="L175" si="246">+G175</f>
        <v>588.79999999999995</v>
      </c>
      <c r="M175" s="2" t="s">
        <v>30</v>
      </c>
      <c r="N175" s="2">
        <f>73/2</f>
        <v>36.5</v>
      </c>
      <c r="O175" s="2">
        <v>31993</v>
      </c>
      <c r="P175" s="8">
        <f t="shared" si="164"/>
        <v>582.93805439999994</v>
      </c>
      <c r="Q175" s="8">
        <f t="shared" si="165"/>
        <v>-5.8619456000000127</v>
      </c>
    </row>
    <row r="176" spans="1:17" x14ac:dyDescent="0.25">
      <c r="A176" s="3">
        <v>45067</v>
      </c>
      <c r="B176" s="2" t="s">
        <v>72</v>
      </c>
      <c r="C176" s="2">
        <v>96</v>
      </c>
      <c r="D176" s="2">
        <v>52</v>
      </c>
      <c r="E176" s="2">
        <v>105547</v>
      </c>
      <c r="F176" s="2">
        <v>1</v>
      </c>
      <c r="G176" s="8">
        <v>613.20000000000005</v>
      </c>
      <c r="H176" s="3"/>
      <c r="I176" s="2"/>
      <c r="J176" s="2"/>
      <c r="K176" s="2"/>
      <c r="L176" s="2"/>
      <c r="M176" s="2"/>
      <c r="N176" s="2"/>
      <c r="O176" s="2"/>
      <c r="P176" s="8">
        <f t="shared" si="164"/>
        <v>0</v>
      </c>
      <c r="Q176" s="8">
        <f t="shared" si="165"/>
        <v>-613.20000000000005</v>
      </c>
    </row>
    <row r="177" spans="1:17" x14ac:dyDescent="0.25">
      <c r="A177" s="3">
        <v>45067</v>
      </c>
      <c r="B177" s="2" t="s">
        <v>72</v>
      </c>
      <c r="C177" s="2">
        <v>96</v>
      </c>
      <c r="D177" s="2">
        <v>52</v>
      </c>
      <c r="E177" s="2">
        <v>105548</v>
      </c>
      <c r="F177" s="2">
        <v>1</v>
      </c>
      <c r="G177" s="8">
        <v>612</v>
      </c>
      <c r="H177" s="3">
        <v>45074</v>
      </c>
      <c r="I177" s="2" t="s">
        <v>79</v>
      </c>
      <c r="J177" s="2">
        <f t="shared" ref="J177" si="247">+E177</f>
        <v>105548</v>
      </c>
      <c r="K177" s="2">
        <f t="shared" ref="K177" si="248">+F177</f>
        <v>1</v>
      </c>
      <c r="L177" s="2">
        <f t="shared" ref="L177" si="249">+G177</f>
        <v>612</v>
      </c>
      <c r="M177" s="2" t="s">
        <v>30</v>
      </c>
      <c r="N177" s="2">
        <f>73/2</f>
        <v>36.5</v>
      </c>
      <c r="O177" s="2">
        <v>33796</v>
      </c>
      <c r="P177" s="8">
        <f t="shared" ref="P177:P191" si="250">(O177/20000/500)*C177*D177*N177</f>
        <v>615.79015679999998</v>
      </c>
      <c r="Q177" s="8">
        <f t="shared" ref="Q177:Q191" si="251">+P177-G177</f>
        <v>3.790156799999977</v>
      </c>
    </row>
    <row r="178" spans="1:17" x14ac:dyDescent="0.25">
      <c r="A178" s="3">
        <v>45067</v>
      </c>
      <c r="B178" s="2" t="s">
        <v>72</v>
      </c>
      <c r="C178" s="2">
        <v>96</v>
      </c>
      <c r="D178" s="2">
        <v>52</v>
      </c>
      <c r="E178" s="2">
        <v>105551</v>
      </c>
      <c r="F178" s="2">
        <v>1</v>
      </c>
      <c r="G178" s="8">
        <v>498.8</v>
      </c>
      <c r="H178" s="3">
        <v>45067</v>
      </c>
      <c r="I178" s="2" t="s">
        <v>27</v>
      </c>
      <c r="J178" s="2">
        <f t="shared" ref="J178:L179" si="252">+E178</f>
        <v>105551</v>
      </c>
      <c r="K178" s="2">
        <f t="shared" si="252"/>
        <v>1</v>
      </c>
      <c r="L178" s="2">
        <f t="shared" si="252"/>
        <v>498.8</v>
      </c>
      <c r="M178" s="2" t="s">
        <v>30</v>
      </c>
      <c r="N178" s="2">
        <f>73/2</f>
        <v>36.5</v>
      </c>
      <c r="O178" s="2">
        <v>27336</v>
      </c>
      <c r="P178" s="8">
        <f t="shared" si="250"/>
        <v>498.08378880000009</v>
      </c>
      <c r="Q178" s="8">
        <f t="shared" si="251"/>
        <v>-0.71621119999991834</v>
      </c>
    </row>
    <row r="179" spans="1:17" x14ac:dyDescent="0.25">
      <c r="A179" s="3">
        <v>45067</v>
      </c>
      <c r="B179" s="2" t="s">
        <v>72</v>
      </c>
      <c r="C179" s="2">
        <v>96</v>
      </c>
      <c r="D179" s="2">
        <v>52</v>
      </c>
      <c r="E179" s="2">
        <v>105571</v>
      </c>
      <c r="F179" s="2">
        <v>1</v>
      </c>
      <c r="G179" s="8">
        <v>570.5</v>
      </c>
      <c r="H179" s="3">
        <v>45072</v>
      </c>
      <c r="I179" s="2" t="s">
        <v>47</v>
      </c>
      <c r="J179" s="2">
        <f t="shared" si="252"/>
        <v>105571</v>
      </c>
      <c r="K179" s="2">
        <f t="shared" si="252"/>
        <v>1</v>
      </c>
      <c r="L179" s="2">
        <f t="shared" si="252"/>
        <v>570.5</v>
      </c>
      <c r="M179" s="2" t="s">
        <v>30</v>
      </c>
      <c r="N179" s="2">
        <f>73/2</f>
        <v>36.5</v>
      </c>
      <c r="O179" s="2">
        <v>30679</v>
      </c>
      <c r="P179" s="8">
        <f t="shared" si="250"/>
        <v>558.99592319999988</v>
      </c>
      <c r="Q179" s="8">
        <f t="shared" si="251"/>
        <v>-11.504076800000121</v>
      </c>
    </row>
    <row r="180" spans="1:17" x14ac:dyDescent="0.25">
      <c r="A180" s="3">
        <v>45067</v>
      </c>
      <c r="B180" s="2" t="s">
        <v>72</v>
      </c>
      <c r="C180" s="2">
        <v>96</v>
      </c>
      <c r="D180" s="2">
        <v>52</v>
      </c>
      <c r="E180" s="2">
        <v>105574</v>
      </c>
      <c r="F180" s="2">
        <v>1</v>
      </c>
      <c r="G180" s="8">
        <v>583.6</v>
      </c>
      <c r="H180" s="2"/>
      <c r="I180" s="2"/>
      <c r="J180" s="2"/>
      <c r="K180" s="2"/>
      <c r="L180" s="2"/>
      <c r="M180" s="2"/>
      <c r="N180" s="2"/>
      <c r="O180" s="2"/>
      <c r="P180" s="8">
        <f t="shared" si="250"/>
        <v>0</v>
      </c>
      <c r="Q180" s="8">
        <f t="shared" si="251"/>
        <v>-583.6</v>
      </c>
    </row>
    <row r="181" spans="1:17" x14ac:dyDescent="0.25">
      <c r="A181" s="3">
        <v>45067</v>
      </c>
      <c r="B181" s="2" t="s">
        <v>72</v>
      </c>
      <c r="C181" s="2">
        <v>96</v>
      </c>
      <c r="D181" s="2">
        <v>52</v>
      </c>
      <c r="E181" s="2">
        <v>105575</v>
      </c>
      <c r="F181" s="2">
        <v>1</v>
      </c>
      <c r="G181" s="8">
        <v>587.5</v>
      </c>
      <c r="H181" s="3">
        <v>45072</v>
      </c>
      <c r="I181" s="2" t="s">
        <v>47</v>
      </c>
      <c r="J181" s="2">
        <f t="shared" ref="J181:L182" si="253">+E181</f>
        <v>105575</v>
      </c>
      <c r="K181" s="2">
        <f t="shared" si="253"/>
        <v>1</v>
      </c>
      <c r="L181" s="2">
        <f t="shared" si="253"/>
        <v>587.5</v>
      </c>
      <c r="M181" s="2" t="s">
        <v>30</v>
      </c>
      <c r="N181" s="2">
        <f t="shared" ref="N181:N189" si="254">73/2</f>
        <v>36.5</v>
      </c>
      <c r="O181" s="2">
        <v>32340</v>
      </c>
      <c r="P181" s="8">
        <f t="shared" si="250"/>
        <v>589.260672</v>
      </c>
      <c r="Q181" s="8">
        <f t="shared" si="251"/>
        <v>1.7606719999999996</v>
      </c>
    </row>
    <row r="182" spans="1:17" x14ac:dyDescent="0.25">
      <c r="A182" s="3">
        <v>45067</v>
      </c>
      <c r="B182" s="2" t="s">
        <v>72</v>
      </c>
      <c r="C182" s="2">
        <v>96</v>
      </c>
      <c r="D182" s="2">
        <v>52</v>
      </c>
      <c r="E182" s="2">
        <v>105577</v>
      </c>
      <c r="F182" s="2">
        <v>1</v>
      </c>
      <c r="G182" s="8">
        <v>566.29999999999995</v>
      </c>
      <c r="H182" s="3">
        <v>45067</v>
      </c>
      <c r="I182" s="2" t="s">
        <v>27</v>
      </c>
      <c r="J182" s="2">
        <f t="shared" si="253"/>
        <v>105577</v>
      </c>
      <c r="K182" s="2">
        <f t="shared" si="253"/>
        <v>1</v>
      </c>
      <c r="L182" s="2">
        <f t="shared" si="253"/>
        <v>566.29999999999995</v>
      </c>
      <c r="M182" s="2" t="s">
        <v>30</v>
      </c>
      <c r="N182" s="2">
        <f t="shared" si="254"/>
        <v>36.5</v>
      </c>
      <c r="O182" s="2">
        <v>30856</v>
      </c>
      <c r="P182" s="8">
        <f t="shared" si="250"/>
        <v>562.22100479999995</v>
      </c>
      <c r="Q182" s="8">
        <f t="shared" si="251"/>
        <v>-4.0789952000000085</v>
      </c>
    </row>
    <row r="183" spans="1:17" x14ac:dyDescent="0.25">
      <c r="A183" s="3">
        <v>45067</v>
      </c>
      <c r="B183" s="2" t="s">
        <v>72</v>
      </c>
      <c r="C183" s="2">
        <v>96</v>
      </c>
      <c r="D183" s="2">
        <v>52</v>
      </c>
      <c r="E183" s="2">
        <v>105578</v>
      </c>
      <c r="F183" s="2">
        <v>1</v>
      </c>
      <c r="G183" s="8">
        <v>560.79999999999995</v>
      </c>
      <c r="H183" s="3">
        <v>45074</v>
      </c>
      <c r="I183" s="2" t="s">
        <v>28</v>
      </c>
      <c r="J183" s="2">
        <f t="shared" ref="J183" si="255">+E183</f>
        <v>105578</v>
      </c>
      <c r="K183" s="2">
        <f t="shared" ref="K183" si="256">+F183</f>
        <v>1</v>
      </c>
      <c r="L183" s="2">
        <f t="shared" ref="L183" si="257">+G183</f>
        <v>560.79999999999995</v>
      </c>
      <c r="M183" s="2" t="s">
        <v>30</v>
      </c>
      <c r="N183" s="2">
        <f t="shared" si="254"/>
        <v>36.5</v>
      </c>
      <c r="O183" s="2">
        <v>30724</v>
      </c>
      <c r="P183" s="8">
        <f t="shared" si="250"/>
        <v>559.81585919999998</v>
      </c>
      <c r="Q183" s="8">
        <f t="shared" si="251"/>
        <v>-0.98414079999997739</v>
      </c>
    </row>
    <row r="184" spans="1:17" x14ac:dyDescent="0.25">
      <c r="A184" s="3">
        <v>45067</v>
      </c>
      <c r="B184" s="2" t="s">
        <v>72</v>
      </c>
      <c r="C184" s="2">
        <v>96</v>
      </c>
      <c r="D184" s="2">
        <v>52</v>
      </c>
      <c r="E184" s="2">
        <v>105789</v>
      </c>
      <c r="F184" s="2">
        <v>1</v>
      </c>
      <c r="G184" s="8">
        <v>586.79999999999995</v>
      </c>
      <c r="H184" s="3">
        <v>45067</v>
      </c>
      <c r="I184" s="2" t="s">
        <v>27</v>
      </c>
      <c r="J184" s="2">
        <f t="shared" ref="J184:L185" si="258">+E184</f>
        <v>105789</v>
      </c>
      <c r="K184" s="2">
        <f t="shared" si="258"/>
        <v>1</v>
      </c>
      <c r="L184" s="2">
        <f t="shared" si="258"/>
        <v>586.79999999999995</v>
      </c>
      <c r="M184" s="2" t="s">
        <v>30</v>
      </c>
      <c r="N184" s="2">
        <f t="shared" si="254"/>
        <v>36.5</v>
      </c>
      <c r="O184" s="2">
        <v>32166</v>
      </c>
      <c r="P184" s="8">
        <f t="shared" si="250"/>
        <v>586.09025279999992</v>
      </c>
      <c r="Q184" s="8">
        <f t="shared" si="251"/>
        <v>-0.70974720000003799</v>
      </c>
    </row>
    <row r="185" spans="1:17" x14ac:dyDescent="0.25">
      <c r="A185" s="3">
        <v>45067</v>
      </c>
      <c r="B185" s="2" t="s">
        <v>72</v>
      </c>
      <c r="C185" s="2">
        <v>96</v>
      </c>
      <c r="D185" s="2">
        <v>52</v>
      </c>
      <c r="E185" s="2">
        <v>105793</v>
      </c>
      <c r="F185" s="2">
        <v>1</v>
      </c>
      <c r="G185" s="8">
        <v>584.29999999999995</v>
      </c>
      <c r="H185" s="3">
        <v>45072</v>
      </c>
      <c r="I185" s="2" t="s">
        <v>78</v>
      </c>
      <c r="J185" s="2">
        <f t="shared" si="258"/>
        <v>105793</v>
      </c>
      <c r="K185" s="2">
        <f t="shared" si="258"/>
        <v>1</v>
      </c>
      <c r="L185" s="2">
        <f t="shared" si="258"/>
        <v>584.29999999999995</v>
      </c>
      <c r="M185" s="2" t="s">
        <v>30</v>
      </c>
      <c r="N185" s="2">
        <f t="shared" si="254"/>
        <v>36.5</v>
      </c>
      <c r="O185" s="2">
        <v>31740</v>
      </c>
      <c r="P185" s="8">
        <f t="shared" si="250"/>
        <v>578.32819199999994</v>
      </c>
      <c r="Q185" s="8">
        <f t="shared" si="251"/>
        <v>-5.97180800000001</v>
      </c>
    </row>
    <row r="186" spans="1:17" x14ac:dyDescent="0.25">
      <c r="A186" s="3">
        <v>45067</v>
      </c>
      <c r="B186" s="2" t="s">
        <v>72</v>
      </c>
      <c r="C186" s="2">
        <v>96</v>
      </c>
      <c r="D186" s="2">
        <v>52</v>
      </c>
      <c r="E186" s="2">
        <v>105795</v>
      </c>
      <c r="F186" s="2">
        <v>1</v>
      </c>
      <c r="G186" s="8">
        <v>603.4</v>
      </c>
      <c r="H186" s="3">
        <v>45072</v>
      </c>
      <c r="I186" s="2" t="s">
        <v>40</v>
      </c>
      <c r="J186" s="2">
        <f>+E186</f>
        <v>105795</v>
      </c>
      <c r="K186" s="2">
        <f>+F186</f>
        <v>1</v>
      </c>
      <c r="L186" s="2">
        <v>139</v>
      </c>
      <c r="M186" s="2" t="s">
        <v>30</v>
      </c>
      <c r="N186" s="2">
        <f t="shared" si="254"/>
        <v>36.5</v>
      </c>
      <c r="O186" s="2">
        <v>7589</v>
      </c>
      <c r="P186" s="8">
        <f t="shared" si="250"/>
        <v>138.27765120000001</v>
      </c>
      <c r="Q186" s="8">
        <f t="shared" si="251"/>
        <v>-465.12234879999994</v>
      </c>
    </row>
    <row r="187" spans="1:17" x14ac:dyDescent="0.25">
      <c r="A187" s="3"/>
      <c r="B187" s="2" t="s">
        <v>72</v>
      </c>
      <c r="C187" s="2">
        <v>96</v>
      </c>
      <c r="D187" s="2">
        <v>52</v>
      </c>
      <c r="E187" s="2">
        <v>105795</v>
      </c>
      <c r="F187" s="2"/>
      <c r="G187" s="8"/>
      <c r="H187" s="3">
        <v>45072</v>
      </c>
      <c r="I187" s="2" t="s">
        <v>47</v>
      </c>
      <c r="J187" s="2">
        <f>+E187</f>
        <v>105795</v>
      </c>
      <c r="K187" s="2"/>
      <c r="L187" s="2">
        <f>+G186-L186</f>
        <v>464.4</v>
      </c>
      <c r="M187" s="2" t="s">
        <v>30</v>
      </c>
      <c r="N187" s="2">
        <f t="shared" si="254"/>
        <v>36.5</v>
      </c>
      <c r="O187" s="2">
        <v>25178</v>
      </c>
      <c r="P187" s="8">
        <f t="shared" si="250"/>
        <v>458.76330239999999</v>
      </c>
      <c r="Q187" s="8">
        <f t="shared" si="251"/>
        <v>458.76330239999999</v>
      </c>
    </row>
    <row r="188" spans="1:17" x14ac:dyDescent="0.25">
      <c r="A188" s="3">
        <v>45067</v>
      </c>
      <c r="B188" s="2" t="s">
        <v>72</v>
      </c>
      <c r="C188" s="2">
        <v>96</v>
      </c>
      <c r="D188" s="2">
        <v>52</v>
      </c>
      <c r="E188" s="2">
        <v>105796</v>
      </c>
      <c r="F188" s="2">
        <v>1</v>
      </c>
      <c r="G188" s="8">
        <v>599.4</v>
      </c>
      <c r="H188" s="3">
        <v>45069</v>
      </c>
      <c r="I188" s="2" t="s">
        <v>27</v>
      </c>
      <c r="J188" s="2">
        <f>+E188</f>
        <v>105796</v>
      </c>
      <c r="K188" s="2">
        <f>+F188</f>
        <v>1</v>
      </c>
      <c r="L188" s="2">
        <f>+G188</f>
        <v>599.4</v>
      </c>
      <c r="M188" s="2" t="s">
        <v>30</v>
      </c>
      <c r="N188" s="2">
        <f t="shared" si="254"/>
        <v>36.5</v>
      </c>
      <c r="O188" s="2">
        <v>32725</v>
      </c>
      <c r="P188" s="8">
        <f t="shared" si="250"/>
        <v>596.27567999999997</v>
      </c>
      <c r="Q188" s="8">
        <f t="shared" si="251"/>
        <v>-3.1243200000000115</v>
      </c>
    </row>
    <row r="189" spans="1:17" x14ac:dyDescent="0.25">
      <c r="A189" s="3">
        <v>45067</v>
      </c>
      <c r="B189" s="2" t="s">
        <v>72</v>
      </c>
      <c r="C189" s="2">
        <v>96</v>
      </c>
      <c r="D189" s="2">
        <v>52</v>
      </c>
      <c r="E189" s="2">
        <v>105801</v>
      </c>
      <c r="F189" s="2">
        <v>1</v>
      </c>
      <c r="G189" s="8">
        <v>501.1</v>
      </c>
      <c r="H189" s="3">
        <v>45074</v>
      </c>
      <c r="I189" s="2" t="s">
        <v>28</v>
      </c>
      <c r="J189" s="2">
        <f t="shared" ref="J189" si="259">+E189</f>
        <v>105801</v>
      </c>
      <c r="K189" s="2">
        <f t="shared" ref="K189" si="260">+F189</f>
        <v>1</v>
      </c>
      <c r="L189" s="2">
        <f t="shared" ref="L189" si="261">+G189</f>
        <v>501.1</v>
      </c>
      <c r="M189" s="2" t="s">
        <v>30</v>
      </c>
      <c r="N189" s="2">
        <f t="shared" si="254"/>
        <v>36.5</v>
      </c>
      <c r="O189" s="2">
        <v>27330</v>
      </c>
      <c r="P189" s="8">
        <f t="shared" si="250"/>
        <v>497.97446400000007</v>
      </c>
      <c r="Q189" s="8">
        <f t="shared" si="251"/>
        <v>-3.1255359999999541</v>
      </c>
    </row>
    <row r="190" spans="1:17" x14ac:dyDescent="0.25">
      <c r="A190" s="3">
        <v>45067</v>
      </c>
      <c r="B190" s="2" t="s">
        <v>72</v>
      </c>
      <c r="C190" s="2">
        <v>96</v>
      </c>
      <c r="D190" s="2">
        <v>52</v>
      </c>
      <c r="E190" s="2">
        <v>105830</v>
      </c>
      <c r="F190" s="2">
        <v>1</v>
      </c>
      <c r="G190" s="8">
        <v>500</v>
      </c>
      <c r="H190" s="3">
        <v>45067</v>
      </c>
      <c r="I190" s="2" t="s">
        <v>27</v>
      </c>
      <c r="J190" s="2">
        <f t="shared" ref="J190:L194" si="262">+E190</f>
        <v>105830</v>
      </c>
      <c r="K190" s="2">
        <f t="shared" si="262"/>
        <v>1</v>
      </c>
      <c r="L190" s="2">
        <f t="shared" si="262"/>
        <v>500</v>
      </c>
      <c r="M190" s="2" t="s">
        <v>30</v>
      </c>
      <c r="N190" s="2">
        <f t="shared" ref="N190:N199" si="263">73/2</f>
        <v>36.5</v>
      </c>
      <c r="O190" s="2">
        <v>27179</v>
      </c>
      <c r="P190" s="8">
        <f t="shared" si="250"/>
        <v>495.22312319999997</v>
      </c>
      <c r="Q190" s="8">
        <f t="shared" si="251"/>
        <v>-4.776876800000025</v>
      </c>
    </row>
    <row r="191" spans="1:17" x14ac:dyDescent="0.25">
      <c r="A191" s="3">
        <v>45069</v>
      </c>
      <c r="B191" s="2" t="s">
        <v>57</v>
      </c>
      <c r="C191" s="2">
        <v>96</v>
      </c>
      <c r="D191" s="2">
        <v>54</v>
      </c>
      <c r="E191" s="2">
        <v>10514</v>
      </c>
      <c r="F191" s="2">
        <v>1</v>
      </c>
      <c r="G191" s="8">
        <v>488</v>
      </c>
      <c r="H191" s="3">
        <v>45071</v>
      </c>
      <c r="I191" s="2" t="s">
        <v>27</v>
      </c>
      <c r="J191" s="2">
        <f t="shared" si="262"/>
        <v>10514</v>
      </c>
      <c r="K191" s="2">
        <f t="shared" si="262"/>
        <v>1</v>
      </c>
      <c r="L191" s="2">
        <f t="shared" si="262"/>
        <v>488</v>
      </c>
      <c r="M191" s="2" t="s">
        <v>30</v>
      </c>
      <c r="N191" s="2">
        <f t="shared" si="263"/>
        <v>36.5</v>
      </c>
      <c r="O191" s="2">
        <v>25412</v>
      </c>
      <c r="P191" s="8">
        <f t="shared" si="250"/>
        <v>480.83569920000002</v>
      </c>
      <c r="Q191" s="8">
        <f t="shared" si="251"/>
        <v>-7.1643007999999782</v>
      </c>
    </row>
    <row r="192" spans="1:17" x14ac:dyDescent="0.25">
      <c r="A192" s="3">
        <v>45069</v>
      </c>
      <c r="B192" s="2" t="s">
        <v>57</v>
      </c>
      <c r="C192" s="2">
        <v>96</v>
      </c>
      <c r="D192" s="2">
        <v>54</v>
      </c>
      <c r="E192" s="2">
        <v>10515</v>
      </c>
      <c r="F192" s="2">
        <v>1</v>
      </c>
      <c r="G192" s="8">
        <v>470</v>
      </c>
      <c r="H192" s="3">
        <v>45071</v>
      </c>
      <c r="I192" s="2" t="s">
        <v>27</v>
      </c>
      <c r="J192" s="2">
        <f t="shared" si="262"/>
        <v>10515</v>
      </c>
      <c r="K192" s="2">
        <f t="shared" si="262"/>
        <v>1</v>
      </c>
      <c r="L192" s="2">
        <f t="shared" si="262"/>
        <v>470</v>
      </c>
      <c r="M192" s="2" t="s">
        <v>30</v>
      </c>
      <c r="N192" s="2">
        <f t="shared" si="263"/>
        <v>36.5</v>
      </c>
      <c r="O192" s="2">
        <v>24626</v>
      </c>
      <c r="P192" s="8">
        <f t="shared" ref="P192:P256" si="264">(O192/20000/500)*C192*D192*N192</f>
        <v>465.96332159999997</v>
      </c>
      <c r="Q192" s="8">
        <f t="shared" ref="Q192:Q256" si="265">+P192-G192</f>
        <v>-4.036678400000028</v>
      </c>
    </row>
    <row r="193" spans="1:17" x14ac:dyDescent="0.25">
      <c r="A193" s="3">
        <v>45069</v>
      </c>
      <c r="B193" s="2" t="s">
        <v>57</v>
      </c>
      <c r="C193" s="2">
        <v>96</v>
      </c>
      <c r="D193" s="2">
        <v>54</v>
      </c>
      <c r="E193" s="2">
        <v>10516</v>
      </c>
      <c r="F193" s="2">
        <v>1</v>
      </c>
      <c r="G193" s="8">
        <v>475</v>
      </c>
      <c r="H193" s="3">
        <v>45070</v>
      </c>
      <c r="I193" s="2" t="s">
        <v>27</v>
      </c>
      <c r="J193" s="2">
        <f t="shared" si="262"/>
        <v>10516</v>
      </c>
      <c r="K193" s="2">
        <f t="shared" si="262"/>
        <v>1</v>
      </c>
      <c r="L193" s="2">
        <f t="shared" si="262"/>
        <v>475</v>
      </c>
      <c r="M193" s="2" t="s">
        <v>30</v>
      </c>
      <c r="N193" s="2">
        <f t="shared" si="263"/>
        <v>36.5</v>
      </c>
      <c r="O193" s="2">
        <v>25050</v>
      </c>
      <c r="P193" s="8">
        <f t="shared" si="264"/>
        <v>473.98607999999996</v>
      </c>
      <c r="Q193" s="8">
        <f t="shared" si="265"/>
        <v>-1.0139200000000415</v>
      </c>
    </row>
    <row r="194" spans="1:17" x14ac:dyDescent="0.25">
      <c r="A194" s="3">
        <v>45069</v>
      </c>
      <c r="B194" s="2" t="s">
        <v>57</v>
      </c>
      <c r="C194" s="2">
        <v>96</v>
      </c>
      <c r="D194" s="2">
        <v>54</v>
      </c>
      <c r="E194" s="2">
        <v>10517</v>
      </c>
      <c r="F194" s="2">
        <v>1</v>
      </c>
      <c r="G194" s="8">
        <v>463</v>
      </c>
      <c r="H194" s="3">
        <v>45071</v>
      </c>
      <c r="I194" s="2" t="s">
        <v>27</v>
      </c>
      <c r="J194" s="2">
        <f t="shared" si="262"/>
        <v>10517</v>
      </c>
      <c r="K194" s="2">
        <f t="shared" si="262"/>
        <v>1</v>
      </c>
      <c r="L194" s="2">
        <f t="shared" si="262"/>
        <v>463</v>
      </c>
      <c r="M194" s="2" t="s">
        <v>30</v>
      </c>
      <c r="N194" s="2">
        <f t="shared" si="263"/>
        <v>36.5</v>
      </c>
      <c r="O194" s="2">
        <v>23907</v>
      </c>
      <c r="P194" s="8">
        <f t="shared" si="264"/>
        <v>452.35869120000001</v>
      </c>
      <c r="Q194" s="8">
        <f t="shared" si="265"/>
        <v>-10.64130879999999</v>
      </c>
    </row>
    <row r="195" spans="1:17" x14ac:dyDescent="0.25">
      <c r="A195" s="3">
        <v>45069</v>
      </c>
      <c r="B195" s="2" t="s">
        <v>57</v>
      </c>
      <c r="C195" s="2">
        <v>96</v>
      </c>
      <c r="D195" s="2">
        <v>54</v>
      </c>
      <c r="E195" s="2">
        <v>10518</v>
      </c>
      <c r="F195" s="2">
        <v>1</v>
      </c>
      <c r="G195" s="8">
        <v>440</v>
      </c>
      <c r="H195" s="3">
        <v>45070</v>
      </c>
      <c r="I195" s="2" t="s">
        <v>27</v>
      </c>
      <c r="J195" s="2">
        <f t="shared" ref="J195:L196" si="266">+E195</f>
        <v>10518</v>
      </c>
      <c r="K195" s="2">
        <f t="shared" si="266"/>
        <v>1</v>
      </c>
      <c r="L195" s="2">
        <f t="shared" si="266"/>
        <v>440</v>
      </c>
      <c r="M195" s="2" t="s">
        <v>30</v>
      </c>
      <c r="N195" s="2">
        <f t="shared" si="263"/>
        <v>36.5</v>
      </c>
      <c r="O195" s="2">
        <v>22914</v>
      </c>
      <c r="P195" s="8">
        <f t="shared" si="264"/>
        <v>433.56954239999999</v>
      </c>
      <c r="Q195" s="8">
        <f t="shared" si="265"/>
        <v>-6.4304576000000111</v>
      </c>
    </row>
    <row r="196" spans="1:17" x14ac:dyDescent="0.25">
      <c r="A196" s="3">
        <v>45069</v>
      </c>
      <c r="B196" s="2" t="s">
        <v>57</v>
      </c>
      <c r="C196" s="2">
        <v>96</v>
      </c>
      <c r="D196" s="2">
        <v>54</v>
      </c>
      <c r="E196" s="2">
        <v>10575</v>
      </c>
      <c r="F196" s="2">
        <v>1</v>
      </c>
      <c r="G196" s="8">
        <v>469</v>
      </c>
      <c r="H196" s="3">
        <v>45070</v>
      </c>
      <c r="I196" s="2" t="s">
        <v>27</v>
      </c>
      <c r="J196" s="2">
        <f t="shared" si="266"/>
        <v>10575</v>
      </c>
      <c r="K196" s="2">
        <f t="shared" si="266"/>
        <v>1</v>
      </c>
      <c r="L196" s="2">
        <f t="shared" si="266"/>
        <v>469</v>
      </c>
      <c r="M196" s="2" t="s">
        <v>30</v>
      </c>
      <c r="N196" s="2">
        <f t="shared" si="263"/>
        <v>36.5</v>
      </c>
      <c r="O196" s="2">
        <v>24641</v>
      </c>
      <c r="P196" s="8">
        <f t="shared" si="264"/>
        <v>466.24714560000007</v>
      </c>
      <c r="Q196" s="8">
        <f t="shared" si="265"/>
        <v>-2.7528543999999329</v>
      </c>
    </row>
    <row r="197" spans="1:17" x14ac:dyDescent="0.25">
      <c r="A197" s="3">
        <v>45069</v>
      </c>
      <c r="B197" s="2" t="s">
        <v>57</v>
      </c>
      <c r="C197" s="2">
        <v>96</v>
      </c>
      <c r="D197" s="2">
        <v>54</v>
      </c>
      <c r="E197" s="2">
        <v>10576</v>
      </c>
      <c r="F197" s="2">
        <v>1</v>
      </c>
      <c r="G197" s="8">
        <v>465</v>
      </c>
      <c r="H197" s="3">
        <v>45071</v>
      </c>
      <c r="I197" s="2" t="s">
        <v>27</v>
      </c>
      <c r="J197" s="2">
        <f t="shared" ref="J197:L199" si="267">+E197</f>
        <v>10576</v>
      </c>
      <c r="K197" s="2">
        <f t="shared" si="267"/>
        <v>1</v>
      </c>
      <c r="L197" s="2">
        <f t="shared" si="267"/>
        <v>465</v>
      </c>
      <c r="M197" s="2" t="s">
        <v>30</v>
      </c>
      <c r="N197" s="2">
        <f t="shared" si="263"/>
        <v>36.5</v>
      </c>
      <c r="O197" s="2">
        <v>24271</v>
      </c>
      <c r="P197" s="8">
        <f t="shared" si="264"/>
        <v>459.2461535999999</v>
      </c>
      <c r="Q197" s="8">
        <f t="shared" si="265"/>
        <v>-5.7538464000000999</v>
      </c>
    </row>
    <row r="198" spans="1:17" x14ac:dyDescent="0.25">
      <c r="A198" s="3">
        <v>45069</v>
      </c>
      <c r="B198" s="2" t="s">
        <v>57</v>
      </c>
      <c r="C198" s="2">
        <v>96</v>
      </c>
      <c r="D198" s="2">
        <v>54</v>
      </c>
      <c r="E198" s="2">
        <v>10577</v>
      </c>
      <c r="F198" s="2">
        <v>1</v>
      </c>
      <c r="G198" s="8">
        <v>496</v>
      </c>
      <c r="H198" s="3">
        <v>45070</v>
      </c>
      <c r="I198" s="2" t="s">
        <v>27</v>
      </c>
      <c r="J198" s="2">
        <f t="shared" si="267"/>
        <v>10577</v>
      </c>
      <c r="K198" s="2">
        <f t="shared" si="267"/>
        <v>1</v>
      </c>
      <c r="L198" s="2">
        <f t="shared" si="267"/>
        <v>496</v>
      </c>
      <c r="M198" s="2" t="s">
        <v>30</v>
      </c>
      <c r="N198" s="2">
        <f t="shared" si="263"/>
        <v>36.5</v>
      </c>
      <c r="O198" s="2">
        <v>25948</v>
      </c>
      <c r="P198" s="8">
        <f t="shared" si="264"/>
        <v>490.97767680000004</v>
      </c>
      <c r="Q198" s="8">
        <f t="shared" si="265"/>
        <v>-5.0223231999999598</v>
      </c>
    </row>
    <row r="199" spans="1:17" x14ac:dyDescent="0.25">
      <c r="A199" s="3">
        <v>45069</v>
      </c>
      <c r="B199" s="2" t="s">
        <v>57</v>
      </c>
      <c r="C199" s="2">
        <v>96</v>
      </c>
      <c r="D199" s="2">
        <v>54</v>
      </c>
      <c r="E199" s="2">
        <v>10578</v>
      </c>
      <c r="F199" s="2">
        <v>1</v>
      </c>
      <c r="G199" s="8">
        <v>485</v>
      </c>
      <c r="H199" s="3">
        <v>45073</v>
      </c>
      <c r="I199" s="2" t="s">
        <v>79</v>
      </c>
      <c r="J199" s="2">
        <f t="shared" si="267"/>
        <v>10578</v>
      </c>
      <c r="K199" s="2">
        <f t="shared" ref="K199" si="268">+F199</f>
        <v>1</v>
      </c>
      <c r="L199" s="2">
        <f t="shared" ref="L199" si="269">+G199</f>
        <v>485</v>
      </c>
      <c r="M199" s="2" t="s">
        <v>30</v>
      </c>
      <c r="N199" s="2">
        <f t="shared" si="263"/>
        <v>36.5</v>
      </c>
      <c r="O199" s="2">
        <v>25585</v>
      </c>
      <c r="P199" s="8">
        <f t="shared" si="264"/>
        <v>484.10913599999998</v>
      </c>
      <c r="Q199" s="8">
        <f t="shared" si="265"/>
        <v>-0.89086400000002186</v>
      </c>
    </row>
    <row r="200" spans="1:17" x14ac:dyDescent="0.25">
      <c r="A200" s="3">
        <v>45069</v>
      </c>
      <c r="B200" s="2" t="s">
        <v>57</v>
      </c>
      <c r="C200" s="2">
        <v>96</v>
      </c>
      <c r="D200" s="2">
        <v>54</v>
      </c>
      <c r="E200" s="2">
        <v>10579</v>
      </c>
      <c r="F200" s="2">
        <v>1</v>
      </c>
      <c r="G200" s="8">
        <v>486</v>
      </c>
      <c r="H200" s="3">
        <v>45073</v>
      </c>
      <c r="I200" s="2" t="s">
        <v>47</v>
      </c>
      <c r="J200" s="2">
        <f t="shared" ref="J200:J201" si="270">+E200</f>
        <v>10579</v>
      </c>
      <c r="K200" s="2">
        <f t="shared" ref="K200" si="271">+F200</f>
        <v>1</v>
      </c>
      <c r="L200" s="2">
        <v>155</v>
      </c>
      <c r="M200" s="2" t="s">
        <v>30</v>
      </c>
      <c r="N200" s="2">
        <f t="shared" ref="N200:N212" si="272">73/2</f>
        <v>36.5</v>
      </c>
      <c r="O200" s="2">
        <v>8153</v>
      </c>
      <c r="P200" s="8">
        <f t="shared" si="264"/>
        <v>154.26780479999999</v>
      </c>
      <c r="Q200" s="8">
        <f t="shared" si="265"/>
        <v>-331.73219519999998</v>
      </c>
    </row>
    <row r="201" spans="1:17" x14ac:dyDescent="0.25">
      <c r="A201" s="3"/>
      <c r="B201" s="2" t="s">
        <v>57</v>
      </c>
      <c r="C201" s="2">
        <v>96</v>
      </c>
      <c r="D201" s="2">
        <v>54</v>
      </c>
      <c r="E201" s="2">
        <v>10579</v>
      </c>
      <c r="F201" s="2"/>
      <c r="G201" s="8"/>
      <c r="H201" s="3">
        <v>45073</v>
      </c>
      <c r="I201" s="2" t="s">
        <v>79</v>
      </c>
      <c r="J201" s="2">
        <f t="shared" si="270"/>
        <v>10579</v>
      </c>
      <c r="K201" s="2"/>
      <c r="L201" s="2">
        <f>+G200-L200</f>
        <v>331</v>
      </c>
      <c r="M201" s="2" t="s">
        <v>30</v>
      </c>
      <c r="N201" s="2">
        <f t="shared" si="272"/>
        <v>36.5</v>
      </c>
      <c r="O201" s="2">
        <v>17314</v>
      </c>
      <c r="P201" s="8">
        <f t="shared" si="264"/>
        <v>327.60858240000005</v>
      </c>
      <c r="Q201" s="8">
        <f t="shared" si="265"/>
        <v>327.60858240000005</v>
      </c>
    </row>
    <row r="202" spans="1:17" x14ac:dyDescent="0.25">
      <c r="A202" s="3">
        <v>45069</v>
      </c>
      <c r="B202" s="2" t="s">
        <v>57</v>
      </c>
      <c r="C202" s="2">
        <v>96</v>
      </c>
      <c r="D202" s="2">
        <v>54</v>
      </c>
      <c r="E202" s="2">
        <v>10580</v>
      </c>
      <c r="F202" s="2">
        <v>1</v>
      </c>
      <c r="G202" s="8">
        <v>428</v>
      </c>
      <c r="H202" s="3">
        <v>45071</v>
      </c>
      <c r="I202" s="2" t="s">
        <v>27</v>
      </c>
      <c r="J202" s="2">
        <f t="shared" ref="J202:L204" si="273">+E202</f>
        <v>10580</v>
      </c>
      <c r="K202" s="2">
        <f t="shared" si="273"/>
        <v>1</v>
      </c>
      <c r="L202" s="2">
        <f t="shared" si="273"/>
        <v>428</v>
      </c>
      <c r="M202" s="2" t="s">
        <v>30</v>
      </c>
      <c r="N202" s="2">
        <f t="shared" si="272"/>
        <v>36.5</v>
      </c>
      <c r="O202" s="2">
        <v>22186</v>
      </c>
      <c r="P202" s="8">
        <f t="shared" si="264"/>
        <v>419.79461759999998</v>
      </c>
      <c r="Q202" s="8">
        <f t="shared" si="265"/>
        <v>-8.2053824000000191</v>
      </c>
    </row>
    <row r="203" spans="1:17" x14ac:dyDescent="0.25">
      <c r="A203" s="3">
        <v>45069</v>
      </c>
      <c r="B203" s="2" t="s">
        <v>57</v>
      </c>
      <c r="C203" s="2">
        <v>96</v>
      </c>
      <c r="D203" s="2">
        <v>54</v>
      </c>
      <c r="E203" s="2">
        <v>10581</v>
      </c>
      <c r="F203" s="2">
        <v>1</v>
      </c>
      <c r="G203" s="8">
        <v>453</v>
      </c>
      <c r="H203" s="3">
        <v>45070</v>
      </c>
      <c r="I203" s="2" t="s">
        <v>27</v>
      </c>
      <c r="J203" s="2">
        <f t="shared" si="273"/>
        <v>10581</v>
      </c>
      <c r="K203" s="2">
        <f t="shared" si="273"/>
        <v>1</v>
      </c>
      <c r="L203" s="2">
        <f t="shared" si="273"/>
        <v>453</v>
      </c>
      <c r="M203" s="2" t="s">
        <v>30</v>
      </c>
      <c r="N203" s="2">
        <f t="shared" si="272"/>
        <v>36.5</v>
      </c>
      <c r="O203" s="2">
        <v>23420</v>
      </c>
      <c r="P203" s="8">
        <f t="shared" si="264"/>
        <v>443.14387199999993</v>
      </c>
      <c r="Q203" s="8">
        <f t="shared" si="265"/>
        <v>-9.8561280000000693</v>
      </c>
    </row>
    <row r="204" spans="1:17" x14ac:dyDescent="0.25">
      <c r="A204" s="3">
        <v>45069</v>
      </c>
      <c r="B204" s="2" t="s">
        <v>57</v>
      </c>
      <c r="C204" s="2">
        <v>96</v>
      </c>
      <c r="D204" s="2">
        <v>54</v>
      </c>
      <c r="E204" s="2">
        <v>10582</v>
      </c>
      <c r="F204" s="2">
        <v>1</v>
      </c>
      <c r="G204" s="8">
        <v>480</v>
      </c>
      <c r="H204" s="3">
        <v>45073</v>
      </c>
      <c r="I204" s="2" t="s">
        <v>47</v>
      </c>
      <c r="J204" s="2">
        <f t="shared" si="273"/>
        <v>10582</v>
      </c>
      <c r="K204" s="2">
        <f t="shared" si="273"/>
        <v>1</v>
      </c>
      <c r="L204" s="2">
        <f t="shared" si="273"/>
        <v>480</v>
      </c>
      <c r="M204" s="2" t="s">
        <v>30</v>
      </c>
      <c r="N204" s="2">
        <f t="shared" si="272"/>
        <v>36.5</v>
      </c>
      <c r="O204" s="2">
        <v>24914</v>
      </c>
      <c r="P204" s="8">
        <f t="shared" si="264"/>
        <v>471.41274240000007</v>
      </c>
      <c r="Q204" s="8">
        <f t="shared" si="265"/>
        <v>-8.5872575999999299</v>
      </c>
    </row>
    <row r="205" spans="1:17" x14ac:dyDescent="0.25">
      <c r="A205" s="3">
        <v>45069</v>
      </c>
      <c r="B205" s="2" t="s">
        <v>57</v>
      </c>
      <c r="C205" s="2">
        <v>96</v>
      </c>
      <c r="D205" s="2">
        <v>54</v>
      </c>
      <c r="E205" s="2">
        <v>10604</v>
      </c>
      <c r="F205" s="2">
        <v>1</v>
      </c>
      <c r="G205" s="8">
        <v>442</v>
      </c>
      <c r="H205" s="3">
        <v>45071</v>
      </c>
      <c r="I205" s="2" t="s">
        <v>27</v>
      </c>
      <c r="J205" s="2">
        <f t="shared" ref="J205:L206" si="274">+E205</f>
        <v>10604</v>
      </c>
      <c r="K205" s="2">
        <f t="shared" si="274"/>
        <v>1</v>
      </c>
      <c r="L205" s="2">
        <f t="shared" si="274"/>
        <v>442</v>
      </c>
      <c r="M205" s="2" t="s">
        <v>30</v>
      </c>
      <c r="N205" s="2">
        <f t="shared" si="272"/>
        <v>36.5</v>
      </c>
      <c r="O205" s="2">
        <v>22552</v>
      </c>
      <c r="P205" s="8">
        <f t="shared" si="264"/>
        <v>426.71992319999993</v>
      </c>
      <c r="Q205" s="8">
        <f t="shared" si="265"/>
        <v>-15.280076800000074</v>
      </c>
    </row>
    <row r="206" spans="1:17" x14ac:dyDescent="0.25">
      <c r="A206" s="3">
        <v>45069</v>
      </c>
      <c r="B206" s="2" t="s">
        <v>57</v>
      </c>
      <c r="C206" s="2">
        <v>96</v>
      </c>
      <c r="D206" s="2">
        <v>54</v>
      </c>
      <c r="E206" s="2">
        <v>11224</v>
      </c>
      <c r="F206" s="2">
        <v>1</v>
      </c>
      <c r="G206" s="8">
        <v>472</v>
      </c>
      <c r="H206" s="3">
        <v>45071</v>
      </c>
      <c r="I206" s="2" t="s">
        <v>27</v>
      </c>
      <c r="J206" s="2">
        <f t="shared" si="274"/>
        <v>11224</v>
      </c>
      <c r="K206" s="2">
        <f t="shared" si="274"/>
        <v>1</v>
      </c>
      <c r="L206" s="2">
        <f t="shared" si="274"/>
        <v>472</v>
      </c>
      <c r="M206" s="2" t="s">
        <v>30</v>
      </c>
      <c r="N206" s="2">
        <f t="shared" si="272"/>
        <v>36.5</v>
      </c>
      <c r="O206" s="2">
        <v>24127</v>
      </c>
      <c r="P206" s="8">
        <f t="shared" si="264"/>
        <v>456.52144320000002</v>
      </c>
      <c r="Q206" s="8">
        <f t="shared" si="265"/>
        <v>-15.478556799999978</v>
      </c>
    </row>
    <row r="207" spans="1:17" x14ac:dyDescent="0.25">
      <c r="A207" s="3">
        <v>45069</v>
      </c>
      <c r="B207" s="2" t="s">
        <v>57</v>
      </c>
      <c r="C207" s="2">
        <v>96</v>
      </c>
      <c r="D207" s="2">
        <v>54</v>
      </c>
      <c r="E207" s="2">
        <v>11225</v>
      </c>
      <c r="F207" s="2">
        <v>1</v>
      </c>
      <c r="G207" s="8">
        <v>494</v>
      </c>
      <c r="H207" s="3">
        <v>45073</v>
      </c>
      <c r="I207" s="2" t="s">
        <v>47</v>
      </c>
      <c r="J207" s="2">
        <f t="shared" ref="J207" si="275">+E207</f>
        <v>11225</v>
      </c>
      <c r="K207" s="2">
        <f t="shared" ref="K207" si="276">+F207</f>
        <v>1</v>
      </c>
      <c r="L207" s="2">
        <f t="shared" ref="L207" si="277">+G207</f>
        <v>494</v>
      </c>
      <c r="M207" s="2" t="s">
        <v>30</v>
      </c>
      <c r="N207" s="2">
        <f t="shared" si="272"/>
        <v>36.5</v>
      </c>
      <c r="O207" s="2">
        <v>24929</v>
      </c>
      <c r="P207" s="8">
        <f t="shared" si="264"/>
        <v>471.69656640000005</v>
      </c>
      <c r="Q207" s="8">
        <f t="shared" si="265"/>
        <v>-22.303433599999948</v>
      </c>
    </row>
    <row r="208" spans="1:17" x14ac:dyDescent="0.25">
      <c r="A208" s="3">
        <v>45069</v>
      </c>
      <c r="B208" s="2" t="s">
        <v>57</v>
      </c>
      <c r="C208" s="2">
        <v>96</v>
      </c>
      <c r="D208" s="2">
        <v>54</v>
      </c>
      <c r="E208" s="2">
        <v>11226</v>
      </c>
      <c r="F208" s="2">
        <v>1</v>
      </c>
      <c r="G208" s="8">
        <v>452</v>
      </c>
      <c r="H208" s="3">
        <v>45071</v>
      </c>
      <c r="I208" s="2" t="s">
        <v>27</v>
      </c>
      <c r="J208" s="2">
        <f t="shared" ref="J208:L210" si="278">+E208</f>
        <v>11226</v>
      </c>
      <c r="K208" s="2">
        <f t="shared" si="278"/>
        <v>1</v>
      </c>
      <c r="L208" s="2">
        <f t="shared" si="278"/>
        <v>452</v>
      </c>
      <c r="M208" s="2" t="s">
        <v>30</v>
      </c>
      <c r="N208" s="2">
        <f t="shared" si="272"/>
        <v>36.5</v>
      </c>
      <c r="O208" s="2">
        <v>23355</v>
      </c>
      <c r="P208" s="8">
        <f t="shared" si="264"/>
        <v>441.91396800000007</v>
      </c>
      <c r="Q208" s="8">
        <f t="shared" si="265"/>
        <v>-10.086031999999932</v>
      </c>
    </row>
    <row r="209" spans="1:17" x14ac:dyDescent="0.25">
      <c r="A209" s="3">
        <v>45069</v>
      </c>
      <c r="B209" s="2" t="s">
        <v>57</v>
      </c>
      <c r="C209" s="2">
        <v>96</v>
      </c>
      <c r="D209" s="2">
        <v>54</v>
      </c>
      <c r="E209" s="2">
        <v>11227</v>
      </c>
      <c r="F209" s="2">
        <v>1</v>
      </c>
      <c r="G209" s="8">
        <v>491</v>
      </c>
      <c r="H209" s="3">
        <v>45071</v>
      </c>
      <c r="I209" s="2" t="s">
        <v>27</v>
      </c>
      <c r="J209" s="2">
        <f t="shared" si="278"/>
        <v>11227</v>
      </c>
      <c r="K209" s="2">
        <f t="shared" si="278"/>
        <v>1</v>
      </c>
      <c r="L209" s="2">
        <f t="shared" si="278"/>
        <v>491</v>
      </c>
      <c r="M209" s="2" t="s">
        <v>30</v>
      </c>
      <c r="N209" s="2">
        <f t="shared" si="272"/>
        <v>36.5</v>
      </c>
      <c r="O209" s="2">
        <v>25538</v>
      </c>
      <c r="P209" s="8">
        <f t="shared" si="264"/>
        <v>483.21982079999998</v>
      </c>
      <c r="Q209" s="8">
        <f t="shared" si="265"/>
        <v>-7.7801792000000205</v>
      </c>
    </row>
    <row r="210" spans="1:17" x14ac:dyDescent="0.25">
      <c r="A210" s="3">
        <v>45069</v>
      </c>
      <c r="B210" s="2" t="s">
        <v>57</v>
      </c>
      <c r="C210" s="2">
        <v>96</v>
      </c>
      <c r="D210" s="2">
        <v>54</v>
      </c>
      <c r="E210" s="2">
        <v>11228</v>
      </c>
      <c r="F210" s="2">
        <v>1</v>
      </c>
      <c r="G210" s="8">
        <v>481</v>
      </c>
      <c r="H210" s="3">
        <v>45071</v>
      </c>
      <c r="I210" s="2" t="s">
        <v>27</v>
      </c>
      <c r="J210" s="2">
        <f t="shared" si="278"/>
        <v>11228</v>
      </c>
      <c r="K210" s="2">
        <f t="shared" si="278"/>
        <v>1</v>
      </c>
      <c r="L210" s="2">
        <f t="shared" si="278"/>
        <v>481</v>
      </c>
      <c r="M210" s="2" t="s">
        <v>30</v>
      </c>
      <c r="N210" s="2">
        <f t="shared" si="272"/>
        <v>36.5</v>
      </c>
      <c r="O210" s="2">
        <v>24285</v>
      </c>
      <c r="P210" s="8">
        <f t="shared" si="264"/>
        <v>459.511056</v>
      </c>
      <c r="Q210" s="8">
        <f t="shared" si="265"/>
        <v>-21.488944000000004</v>
      </c>
    </row>
    <row r="211" spans="1:17" x14ac:dyDescent="0.25">
      <c r="A211" s="3">
        <v>45069</v>
      </c>
      <c r="B211" s="2" t="s">
        <v>57</v>
      </c>
      <c r="C211" s="2">
        <v>96</v>
      </c>
      <c r="D211" s="2">
        <v>54</v>
      </c>
      <c r="E211" s="2">
        <v>11229</v>
      </c>
      <c r="F211" s="2">
        <v>1</v>
      </c>
      <c r="G211" s="8">
        <v>484</v>
      </c>
      <c r="H211" s="3">
        <v>45073</v>
      </c>
      <c r="I211" s="2" t="s">
        <v>79</v>
      </c>
      <c r="J211" s="2">
        <f t="shared" ref="J211" si="279">+E211</f>
        <v>11229</v>
      </c>
      <c r="K211" s="2">
        <f t="shared" ref="K211" si="280">+F211</f>
        <v>1</v>
      </c>
      <c r="L211" s="2">
        <f t="shared" ref="L211" si="281">+G211</f>
        <v>484</v>
      </c>
      <c r="M211" s="2" t="s">
        <v>30</v>
      </c>
      <c r="N211" s="2">
        <f t="shared" si="272"/>
        <v>36.5</v>
      </c>
      <c r="O211" s="2">
        <v>21684</v>
      </c>
      <c r="P211" s="8">
        <f t="shared" si="264"/>
        <v>410.29597439999998</v>
      </c>
      <c r="Q211" s="8">
        <f t="shared" si="265"/>
        <v>-73.704025600000023</v>
      </c>
    </row>
    <row r="212" spans="1:17" x14ac:dyDescent="0.25">
      <c r="A212" s="3">
        <v>45069</v>
      </c>
      <c r="B212" s="2" t="s">
        <v>57</v>
      </c>
      <c r="C212" s="2">
        <v>96</v>
      </c>
      <c r="D212" s="2">
        <v>54</v>
      </c>
      <c r="E212" s="2">
        <v>11230</v>
      </c>
      <c r="F212" s="2">
        <v>1</v>
      </c>
      <c r="G212" s="8">
        <v>485</v>
      </c>
      <c r="H212" s="3">
        <v>45076</v>
      </c>
      <c r="I212" s="2" t="s">
        <v>28</v>
      </c>
      <c r="J212" s="2">
        <f t="shared" ref="J212" si="282">+E212</f>
        <v>11230</v>
      </c>
      <c r="K212" s="2">
        <f t="shared" ref="K212" si="283">+F212</f>
        <v>1</v>
      </c>
      <c r="L212" s="2">
        <f t="shared" ref="L212" si="284">+G212</f>
        <v>485</v>
      </c>
      <c r="M212" s="2" t="s">
        <v>30</v>
      </c>
      <c r="N212" s="2">
        <f t="shared" si="272"/>
        <v>36.5</v>
      </c>
      <c r="O212" s="2">
        <v>25540</v>
      </c>
      <c r="P212" s="8">
        <f t="shared" si="264"/>
        <v>483.25766399999992</v>
      </c>
      <c r="Q212" s="8">
        <f t="shared" si="265"/>
        <v>-1.7423360000000798</v>
      </c>
    </row>
    <row r="213" spans="1:17" x14ac:dyDescent="0.25">
      <c r="A213" s="3">
        <v>45069</v>
      </c>
      <c r="B213" s="2" t="s">
        <v>57</v>
      </c>
      <c r="C213" s="2">
        <v>96</v>
      </c>
      <c r="D213" s="2">
        <v>54</v>
      </c>
      <c r="E213" s="2">
        <v>11231</v>
      </c>
      <c r="F213" s="2">
        <v>1</v>
      </c>
      <c r="G213" s="8">
        <v>485</v>
      </c>
      <c r="H213" s="3">
        <v>45070</v>
      </c>
      <c r="I213" s="2" t="s">
        <v>27</v>
      </c>
      <c r="J213" s="2">
        <f t="shared" ref="J213:L214" si="285">+E213</f>
        <v>11231</v>
      </c>
      <c r="K213" s="2">
        <f t="shared" si="285"/>
        <v>1</v>
      </c>
      <c r="L213" s="2">
        <f t="shared" si="285"/>
        <v>485</v>
      </c>
      <c r="M213" s="2" t="s">
        <v>30</v>
      </c>
      <c r="N213" s="2">
        <f t="shared" ref="N213:N227" si="286">73/2</f>
        <v>36.5</v>
      </c>
      <c r="O213" s="2">
        <v>24509</v>
      </c>
      <c r="P213" s="8">
        <f t="shared" si="264"/>
        <v>463.74949439999995</v>
      </c>
      <c r="Q213" s="8">
        <f t="shared" si="265"/>
        <v>-21.250505600000054</v>
      </c>
    </row>
    <row r="214" spans="1:17" x14ac:dyDescent="0.25">
      <c r="A214" s="3">
        <v>45069</v>
      </c>
      <c r="B214" s="2" t="s">
        <v>57</v>
      </c>
      <c r="C214" s="2">
        <v>96</v>
      </c>
      <c r="D214" s="2">
        <v>54</v>
      </c>
      <c r="E214" s="2">
        <v>11232</v>
      </c>
      <c r="F214" s="2">
        <v>1</v>
      </c>
      <c r="G214" s="8">
        <v>491</v>
      </c>
      <c r="H214" s="3">
        <v>45071</v>
      </c>
      <c r="I214" s="27" t="s">
        <v>27</v>
      </c>
      <c r="J214" s="2">
        <f t="shared" si="285"/>
        <v>11232</v>
      </c>
      <c r="K214" s="2">
        <f t="shared" si="285"/>
        <v>1</v>
      </c>
      <c r="L214" s="2">
        <f t="shared" si="285"/>
        <v>491</v>
      </c>
      <c r="M214" s="2" t="s">
        <v>30</v>
      </c>
      <c r="N214" s="2">
        <f t="shared" si="286"/>
        <v>36.5</v>
      </c>
      <c r="O214" s="2">
        <v>24931</v>
      </c>
      <c r="P214" s="8">
        <f t="shared" si="264"/>
        <v>471.73440960000011</v>
      </c>
      <c r="Q214" s="8">
        <f t="shared" si="265"/>
        <v>-19.265590399999894</v>
      </c>
    </row>
    <row r="215" spans="1:17" x14ac:dyDescent="0.25">
      <c r="A215" s="3">
        <v>45069</v>
      </c>
      <c r="B215" s="2" t="s">
        <v>57</v>
      </c>
      <c r="C215" s="2">
        <v>96</v>
      </c>
      <c r="D215" s="2">
        <v>54</v>
      </c>
      <c r="E215" s="2">
        <v>11233</v>
      </c>
      <c r="F215" s="2">
        <v>1</v>
      </c>
      <c r="G215" s="8">
        <v>493</v>
      </c>
      <c r="H215" s="36">
        <v>45073</v>
      </c>
      <c r="I215" s="2" t="s">
        <v>47</v>
      </c>
      <c r="J215" s="2">
        <f>+E215</f>
        <v>11233</v>
      </c>
      <c r="K215" s="2">
        <f>+F215</f>
        <v>1</v>
      </c>
      <c r="L215" s="2">
        <f>+G215</f>
        <v>493</v>
      </c>
      <c r="M215" s="2" t="s">
        <v>30</v>
      </c>
      <c r="N215" s="2">
        <f t="shared" si="286"/>
        <v>36.5</v>
      </c>
      <c r="O215" s="2">
        <v>25367</v>
      </c>
      <c r="P215" s="8">
        <f t="shared" si="264"/>
        <v>479.98422720000002</v>
      </c>
      <c r="Q215" s="8">
        <f t="shared" si="265"/>
        <v>-13.015772799999979</v>
      </c>
    </row>
    <row r="216" spans="1:17" x14ac:dyDescent="0.25">
      <c r="A216" s="3">
        <v>45069</v>
      </c>
      <c r="B216" s="2" t="s">
        <v>57</v>
      </c>
      <c r="C216" s="2">
        <v>96</v>
      </c>
      <c r="D216" s="2">
        <v>54</v>
      </c>
      <c r="E216" s="2">
        <v>11234</v>
      </c>
      <c r="F216" s="2">
        <v>1</v>
      </c>
      <c r="G216" s="8">
        <v>502</v>
      </c>
      <c r="H216" s="3">
        <v>45071</v>
      </c>
      <c r="I216" s="2" t="s">
        <v>27</v>
      </c>
      <c r="J216" s="2">
        <f t="shared" ref="J216:L218" si="287">+E216</f>
        <v>11234</v>
      </c>
      <c r="K216" s="2">
        <f t="shared" si="287"/>
        <v>1</v>
      </c>
      <c r="L216" s="2">
        <f t="shared" si="287"/>
        <v>502</v>
      </c>
      <c r="M216" s="2" t="s">
        <v>30</v>
      </c>
      <c r="N216" s="2">
        <f t="shared" si="286"/>
        <v>36.5</v>
      </c>
      <c r="O216" s="2">
        <v>25659</v>
      </c>
      <c r="P216" s="8">
        <f t="shared" si="264"/>
        <v>485.5093344</v>
      </c>
      <c r="Q216" s="8">
        <f t="shared" si="265"/>
        <v>-16.4906656</v>
      </c>
    </row>
    <row r="217" spans="1:17" x14ac:dyDescent="0.25">
      <c r="A217" s="3">
        <v>45069</v>
      </c>
      <c r="B217" s="2" t="s">
        <v>57</v>
      </c>
      <c r="C217" s="2">
        <v>96</v>
      </c>
      <c r="D217" s="2">
        <v>54</v>
      </c>
      <c r="E217" s="2">
        <v>11235</v>
      </c>
      <c r="F217" s="2">
        <v>1</v>
      </c>
      <c r="G217" s="8">
        <v>486</v>
      </c>
      <c r="H217" s="3">
        <v>45071</v>
      </c>
      <c r="I217" s="2" t="s">
        <v>27</v>
      </c>
      <c r="J217" s="2">
        <f t="shared" si="287"/>
        <v>11235</v>
      </c>
      <c r="K217" s="2">
        <f t="shared" si="287"/>
        <v>1</v>
      </c>
      <c r="L217" s="2">
        <f t="shared" si="287"/>
        <v>486</v>
      </c>
      <c r="M217" s="2" t="s">
        <v>30</v>
      </c>
      <c r="N217" s="2">
        <f t="shared" si="286"/>
        <v>36.5</v>
      </c>
      <c r="O217" s="2">
        <v>24374</v>
      </c>
      <c r="P217" s="8">
        <f t="shared" si="264"/>
        <v>461.19507839999994</v>
      </c>
      <c r="Q217" s="8">
        <f t="shared" si="265"/>
        <v>-24.804921600000057</v>
      </c>
    </row>
    <row r="218" spans="1:17" x14ac:dyDescent="0.25">
      <c r="A218" s="3">
        <v>45069</v>
      </c>
      <c r="B218" s="2" t="s">
        <v>57</v>
      </c>
      <c r="C218" s="2">
        <v>96</v>
      </c>
      <c r="D218" s="2">
        <v>54</v>
      </c>
      <c r="E218" s="2">
        <v>11236</v>
      </c>
      <c r="F218" s="2">
        <v>1</v>
      </c>
      <c r="G218" s="8">
        <v>454</v>
      </c>
      <c r="H218" s="3">
        <v>45076</v>
      </c>
      <c r="I218" s="2" t="s">
        <v>28</v>
      </c>
      <c r="J218" s="2">
        <f t="shared" si="287"/>
        <v>11236</v>
      </c>
      <c r="K218" s="2">
        <f t="shared" si="287"/>
        <v>1</v>
      </c>
      <c r="L218" s="2">
        <f t="shared" si="287"/>
        <v>454</v>
      </c>
      <c r="M218" s="2" t="s">
        <v>30</v>
      </c>
      <c r="N218" s="2">
        <f t="shared" si="286"/>
        <v>36.5</v>
      </c>
      <c r="O218" s="2">
        <v>23822</v>
      </c>
      <c r="P218" s="8">
        <f t="shared" si="264"/>
        <v>450.7503552</v>
      </c>
      <c r="Q218" s="8">
        <f t="shared" si="265"/>
        <v>-3.2496447999999987</v>
      </c>
    </row>
    <row r="219" spans="1:17" x14ac:dyDescent="0.25">
      <c r="A219" s="3">
        <v>45069</v>
      </c>
      <c r="B219" s="2" t="s">
        <v>57</v>
      </c>
      <c r="C219" s="2">
        <v>96</v>
      </c>
      <c r="D219" s="2">
        <v>54</v>
      </c>
      <c r="E219" s="2">
        <v>11237</v>
      </c>
      <c r="F219" s="2">
        <v>1</v>
      </c>
      <c r="G219" s="8">
        <v>476</v>
      </c>
      <c r="H219" s="3">
        <v>45071</v>
      </c>
      <c r="I219" s="2" t="s">
        <v>27</v>
      </c>
      <c r="J219" s="2">
        <f t="shared" ref="J219:L220" si="288">+E219</f>
        <v>11237</v>
      </c>
      <c r="K219" s="2">
        <f t="shared" si="288"/>
        <v>1</v>
      </c>
      <c r="L219" s="2">
        <f t="shared" si="288"/>
        <v>476</v>
      </c>
      <c r="M219" s="2" t="s">
        <v>30</v>
      </c>
      <c r="N219" s="2">
        <f t="shared" si="286"/>
        <v>36.5</v>
      </c>
      <c r="O219" s="2">
        <v>24327</v>
      </c>
      <c r="P219" s="8">
        <f t="shared" si="264"/>
        <v>460.3057632</v>
      </c>
      <c r="Q219" s="8">
        <f t="shared" si="265"/>
        <v>-15.694236799999999</v>
      </c>
    </row>
    <row r="220" spans="1:17" x14ac:dyDescent="0.25">
      <c r="A220" s="3">
        <v>45069</v>
      </c>
      <c r="B220" s="2" t="s">
        <v>57</v>
      </c>
      <c r="C220" s="2">
        <v>96</v>
      </c>
      <c r="D220" s="2">
        <v>54</v>
      </c>
      <c r="E220" s="2">
        <v>11238</v>
      </c>
      <c r="F220" s="2">
        <v>1</v>
      </c>
      <c r="G220" s="8">
        <v>497</v>
      </c>
      <c r="H220" s="3">
        <v>45071</v>
      </c>
      <c r="I220" s="2" t="s">
        <v>27</v>
      </c>
      <c r="J220" s="2">
        <f t="shared" si="288"/>
        <v>11238</v>
      </c>
      <c r="K220" s="2">
        <f t="shared" si="288"/>
        <v>1</v>
      </c>
      <c r="L220" s="2">
        <f t="shared" si="288"/>
        <v>497</v>
      </c>
      <c r="M220" s="2" t="s">
        <v>30</v>
      </c>
      <c r="N220" s="2">
        <f t="shared" si="286"/>
        <v>36.5</v>
      </c>
      <c r="O220" s="2">
        <v>25376</v>
      </c>
      <c r="P220" s="8">
        <f t="shared" si="264"/>
        <v>480.15452160000001</v>
      </c>
      <c r="Q220" s="8">
        <f t="shared" si="265"/>
        <v>-16.84547839999999</v>
      </c>
    </row>
    <row r="221" spans="1:17" x14ac:dyDescent="0.25">
      <c r="A221" s="3">
        <v>45069</v>
      </c>
      <c r="B221" s="2" t="s">
        <v>57</v>
      </c>
      <c r="C221" s="2">
        <v>96</v>
      </c>
      <c r="D221" s="2">
        <v>54</v>
      </c>
      <c r="E221" s="2">
        <v>11239</v>
      </c>
      <c r="F221" s="2">
        <v>1</v>
      </c>
      <c r="G221" s="8">
        <v>494</v>
      </c>
      <c r="H221" s="3">
        <v>45076</v>
      </c>
      <c r="I221" s="2" t="s">
        <v>28</v>
      </c>
      <c r="J221" s="2">
        <f t="shared" ref="J221" si="289">+E221</f>
        <v>11239</v>
      </c>
      <c r="K221" s="2">
        <f t="shared" ref="K221" si="290">+F221</f>
        <v>1</v>
      </c>
      <c r="L221" s="2">
        <f t="shared" ref="L221" si="291">+G221</f>
        <v>494</v>
      </c>
      <c r="M221" s="2" t="s">
        <v>30</v>
      </c>
      <c r="N221" s="2">
        <f t="shared" si="286"/>
        <v>36.5</v>
      </c>
      <c r="O221" s="2">
        <v>25048</v>
      </c>
      <c r="P221" s="8">
        <f t="shared" si="264"/>
        <v>473.94823679999996</v>
      </c>
      <c r="Q221" s="8">
        <f t="shared" si="265"/>
        <v>-20.051763200000039</v>
      </c>
    </row>
    <row r="222" spans="1:17" x14ac:dyDescent="0.25">
      <c r="A222" s="3">
        <v>45069</v>
      </c>
      <c r="B222" s="2" t="s">
        <v>57</v>
      </c>
      <c r="C222" s="2">
        <v>96</v>
      </c>
      <c r="D222" s="2">
        <v>54</v>
      </c>
      <c r="E222" s="2">
        <v>11240</v>
      </c>
      <c r="F222" s="2">
        <v>1</v>
      </c>
      <c r="G222" s="8">
        <v>442</v>
      </c>
      <c r="H222" s="3">
        <v>45076</v>
      </c>
      <c r="I222" s="2" t="s">
        <v>28</v>
      </c>
      <c r="J222" s="2">
        <f t="shared" ref="J222" si="292">+E222</f>
        <v>11240</v>
      </c>
      <c r="K222" s="2">
        <f t="shared" ref="K222" si="293">+F222</f>
        <v>1</v>
      </c>
      <c r="L222" s="2">
        <f t="shared" ref="L222" si="294">+G222</f>
        <v>442</v>
      </c>
      <c r="M222" s="2" t="s">
        <v>30</v>
      </c>
      <c r="N222" s="2">
        <f t="shared" si="286"/>
        <v>36.5</v>
      </c>
      <c r="O222" s="2">
        <v>22824</v>
      </c>
      <c r="P222" s="8">
        <f t="shared" si="264"/>
        <v>431.86659839999999</v>
      </c>
      <c r="Q222" s="8">
        <f t="shared" si="265"/>
        <v>-10.133401600000013</v>
      </c>
    </row>
    <row r="223" spans="1:17" x14ac:dyDescent="0.25">
      <c r="A223" s="3">
        <v>45069</v>
      </c>
      <c r="B223" s="2" t="s">
        <v>57</v>
      </c>
      <c r="C223" s="2">
        <v>96</v>
      </c>
      <c r="D223" s="2">
        <v>54</v>
      </c>
      <c r="E223" s="2">
        <v>11241</v>
      </c>
      <c r="F223" s="2">
        <v>1</v>
      </c>
      <c r="G223" s="8">
        <v>490</v>
      </c>
      <c r="H223" s="3">
        <v>45076</v>
      </c>
      <c r="I223" s="2" t="s">
        <v>28</v>
      </c>
      <c r="J223" s="2">
        <f t="shared" ref="J223" si="295">+E223</f>
        <v>11241</v>
      </c>
      <c r="K223" s="2">
        <f t="shared" ref="K223" si="296">+F223</f>
        <v>1</v>
      </c>
      <c r="L223" s="2">
        <f t="shared" ref="L223" si="297">+G223</f>
        <v>490</v>
      </c>
      <c r="M223" s="2" t="s">
        <v>30</v>
      </c>
      <c r="N223" s="2">
        <f t="shared" si="286"/>
        <v>36.5</v>
      </c>
      <c r="O223" s="2">
        <v>25028</v>
      </c>
      <c r="P223" s="8">
        <f t="shared" si="264"/>
        <v>473.5698048000001</v>
      </c>
      <c r="Q223" s="8">
        <f t="shared" si="265"/>
        <v>-16.430195199999901</v>
      </c>
    </row>
    <row r="224" spans="1:17" x14ac:dyDescent="0.25">
      <c r="A224" s="3">
        <v>45069</v>
      </c>
      <c r="B224" s="2" t="s">
        <v>57</v>
      </c>
      <c r="C224" s="2">
        <v>96</v>
      </c>
      <c r="D224" s="2">
        <v>54</v>
      </c>
      <c r="E224" s="2">
        <v>11242</v>
      </c>
      <c r="F224" s="2">
        <v>1</v>
      </c>
      <c r="G224" s="8">
        <v>477</v>
      </c>
      <c r="H224" s="3">
        <v>45073</v>
      </c>
      <c r="I224" s="2" t="s">
        <v>47</v>
      </c>
      <c r="J224" s="2">
        <f t="shared" ref="J224:L227" si="298">+E224</f>
        <v>11242</v>
      </c>
      <c r="K224" s="2">
        <f t="shared" si="298"/>
        <v>1</v>
      </c>
      <c r="L224" s="2">
        <f t="shared" si="298"/>
        <v>477</v>
      </c>
      <c r="M224" s="2" t="s">
        <v>30</v>
      </c>
      <c r="N224" s="2">
        <f t="shared" si="286"/>
        <v>36.5</v>
      </c>
      <c r="O224" s="2">
        <v>24713</v>
      </c>
      <c r="P224" s="8">
        <f t="shared" si="264"/>
        <v>467.60950079999992</v>
      </c>
      <c r="Q224" s="8">
        <f t="shared" si="265"/>
        <v>-9.3904992000000789</v>
      </c>
    </row>
    <row r="225" spans="1:17" x14ac:dyDescent="0.25">
      <c r="A225" s="3">
        <v>45069</v>
      </c>
      <c r="B225" s="2" t="s">
        <v>57</v>
      </c>
      <c r="C225" s="2">
        <v>96</v>
      </c>
      <c r="D225" s="2">
        <v>54</v>
      </c>
      <c r="E225" s="2">
        <v>11243</v>
      </c>
      <c r="F225" s="2">
        <v>1</v>
      </c>
      <c r="G225" s="8">
        <v>442</v>
      </c>
      <c r="H225" s="3">
        <v>45071</v>
      </c>
      <c r="I225" s="2" t="s">
        <v>27</v>
      </c>
      <c r="J225" s="2">
        <f t="shared" si="298"/>
        <v>11243</v>
      </c>
      <c r="K225" s="2">
        <f t="shared" si="298"/>
        <v>1</v>
      </c>
      <c r="L225" s="2">
        <f t="shared" si="298"/>
        <v>442</v>
      </c>
      <c r="M225" s="2" t="s">
        <v>30</v>
      </c>
      <c r="N225" s="2">
        <f t="shared" si="286"/>
        <v>36.5</v>
      </c>
      <c r="O225" s="2">
        <v>22592</v>
      </c>
      <c r="P225" s="8">
        <f t="shared" si="264"/>
        <v>427.47678719999999</v>
      </c>
      <c r="Q225" s="8">
        <f t="shared" si="265"/>
        <v>-14.52321280000001</v>
      </c>
    </row>
    <row r="226" spans="1:17" x14ac:dyDescent="0.25">
      <c r="A226" s="3">
        <v>45069</v>
      </c>
      <c r="B226" s="2" t="s">
        <v>57</v>
      </c>
      <c r="C226" s="2">
        <v>96</v>
      </c>
      <c r="D226" s="2">
        <v>54</v>
      </c>
      <c r="E226" s="2">
        <v>11290</v>
      </c>
      <c r="F226" s="2">
        <v>1</v>
      </c>
      <c r="G226" s="8">
        <v>461</v>
      </c>
      <c r="H226" s="3">
        <v>45073</v>
      </c>
      <c r="I226" s="2" t="s">
        <v>47</v>
      </c>
      <c r="J226" s="2">
        <f t="shared" si="298"/>
        <v>11290</v>
      </c>
      <c r="K226" s="2">
        <f t="shared" si="298"/>
        <v>1</v>
      </c>
      <c r="L226" s="2">
        <f t="shared" si="298"/>
        <v>461</v>
      </c>
      <c r="M226" s="2" t="s">
        <v>30</v>
      </c>
      <c r="N226" s="2">
        <f t="shared" si="286"/>
        <v>36.5</v>
      </c>
      <c r="O226" s="2">
        <v>24945</v>
      </c>
      <c r="P226" s="8">
        <f t="shared" si="264"/>
        <v>471.99931199999992</v>
      </c>
      <c r="Q226" s="8">
        <f t="shared" si="265"/>
        <v>10.999311999999918</v>
      </c>
    </row>
    <row r="227" spans="1:17" x14ac:dyDescent="0.25">
      <c r="A227" s="3">
        <v>45069</v>
      </c>
      <c r="B227" s="2" t="s">
        <v>57</v>
      </c>
      <c r="C227" s="2">
        <v>96</v>
      </c>
      <c r="D227" s="2">
        <v>54</v>
      </c>
      <c r="E227" s="2">
        <v>11289</v>
      </c>
      <c r="F227" s="2">
        <v>1</v>
      </c>
      <c r="G227" s="8">
        <v>466</v>
      </c>
      <c r="H227" s="3">
        <v>45073</v>
      </c>
      <c r="I227" s="2" t="s">
        <v>47</v>
      </c>
      <c r="J227" s="2">
        <f t="shared" si="298"/>
        <v>11289</v>
      </c>
      <c r="K227" s="2">
        <f t="shared" si="298"/>
        <v>1</v>
      </c>
      <c r="L227" s="2">
        <f t="shared" si="298"/>
        <v>466</v>
      </c>
      <c r="M227" s="2" t="s">
        <v>30</v>
      </c>
      <c r="N227" s="2">
        <f t="shared" si="286"/>
        <v>36.5</v>
      </c>
      <c r="O227" s="2">
        <v>25275</v>
      </c>
      <c r="P227" s="8">
        <f t="shared" si="264"/>
        <v>478.24343999999996</v>
      </c>
      <c r="Q227" s="8">
        <f t="shared" si="265"/>
        <v>12.243439999999964</v>
      </c>
    </row>
    <row r="228" spans="1:17" x14ac:dyDescent="0.25">
      <c r="A228" s="3">
        <v>45069</v>
      </c>
      <c r="B228" s="2" t="s">
        <v>57</v>
      </c>
      <c r="C228" s="2">
        <v>86</v>
      </c>
      <c r="D228" s="2">
        <v>54</v>
      </c>
      <c r="E228" s="2">
        <v>11210</v>
      </c>
      <c r="F228" s="2">
        <v>1</v>
      </c>
      <c r="G228" s="8">
        <v>440</v>
      </c>
      <c r="H228" s="3">
        <v>45070</v>
      </c>
      <c r="I228" s="2" t="s">
        <v>27</v>
      </c>
      <c r="J228" s="2">
        <f t="shared" ref="J228:L231" si="299">+E228</f>
        <v>11210</v>
      </c>
      <c r="K228" s="2">
        <f t="shared" si="299"/>
        <v>1</v>
      </c>
      <c r="L228" s="2">
        <f t="shared" si="299"/>
        <v>440</v>
      </c>
      <c r="M228" s="2" t="s">
        <v>29</v>
      </c>
      <c r="N228" s="2">
        <v>42</v>
      </c>
      <c r="O228" s="2">
        <v>21968</v>
      </c>
      <c r="P228" s="8">
        <f t="shared" si="264"/>
        <v>428.48144639999998</v>
      </c>
      <c r="Q228" s="8">
        <f t="shared" si="265"/>
        <v>-11.518553600000018</v>
      </c>
    </row>
    <row r="229" spans="1:17" x14ac:dyDescent="0.25">
      <c r="A229" s="3">
        <v>45069</v>
      </c>
      <c r="B229" s="2" t="s">
        <v>57</v>
      </c>
      <c r="C229" s="2">
        <v>86</v>
      </c>
      <c r="D229" s="2">
        <v>54</v>
      </c>
      <c r="E229" s="2">
        <v>11215</v>
      </c>
      <c r="F229" s="2">
        <v>1</v>
      </c>
      <c r="G229" s="8">
        <v>445</v>
      </c>
      <c r="H229" s="3">
        <v>45070</v>
      </c>
      <c r="I229" s="2" t="s">
        <v>27</v>
      </c>
      <c r="J229" s="2">
        <f t="shared" si="299"/>
        <v>11215</v>
      </c>
      <c r="K229" s="2">
        <f t="shared" si="299"/>
        <v>1</v>
      </c>
      <c r="L229" s="2">
        <f t="shared" si="299"/>
        <v>445</v>
      </c>
      <c r="M229" s="2" t="s">
        <v>29</v>
      </c>
      <c r="N229" s="2">
        <v>42</v>
      </c>
      <c r="O229" s="2">
        <v>22291</v>
      </c>
      <c r="P229" s="8">
        <f t="shared" si="264"/>
        <v>434.78149680000001</v>
      </c>
      <c r="Q229" s="8">
        <f t="shared" si="265"/>
        <v>-10.218503199999986</v>
      </c>
    </row>
    <row r="230" spans="1:17" x14ac:dyDescent="0.25">
      <c r="A230" s="30">
        <v>45069</v>
      </c>
      <c r="B230" s="27" t="s">
        <v>57</v>
      </c>
      <c r="C230" s="27">
        <v>86</v>
      </c>
      <c r="D230" s="27">
        <v>54</v>
      </c>
      <c r="E230" s="27">
        <v>11219</v>
      </c>
      <c r="F230" s="27">
        <v>1</v>
      </c>
      <c r="G230" s="8">
        <v>440</v>
      </c>
      <c r="H230" s="3">
        <v>45070</v>
      </c>
      <c r="I230" s="2" t="s">
        <v>27</v>
      </c>
      <c r="J230" s="2">
        <f t="shared" si="299"/>
        <v>11219</v>
      </c>
      <c r="K230" s="2">
        <f t="shared" si="299"/>
        <v>1</v>
      </c>
      <c r="L230" s="2">
        <f t="shared" si="299"/>
        <v>440</v>
      </c>
      <c r="M230" s="2" t="s">
        <v>29</v>
      </c>
      <c r="N230" s="2">
        <v>42</v>
      </c>
      <c r="O230" s="2">
        <v>21581</v>
      </c>
      <c r="P230" s="28">
        <f t="shared" si="264"/>
        <v>420.93308880000001</v>
      </c>
      <c r="Q230" s="28">
        <f t="shared" si="265"/>
        <v>-19.066911199999993</v>
      </c>
    </row>
    <row r="231" spans="1:17" x14ac:dyDescent="0.25">
      <c r="A231" s="3">
        <v>45070</v>
      </c>
      <c r="B231" s="2" t="s">
        <v>57</v>
      </c>
      <c r="C231" s="2">
        <v>86</v>
      </c>
      <c r="D231" s="2">
        <v>54</v>
      </c>
      <c r="E231" s="2">
        <v>11211</v>
      </c>
      <c r="F231" s="2">
        <v>1</v>
      </c>
      <c r="G231" s="8">
        <v>435</v>
      </c>
      <c r="H231" s="3">
        <v>45070</v>
      </c>
      <c r="I231" s="2" t="s">
        <v>27</v>
      </c>
      <c r="J231" s="2">
        <f t="shared" si="299"/>
        <v>11211</v>
      </c>
      <c r="K231" s="2">
        <f t="shared" si="299"/>
        <v>1</v>
      </c>
      <c r="L231" s="2">
        <f t="shared" si="299"/>
        <v>435</v>
      </c>
      <c r="M231" s="2" t="s">
        <v>29</v>
      </c>
      <c r="N231" s="2">
        <v>42</v>
      </c>
      <c r="O231" s="2">
        <v>21719</v>
      </c>
      <c r="P231" s="8">
        <f t="shared" ref="P231" si="300">(O231/20000/500)*C231*D231*N231</f>
        <v>423.62475120000005</v>
      </c>
      <c r="Q231" s="8">
        <f t="shared" si="265"/>
        <v>-11.375248799999952</v>
      </c>
    </row>
    <row r="232" spans="1:17" x14ac:dyDescent="0.25">
      <c r="A232" s="3">
        <v>45070</v>
      </c>
      <c r="B232" s="2" t="s">
        <v>57</v>
      </c>
      <c r="C232" s="2">
        <v>86</v>
      </c>
      <c r="D232" s="2">
        <v>54</v>
      </c>
      <c r="E232" s="2">
        <v>11213</v>
      </c>
      <c r="F232" s="2">
        <v>1</v>
      </c>
      <c r="G232" s="8">
        <v>419</v>
      </c>
      <c r="H232" s="3">
        <v>45071</v>
      </c>
      <c r="I232" s="2" t="s">
        <v>27</v>
      </c>
      <c r="J232" s="2">
        <f t="shared" ref="J232" si="301">+E232</f>
        <v>11213</v>
      </c>
      <c r="K232" s="2">
        <f t="shared" ref="K232" si="302">+F232</f>
        <v>1</v>
      </c>
      <c r="L232" s="2">
        <f t="shared" ref="L232" si="303">+G232</f>
        <v>419</v>
      </c>
      <c r="M232" s="2" t="s">
        <v>29</v>
      </c>
      <c r="N232" s="2">
        <v>42</v>
      </c>
      <c r="O232" s="2">
        <v>21651</v>
      </c>
      <c r="P232" s="8">
        <f t="shared" si="264"/>
        <v>422.29842479999991</v>
      </c>
      <c r="Q232" s="8">
        <f t="shared" si="265"/>
        <v>3.298424799999907</v>
      </c>
    </row>
    <row r="233" spans="1:17" x14ac:dyDescent="0.25">
      <c r="A233" s="3">
        <v>45070</v>
      </c>
      <c r="B233" s="2" t="s">
        <v>57</v>
      </c>
      <c r="C233" s="2">
        <v>86</v>
      </c>
      <c r="D233" s="2">
        <v>54</v>
      </c>
      <c r="E233" s="2">
        <v>11214</v>
      </c>
      <c r="F233" s="2">
        <v>1</v>
      </c>
      <c r="G233" s="8">
        <v>421</v>
      </c>
      <c r="H233" s="3">
        <v>45072</v>
      </c>
      <c r="I233" s="2" t="s">
        <v>27</v>
      </c>
      <c r="J233" s="2">
        <f t="shared" ref="J233" si="304">+E233</f>
        <v>11214</v>
      </c>
      <c r="K233" s="2">
        <f t="shared" ref="K233" si="305">+F233</f>
        <v>1</v>
      </c>
      <c r="L233" s="2">
        <f t="shared" ref="L233" si="306">+G233</f>
        <v>421</v>
      </c>
      <c r="M233" s="2" t="s">
        <v>29</v>
      </c>
      <c r="N233" s="2">
        <v>42</v>
      </c>
      <c r="O233" s="2">
        <v>21646</v>
      </c>
      <c r="P233" s="8">
        <f t="shared" si="264"/>
        <v>422.2009008</v>
      </c>
      <c r="Q233" s="8">
        <f t="shared" si="265"/>
        <v>1.2009007999999994</v>
      </c>
    </row>
    <row r="234" spans="1:17" x14ac:dyDescent="0.25">
      <c r="A234" s="3">
        <v>45070</v>
      </c>
      <c r="B234" s="2" t="s">
        <v>57</v>
      </c>
      <c r="C234" s="2">
        <v>86</v>
      </c>
      <c r="D234" s="2">
        <v>54</v>
      </c>
      <c r="E234" s="2">
        <v>11212</v>
      </c>
      <c r="F234" s="2">
        <v>1</v>
      </c>
      <c r="G234" s="8">
        <v>431</v>
      </c>
      <c r="H234" s="3">
        <v>45074</v>
      </c>
      <c r="I234" s="2" t="s">
        <v>27</v>
      </c>
      <c r="J234" s="2">
        <f t="shared" ref="J234" si="307">+E234</f>
        <v>11212</v>
      </c>
      <c r="K234" s="2">
        <f t="shared" ref="K234" si="308">+F234</f>
        <v>1</v>
      </c>
      <c r="L234" s="2">
        <f t="shared" ref="L234" si="309">+G234</f>
        <v>431</v>
      </c>
      <c r="M234" s="2" t="s">
        <v>29</v>
      </c>
      <c r="N234" s="2">
        <v>42</v>
      </c>
      <c r="O234" s="2">
        <v>21605</v>
      </c>
      <c r="P234" s="8">
        <f t="shared" si="264"/>
        <v>421.40120399999995</v>
      </c>
      <c r="Q234" s="8">
        <f t="shared" si="265"/>
        <v>-9.5987960000000498</v>
      </c>
    </row>
    <row r="235" spans="1:17" x14ac:dyDescent="0.25">
      <c r="A235" s="3">
        <v>45070</v>
      </c>
      <c r="B235" s="2" t="s">
        <v>57</v>
      </c>
      <c r="C235" s="2">
        <v>86</v>
      </c>
      <c r="D235" s="2">
        <v>54</v>
      </c>
      <c r="E235" s="2">
        <v>11209</v>
      </c>
      <c r="F235" s="2">
        <v>1</v>
      </c>
      <c r="G235" s="8">
        <v>428</v>
      </c>
      <c r="H235" s="3">
        <v>45072</v>
      </c>
      <c r="I235" s="2" t="s">
        <v>27</v>
      </c>
      <c r="J235" s="2">
        <f t="shared" ref="J235:L236" si="310">+E235</f>
        <v>11209</v>
      </c>
      <c r="K235" s="2">
        <f t="shared" si="310"/>
        <v>1</v>
      </c>
      <c r="L235" s="2">
        <f t="shared" si="310"/>
        <v>428</v>
      </c>
      <c r="M235" s="2" t="s">
        <v>29</v>
      </c>
      <c r="N235" s="2">
        <v>42</v>
      </c>
      <c r="O235" s="2">
        <v>22199</v>
      </c>
      <c r="P235" s="8">
        <f t="shared" si="264"/>
        <v>432.98705519999993</v>
      </c>
      <c r="Q235" s="8">
        <f t="shared" si="265"/>
        <v>4.9870551999999293</v>
      </c>
    </row>
    <row r="236" spans="1:17" x14ac:dyDescent="0.25">
      <c r="A236" s="3">
        <v>45070</v>
      </c>
      <c r="B236" s="2" t="s">
        <v>57</v>
      </c>
      <c r="C236" s="2">
        <v>86</v>
      </c>
      <c r="D236" s="2">
        <v>54</v>
      </c>
      <c r="E236" s="2">
        <v>11262</v>
      </c>
      <c r="F236" s="2">
        <v>1</v>
      </c>
      <c r="G236" s="8">
        <v>431</v>
      </c>
      <c r="H236" s="3">
        <v>45074</v>
      </c>
      <c r="I236" s="2" t="s">
        <v>27</v>
      </c>
      <c r="J236" s="2">
        <f t="shared" si="310"/>
        <v>11262</v>
      </c>
      <c r="K236" s="2">
        <f t="shared" si="310"/>
        <v>1</v>
      </c>
      <c r="L236" s="2">
        <f t="shared" si="310"/>
        <v>431</v>
      </c>
      <c r="M236" s="2" t="s">
        <v>29</v>
      </c>
      <c r="N236" s="2">
        <v>42</v>
      </c>
      <c r="O236" s="2">
        <v>22397</v>
      </c>
      <c r="P236" s="8">
        <f t="shared" si="264"/>
        <v>436.84900559999994</v>
      </c>
      <c r="Q236" s="8">
        <f t="shared" si="265"/>
        <v>5.8490055999999413</v>
      </c>
    </row>
    <row r="237" spans="1:17" x14ac:dyDescent="0.25">
      <c r="A237" s="3">
        <v>45070</v>
      </c>
      <c r="B237" s="2" t="s">
        <v>57</v>
      </c>
      <c r="C237" s="2">
        <v>86</v>
      </c>
      <c r="D237" s="2">
        <v>54</v>
      </c>
      <c r="E237" s="2">
        <v>11263</v>
      </c>
      <c r="F237" s="2">
        <v>1</v>
      </c>
      <c r="G237" s="8">
        <v>403</v>
      </c>
      <c r="H237" s="3">
        <v>45071</v>
      </c>
      <c r="I237" s="2" t="s">
        <v>27</v>
      </c>
      <c r="J237" s="2">
        <f t="shared" ref="J237:L242" si="311">+E237</f>
        <v>11263</v>
      </c>
      <c r="K237" s="2">
        <f t="shared" si="311"/>
        <v>1</v>
      </c>
      <c r="L237" s="2">
        <f t="shared" si="311"/>
        <v>403</v>
      </c>
      <c r="M237" s="2" t="s">
        <v>29</v>
      </c>
      <c r="N237" s="2">
        <v>42</v>
      </c>
      <c r="O237" s="2">
        <v>20492</v>
      </c>
      <c r="P237" s="8">
        <f t="shared" si="264"/>
        <v>399.69236159999997</v>
      </c>
      <c r="Q237" s="8">
        <f t="shared" si="265"/>
        <v>-3.3076384000000303</v>
      </c>
    </row>
    <row r="238" spans="1:17" x14ac:dyDescent="0.25">
      <c r="A238" s="3">
        <v>45070</v>
      </c>
      <c r="B238" s="2" t="s">
        <v>57</v>
      </c>
      <c r="C238" s="2">
        <v>86</v>
      </c>
      <c r="D238" s="2">
        <v>54</v>
      </c>
      <c r="E238" s="2">
        <v>11216</v>
      </c>
      <c r="F238" s="2">
        <v>1</v>
      </c>
      <c r="G238" s="8">
        <v>427</v>
      </c>
      <c r="H238" s="3">
        <v>45072</v>
      </c>
      <c r="I238" s="2" t="s">
        <v>27</v>
      </c>
      <c r="J238" s="2">
        <f t="shared" si="311"/>
        <v>11216</v>
      </c>
      <c r="K238" s="2">
        <f t="shared" si="311"/>
        <v>1</v>
      </c>
      <c r="L238" s="2">
        <f t="shared" si="311"/>
        <v>427</v>
      </c>
      <c r="M238" s="2" t="s">
        <v>29</v>
      </c>
      <c r="N238" s="2">
        <v>42</v>
      </c>
      <c r="O238" s="2">
        <v>21648</v>
      </c>
      <c r="P238" s="8">
        <f t="shared" si="264"/>
        <v>422.23991040000004</v>
      </c>
      <c r="Q238" s="8">
        <f t="shared" si="265"/>
        <v>-4.760089599999958</v>
      </c>
    </row>
    <row r="239" spans="1:17" x14ac:dyDescent="0.25">
      <c r="A239" s="3">
        <v>45070</v>
      </c>
      <c r="B239" s="2" t="s">
        <v>57</v>
      </c>
      <c r="C239" s="2">
        <v>86</v>
      </c>
      <c r="D239" s="2">
        <v>54</v>
      </c>
      <c r="E239" s="2">
        <v>11280</v>
      </c>
      <c r="F239" s="2">
        <v>1</v>
      </c>
      <c r="G239" s="8">
        <v>422</v>
      </c>
      <c r="H239" s="3">
        <v>45072</v>
      </c>
      <c r="I239" s="2" t="s">
        <v>27</v>
      </c>
      <c r="J239" s="2">
        <f t="shared" si="311"/>
        <v>11280</v>
      </c>
      <c r="K239" s="2">
        <f t="shared" si="311"/>
        <v>1</v>
      </c>
      <c r="L239" s="2">
        <f t="shared" si="311"/>
        <v>422</v>
      </c>
      <c r="M239" s="2" t="s">
        <v>29</v>
      </c>
      <c r="N239" s="2">
        <v>42</v>
      </c>
      <c r="O239" s="2">
        <v>21877</v>
      </c>
      <c r="P239" s="8">
        <f t="shared" si="264"/>
        <v>426.70650959999995</v>
      </c>
      <c r="Q239" s="8">
        <f t="shared" si="265"/>
        <v>4.7065095999999471</v>
      </c>
    </row>
    <row r="240" spans="1:17" x14ac:dyDescent="0.25">
      <c r="A240" s="3">
        <v>45070</v>
      </c>
      <c r="B240" s="2" t="s">
        <v>57</v>
      </c>
      <c r="C240" s="2">
        <v>86</v>
      </c>
      <c r="D240" s="2">
        <v>54</v>
      </c>
      <c r="E240" s="2">
        <v>11219</v>
      </c>
      <c r="F240" s="2">
        <v>1</v>
      </c>
      <c r="G240" s="8">
        <v>432</v>
      </c>
      <c r="H240" s="3">
        <v>45072</v>
      </c>
      <c r="I240" s="2" t="s">
        <v>27</v>
      </c>
      <c r="J240" s="2">
        <f t="shared" si="311"/>
        <v>11219</v>
      </c>
      <c r="K240" s="2">
        <f t="shared" si="311"/>
        <v>1</v>
      </c>
      <c r="L240" s="2">
        <f t="shared" si="311"/>
        <v>432</v>
      </c>
      <c r="M240" s="2" t="s">
        <v>29</v>
      </c>
      <c r="N240" s="2">
        <v>42</v>
      </c>
      <c r="O240" s="2">
        <v>22300</v>
      </c>
      <c r="P240" s="8">
        <f t="shared" si="264"/>
        <v>434.95703999999995</v>
      </c>
      <c r="Q240" s="8">
        <f t="shared" si="265"/>
        <v>2.9570399999999495</v>
      </c>
    </row>
    <row r="241" spans="1:17" x14ac:dyDescent="0.25">
      <c r="A241" s="3">
        <v>45070</v>
      </c>
      <c r="B241" s="2" t="s">
        <v>57</v>
      </c>
      <c r="C241" s="2">
        <v>86</v>
      </c>
      <c r="D241" s="2">
        <v>54</v>
      </c>
      <c r="E241" s="2">
        <v>11264</v>
      </c>
      <c r="F241" s="2">
        <v>1</v>
      </c>
      <c r="G241" s="8">
        <v>418</v>
      </c>
      <c r="H241" s="3">
        <v>45071</v>
      </c>
      <c r="I241" s="2" t="s">
        <v>27</v>
      </c>
      <c r="J241" s="2">
        <f t="shared" si="311"/>
        <v>11264</v>
      </c>
      <c r="K241" s="2">
        <f t="shared" si="311"/>
        <v>1</v>
      </c>
      <c r="L241" s="2">
        <f t="shared" si="311"/>
        <v>418</v>
      </c>
      <c r="M241" s="2" t="s">
        <v>29</v>
      </c>
      <c r="N241" s="2">
        <v>42</v>
      </c>
      <c r="O241" s="2">
        <v>20941</v>
      </c>
      <c r="P241" s="8">
        <f t="shared" si="264"/>
        <v>408.45001680000001</v>
      </c>
      <c r="Q241" s="8">
        <f t="shared" si="265"/>
        <v>-9.5499831999999856</v>
      </c>
    </row>
    <row r="242" spans="1:17" x14ac:dyDescent="0.25">
      <c r="A242" s="3">
        <v>45070</v>
      </c>
      <c r="B242" s="2" t="s">
        <v>57</v>
      </c>
      <c r="C242" s="2">
        <v>86</v>
      </c>
      <c r="D242" s="2">
        <v>54</v>
      </c>
      <c r="E242" s="2">
        <v>11278</v>
      </c>
      <c r="F242" s="2">
        <v>1</v>
      </c>
      <c r="G242" s="8">
        <v>443</v>
      </c>
      <c r="H242" s="3">
        <v>45074</v>
      </c>
      <c r="I242" s="2" t="s">
        <v>27</v>
      </c>
      <c r="J242" s="2">
        <f t="shared" si="311"/>
        <v>11278</v>
      </c>
      <c r="K242" s="2">
        <f t="shared" si="311"/>
        <v>1</v>
      </c>
      <c r="L242" s="2">
        <f t="shared" si="311"/>
        <v>443</v>
      </c>
      <c r="M242" s="2" t="s">
        <v>29</v>
      </c>
      <c r="N242" s="2">
        <v>42</v>
      </c>
      <c r="O242" s="2">
        <v>21739</v>
      </c>
      <c r="P242" s="8">
        <f t="shared" si="264"/>
        <v>424.01484720000002</v>
      </c>
      <c r="Q242" s="8">
        <f t="shared" si="265"/>
        <v>-18.98515279999998</v>
      </c>
    </row>
    <row r="243" spans="1:17" x14ac:dyDescent="0.25">
      <c r="A243" s="3">
        <v>45070</v>
      </c>
      <c r="B243" s="2" t="s">
        <v>57</v>
      </c>
      <c r="C243" s="2">
        <v>86</v>
      </c>
      <c r="D243" s="2">
        <v>54</v>
      </c>
      <c r="E243" s="2">
        <v>11266</v>
      </c>
      <c r="F243" s="2">
        <v>1</v>
      </c>
      <c r="G243" s="8">
        <v>407</v>
      </c>
      <c r="H243" s="3">
        <v>45074</v>
      </c>
      <c r="I243" s="2" t="s">
        <v>27</v>
      </c>
      <c r="J243" s="2">
        <f t="shared" ref="J243" si="312">+E243</f>
        <v>11266</v>
      </c>
      <c r="K243" s="2">
        <f t="shared" ref="K243" si="313">+F243</f>
        <v>1</v>
      </c>
      <c r="L243" s="2">
        <f t="shared" ref="L243" si="314">+G243</f>
        <v>407</v>
      </c>
      <c r="M243" s="2" t="s">
        <v>29</v>
      </c>
      <c r="N243" s="2">
        <v>42</v>
      </c>
      <c r="O243" s="2">
        <v>20387</v>
      </c>
      <c r="P243" s="8">
        <f t="shared" si="264"/>
        <v>397.64435760000003</v>
      </c>
      <c r="Q243" s="8">
        <f t="shared" si="265"/>
        <v>-9.3556423999999652</v>
      </c>
    </row>
    <row r="244" spans="1:17" x14ac:dyDescent="0.25">
      <c r="A244" s="3">
        <v>45070</v>
      </c>
      <c r="B244" s="2" t="s">
        <v>57</v>
      </c>
      <c r="C244" s="2">
        <v>86</v>
      </c>
      <c r="D244" s="2">
        <v>54</v>
      </c>
      <c r="E244" s="2">
        <v>11281</v>
      </c>
      <c r="F244" s="2">
        <v>1</v>
      </c>
      <c r="G244" s="8">
        <v>435</v>
      </c>
      <c r="H244" s="3">
        <v>45073</v>
      </c>
      <c r="I244" s="2" t="s">
        <v>27</v>
      </c>
      <c r="J244" s="2">
        <f t="shared" ref="J244" si="315">+E244</f>
        <v>11281</v>
      </c>
      <c r="K244" s="2">
        <f t="shared" ref="K244" si="316">+F244</f>
        <v>1</v>
      </c>
      <c r="L244" s="2">
        <f t="shared" ref="L244" si="317">+G244</f>
        <v>435</v>
      </c>
      <c r="M244" s="2" t="s">
        <v>29</v>
      </c>
      <c r="N244" s="2">
        <v>42</v>
      </c>
      <c r="O244" s="2">
        <v>21489</v>
      </c>
      <c r="P244" s="8">
        <f t="shared" si="264"/>
        <v>419.13864719999992</v>
      </c>
      <c r="Q244" s="8">
        <f t="shared" si="265"/>
        <v>-15.861352800000077</v>
      </c>
    </row>
    <row r="245" spans="1:17" x14ac:dyDescent="0.25">
      <c r="A245" s="3">
        <v>45070</v>
      </c>
      <c r="B245" s="2" t="s">
        <v>57</v>
      </c>
      <c r="C245" s="2">
        <v>86</v>
      </c>
      <c r="D245" s="2">
        <v>54</v>
      </c>
      <c r="E245" s="2">
        <v>11282</v>
      </c>
      <c r="F245" s="2">
        <v>1</v>
      </c>
      <c r="G245" s="8">
        <v>425</v>
      </c>
      <c r="H245" s="3">
        <v>45074</v>
      </c>
      <c r="I245" s="2" t="s">
        <v>27</v>
      </c>
      <c r="J245" s="2">
        <f t="shared" ref="J245" si="318">+E245</f>
        <v>11282</v>
      </c>
      <c r="K245" s="2">
        <f t="shared" ref="K245" si="319">+F245</f>
        <v>1</v>
      </c>
      <c r="L245" s="2">
        <f t="shared" ref="L245" si="320">+G245</f>
        <v>425</v>
      </c>
      <c r="M245" s="2" t="s">
        <v>29</v>
      </c>
      <c r="N245" s="2">
        <v>42</v>
      </c>
      <c r="O245" s="2">
        <v>21231</v>
      </c>
      <c r="P245" s="8">
        <f t="shared" si="264"/>
        <v>414.10640880000005</v>
      </c>
      <c r="Q245" s="8">
        <f t="shared" si="265"/>
        <v>-10.893591199999946</v>
      </c>
    </row>
    <row r="246" spans="1:17" x14ac:dyDescent="0.25">
      <c r="A246" s="3">
        <v>45070</v>
      </c>
      <c r="B246" s="2" t="s">
        <v>57</v>
      </c>
      <c r="C246" s="2">
        <v>86</v>
      </c>
      <c r="D246" s="2">
        <v>54</v>
      </c>
      <c r="E246" s="2">
        <v>11273</v>
      </c>
      <c r="F246" s="2">
        <v>1</v>
      </c>
      <c r="G246" s="8">
        <v>406</v>
      </c>
      <c r="H246" s="3">
        <v>45073</v>
      </c>
      <c r="I246" s="2" t="s">
        <v>27</v>
      </c>
      <c r="J246" s="2">
        <f t="shared" ref="J246" si="321">+E246</f>
        <v>11273</v>
      </c>
      <c r="K246" s="2">
        <f t="shared" ref="K246" si="322">+F246</f>
        <v>1</v>
      </c>
      <c r="L246" s="2">
        <f t="shared" ref="L246" si="323">+G246</f>
        <v>406</v>
      </c>
      <c r="M246" s="2" t="s">
        <v>29</v>
      </c>
      <c r="N246" s="2">
        <v>42</v>
      </c>
      <c r="O246" s="2">
        <v>20644</v>
      </c>
      <c r="P246" s="8">
        <f t="shared" si="264"/>
        <v>402.65709120000002</v>
      </c>
      <c r="Q246" s="8">
        <f t="shared" si="265"/>
        <v>-3.3429087999999751</v>
      </c>
    </row>
    <row r="247" spans="1:17" x14ac:dyDescent="0.25">
      <c r="A247" s="3">
        <v>45070</v>
      </c>
      <c r="B247" s="2" t="s">
        <v>57</v>
      </c>
      <c r="C247" s="2">
        <v>86</v>
      </c>
      <c r="D247" s="2">
        <v>54</v>
      </c>
      <c r="E247" s="2">
        <v>11283</v>
      </c>
      <c r="F247" s="2">
        <v>1</v>
      </c>
      <c r="G247" s="8">
        <v>430</v>
      </c>
      <c r="H247" s="3">
        <v>45074</v>
      </c>
      <c r="I247" s="2" t="s">
        <v>27</v>
      </c>
      <c r="J247" s="2">
        <f t="shared" ref="J247" si="324">+E247</f>
        <v>11283</v>
      </c>
      <c r="K247" s="2">
        <f t="shared" ref="K247" si="325">+F247</f>
        <v>1</v>
      </c>
      <c r="L247" s="2">
        <f t="shared" ref="L247" si="326">+G247</f>
        <v>430</v>
      </c>
      <c r="M247" s="2" t="s">
        <v>29</v>
      </c>
      <c r="N247" s="2">
        <v>42</v>
      </c>
      <c r="O247" s="2">
        <v>21177</v>
      </c>
      <c r="P247" s="8">
        <f t="shared" si="264"/>
        <v>413.05314959999998</v>
      </c>
      <c r="Q247" s="8">
        <f t="shared" si="265"/>
        <v>-16.946850400000017</v>
      </c>
    </row>
    <row r="248" spans="1:17" x14ac:dyDescent="0.25">
      <c r="A248" s="3">
        <v>45070</v>
      </c>
      <c r="B248" s="2" t="s">
        <v>57</v>
      </c>
      <c r="C248" s="2">
        <v>86</v>
      </c>
      <c r="D248" s="2">
        <v>54</v>
      </c>
      <c r="E248" s="2">
        <v>11274</v>
      </c>
      <c r="F248" s="2">
        <v>1</v>
      </c>
      <c r="G248" s="8">
        <v>441</v>
      </c>
      <c r="H248" s="3">
        <v>45071</v>
      </c>
      <c r="I248" s="2" t="s">
        <v>27</v>
      </c>
      <c r="J248" s="2">
        <f t="shared" ref="J248:L250" si="327">+E248</f>
        <v>11274</v>
      </c>
      <c r="K248" s="2">
        <f t="shared" si="327"/>
        <v>1</v>
      </c>
      <c r="L248" s="2">
        <f t="shared" si="327"/>
        <v>441</v>
      </c>
      <c r="M248" s="2" t="s">
        <v>29</v>
      </c>
      <c r="N248" s="2">
        <v>42</v>
      </c>
      <c r="O248" s="2">
        <v>22063</v>
      </c>
      <c r="P248" s="8">
        <f t="shared" si="264"/>
        <v>430.33440239999999</v>
      </c>
      <c r="Q248" s="8">
        <f t="shared" si="265"/>
        <v>-10.665597600000012</v>
      </c>
    </row>
    <row r="249" spans="1:17" x14ac:dyDescent="0.25">
      <c r="A249" s="3">
        <v>45070</v>
      </c>
      <c r="B249" s="2" t="s">
        <v>57</v>
      </c>
      <c r="C249" s="2">
        <v>86</v>
      </c>
      <c r="D249" s="2">
        <v>54</v>
      </c>
      <c r="E249" s="2">
        <v>11284</v>
      </c>
      <c r="F249" s="2">
        <v>1</v>
      </c>
      <c r="G249" s="8">
        <v>431</v>
      </c>
      <c r="H249" s="3">
        <v>45071</v>
      </c>
      <c r="I249" s="2" t="s">
        <v>27</v>
      </c>
      <c r="J249" s="2">
        <f t="shared" si="327"/>
        <v>11284</v>
      </c>
      <c r="K249" s="2">
        <f t="shared" si="327"/>
        <v>1</v>
      </c>
      <c r="L249" s="2">
        <f t="shared" si="327"/>
        <v>431</v>
      </c>
      <c r="M249" s="2" t="s">
        <v>29</v>
      </c>
      <c r="N249" s="2">
        <v>42</v>
      </c>
      <c r="O249" s="2">
        <v>21375</v>
      </c>
      <c r="P249" s="8">
        <f t="shared" si="264"/>
        <v>416.91510000000005</v>
      </c>
      <c r="Q249" s="8">
        <f t="shared" si="265"/>
        <v>-14.084899999999948</v>
      </c>
    </row>
    <row r="250" spans="1:17" x14ac:dyDescent="0.25">
      <c r="A250" s="3">
        <v>45070</v>
      </c>
      <c r="B250" s="2" t="s">
        <v>57</v>
      </c>
      <c r="C250" s="2">
        <v>86</v>
      </c>
      <c r="D250" s="2">
        <v>54</v>
      </c>
      <c r="E250" s="2">
        <v>11223</v>
      </c>
      <c r="F250" s="2">
        <v>1</v>
      </c>
      <c r="G250" s="8">
        <v>436</v>
      </c>
      <c r="H250" s="3">
        <v>45074</v>
      </c>
      <c r="I250" s="2" t="s">
        <v>27</v>
      </c>
      <c r="J250" s="2">
        <f t="shared" si="327"/>
        <v>11223</v>
      </c>
      <c r="K250" s="2">
        <f t="shared" si="327"/>
        <v>1</v>
      </c>
      <c r="L250" s="2">
        <f t="shared" si="327"/>
        <v>436</v>
      </c>
      <c r="M250" s="2" t="s">
        <v>29</v>
      </c>
      <c r="N250" s="2">
        <v>42</v>
      </c>
      <c r="O250" s="2">
        <v>22148</v>
      </c>
      <c r="P250" s="8">
        <f t="shared" si="264"/>
        <v>431.99231039999995</v>
      </c>
      <c r="Q250" s="8">
        <f t="shared" si="265"/>
        <v>-4.0076896000000488</v>
      </c>
    </row>
    <row r="251" spans="1:17" x14ac:dyDescent="0.25">
      <c r="A251" s="3">
        <v>45070</v>
      </c>
      <c r="B251" s="2" t="s">
        <v>57</v>
      </c>
      <c r="C251" s="2">
        <v>86</v>
      </c>
      <c r="D251" s="2">
        <v>54</v>
      </c>
      <c r="E251" s="2">
        <v>11220</v>
      </c>
      <c r="F251" s="2">
        <v>1</v>
      </c>
      <c r="G251" s="8">
        <v>438</v>
      </c>
      <c r="H251" s="3">
        <v>45074</v>
      </c>
      <c r="I251" s="2" t="s">
        <v>27</v>
      </c>
      <c r="J251" s="2">
        <f t="shared" ref="J251" si="328">+E251</f>
        <v>11220</v>
      </c>
      <c r="K251" s="2">
        <f t="shared" ref="K251" si="329">+F251</f>
        <v>1</v>
      </c>
      <c r="L251" s="2">
        <f t="shared" ref="L251" si="330">+G251</f>
        <v>438</v>
      </c>
      <c r="M251" s="2" t="s">
        <v>29</v>
      </c>
      <c r="N251" s="2">
        <v>42</v>
      </c>
      <c r="O251" s="2">
        <v>22235</v>
      </c>
      <c r="P251" s="8">
        <f t="shared" si="264"/>
        <v>433.68922800000007</v>
      </c>
      <c r="Q251" s="8">
        <f t="shared" si="265"/>
        <v>-4.310771999999929</v>
      </c>
    </row>
    <row r="252" spans="1:17" x14ac:dyDescent="0.25">
      <c r="A252" s="3">
        <v>45070</v>
      </c>
      <c r="B252" s="2" t="s">
        <v>57</v>
      </c>
      <c r="C252" s="2">
        <v>86</v>
      </c>
      <c r="D252" s="2">
        <v>54</v>
      </c>
      <c r="E252" s="2">
        <v>11275</v>
      </c>
      <c r="F252" s="2">
        <v>1</v>
      </c>
      <c r="G252" s="8">
        <v>428</v>
      </c>
      <c r="H252" s="3">
        <v>45072</v>
      </c>
      <c r="I252" s="2" t="s">
        <v>27</v>
      </c>
      <c r="J252" s="2">
        <f t="shared" ref="J252:J253" si="331">+E252</f>
        <v>11275</v>
      </c>
      <c r="K252" s="2">
        <f t="shared" ref="K252:K253" si="332">+F252</f>
        <v>1</v>
      </c>
      <c r="L252" s="2">
        <f t="shared" ref="L252:L253" si="333">+G252</f>
        <v>428</v>
      </c>
      <c r="M252" s="2" t="s">
        <v>29</v>
      </c>
      <c r="N252" s="2">
        <v>42</v>
      </c>
      <c r="O252" s="2">
        <v>22066</v>
      </c>
      <c r="P252" s="8">
        <f t="shared" si="264"/>
        <v>430.39291680000002</v>
      </c>
      <c r="Q252" s="8">
        <f t="shared" si="265"/>
        <v>2.3929168000000232</v>
      </c>
    </row>
    <row r="253" spans="1:17" x14ac:dyDescent="0.25">
      <c r="A253" s="3">
        <v>45070</v>
      </c>
      <c r="B253" s="2" t="s">
        <v>57</v>
      </c>
      <c r="C253" s="2">
        <v>86</v>
      </c>
      <c r="D253" s="2">
        <v>54</v>
      </c>
      <c r="E253" s="2">
        <v>11286</v>
      </c>
      <c r="F253" s="2">
        <v>1</v>
      </c>
      <c r="G253" s="8">
        <v>402</v>
      </c>
      <c r="H253" s="3">
        <v>45074</v>
      </c>
      <c r="I253" s="2" t="s">
        <v>27</v>
      </c>
      <c r="J253" s="2">
        <f t="shared" si="331"/>
        <v>11286</v>
      </c>
      <c r="K253" s="2">
        <f t="shared" si="332"/>
        <v>1</v>
      </c>
      <c r="L253" s="2">
        <f t="shared" si="333"/>
        <v>402</v>
      </c>
      <c r="M253" s="2" t="s">
        <v>29</v>
      </c>
      <c r="N253" s="2">
        <v>42</v>
      </c>
      <c r="O253" s="2">
        <v>20024</v>
      </c>
      <c r="P253" s="8">
        <f t="shared" si="264"/>
        <v>390.56411520000006</v>
      </c>
      <c r="Q253" s="8">
        <f t="shared" si="265"/>
        <v>-11.43588479999994</v>
      </c>
    </row>
    <row r="254" spans="1:17" x14ac:dyDescent="0.25">
      <c r="A254" s="3">
        <v>45070</v>
      </c>
      <c r="B254" s="2" t="s">
        <v>57</v>
      </c>
      <c r="C254" s="2">
        <v>86</v>
      </c>
      <c r="D254" s="2">
        <v>54</v>
      </c>
      <c r="E254" s="2">
        <v>11291</v>
      </c>
      <c r="F254" s="2">
        <v>1</v>
      </c>
      <c r="G254" s="8">
        <v>417</v>
      </c>
      <c r="H254" s="3">
        <v>45074</v>
      </c>
      <c r="I254" s="2" t="s">
        <v>27</v>
      </c>
      <c r="J254" s="2">
        <f t="shared" ref="J254" si="334">+E254</f>
        <v>11291</v>
      </c>
      <c r="K254" s="2">
        <f t="shared" ref="K254" si="335">+F254</f>
        <v>1</v>
      </c>
      <c r="L254" s="2">
        <f t="shared" ref="L254" si="336">+G254</f>
        <v>417</v>
      </c>
      <c r="M254" s="2" t="s">
        <v>29</v>
      </c>
      <c r="N254" s="2">
        <v>42</v>
      </c>
      <c r="O254" s="2">
        <v>21991</v>
      </c>
      <c r="P254" s="8">
        <f t="shared" si="264"/>
        <v>428.93005679999993</v>
      </c>
      <c r="Q254" s="8">
        <f t="shared" si="265"/>
        <v>11.930056799999932</v>
      </c>
    </row>
    <row r="255" spans="1:17" x14ac:dyDescent="0.25">
      <c r="A255" s="3">
        <v>45070</v>
      </c>
      <c r="B255" s="2" t="s">
        <v>57</v>
      </c>
      <c r="C255" s="2">
        <v>86</v>
      </c>
      <c r="D255" s="2">
        <v>54</v>
      </c>
      <c r="E255" s="2">
        <v>11217</v>
      </c>
      <c r="F255" s="2">
        <v>1</v>
      </c>
      <c r="G255" s="8">
        <v>433</v>
      </c>
      <c r="H255" s="3">
        <v>45073</v>
      </c>
      <c r="I255" s="2" t="s">
        <v>27</v>
      </c>
      <c r="J255" s="2">
        <f t="shared" ref="J255" si="337">+E255</f>
        <v>11217</v>
      </c>
      <c r="K255" s="2">
        <f t="shared" ref="K255" si="338">+F255</f>
        <v>1</v>
      </c>
      <c r="L255" s="2">
        <f t="shared" ref="L255" si="339">+G255</f>
        <v>433</v>
      </c>
      <c r="M255" s="2" t="s">
        <v>29</v>
      </c>
      <c r="N255" s="2">
        <v>42</v>
      </c>
      <c r="O255" s="2">
        <v>22368</v>
      </c>
      <c r="P255" s="8">
        <f t="shared" si="264"/>
        <v>436.28336639999998</v>
      </c>
      <c r="Q255" s="8">
        <f t="shared" si="265"/>
        <v>3.2833663999999771</v>
      </c>
    </row>
    <row r="256" spans="1:17" x14ac:dyDescent="0.25">
      <c r="A256" s="3">
        <v>45070</v>
      </c>
      <c r="B256" s="2" t="s">
        <v>57</v>
      </c>
      <c r="C256" s="2">
        <v>86</v>
      </c>
      <c r="D256" s="2">
        <v>54</v>
      </c>
      <c r="E256" s="2">
        <v>11221</v>
      </c>
      <c r="F256" s="2">
        <v>1</v>
      </c>
      <c r="G256" s="8">
        <v>433</v>
      </c>
      <c r="H256" s="3">
        <v>45072</v>
      </c>
      <c r="I256" s="2" t="s">
        <v>27</v>
      </c>
      <c r="J256" s="2">
        <f t="shared" ref="J256:L258" si="340">+E256</f>
        <v>11221</v>
      </c>
      <c r="K256" s="2">
        <f t="shared" si="340"/>
        <v>1</v>
      </c>
      <c r="L256" s="2">
        <f t="shared" si="340"/>
        <v>433</v>
      </c>
      <c r="M256" s="2" t="s">
        <v>29</v>
      </c>
      <c r="N256" s="2">
        <v>42</v>
      </c>
      <c r="O256" s="2">
        <v>21322</v>
      </c>
      <c r="P256" s="8">
        <f t="shared" si="264"/>
        <v>415.88134559999997</v>
      </c>
      <c r="Q256" s="8">
        <f t="shared" si="265"/>
        <v>-17.118654400000025</v>
      </c>
    </row>
    <row r="257" spans="1:17" x14ac:dyDescent="0.25">
      <c r="A257" s="3">
        <v>45070</v>
      </c>
      <c r="B257" s="2" t="s">
        <v>57</v>
      </c>
      <c r="C257" s="2">
        <v>86</v>
      </c>
      <c r="D257" s="2">
        <v>54</v>
      </c>
      <c r="E257" s="2">
        <v>11222</v>
      </c>
      <c r="F257" s="2">
        <v>1</v>
      </c>
      <c r="G257" s="8">
        <v>424</v>
      </c>
      <c r="H257" s="3">
        <v>45072</v>
      </c>
      <c r="I257" s="2" t="s">
        <v>27</v>
      </c>
      <c r="J257" s="2">
        <f t="shared" si="340"/>
        <v>11222</v>
      </c>
      <c r="K257" s="2">
        <f t="shared" si="340"/>
        <v>1</v>
      </c>
      <c r="L257" s="2">
        <f t="shared" si="340"/>
        <v>424</v>
      </c>
      <c r="M257" s="2" t="s">
        <v>29</v>
      </c>
      <c r="N257" s="2">
        <v>42</v>
      </c>
      <c r="O257" s="2">
        <v>21482</v>
      </c>
      <c r="P257" s="8">
        <f t="shared" ref="P257:P268" si="341">(O257/20000/500)*C257*D257*N257</f>
        <v>419.00211360000003</v>
      </c>
      <c r="Q257" s="8">
        <f t="shared" ref="Q257:Q268" si="342">+P257-G257</f>
        <v>-4.9978863999999703</v>
      </c>
    </row>
    <row r="258" spans="1:17" x14ac:dyDescent="0.25">
      <c r="A258" s="3">
        <v>45070</v>
      </c>
      <c r="B258" s="2" t="s">
        <v>57</v>
      </c>
      <c r="C258" s="2">
        <v>86</v>
      </c>
      <c r="D258" s="2">
        <v>54</v>
      </c>
      <c r="E258" s="2">
        <v>11265</v>
      </c>
      <c r="F258" s="2">
        <v>1</v>
      </c>
      <c r="G258" s="8">
        <v>424</v>
      </c>
      <c r="H258" s="3">
        <v>45070</v>
      </c>
      <c r="I258" s="2" t="s">
        <v>27</v>
      </c>
      <c r="J258" s="2">
        <f t="shared" si="340"/>
        <v>11265</v>
      </c>
      <c r="K258" s="2">
        <f t="shared" si="340"/>
        <v>1</v>
      </c>
      <c r="L258" s="2">
        <f t="shared" si="340"/>
        <v>424</v>
      </c>
      <c r="M258" s="2" t="s">
        <v>29</v>
      </c>
      <c r="N258" s="2">
        <v>42</v>
      </c>
      <c r="O258" s="2">
        <v>20954</v>
      </c>
      <c r="P258" s="8">
        <f t="shared" si="341"/>
        <v>408.70357920000004</v>
      </c>
      <c r="Q258" s="8">
        <f t="shared" si="342"/>
        <v>-15.296420799999964</v>
      </c>
    </row>
    <row r="259" spans="1:17" x14ac:dyDescent="0.25">
      <c r="A259" s="3">
        <v>45070</v>
      </c>
      <c r="B259" s="2" t="s">
        <v>57</v>
      </c>
      <c r="C259" s="2">
        <v>86</v>
      </c>
      <c r="D259" s="2">
        <v>54</v>
      </c>
      <c r="E259" s="2">
        <v>11267</v>
      </c>
      <c r="F259" s="2">
        <v>1</v>
      </c>
      <c r="G259" s="8">
        <v>435</v>
      </c>
      <c r="H259" s="3">
        <v>45073</v>
      </c>
      <c r="I259" s="2" t="s">
        <v>27</v>
      </c>
      <c r="J259" s="2">
        <f t="shared" ref="J259" si="343">+E259</f>
        <v>11267</v>
      </c>
      <c r="K259" s="2">
        <f t="shared" ref="K259" si="344">+F259</f>
        <v>1</v>
      </c>
      <c r="L259" s="2">
        <f t="shared" ref="L259" si="345">+G259</f>
        <v>435</v>
      </c>
      <c r="M259" s="2" t="s">
        <v>29</v>
      </c>
      <c r="N259" s="2">
        <v>42</v>
      </c>
      <c r="O259" s="2">
        <v>21190</v>
      </c>
      <c r="P259" s="8">
        <f t="shared" si="341"/>
        <v>413.306712</v>
      </c>
      <c r="Q259" s="8">
        <f t="shared" si="342"/>
        <v>-21.693287999999995</v>
      </c>
    </row>
    <row r="260" spans="1:17" x14ac:dyDescent="0.25">
      <c r="A260" s="3">
        <v>45070</v>
      </c>
      <c r="B260" s="2" t="s">
        <v>57</v>
      </c>
      <c r="C260" s="2">
        <v>86</v>
      </c>
      <c r="D260" s="2">
        <v>54</v>
      </c>
      <c r="E260" s="2">
        <v>11272</v>
      </c>
      <c r="F260" s="2">
        <v>1</v>
      </c>
      <c r="G260" s="8">
        <v>427</v>
      </c>
      <c r="H260" s="3">
        <v>45071</v>
      </c>
      <c r="I260" s="2" t="s">
        <v>27</v>
      </c>
      <c r="J260" s="2">
        <f t="shared" ref="J260:L261" si="346">+E260</f>
        <v>11272</v>
      </c>
      <c r="K260" s="2">
        <f t="shared" si="346"/>
        <v>1</v>
      </c>
      <c r="L260" s="2">
        <f t="shared" si="346"/>
        <v>427</v>
      </c>
      <c r="M260" s="2" t="s">
        <v>29</v>
      </c>
      <c r="N260" s="2">
        <v>42</v>
      </c>
      <c r="O260" s="2">
        <v>21218</v>
      </c>
      <c r="P260" s="8">
        <f t="shared" si="341"/>
        <v>413.85284639999998</v>
      </c>
      <c r="Q260" s="8">
        <f t="shared" si="342"/>
        <v>-13.147153600000024</v>
      </c>
    </row>
    <row r="261" spans="1:17" x14ac:dyDescent="0.25">
      <c r="A261" s="3">
        <v>45070</v>
      </c>
      <c r="B261" s="2" t="s">
        <v>57</v>
      </c>
      <c r="C261" s="2">
        <v>86</v>
      </c>
      <c r="D261" s="2">
        <v>54</v>
      </c>
      <c r="E261" s="2">
        <v>11268</v>
      </c>
      <c r="F261" s="2">
        <v>1</v>
      </c>
      <c r="G261" s="8">
        <v>431</v>
      </c>
      <c r="H261" s="3">
        <v>45071</v>
      </c>
      <c r="I261" s="2" t="s">
        <v>27</v>
      </c>
      <c r="J261" s="2">
        <f t="shared" si="346"/>
        <v>11268</v>
      </c>
      <c r="K261" s="2">
        <f t="shared" si="346"/>
        <v>1</v>
      </c>
      <c r="L261" s="2">
        <f t="shared" si="346"/>
        <v>431</v>
      </c>
      <c r="M261" s="2" t="s">
        <v>29</v>
      </c>
      <c r="N261" s="2">
        <v>42</v>
      </c>
      <c r="O261" s="2">
        <v>21301</v>
      </c>
      <c r="P261" s="8">
        <f t="shared" si="341"/>
        <v>415.47174480000001</v>
      </c>
      <c r="Q261" s="8">
        <f t="shared" si="342"/>
        <v>-15.52825519999999</v>
      </c>
    </row>
    <row r="262" spans="1:17" x14ac:dyDescent="0.25">
      <c r="A262" s="3">
        <v>45070</v>
      </c>
      <c r="B262" s="2" t="s">
        <v>57</v>
      </c>
      <c r="C262" s="2">
        <v>86</v>
      </c>
      <c r="D262" s="2">
        <v>54</v>
      </c>
      <c r="E262" s="2">
        <v>11269</v>
      </c>
      <c r="F262" s="2">
        <v>1</v>
      </c>
      <c r="G262" s="8">
        <v>410</v>
      </c>
      <c r="H262" s="3">
        <v>45074</v>
      </c>
      <c r="I262" s="2" t="s">
        <v>27</v>
      </c>
      <c r="J262" s="2">
        <f t="shared" ref="J262" si="347">+E262</f>
        <v>11269</v>
      </c>
      <c r="K262" s="2">
        <f t="shared" ref="K262" si="348">+F262</f>
        <v>1</v>
      </c>
      <c r="L262" s="2">
        <f t="shared" ref="L262" si="349">+G262</f>
        <v>410</v>
      </c>
      <c r="M262" s="2" t="s">
        <v>29</v>
      </c>
      <c r="N262" s="2">
        <v>42</v>
      </c>
      <c r="O262" s="2">
        <v>20812</v>
      </c>
      <c r="P262" s="8">
        <f t="shared" si="341"/>
        <v>405.93389760000002</v>
      </c>
      <c r="Q262" s="8">
        <f t="shared" si="342"/>
        <v>-4.066102399999977</v>
      </c>
    </row>
    <row r="263" spans="1:17" x14ac:dyDescent="0.25">
      <c r="A263" s="3">
        <v>45070</v>
      </c>
      <c r="B263" s="2" t="s">
        <v>57</v>
      </c>
      <c r="C263" s="2">
        <v>86</v>
      </c>
      <c r="D263" s="2">
        <v>54</v>
      </c>
      <c r="E263" s="2">
        <v>11276</v>
      </c>
      <c r="F263" s="2">
        <v>1</v>
      </c>
      <c r="G263" s="8">
        <v>394</v>
      </c>
      <c r="H263" s="3">
        <v>45071</v>
      </c>
      <c r="I263" s="2" t="s">
        <v>27</v>
      </c>
      <c r="J263" s="2">
        <f t="shared" ref="J263:L264" si="350">+E263</f>
        <v>11276</v>
      </c>
      <c r="K263" s="2">
        <f t="shared" si="350"/>
        <v>1</v>
      </c>
      <c r="L263" s="2">
        <f t="shared" si="350"/>
        <v>394</v>
      </c>
      <c r="M263" s="2" t="s">
        <v>29</v>
      </c>
      <c r="N263" s="2">
        <v>42</v>
      </c>
      <c r="O263" s="2">
        <v>20015</v>
      </c>
      <c r="P263" s="8">
        <f t="shared" si="341"/>
        <v>390.38857200000007</v>
      </c>
      <c r="Q263" s="8">
        <f t="shared" si="342"/>
        <v>-3.6114279999999326</v>
      </c>
    </row>
    <row r="264" spans="1:17" x14ac:dyDescent="0.25">
      <c r="A264" s="3">
        <v>45070</v>
      </c>
      <c r="B264" s="2" t="s">
        <v>57</v>
      </c>
      <c r="C264" s="2">
        <v>86</v>
      </c>
      <c r="D264" s="2">
        <v>54</v>
      </c>
      <c r="E264" s="2">
        <v>11270</v>
      </c>
      <c r="F264" s="2">
        <v>1</v>
      </c>
      <c r="G264" s="8">
        <v>435</v>
      </c>
      <c r="H264" s="3">
        <v>45072</v>
      </c>
      <c r="I264" s="2" t="s">
        <v>27</v>
      </c>
      <c r="J264" s="2">
        <f t="shared" si="350"/>
        <v>11270</v>
      </c>
      <c r="K264" s="2">
        <f t="shared" si="350"/>
        <v>1</v>
      </c>
      <c r="L264" s="2">
        <f t="shared" si="350"/>
        <v>435</v>
      </c>
      <c r="M264" s="2" t="s">
        <v>29</v>
      </c>
      <c r="N264" s="2">
        <v>42</v>
      </c>
      <c r="O264" s="2">
        <v>21009</v>
      </c>
      <c r="P264" s="8">
        <f t="shared" si="341"/>
        <v>409.77634319999999</v>
      </c>
      <c r="Q264" s="8">
        <f t="shared" si="342"/>
        <v>-25.223656800000015</v>
      </c>
    </row>
    <row r="265" spans="1:17" x14ac:dyDescent="0.25">
      <c r="A265" s="3">
        <v>45070</v>
      </c>
      <c r="B265" s="2" t="s">
        <v>57</v>
      </c>
      <c r="C265" s="2">
        <v>86</v>
      </c>
      <c r="D265" s="2">
        <v>54</v>
      </c>
      <c r="E265" s="2">
        <v>11277</v>
      </c>
      <c r="F265" s="2">
        <v>1</v>
      </c>
      <c r="G265" s="8">
        <v>437</v>
      </c>
      <c r="H265" s="3">
        <v>45074</v>
      </c>
      <c r="I265" s="2" t="s">
        <v>27</v>
      </c>
      <c r="J265" s="2">
        <f t="shared" ref="J265" si="351">+E265</f>
        <v>11277</v>
      </c>
      <c r="K265" s="2">
        <f t="shared" ref="K265" si="352">+F265</f>
        <v>1</v>
      </c>
      <c r="L265" s="2">
        <f t="shared" ref="L265" si="353">+G265</f>
        <v>437</v>
      </c>
      <c r="M265" s="2" t="s">
        <v>29</v>
      </c>
      <c r="N265" s="2">
        <v>42</v>
      </c>
      <c r="O265" s="2">
        <v>21747</v>
      </c>
      <c r="P265" s="8">
        <f t="shared" si="341"/>
        <v>424.17088560000002</v>
      </c>
      <c r="Q265" s="8">
        <f t="shared" si="342"/>
        <v>-12.82911439999998</v>
      </c>
    </row>
    <row r="266" spans="1:17" x14ac:dyDescent="0.25">
      <c r="A266" s="3">
        <v>45070</v>
      </c>
      <c r="B266" s="2" t="s">
        <v>57</v>
      </c>
      <c r="C266" s="2">
        <v>86</v>
      </c>
      <c r="D266" s="2">
        <v>54</v>
      </c>
      <c r="E266" s="2">
        <v>11271</v>
      </c>
      <c r="F266" s="2">
        <v>1</v>
      </c>
      <c r="G266" s="8">
        <v>439</v>
      </c>
      <c r="H266" s="3">
        <v>45071</v>
      </c>
      <c r="I266" s="2" t="s">
        <v>27</v>
      </c>
      <c r="J266" s="2">
        <f t="shared" ref="J266:L267" si="354">+E266</f>
        <v>11271</v>
      </c>
      <c r="K266" s="2">
        <f t="shared" si="354"/>
        <v>1</v>
      </c>
      <c r="L266" s="2">
        <f t="shared" si="354"/>
        <v>439</v>
      </c>
      <c r="M266" s="2" t="s">
        <v>29</v>
      </c>
      <c r="N266" s="2">
        <v>42</v>
      </c>
      <c r="O266" s="2">
        <v>21189</v>
      </c>
      <c r="P266" s="8">
        <f t="shared" si="341"/>
        <v>413.28720720000001</v>
      </c>
      <c r="Q266" s="8">
        <f t="shared" si="342"/>
        <v>-25.712792799999988</v>
      </c>
    </row>
    <row r="267" spans="1:17" x14ac:dyDescent="0.25">
      <c r="A267" s="3">
        <v>45070</v>
      </c>
      <c r="B267" s="2" t="s">
        <v>57</v>
      </c>
      <c r="C267" s="2">
        <v>86</v>
      </c>
      <c r="D267" s="2">
        <v>54</v>
      </c>
      <c r="E267" s="2">
        <v>11279</v>
      </c>
      <c r="F267" s="2">
        <v>1</v>
      </c>
      <c r="G267" s="8">
        <v>417</v>
      </c>
      <c r="H267" s="3">
        <v>45072</v>
      </c>
      <c r="I267" s="2" t="s">
        <v>27</v>
      </c>
      <c r="J267" s="2">
        <f t="shared" si="354"/>
        <v>11279</v>
      </c>
      <c r="K267" s="2">
        <f t="shared" si="354"/>
        <v>1</v>
      </c>
      <c r="L267" s="2">
        <f t="shared" si="354"/>
        <v>417</v>
      </c>
      <c r="M267" s="2" t="s">
        <v>29</v>
      </c>
      <c r="N267" s="2">
        <v>42</v>
      </c>
      <c r="O267" s="2">
        <v>21730</v>
      </c>
      <c r="P267" s="8">
        <f t="shared" si="341"/>
        <v>423.83930400000003</v>
      </c>
      <c r="Q267" s="8">
        <f t="shared" si="342"/>
        <v>6.8393040000000269</v>
      </c>
    </row>
    <row r="268" spans="1:17" x14ac:dyDescent="0.25">
      <c r="A268" s="3">
        <v>45070</v>
      </c>
      <c r="B268" s="2" t="s">
        <v>57</v>
      </c>
      <c r="C268" s="2">
        <v>86</v>
      </c>
      <c r="D268" s="2">
        <v>54</v>
      </c>
      <c r="E268" s="2">
        <v>11285</v>
      </c>
      <c r="F268" s="2">
        <v>1</v>
      </c>
      <c r="G268" s="8">
        <v>407</v>
      </c>
      <c r="H268" s="3">
        <v>45074</v>
      </c>
      <c r="I268" s="2" t="s">
        <v>27</v>
      </c>
      <c r="J268" s="2">
        <f t="shared" ref="J268" si="355">+E268</f>
        <v>11285</v>
      </c>
      <c r="K268" s="2">
        <f t="shared" ref="K268" si="356">+F268</f>
        <v>1</v>
      </c>
      <c r="L268" s="2">
        <f t="shared" ref="L268" si="357">+G268</f>
        <v>407</v>
      </c>
      <c r="M268" s="2" t="s">
        <v>29</v>
      </c>
      <c r="N268" s="2">
        <v>42</v>
      </c>
      <c r="O268" s="2">
        <v>20151</v>
      </c>
      <c r="P268" s="8">
        <f t="shared" si="341"/>
        <v>393.0412247999999</v>
      </c>
      <c r="Q268" s="8">
        <f t="shared" si="342"/>
        <v>-13.958775200000105</v>
      </c>
    </row>
    <row r="269" spans="1:17" x14ac:dyDescent="0.25">
      <c r="A269" s="3">
        <v>45073</v>
      </c>
      <c r="B269" s="2" t="s">
        <v>72</v>
      </c>
      <c r="C269" s="2">
        <v>88</v>
      </c>
      <c r="D269" s="2">
        <v>64</v>
      </c>
      <c r="E269" s="2">
        <v>109290</v>
      </c>
      <c r="F269" s="2">
        <v>1</v>
      </c>
      <c r="G269" s="8">
        <v>482.3</v>
      </c>
      <c r="H269" s="3">
        <v>45076</v>
      </c>
      <c r="I269" s="2" t="s">
        <v>27</v>
      </c>
      <c r="J269" s="2">
        <f>+E269</f>
        <v>109290</v>
      </c>
      <c r="K269" s="2">
        <f>+F269</f>
        <v>1</v>
      </c>
      <c r="L269" s="17">
        <f>+G269</f>
        <v>482.3</v>
      </c>
      <c r="M269" s="2" t="s">
        <v>29</v>
      </c>
      <c r="N269" s="2">
        <v>42</v>
      </c>
      <c r="O269" s="2">
        <v>20525</v>
      </c>
      <c r="P269" s="8">
        <f t="shared" ref="P269:P302" si="358">(O269/20000/500)*C269*D269*N269</f>
        <v>485.50656000000004</v>
      </c>
      <c r="Q269" s="31">
        <f t="shared" ref="Q269:Q302" si="359">+P269-G269</f>
        <v>3.2065600000000245</v>
      </c>
    </row>
    <row r="270" spans="1:17" x14ac:dyDescent="0.25">
      <c r="A270" s="3">
        <v>45073</v>
      </c>
      <c r="B270" s="2" t="s">
        <v>72</v>
      </c>
      <c r="C270" s="2">
        <v>88</v>
      </c>
      <c r="D270" s="2">
        <v>64</v>
      </c>
      <c r="E270" s="2">
        <v>109300</v>
      </c>
      <c r="F270" s="2">
        <v>1</v>
      </c>
      <c r="G270" s="8">
        <v>530.1</v>
      </c>
      <c r="H270" s="2"/>
      <c r="I270" s="2"/>
      <c r="J270" s="2"/>
      <c r="K270" s="2"/>
      <c r="L270" s="2"/>
      <c r="M270" s="2"/>
      <c r="N270" s="2"/>
      <c r="O270" s="2"/>
      <c r="P270" s="8">
        <f t="shared" si="358"/>
        <v>0</v>
      </c>
      <c r="Q270" s="8">
        <f t="shared" si="359"/>
        <v>-530.1</v>
      </c>
    </row>
    <row r="271" spans="1:17" x14ac:dyDescent="0.25">
      <c r="A271" s="3">
        <v>45073</v>
      </c>
      <c r="B271" s="2" t="s">
        <v>72</v>
      </c>
      <c r="C271" s="2">
        <v>88</v>
      </c>
      <c r="D271" s="2">
        <v>64</v>
      </c>
      <c r="E271" s="2">
        <v>109301</v>
      </c>
      <c r="F271" s="2">
        <v>1</v>
      </c>
      <c r="G271" s="8">
        <v>526.4</v>
      </c>
      <c r="H271" s="3">
        <v>45076</v>
      </c>
      <c r="I271" s="2" t="s">
        <v>27</v>
      </c>
      <c r="J271" s="2">
        <f>+E271</f>
        <v>109301</v>
      </c>
      <c r="K271" s="2">
        <f>+F271</f>
        <v>1</v>
      </c>
      <c r="L271" s="17">
        <f>+G271</f>
        <v>526.4</v>
      </c>
      <c r="M271" s="2" t="s">
        <v>29</v>
      </c>
      <c r="N271" s="2">
        <v>42</v>
      </c>
      <c r="O271" s="2">
        <v>22567</v>
      </c>
      <c r="P271" s="8">
        <f t="shared" si="358"/>
        <v>533.80884479999997</v>
      </c>
      <c r="Q271" s="8">
        <f t="shared" si="359"/>
        <v>7.4088447999999971</v>
      </c>
    </row>
    <row r="272" spans="1:17" x14ac:dyDescent="0.25">
      <c r="A272" s="3">
        <v>45073</v>
      </c>
      <c r="B272" s="2" t="s">
        <v>72</v>
      </c>
      <c r="C272" s="2">
        <v>88</v>
      </c>
      <c r="D272" s="2">
        <v>64</v>
      </c>
      <c r="E272" s="2">
        <v>109302</v>
      </c>
      <c r="F272" s="2">
        <v>1</v>
      </c>
      <c r="G272" s="8">
        <v>526.4</v>
      </c>
      <c r="H272" s="2"/>
      <c r="I272" s="2"/>
      <c r="J272" s="2"/>
      <c r="K272" s="2"/>
      <c r="L272" s="2"/>
      <c r="M272" s="2"/>
      <c r="N272" s="2"/>
      <c r="O272" s="2"/>
      <c r="P272" s="8">
        <f t="shared" ref="P272" si="360">(O272/20000/500)*C272*D272*N272</f>
        <v>0</v>
      </c>
      <c r="Q272" s="8">
        <f t="shared" ref="Q272" si="361">+P272-G272</f>
        <v>-526.4</v>
      </c>
    </row>
    <row r="273" spans="1:17" x14ac:dyDescent="0.25">
      <c r="A273" s="3">
        <v>45073</v>
      </c>
      <c r="B273" s="2" t="s">
        <v>72</v>
      </c>
      <c r="C273" s="2">
        <v>88</v>
      </c>
      <c r="D273" s="2">
        <v>64</v>
      </c>
      <c r="E273" s="2">
        <v>109304</v>
      </c>
      <c r="F273" s="2">
        <v>1</v>
      </c>
      <c r="G273" s="8">
        <v>524.6</v>
      </c>
      <c r="H273" s="3">
        <v>45077</v>
      </c>
      <c r="I273" s="2" t="s">
        <v>27</v>
      </c>
      <c r="J273" s="2">
        <f t="shared" ref="J273:L275" si="362">+E273</f>
        <v>109304</v>
      </c>
      <c r="K273" s="2">
        <f t="shared" si="362"/>
        <v>1</v>
      </c>
      <c r="L273" s="17">
        <f t="shared" si="362"/>
        <v>524.6</v>
      </c>
      <c r="M273" s="2" t="s">
        <v>29</v>
      </c>
      <c r="N273" s="2">
        <v>42</v>
      </c>
      <c r="O273" s="2">
        <v>21899</v>
      </c>
      <c r="P273" s="8">
        <f t="shared" si="358"/>
        <v>518.00770560000012</v>
      </c>
      <c r="Q273" s="8">
        <f t="shared" si="359"/>
        <v>-6.5922943999999006</v>
      </c>
    </row>
    <row r="274" spans="1:17" x14ac:dyDescent="0.25">
      <c r="A274" s="3">
        <v>45073</v>
      </c>
      <c r="B274" s="2" t="s">
        <v>72</v>
      </c>
      <c r="C274" s="2">
        <v>88</v>
      </c>
      <c r="D274" s="2">
        <v>64</v>
      </c>
      <c r="E274" s="2">
        <v>109305</v>
      </c>
      <c r="F274" s="2">
        <v>1</v>
      </c>
      <c r="G274" s="8">
        <v>516.9</v>
      </c>
      <c r="H274" s="3">
        <v>45077</v>
      </c>
      <c r="I274" s="2" t="s">
        <v>27</v>
      </c>
      <c r="J274" s="2">
        <f t="shared" si="362"/>
        <v>109305</v>
      </c>
      <c r="K274" s="2">
        <f t="shared" si="362"/>
        <v>1</v>
      </c>
      <c r="L274" s="17">
        <f t="shared" si="362"/>
        <v>516.9</v>
      </c>
      <c r="M274" s="2" t="s">
        <v>29</v>
      </c>
      <c r="N274" s="2">
        <v>42</v>
      </c>
      <c r="O274" s="2">
        <v>21893</v>
      </c>
      <c r="P274" s="8">
        <f t="shared" si="358"/>
        <v>517.86577920000002</v>
      </c>
      <c r="Q274" s="8">
        <f t="shared" si="359"/>
        <v>0.96577920000004269</v>
      </c>
    </row>
    <row r="275" spans="1:17" x14ac:dyDescent="0.25">
      <c r="A275" s="3">
        <v>45073</v>
      </c>
      <c r="B275" s="2" t="s">
        <v>72</v>
      </c>
      <c r="C275" s="2">
        <v>88</v>
      </c>
      <c r="D275" s="2">
        <v>64</v>
      </c>
      <c r="E275" s="2">
        <v>109306</v>
      </c>
      <c r="F275" s="2">
        <v>1</v>
      </c>
      <c r="G275" s="8">
        <v>516.79999999999995</v>
      </c>
      <c r="H275" s="3">
        <v>45076</v>
      </c>
      <c r="I275" s="2" t="s">
        <v>27</v>
      </c>
      <c r="J275" s="2">
        <f t="shared" si="362"/>
        <v>109306</v>
      </c>
      <c r="K275" s="2">
        <f t="shared" si="362"/>
        <v>1</v>
      </c>
      <c r="L275" s="17">
        <f t="shared" si="362"/>
        <v>516.79999999999995</v>
      </c>
      <c r="M275" s="2" t="s">
        <v>29</v>
      </c>
      <c r="N275" s="2">
        <v>42</v>
      </c>
      <c r="O275" s="2">
        <v>21851</v>
      </c>
      <c r="P275" s="8">
        <f t="shared" si="358"/>
        <v>516.87229439999999</v>
      </c>
      <c r="Q275" s="8">
        <f t="shared" si="359"/>
        <v>7.229440000003251E-2</v>
      </c>
    </row>
    <row r="276" spans="1:17" x14ac:dyDescent="0.25">
      <c r="A276" s="3">
        <v>45073</v>
      </c>
      <c r="B276" s="2" t="s">
        <v>72</v>
      </c>
      <c r="C276" s="2">
        <v>88</v>
      </c>
      <c r="D276" s="2">
        <v>64</v>
      </c>
      <c r="E276" s="2">
        <v>109308</v>
      </c>
      <c r="F276" s="2">
        <v>1</v>
      </c>
      <c r="G276" s="8">
        <v>544.29999999999995</v>
      </c>
      <c r="H276" s="2"/>
      <c r="I276" s="2"/>
      <c r="J276" s="2"/>
      <c r="K276" s="2"/>
      <c r="L276" s="2"/>
      <c r="M276" s="2"/>
      <c r="N276" s="2"/>
      <c r="O276" s="2"/>
      <c r="P276" s="8">
        <f t="shared" si="358"/>
        <v>0</v>
      </c>
      <c r="Q276" s="8">
        <f t="shared" si="359"/>
        <v>-544.29999999999995</v>
      </c>
    </row>
    <row r="277" spans="1:17" x14ac:dyDescent="0.25">
      <c r="A277" s="3">
        <v>45073</v>
      </c>
      <c r="B277" s="2" t="s">
        <v>72</v>
      </c>
      <c r="C277" s="2">
        <v>88</v>
      </c>
      <c r="D277" s="2">
        <v>64</v>
      </c>
      <c r="E277" s="2">
        <v>109309</v>
      </c>
      <c r="F277" s="2">
        <v>1</v>
      </c>
      <c r="G277" s="8">
        <v>540.29999999999995</v>
      </c>
      <c r="H277" s="2"/>
      <c r="I277" s="2"/>
      <c r="J277" s="2"/>
      <c r="K277" s="2"/>
      <c r="L277" s="2"/>
      <c r="M277" s="2"/>
      <c r="N277" s="2"/>
      <c r="O277" s="2"/>
      <c r="P277" s="8">
        <f t="shared" si="358"/>
        <v>0</v>
      </c>
      <c r="Q277" s="8">
        <f t="shared" si="359"/>
        <v>-540.29999999999995</v>
      </c>
    </row>
    <row r="278" spans="1:17" s="35" customFormat="1" x14ac:dyDescent="0.25">
      <c r="A278" s="32">
        <v>45073</v>
      </c>
      <c r="B278" s="33" t="s">
        <v>72</v>
      </c>
      <c r="C278" s="33">
        <v>88</v>
      </c>
      <c r="D278" s="33">
        <v>64</v>
      </c>
      <c r="E278" s="33">
        <v>109310</v>
      </c>
      <c r="F278" s="33">
        <v>1</v>
      </c>
      <c r="G278" s="34">
        <v>538.70000000000005</v>
      </c>
      <c r="H278" s="32">
        <v>45079</v>
      </c>
      <c r="I278" s="33" t="s">
        <v>27</v>
      </c>
      <c r="J278" s="33">
        <f t="shared" ref="J278" si="363">+E278</f>
        <v>109310</v>
      </c>
      <c r="K278" s="33">
        <f t="shared" ref="K278" si="364">+F278</f>
        <v>1</v>
      </c>
      <c r="L278" s="37">
        <f t="shared" ref="L278" si="365">+G278</f>
        <v>538.70000000000005</v>
      </c>
      <c r="M278" s="33" t="s">
        <v>30</v>
      </c>
      <c r="N278" s="33">
        <v>42</v>
      </c>
      <c r="O278" s="33">
        <v>23458</v>
      </c>
      <c r="P278" s="34">
        <f t="shared" si="358"/>
        <v>554.88491520000002</v>
      </c>
      <c r="Q278" s="34">
        <f t="shared" si="359"/>
        <v>16.184915199999978</v>
      </c>
    </row>
    <row r="279" spans="1:17" x14ac:dyDescent="0.25">
      <c r="A279" s="3">
        <v>45073</v>
      </c>
      <c r="B279" s="2" t="s">
        <v>72</v>
      </c>
      <c r="C279" s="2">
        <v>88</v>
      </c>
      <c r="D279" s="2">
        <v>64</v>
      </c>
      <c r="E279" s="2">
        <v>109312</v>
      </c>
      <c r="F279" s="2">
        <v>1</v>
      </c>
      <c r="G279" s="8">
        <v>543.1</v>
      </c>
      <c r="H279" s="2"/>
      <c r="I279" s="2"/>
      <c r="J279" s="2"/>
      <c r="K279" s="2"/>
      <c r="L279" s="2"/>
      <c r="M279" s="2"/>
      <c r="N279" s="2"/>
      <c r="O279" s="2"/>
      <c r="P279" s="8">
        <f t="shared" si="358"/>
        <v>0</v>
      </c>
      <c r="Q279" s="8">
        <f t="shared" si="359"/>
        <v>-543.1</v>
      </c>
    </row>
    <row r="280" spans="1:17" x14ac:dyDescent="0.25">
      <c r="A280" s="3">
        <v>45073</v>
      </c>
      <c r="B280" s="2" t="s">
        <v>72</v>
      </c>
      <c r="C280" s="2">
        <v>88</v>
      </c>
      <c r="D280" s="2">
        <v>64</v>
      </c>
      <c r="E280" s="2">
        <v>109313</v>
      </c>
      <c r="F280" s="2">
        <v>1</v>
      </c>
      <c r="G280" s="8">
        <v>539.79999999999995</v>
      </c>
      <c r="H280" s="3">
        <v>45077</v>
      </c>
      <c r="I280" s="2" t="s">
        <v>88</v>
      </c>
      <c r="J280" s="2">
        <f>+E280</f>
        <v>109313</v>
      </c>
      <c r="K280" s="2">
        <f>+F280</f>
        <v>1</v>
      </c>
      <c r="L280" s="17">
        <f>+G280</f>
        <v>539.79999999999995</v>
      </c>
      <c r="M280" s="2" t="s">
        <v>30</v>
      </c>
      <c r="N280" s="2">
        <v>42</v>
      </c>
      <c r="O280" s="2">
        <v>22865</v>
      </c>
      <c r="P280" s="8">
        <f t="shared" si="358"/>
        <v>540.85785600000008</v>
      </c>
      <c r="Q280" s="8">
        <f t="shared" si="359"/>
        <v>1.0578560000001289</v>
      </c>
    </row>
    <row r="281" spans="1:17" x14ac:dyDescent="0.25">
      <c r="A281" s="3">
        <v>45073</v>
      </c>
      <c r="B281" s="2" t="s">
        <v>72</v>
      </c>
      <c r="C281" s="2">
        <v>88</v>
      </c>
      <c r="D281" s="2">
        <v>64</v>
      </c>
      <c r="E281" s="2">
        <v>109314</v>
      </c>
      <c r="F281" s="2">
        <v>1</v>
      </c>
      <c r="G281" s="8">
        <v>539.79999999999995</v>
      </c>
      <c r="H281" s="2"/>
      <c r="I281" s="2"/>
      <c r="J281" s="2"/>
      <c r="K281" s="2"/>
      <c r="L281" s="2"/>
      <c r="M281" s="2"/>
      <c r="N281" s="2"/>
      <c r="O281" s="2"/>
      <c r="P281" s="8">
        <f t="shared" si="358"/>
        <v>0</v>
      </c>
      <c r="Q281" s="8">
        <f t="shared" si="359"/>
        <v>-539.79999999999995</v>
      </c>
    </row>
    <row r="282" spans="1:17" x14ac:dyDescent="0.25">
      <c r="A282" s="3">
        <v>45073</v>
      </c>
      <c r="B282" s="2" t="s">
        <v>72</v>
      </c>
      <c r="C282" s="2">
        <v>88</v>
      </c>
      <c r="D282" s="2">
        <v>64</v>
      </c>
      <c r="E282" s="2">
        <v>109316</v>
      </c>
      <c r="F282" s="2">
        <v>1</v>
      </c>
      <c r="G282" s="8">
        <v>500.7</v>
      </c>
      <c r="H282" s="2"/>
      <c r="I282" s="2"/>
      <c r="J282" s="2"/>
      <c r="K282" s="2"/>
      <c r="L282" s="2"/>
      <c r="M282" s="2"/>
      <c r="N282" s="2"/>
      <c r="O282" s="2"/>
      <c r="P282" s="8">
        <f t="shared" si="358"/>
        <v>0</v>
      </c>
      <c r="Q282" s="8">
        <f t="shared" si="359"/>
        <v>-500.7</v>
      </c>
    </row>
    <row r="283" spans="1:17" x14ac:dyDescent="0.25">
      <c r="A283" s="3">
        <v>45073</v>
      </c>
      <c r="B283" s="2" t="s">
        <v>72</v>
      </c>
      <c r="C283" s="2">
        <v>88</v>
      </c>
      <c r="D283" s="2">
        <v>64</v>
      </c>
      <c r="E283" s="2">
        <v>109317</v>
      </c>
      <c r="F283" s="2">
        <v>1</v>
      </c>
      <c r="G283" s="8">
        <v>497.4</v>
      </c>
      <c r="H283" s="2"/>
      <c r="I283" s="2"/>
      <c r="J283" s="2"/>
      <c r="K283" s="2"/>
      <c r="L283" s="2"/>
      <c r="M283" s="2"/>
      <c r="N283" s="2"/>
      <c r="O283" s="2"/>
      <c r="P283" s="8">
        <f t="shared" si="358"/>
        <v>0</v>
      </c>
      <c r="Q283" s="8">
        <f t="shared" si="359"/>
        <v>-497.4</v>
      </c>
    </row>
    <row r="284" spans="1:17" x14ac:dyDescent="0.25">
      <c r="A284" s="3">
        <v>45073</v>
      </c>
      <c r="B284" s="2" t="s">
        <v>72</v>
      </c>
      <c r="C284" s="2">
        <v>88</v>
      </c>
      <c r="D284" s="2">
        <v>64</v>
      </c>
      <c r="E284" s="2">
        <v>109318</v>
      </c>
      <c r="F284" s="2">
        <v>1</v>
      </c>
      <c r="G284" s="8">
        <v>497.2</v>
      </c>
      <c r="H284" s="2"/>
      <c r="I284" s="2"/>
      <c r="J284" s="2"/>
      <c r="K284" s="2"/>
      <c r="L284" s="2"/>
      <c r="M284" s="2"/>
      <c r="N284" s="2"/>
      <c r="O284" s="2"/>
      <c r="P284" s="8">
        <f t="shared" si="358"/>
        <v>0</v>
      </c>
      <c r="Q284" s="8">
        <f t="shared" si="359"/>
        <v>-497.2</v>
      </c>
    </row>
    <row r="285" spans="1:17" x14ac:dyDescent="0.25">
      <c r="A285" s="3">
        <v>45073</v>
      </c>
      <c r="B285" s="2" t="s">
        <v>72</v>
      </c>
      <c r="C285" s="2">
        <v>88</v>
      </c>
      <c r="D285" s="2">
        <v>64</v>
      </c>
      <c r="E285" s="2">
        <v>109326</v>
      </c>
      <c r="F285" s="2">
        <v>1</v>
      </c>
      <c r="G285" s="8">
        <v>545.70000000000005</v>
      </c>
      <c r="H285" s="2"/>
      <c r="I285" s="2"/>
      <c r="J285" s="2"/>
      <c r="K285" s="2"/>
      <c r="L285" s="2"/>
      <c r="M285" s="2"/>
      <c r="N285" s="2"/>
      <c r="O285" s="2"/>
      <c r="P285" s="8">
        <f t="shared" si="358"/>
        <v>0</v>
      </c>
      <c r="Q285" s="8">
        <f t="shared" si="359"/>
        <v>-545.70000000000005</v>
      </c>
    </row>
    <row r="286" spans="1:17" x14ac:dyDescent="0.25">
      <c r="A286" s="3">
        <v>45073</v>
      </c>
      <c r="B286" s="2" t="s">
        <v>72</v>
      </c>
      <c r="C286" s="2">
        <v>88</v>
      </c>
      <c r="D286" s="2">
        <v>64</v>
      </c>
      <c r="E286" s="2">
        <v>109327</v>
      </c>
      <c r="F286" s="2">
        <v>1</v>
      </c>
      <c r="G286" s="8">
        <v>541.29999999999995</v>
      </c>
      <c r="H286" s="2"/>
      <c r="I286" s="2"/>
      <c r="J286" s="2"/>
      <c r="K286" s="2"/>
      <c r="L286" s="2"/>
      <c r="M286" s="2"/>
      <c r="N286" s="2"/>
      <c r="O286" s="2"/>
      <c r="P286" s="8">
        <f t="shared" si="358"/>
        <v>0</v>
      </c>
      <c r="Q286" s="8">
        <f t="shared" si="359"/>
        <v>-541.29999999999995</v>
      </c>
    </row>
    <row r="287" spans="1:17" x14ac:dyDescent="0.25">
      <c r="A287" s="3">
        <v>45073</v>
      </c>
      <c r="B287" s="2" t="s">
        <v>72</v>
      </c>
      <c r="C287" s="2">
        <v>88</v>
      </c>
      <c r="D287" s="2">
        <v>64</v>
      </c>
      <c r="E287" s="2">
        <v>109328</v>
      </c>
      <c r="F287" s="2">
        <v>1</v>
      </c>
      <c r="G287" s="8">
        <v>541.4</v>
      </c>
      <c r="H287" s="2"/>
      <c r="I287" s="2"/>
      <c r="J287" s="2"/>
      <c r="K287" s="2"/>
      <c r="L287" s="2"/>
      <c r="M287" s="2"/>
      <c r="N287" s="2"/>
      <c r="O287" s="2"/>
      <c r="P287" s="8">
        <f t="shared" si="358"/>
        <v>0</v>
      </c>
      <c r="Q287" s="8">
        <f t="shared" si="359"/>
        <v>-541.4</v>
      </c>
    </row>
    <row r="288" spans="1:17" x14ac:dyDescent="0.25">
      <c r="A288" s="3">
        <v>45073</v>
      </c>
      <c r="B288" s="2" t="s">
        <v>72</v>
      </c>
      <c r="C288" s="2">
        <v>88</v>
      </c>
      <c r="D288" s="2">
        <v>64</v>
      </c>
      <c r="E288" s="2">
        <v>109330</v>
      </c>
      <c r="F288" s="2">
        <v>1</v>
      </c>
      <c r="G288" s="8">
        <v>534.6</v>
      </c>
      <c r="H288" s="2"/>
      <c r="I288" s="2"/>
      <c r="J288" s="2"/>
      <c r="K288" s="2"/>
      <c r="L288" s="2"/>
      <c r="M288" s="2"/>
      <c r="N288" s="2"/>
      <c r="O288" s="2"/>
      <c r="P288" s="8">
        <f t="shared" si="358"/>
        <v>0</v>
      </c>
      <c r="Q288" s="8">
        <f t="shared" si="359"/>
        <v>-534.6</v>
      </c>
    </row>
    <row r="289" spans="1:17" x14ac:dyDescent="0.25">
      <c r="A289" s="3">
        <v>45073</v>
      </c>
      <c r="B289" s="2" t="s">
        <v>72</v>
      </c>
      <c r="C289" s="2">
        <v>88</v>
      </c>
      <c r="D289" s="2">
        <v>64</v>
      </c>
      <c r="E289" s="2">
        <v>109331</v>
      </c>
      <c r="F289" s="2">
        <v>1</v>
      </c>
      <c r="G289" s="8">
        <v>531.29999999999995</v>
      </c>
      <c r="H289" s="3">
        <v>45077</v>
      </c>
      <c r="I289" s="2" t="s">
        <v>27</v>
      </c>
      <c r="J289" s="2">
        <f t="shared" ref="J289:L290" si="366">+E289</f>
        <v>109331</v>
      </c>
      <c r="K289" s="2">
        <f t="shared" si="366"/>
        <v>1</v>
      </c>
      <c r="L289" s="17">
        <f t="shared" si="366"/>
        <v>531.29999999999995</v>
      </c>
      <c r="M289" s="2" t="s">
        <v>29</v>
      </c>
      <c r="N289" s="2">
        <v>42</v>
      </c>
      <c r="O289" s="2">
        <v>22630</v>
      </c>
      <c r="P289" s="8">
        <f t="shared" si="358"/>
        <v>535.29907200000002</v>
      </c>
      <c r="Q289" s="8">
        <f t="shared" si="359"/>
        <v>3.9990720000000692</v>
      </c>
    </row>
    <row r="290" spans="1:17" x14ac:dyDescent="0.25">
      <c r="A290" s="3">
        <v>45073</v>
      </c>
      <c r="B290" s="2" t="s">
        <v>72</v>
      </c>
      <c r="C290" s="2">
        <v>88</v>
      </c>
      <c r="D290" s="2">
        <v>64</v>
      </c>
      <c r="E290" s="2">
        <v>109332</v>
      </c>
      <c r="F290" s="2">
        <v>1</v>
      </c>
      <c r="G290" s="8">
        <v>530.70000000000005</v>
      </c>
      <c r="H290" s="3">
        <v>45076</v>
      </c>
      <c r="I290" s="2" t="s">
        <v>27</v>
      </c>
      <c r="J290" s="2">
        <f t="shared" si="366"/>
        <v>109332</v>
      </c>
      <c r="K290" s="2">
        <f t="shared" si="366"/>
        <v>1</v>
      </c>
      <c r="L290" s="17">
        <f t="shared" si="366"/>
        <v>530.70000000000005</v>
      </c>
      <c r="M290" s="2" t="s">
        <v>29</v>
      </c>
      <c r="N290" s="2">
        <v>42</v>
      </c>
      <c r="O290" s="2">
        <v>22612</v>
      </c>
      <c r="P290" s="8">
        <f t="shared" si="358"/>
        <v>534.87329280000006</v>
      </c>
      <c r="Q290" s="8">
        <f t="shared" si="359"/>
        <v>4.1732928000000129</v>
      </c>
    </row>
    <row r="291" spans="1:17" x14ac:dyDescent="0.25">
      <c r="A291" s="3">
        <v>45073</v>
      </c>
      <c r="B291" s="2" t="s">
        <v>72</v>
      </c>
      <c r="C291" s="2">
        <v>88</v>
      </c>
      <c r="D291" s="2">
        <v>64</v>
      </c>
      <c r="E291" s="2">
        <v>109334</v>
      </c>
      <c r="F291" s="2">
        <v>1</v>
      </c>
      <c r="G291" s="8">
        <v>530.20000000000005</v>
      </c>
      <c r="H291" s="2"/>
      <c r="I291" s="2"/>
      <c r="J291" s="2"/>
      <c r="K291" s="2"/>
      <c r="L291" s="2"/>
      <c r="M291" s="2"/>
      <c r="N291" s="2"/>
      <c r="O291" s="2"/>
      <c r="P291" s="8">
        <f t="shared" si="358"/>
        <v>0</v>
      </c>
      <c r="Q291" s="8">
        <f t="shared" si="359"/>
        <v>-530.20000000000005</v>
      </c>
    </row>
    <row r="292" spans="1:17" x14ac:dyDescent="0.25">
      <c r="A292" s="3">
        <v>45073</v>
      </c>
      <c r="B292" s="2" t="s">
        <v>72</v>
      </c>
      <c r="C292" s="2">
        <v>88</v>
      </c>
      <c r="D292" s="2">
        <v>64</v>
      </c>
      <c r="E292" s="2">
        <v>109335</v>
      </c>
      <c r="F292" s="2">
        <v>1</v>
      </c>
      <c r="G292" s="8">
        <v>533.4</v>
      </c>
      <c r="H292" s="3">
        <v>45076</v>
      </c>
      <c r="I292" s="2" t="s">
        <v>27</v>
      </c>
      <c r="J292" s="2">
        <f t="shared" ref="J292:L293" si="367">+E292</f>
        <v>109335</v>
      </c>
      <c r="K292" s="2">
        <f t="shared" si="367"/>
        <v>1</v>
      </c>
      <c r="L292" s="17">
        <f t="shared" si="367"/>
        <v>533.4</v>
      </c>
      <c r="M292" s="2" t="s">
        <v>29</v>
      </c>
      <c r="N292" s="2">
        <v>42</v>
      </c>
      <c r="O292" s="2">
        <v>22271</v>
      </c>
      <c r="P292" s="8">
        <f t="shared" si="358"/>
        <v>526.80714240000009</v>
      </c>
      <c r="Q292" s="8">
        <f t="shared" si="359"/>
        <v>-6.5928575999998884</v>
      </c>
    </row>
    <row r="293" spans="1:17" s="35" customFormat="1" x14ac:dyDescent="0.25">
      <c r="A293" s="32">
        <v>45073</v>
      </c>
      <c r="B293" s="33" t="s">
        <v>72</v>
      </c>
      <c r="C293" s="33">
        <v>88</v>
      </c>
      <c r="D293" s="33">
        <v>64</v>
      </c>
      <c r="E293" s="33">
        <v>109338</v>
      </c>
      <c r="F293" s="33">
        <v>1</v>
      </c>
      <c r="G293" s="34">
        <v>516.6</v>
      </c>
      <c r="H293" s="32">
        <v>45076</v>
      </c>
      <c r="I293" s="33" t="s">
        <v>27</v>
      </c>
      <c r="J293" s="33">
        <f t="shared" si="367"/>
        <v>109338</v>
      </c>
      <c r="K293" s="33">
        <f t="shared" si="367"/>
        <v>1</v>
      </c>
      <c r="L293" s="37">
        <f t="shared" si="367"/>
        <v>516.6</v>
      </c>
      <c r="M293" s="33" t="s">
        <v>29</v>
      </c>
      <c r="N293" s="33">
        <v>42</v>
      </c>
      <c r="O293" s="33">
        <v>22147</v>
      </c>
      <c r="P293" s="34">
        <f t="shared" si="358"/>
        <v>523.87399679999999</v>
      </c>
      <c r="Q293" s="34">
        <f t="shared" si="359"/>
        <v>7.2739967999999635</v>
      </c>
    </row>
    <row r="294" spans="1:17" x14ac:dyDescent="0.25">
      <c r="A294" s="3">
        <v>45073</v>
      </c>
      <c r="B294" s="2" t="s">
        <v>72</v>
      </c>
      <c r="C294" s="2">
        <v>88</v>
      </c>
      <c r="D294" s="2">
        <v>64</v>
      </c>
      <c r="E294" s="2">
        <v>109339</v>
      </c>
      <c r="F294" s="2">
        <v>1</v>
      </c>
      <c r="G294" s="8">
        <v>516.70000000000005</v>
      </c>
      <c r="H294" s="2"/>
      <c r="I294" s="2"/>
      <c r="J294" s="2"/>
      <c r="K294" s="2"/>
      <c r="L294" s="2"/>
      <c r="M294" s="2"/>
      <c r="N294" s="2"/>
      <c r="O294" s="2"/>
      <c r="P294" s="8">
        <f t="shared" si="358"/>
        <v>0</v>
      </c>
      <c r="Q294" s="8">
        <f t="shared" si="359"/>
        <v>-516.70000000000005</v>
      </c>
    </row>
    <row r="295" spans="1:17" x14ac:dyDescent="0.25">
      <c r="A295" s="3">
        <v>45073</v>
      </c>
      <c r="B295" s="2" t="s">
        <v>72</v>
      </c>
      <c r="C295" s="2">
        <v>88</v>
      </c>
      <c r="D295" s="2">
        <v>64</v>
      </c>
      <c r="E295" s="2">
        <v>109340</v>
      </c>
      <c r="F295" s="2">
        <v>1</v>
      </c>
      <c r="G295" s="8">
        <v>519.70000000000005</v>
      </c>
      <c r="H295" s="3">
        <v>45077</v>
      </c>
      <c r="I295" s="2" t="s">
        <v>88</v>
      </c>
      <c r="J295" s="2">
        <f>+E295</f>
        <v>109340</v>
      </c>
      <c r="K295" s="2">
        <f>+F295</f>
        <v>1</v>
      </c>
      <c r="L295" s="17">
        <f>+G295</f>
        <v>519.70000000000005</v>
      </c>
      <c r="M295" s="2" t="s">
        <v>30</v>
      </c>
      <c r="N295" s="2">
        <v>42</v>
      </c>
      <c r="O295" s="2">
        <v>21973</v>
      </c>
      <c r="P295" s="8">
        <f t="shared" si="358"/>
        <v>519.75813119999987</v>
      </c>
      <c r="Q295" s="8">
        <f t="shared" si="359"/>
        <v>5.8131199999820637E-2</v>
      </c>
    </row>
    <row r="296" spans="1:17" x14ac:dyDescent="0.25">
      <c r="A296" s="3">
        <v>45073</v>
      </c>
      <c r="B296" s="2" t="s">
        <v>72</v>
      </c>
      <c r="C296" s="2">
        <v>88</v>
      </c>
      <c r="D296" s="2">
        <v>64</v>
      </c>
      <c r="E296" s="2">
        <v>109342</v>
      </c>
      <c r="F296" s="2">
        <v>1</v>
      </c>
      <c r="G296" s="8">
        <v>548.5</v>
      </c>
      <c r="H296" s="2"/>
      <c r="I296" s="2"/>
      <c r="J296" s="2"/>
      <c r="K296" s="2"/>
      <c r="L296" s="2"/>
      <c r="M296" s="2"/>
      <c r="N296" s="2"/>
      <c r="O296" s="2"/>
      <c r="P296" s="8">
        <f t="shared" si="358"/>
        <v>0</v>
      </c>
      <c r="Q296" s="8">
        <f t="shared" si="359"/>
        <v>-548.5</v>
      </c>
    </row>
    <row r="297" spans="1:17" x14ac:dyDescent="0.25">
      <c r="A297" s="3">
        <v>45073</v>
      </c>
      <c r="B297" s="2" t="s">
        <v>72</v>
      </c>
      <c r="C297" s="2">
        <v>88</v>
      </c>
      <c r="D297" s="2">
        <v>64</v>
      </c>
      <c r="E297" s="2">
        <v>109343</v>
      </c>
      <c r="F297" s="2">
        <v>1</v>
      </c>
      <c r="G297" s="8">
        <v>547.6</v>
      </c>
      <c r="H297" s="2"/>
      <c r="I297" s="2"/>
      <c r="J297" s="2"/>
      <c r="K297" s="2"/>
      <c r="L297" s="2"/>
      <c r="M297" s="2"/>
      <c r="N297" s="2"/>
      <c r="O297" s="2"/>
      <c r="P297" s="8">
        <f t="shared" si="358"/>
        <v>0</v>
      </c>
      <c r="Q297" s="8">
        <f t="shared" si="359"/>
        <v>-547.6</v>
      </c>
    </row>
    <row r="298" spans="1:17" x14ac:dyDescent="0.25">
      <c r="A298" s="3">
        <v>45073</v>
      </c>
      <c r="B298" s="2" t="s">
        <v>72</v>
      </c>
      <c r="C298" s="2">
        <v>88</v>
      </c>
      <c r="D298" s="2">
        <v>64</v>
      </c>
      <c r="E298" s="2">
        <v>109347</v>
      </c>
      <c r="F298" s="2">
        <v>1</v>
      </c>
      <c r="G298" s="8">
        <v>519.29999999999995</v>
      </c>
      <c r="H298" s="3">
        <v>45076</v>
      </c>
      <c r="I298" s="2" t="s">
        <v>27</v>
      </c>
      <c r="J298" s="2">
        <f>+E298</f>
        <v>109347</v>
      </c>
      <c r="K298" s="2">
        <f>+F298</f>
        <v>1</v>
      </c>
      <c r="L298" s="17">
        <f>+G298</f>
        <v>519.29999999999995</v>
      </c>
      <c r="M298" s="2" t="s">
        <v>29</v>
      </c>
      <c r="N298" s="2">
        <v>42</v>
      </c>
      <c r="O298" s="2">
        <v>21884</v>
      </c>
      <c r="P298" s="8">
        <f t="shared" si="358"/>
        <v>517.65288959999998</v>
      </c>
      <c r="Q298" s="8">
        <f t="shared" si="359"/>
        <v>-1.6471103999999741</v>
      </c>
    </row>
    <row r="299" spans="1:17" x14ac:dyDescent="0.25">
      <c r="A299" s="3">
        <v>45073</v>
      </c>
      <c r="B299" s="2" t="s">
        <v>72</v>
      </c>
      <c r="C299" s="2">
        <v>88</v>
      </c>
      <c r="D299" s="2">
        <v>64</v>
      </c>
      <c r="E299" s="2">
        <v>109348</v>
      </c>
      <c r="F299" s="2">
        <v>1</v>
      </c>
      <c r="G299" s="8">
        <v>518.20000000000005</v>
      </c>
      <c r="H299" s="2"/>
      <c r="I299" s="2"/>
      <c r="J299" s="2"/>
      <c r="K299" s="2"/>
      <c r="L299" s="2"/>
      <c r="M299" s="2"/>
      <c r="N299" s="2"/>
      <c r="O299" s="2"/>
      <c r="P299" s="8">
        <f t="shared" si="358"/>
        <v>0</v>
      </c>
      <c r="Q299" s="28">
        <f t="shared" si="359"/>
        <v>-518.20000000000005</v>
      </c>
    </row>
    <row r="300" spans="1:17" x14ac:dyDescent="0.25">
      <c r="A300" s="3">
        <v>45073</v>
      </c>
      <c r="B300" s="2" t="s">
        <v>72</v>
      </c>
      <c r="C300" s="2">
        <v>88</v>
      </c>
      <c r="D300" s="2">
        <v>64</v>
      </c>
      <c r="E300" s="2">
        <v>109352</v>
      </c>
      <c r="F300" s="2">
        <v>1</v>
      </c>
      <c r="G300" s="8">
        <v>521.20000000000005</v>
      </c>
      <c r="H300" s="2"/>
      <c r="I300" s="2"/>
      <c r="J300" s="2"/>
      <c r="K300" s="2"/>
      <c r="L300" s="2"/>
      <c r="M300" s="2"/>
      <c r="N300" s="2"/>
      <c r="O300" s="2"/>
      <c r="P300" s="8">
        <f t="shared" si="358"/>
        <v>0</v>
      </c>
      <c r="Q300" s="8">
        <f t="shared" si="359"/>
        <v>-521.20000000000005</v>
      </c>
    </row>
    <row r="301" spans="1:17" x14ac:dyDescent="0.25">
      <c r="A301" s="3">
        <v>45073</v>
      </c>
      <c r="B301" s="2" t="s">
        <v>72</v>
      </c>
      <c r="C301" s="2">
        <v>88</v>
      </c>
      <c r="D301" s="2">
        <v>64</v>
      </c>
      <c r="E301" s="2">
        <v>109353</v>
      </c>
      <c r="F301" s="2">
        <v>1</v>
      </c>
      <c r="G301" s="8">
        <v>522.6</v>
      </c>
      <c r="H301" s="2"/>
      <c r="I301" s="2"/>
      <c r="J301" s="2"/>
      <c r="K301" s="2"/>
      <c r="L301" s="2"/>
      <c r="M301" s="2"/>
      <c r="N301" s="2"/>
      <c r="O301" s="2"/>
      <c r="P301" s="8">
        <f t="shared" si="358"/>
        <v>0</v>
      </c>
      <c r="Q301" s="8">
        <f t="shared" si="359"/>
        <v>-522.6</v>
      </c>
    </row>
    <row r="302" spans="1:17" x14ac:dyDescent="0.25">
      <c r="A302" s="3">
        <v>45073</v>
      </c>
      <c r="B302" s="2" t="s">
        <v>72</v>
      </c>
      <c r="C302" s="2">
        <v>88</v>
      </c>
      <c r="D302" s="2">
        <v>64</v>
      </c>
      <c r="E302" s="2">
        <v>109357</v>
      </c>
      <c r="F302" s="2">
        <v>1</v>
      </c>
      <c r="G302" s="8">
        <v>531.6</v>
      </c>
      <c r="H302" s="2"/>
      <c r="I302" s="2"/>
      <c r="J302" s="2"/>
      <c r="K302" s="2"/>
      <c r="L302" s="2"/>
      <c r="M302" s="2"/>
      <c r="N302" s="2"/>
      <c r="O302" s="2"/>
      <c r="P302" s="8">
        <f t="shared" si="358"/>
        <v>0</v>
      </c>
      <c r="Q302" s="8">
        <f t="shared" si="359"/>
        <v>-531.6</v>
      </c>
    </row>
    <row r="303" spans="1:17" x14ac:dyDescent="0.25">
      <c r="A303" s="3">
        <v>45073</v>
      </c>
      <c r="B303" s="2" t="s">
        <v>72</v>
      </c>
      <c r="C303" s="2">
        <v>88</v>
      </c>
      <c r="D303" s="2">
        <v>64</v>
      </c>
      <c r="E303" s="2">
        <v>109358</v>
      </c>
      <c r="F303" s="2">
        <v>1</v>
      </c>
      <c r="G303" s="8">
        <v>530.20000000000005</v>
      </c>
      <c r="H303" s="2"/>
      <c r="I303" s="2"/>
      <c r="J303" s="2"/>
      <c r="K303" s="2"/>
      <c r="L303" s="2"/>
      <c r="M303" s="2"/>
      <c r="N303" s="2"/>
      <c r="O303" s="2"/>
      <c r="P303" s="8">
        <f t="shared" ref="P303:P338" si="368">(O303/20000/500)*C303*D303*N303</f>
        <v>0</v>
      </c>
      <c r="Q303" s="8">
        <f t="shared" ref="Q303:Q337" si="369">+P303-G303</f>
        <v>-530.20000000000005</v>
      </c>
    </row>
    <row r="304" spans="1:17" x14ac:dyDescent="0.25">
      <c r="A304" s="3">
        <v>45073</v>
      </c>
      <c r="B304" s="2" t="s">
        <v>72</v>
      </c>
      <c r="C304" s="2">
        <v>88</v>
      </c>
      <c r="D304" s="2">
        <v>64</v>
      </c>
      <c r="E304" s="2">
        <v>109362</v>
      </c>
      <c r="F304" s="2">
        <v>1</v>
      </c>
      <c r="G304" s="8">
        <v>495.9</v>
      </c>
      <c r="H304" s="2"/>
      <c r="I304" s="2"/>
      <c r="J304" s="2"/>
      <c r="K304" s="2"/>
      <c r="L304" s="2"/>
      <c r="M304" s="2"/>
      <c r="N304" s="2"/>
      <c r="O304" s="2"/>
      <c r="P304" s="8">
        <f t="shared" si="368"/>
        <v>0</v>
      </c>
      <c r="Q304" s="8">
        <f t="shared" si="369"/>
        <v>-495.9</v>
      </c>
    </row>
    <row r="305" spans="1:17" x14ac:dyDescent="0.25">
      <c r="A305" s="3">
        <v>45073</v>
      </c>
      <c r="B305" s="2" t="s">
        <v>72</v>
      </c>
      <c r="C305" s="2">
        <v>88</v>
      </c>
      <c r="D305" s="2">
        <v>64</v>
      </c>
      <c r="E305" s="2">
        <v>109363</v>
      </c>
      <c r="F305" s="2">
        <v>1</v>
      </c>
      <c r="G305" s="8">
        <v>494.8</v>
      </c>
      <c r="H305" s="3">
        <v>45077</v>
      </c>
      <c r="I305" s="2" t="s">
        <v>27</v>
      </c>
      <c r="J305" s="2">
        <f>+E305</f>
        <v>109363</v>
      </c>
      <c r="K305" s="2">
        <f>+F305</f>
        <v>1</v>
      </c>
      <c r="L305" s="17">
        <f>+G305</f>
        <v>494.8</v>
      </c>
      <c r="M305" s="2" t="s">
        <v>29</v>
      </c>
      <c r="N305" s="2">
        <v>42</v>
      </c>
      <c r="O305" s="2">
        <v>20989</v>
      </c>
      <c r="P305" s="8">
        <f t="shared" si="368"/>
        <v>496.48220159999994</v>
      </c>
      <c r="Q305" s="8">
        <f t="shared" si="369"/>
        <v>1.682201599999928</v>
      </c>
    </row>
    <row r="306" spans="1:17" x14ac:dyDescent="0.25">
      <c r="A306" s="3">
        <v>45073</v>
      </c>
      <c r="B306" s="2" t="s">
        <v>72</v>
      </c>
      <c r="C306" s="2">
        <v>88</v>
      </c>
      <c r="D306" s="2">
        <v>64</v>
      </c>
      <c r="E306" s="2">
        <v>109391</v>
      </c>
      <c r="F306" s="2">
        <v>1</v>
      </c>
      <c r="G306" s="8">
        <v>529</v>
      </c>
      <c r="H306" s="2"/>
      <c r="I306" s="2"/>
      <c r="J306" s="2"/>
      <c r="K306" s="2"/>
      <c r="L306" s="2"/>
      <c r="M306" s="2"/>
      <c r="N306" s="2"/>
      <c r="O306" s="2"/>
      <c r="P306" s="8">
        <f t="shared" si="368"/>
        <v>0</v>
      </c>
      <c r="Q306" s="8">
        <f t="shared" si="369"/>
        <v>-529</v>
      </c>
    </row>
    <row r="307" spans="1:17" x14ac:dyDescent="0.25">
      <c r="A307" s="3">
        <v>45073</v>
      </c>
      <c r="B307" s="2" t="s">
        <v>72</v>
      </c>
      <c r="C307" s="2">
        <v>88</v>
      </c>
      <c r="D307" s="2">
        <v>64</v>
      </c>
      <c r="E307" s="2">
        <v>109403</v>
      </c>
      <c r="F307" s="2">
        <v>1</v>
      </c>
      <c r="G307" s="8">
        <v>482.1</v>
      </c>
      <c r="H307" s="3">
        <v>45076</v>
      </c>
      <c r="I307" s="2" t="s">
        <v>27</v>
      </c>
      <c r="J307" s="2">
        <f>+E307</f>
        <v>109403</v>
      </c>
      <c r="K307" s="2">
        <f>+F307</f>
        <v>1</v>
      </c>
      <c r="L307" s="17">
        <f>+G307</f>
        <v>482.1</v>
      </c>
      <c r="M307" s="2" t="s">
        <v>29</v>
      </c>
      <c r="N307" s="2">
        <v>42</v>
      </c>
      <c r="O307" s="2">
        <v>20489</v>
      </c>
      <c r="P307" s="8">
        <f t="shared" si="368"/>
        <v>484.65500160000005</v>
      </c>
      <c r="Q307" s="8">
        <f t="shared" si="369"/>
        <v>2.5550016000000255</v>
      </c>
    </row>
    <row r="308" spans="1:17" x14ac:dyDescent="0.25">
      <c r="A308" s="3">
        <v>45073</v>
      </c>
      <c r="B308" s="2" t="s">
        <v>72</v>
      </c>
      <c r="C308" s="2">
        <v>88</v>
      </c>
      <c r="D308" s="2">
        <v>64</v>
      </c>
      <c r="E308" s="2">
        <v>109408</v>
      </c>
      <c r="F308" s="2">
        <v>1</v>
      </c>
      <c r="G308" s="8">
        <v>568.20000000000005</v>
      </c>
      <c r="H308" s="2"/>
      <c r="I308" s="2"/>
      <c r="J308" s="2"/>
      <c r="K308" s="2"/>
      <c r="L308" s="2"/>
      <c r="M308" s="2"/>
      <c r="N308" s="2"/>
      <c r="O308" s="2"/>
      <c r="P308" s="8">
        <f t="shared" si="368"/>
        <v>0</v>
      </c>
      <c r="Q308" s="8">
        <f t="shared" si="369"/>
        <v>-568.20000000000005</v>
      </c>
    </row>
    <row r="309" spans="1:17" x14ac:dyDescent="0.25">
      <c r="A309" s="3">
        <v>45073</v>
      </c>
      <c r="B309" s="2" t="s">
        <v>72</v>
      </c>
      <c r="C309" s="2">
        <v>88</v>
      </c>
      <c r="D309" s="2">
        <v>64</v>
      </c>
      <c r="E309" s="2">
        <v>109409</v>
      </c>
      <c r="F309" s="2">
        <v>1</v>
      </c>
      <c r="G309" s="8">
        <v>567.70000000000005</v>
      </c>
      <c r="H309" s="2"/>
      <c r="I309" s="2"/>
      <c r="J309" s="2"/>
      <c r="K309" s="2"/>
      <c r="L309" s="2"/>
      <c r="M309" s="2"/>
      <c r="N309" s="2"/>
      <c r="O309" s="2"/>
      <c r="P309" s="8">
        <f t="shared" si="368"/>
        <v>0</v>
      </c>
      <c r="Q309" s="8">
        <f t="shared" si="369"/>
        <v>-567.70000000000005</v>
      </c>
    </row>
    <row r="310" spans="1:17" x14ac:dyDescent="0.25">
      <c r="A310" s="3">
        <v>45073</v>
      </c>
      <c r="B310" s="2" t="s">
        <v>72</v>
      </c>
      <c r="C310" s="2">
        <v>88</v>
      </c>
      <c r="D310" s="2">
        <v>64</v>
      </c>
      <c r="E310" s="2">
        <v>109441</v>
      </c>
      <c r="F310" s="2">
        <v>1</v>
      </c>
      <c r="G310" s="8">
        <v>490.8</v>
      </c>
      <c r="H310" s="2"/>
      <c r="I310" s="2"/>
      <c r="J310" s="2"/>
      <c r="K310" s="2"/>
      <c r="L310" s="2"/>
      <c r="M310" s="2"/>
      <c r="N310" s="2"/>
      <c r="O310" s="2"/>
      <c r="P310" s="8">
        <f t="shared" si="368"/>
        <v>0</v>
      </c>
      <c r="Q310" s="8">
        <f t="shared" si="369"/>
        <v>-490.8</v>
      </c>
    </row>
    <row r="311" spans="1:17" x14ac:dyDescent="0.25">
      <c r="A311" s="3">
        <v>45073</v>
      </c>
      <c r="B311" s="2" t="s">
        <v>72</v>
      </c>
      <c r="C311" s="2">
        <v>96</v>
      </c>
      <c r="D311" s="2">
        <v>52</v>
      </c>
      <c r="E311" s="2">
        <v>105474</v>
      </c>
      <c r="F311" s="2">
        <v>1</v>
      </c>
      <c r="G311" s="8">
        <v>541.6</v>
      </c>
      <c r="H311" s="3">
        <v>45074</v>
      </c>
      <c r="I311" s="2" t="s">
        <v>79</v>
      </c>
      <c r="J311" s="2">
        <f t="shared" ref="J311:L316" si="370">+E311</f>
        <v>105474</v>
      </c>
      <c r="K311" s="2">
        <f t="shared" si="370"/>
        <v>1</v>
      </c>
      <c r="L311" s="17">
        <f t="shared" si="370"/>
        <v>541.6</v>
      </c>
      <c r="M311" s="2" t="s">
        <v>30</v>
      </c>
      <c r="N311" s="2">
        <v>36.5</v>
      </c>
      <c r="O311" s="2">
        <v>29934</v>
      </c>
      <c r="P311" s="8">
        <f>(O311/20000/500)*C311*D311*N311</f>
        <v>545.42142719999993</v>
      </c>
      <c r="Q311" s="8">
        <f t="shared" si="369"/>
        <v>3.8214271999999028</v>
      </c>
    </row>
    <row r="312" spans="1:17" x14ac:dyDescent="0.25">
      <c r="A312" s="3">
        <v>45073</v>
      </c>
      <c r="B312" s="2" t="s">
        <v>72</v>
      </c>
      <c r="C312" s="2">
        <v>96</v>
      </c>
      <c r="D312" s="2">
        <v>52</v>
      </c>
      <c r="E312" s="2">
        <v>105545</v>
      </c>
      <c r="F312" s="2">
        <v>1</v>
      </c>
      <c r="G312" s="8">
        <v>461.8</v>
      </c>
      <c r="H312" s="3">
        <v>45074</v>
      </c>
      <c r="I312" s="2" t="s">
        <v>79</v>
      </c>
      <c r="J312" s="2">
        <f t="shared" si="370"/>
        <v>105545</v>
      </c>
      <c r="K312" s="2">
        <f t="shared" si="370"/>
        <v>1</v>
      </c>
      <c r="L312" s="17">
        <f t="shared" si="370"/>
        <v>461.8</v>
      </c>
      <c r="M312" s="2" t="s">
        <v>30</v>
      </c>
      <c r="N312" s="2">
        <v>36.5</v>
      </c>
      <c r="O312" s="2">
        <v>25328</v>
      </c>
      <c r="P312" s="8">
        <f t="shared" si="368"/>
        <v>461.49642239999997</v>
      </c>
      <c r="Q312" s="8">
        <f t="shared" si="369"/>
        <v>-0.30357760000003964</v>
      </c>
    </row>
    <row r="313" spans="1:17" x14ac:dyDescent="0.25">
      <c r="A313" s="3">
        <v>45073</v>
      </c>
      <c r="B313" s="2" t="s">
        <v>72</v>
      </c>
      <c r="C313" s="2">
        <v>96</v>
      </c>
      <c r="D313" s="2">
        <v>52</v>
      </c>
      <c r="E313" s="2">
        <v>105689</v>
      </c>
      <c r="F313" s="2">
        <v>1</v>
      </c>
      <c r="G313" s="8">
        <v>459</v>
      </c>
      <c r="H313" s="3">
        <v>45074</v>
      </c>
      <c r="I313" s="2" t="s">
        <v>79</v>
      </c>
      <c r="J313" s="2">
        <f t="shared" si="370"/>
        <v>105689</v>
      </c>
      <c r="K313" s="2">
        <f t="shared" si="370"/>
        <v>1</v>
      </c>
      <c r="L313" s="17">
        <f t="shared" si="370"/>
        <v>459</v>
      </c>
      <c r="M313" s="2" t="s">
        <v>30</v>
      </c>
      <c r="N313" s="2">
        <v>36.5</v>
      </c>
      <c r="O313" s="2">
        <v>25340</v>
      </c>
      <c r="P313" s="8">
        <f t="shared" si="368"/>
        <v>461.71507199999996</v>
      </c>
      <c r="Q313" s="8">
        <f t="shared" si="369"/>
        <v>2.7150719999999637</v>
      </c>
    </row>
    <row r="314" spans="1:17" x14ac:dyDescent="0.25">
      <c r="A314" s="3">
        <v>45073</v>
      </c>
      <c r="B314" s="2" t="s">
        <v>72</v>
      </c>
      <c r="C314" s="2">
        <v>96</v>
      </c>
      <c r="D314" s="2">
        <v>52</v>
      </c>
      <c r="E314" s="2">
        <v>105699</v>
      </c>
      <c r="F314" s="2">
        <v>1</v>
      </c>
      <c r="G314" s="8">
        <v>493.9</v>
      </c>
      <c r="H314" s="3">
        <v>45074</v>
      </c>
      <c r="I314" s="2" t="s">
        <v>28</v>
      </c>
      <c r="J314" s="2">
        <f t="shared" si="370"/>
        <v>105699</v>
      </c>
      <c r="K314" s="2">
        <f t="shared" si="370"/>
        <v>1</v>
      </c>
      <c r="L314" s="17">
        <f t="shared" si="370"/>
        <v>493.9</v>
      </c>
      <c r="M314" s="2" t="s">
        <v>30</v>
      </c>
      <c r="N314" s="2">
        <v>36.5</v>
      </c>
      <c r="O314" s="2">
        <v>27317</v>
      </c>
      <c r="P314" s="8">
        <f t="shared" si="368"/>
        <v>497.73759360000003</v>
      </c>
      <c r="Q314" s="8">
        <f t="shared" si="369"/>
        <v>3.8375936000000479</v>
      </c>
    </row>
    <row r="315" spans="1:17" x14ac:dyDescent="0.25">
      <c r="A315" s="3">
        <v>45073</v>
      </c>
      <c r="B315" s="2" t="s">
        <v>72</v>
      </c>
      <c r="C315" s="2">
        <v>96</v>
      </c>
      <c r="D315" s="2">
        <v>52</v>
      </c>
      <c r="E315" s="2">
        <v>105700</v>
      </c>
      <c r="F315" s="2">
        <v>1</v>
      </c>
      <c r="G315" s="8">
        <v>567.9</v>
      </c>
      <c r="H315" s="3">
        <v>45074</v>
      </c>
      <c r="I315" s="2" t="s">
        <v>28</v>
      </c>
      <c r="J315" s="2">
        <f t="shared" si="370"/>
        <v>105700</v>
      </c>
      <c r="K315" s="2">
        <f t="shared" si="370"/>
        <v>1</v>
      </c>
      <c r="L315" s="17">
        <f t="shared" si="370"/>
        <v>567.9</v>
      </c>
      <c r="M315" s="2" t="s">
        <v>30</v>
      </c>
      <c r="N315" s="2">
        <v>36.5</v>
      </c>
      <c r="O315" s="2">
        <v>31663</v>
      </c>
      <c r="P315" s="8">
        <f t="shared" si="368"/>
        <v>576.92519039999991</v>
      </c>
      <c r="Q315" s="8">
        <f t="shared" si="369"/>
        <v>9.0251903999999286</v>
      </c>
    </row>
    <row r="316" spans="1:17" x14ac:dyDescent="0.25">
      <c r="A316" s="3">
        <v>45073</v>
      </c>
      <c r="B316" s="2" t="s">
        <v>72</v>
      </c>
      <c r="C316" s="2">
        <v>96</v>
      </c>
      <c r="D316" s="2">
        <v>52</v>
      </c>
      <c r="E316" s="2">
        <v>105721</v>
      </c>
      <c r="F316" s="2">
        <v>1</v>
      </c>
      <c r="G316" s="8">
        <v>576.79999999999995</v>
      </c>
      <c r="H316" s="3">
        <v>45074</v>
      </c>
      <c r="I316" s="2" t="s">
        <v>28</v>
      </c>
      <c r="J316" s="2">
        <f t="shared" si="370"/>
        <v>105721</v>
      </c>
      <c r="K316" s="2">
        <f t="shared" si="370"/>
        <v>1</v>
      </c>
      <c r="L316" s="17">
        <f t="shared" si="370"/>
        <v>576.79999999999995</v>
      </c>
      <c r="M316" s="2" t="s">
        <v>30</v>
      </c>
      <c r="N316" s="2">
        <v>36.5</v>
      </c>
      <c r="O316" s="2">
        <v>31668</v>
      </c>
      <c r="P316" s="8">
        <f t="shared" ref="P316" si="371">(O316/20000/500)*C316*D316*N316</f>
        <v>577.01629439999988</v>
      </c>
      <c r="Q316" s="8">
        <f t="shared" si="369"/>
        <v>0.21629439999992428</v>
      </c>
    </row>
    <row r="317" spans="1:17" x14ac:dyDescent="0.25">
      <c r="A317" s="3">
        <v>45077</v>
      </c>
      <c r="B317" s="2" t="s">
        <v>72</v>
      </c>
      <c r="C317" s="2">
        <v>54</v>
      </c>
      <c r="D317" s="2">
        <v>64</v>
      </c>
      <c r="E317" s="2">
        <v>110906</v>
      </c>
      <c r="F317" s="2">
        <v>1</v>
      </c>
      <c r="G317" s="8">
        <v>283.10000000000002</v>
      </c>
      <c r="H317" s="3">
        <v>45079</v>
      </c>
      <c r="I317" s="2" t="s">
        <v>91</v>
      </c>
      <c r="J317" s="2">
        <f t="shared" ref="J317:L321" si="372">+E317</f>
        <v>110906</v>
      </c>
      <c r="K317" s="2">
        <f t="shared" si="372"/>
        <v>1</v>
      </c>
      <c r="L317" s="8">
        <f t="shared" si="372"/>
        <v>283.10000000000002</v>
      </c>
      <c r="M317" s="2" t="s">
        <v>29</v>
      </c>
      <c r="N317" s="2">
        <v>44</v>
      </c>
      <c r="O317" s="2">
        <v>18979</v>
      </c>
      <c r="P317" s="8">
        <f t="shared" si="368"/>
        <v>288.60226560000001</v>
      </c>
      <c r="Q317" s="8">
        <f t="shared" si="369"/>
        <v>5.502265599999987</v>
      </c>
    </row>
    <row r="318" spans="1:17" x14ac:dyDescent="0.25">
      <c r="A318" s="3">
        <v>45077</v>
      </c>
      <c r="B318" s="2" t="s">
        <v>72</v>
      </c>
      <c r="C318" s="2">
        <v>54</v>
      </c>
      <c r="D318" s="2">
        <v>64</v>
      </c>
      <c r="E318" s="2">
        <v>110907</v>
      </c>
      <c r="F318" s="2">
        <v>1</v>
      </c>
      <c r="G318" s="8">
        <v>285.3</v>
      </c>
      <c r="H318" s="3">
        <v>45079</v>
      </c>
      <c r="I318" s="2" t="s">
        <v>91</v>
      </c>
      <c r="J318" s="2">
        <f t="shared" si="372"/>
        <v>110907</v>
      </c>
      <c r="K318" s="2">
        <f t="shared" si="372"/>
        <v>1</v>
      </c>
      <c r="L318" s="8">
        <f t="shared" si="372"/>
        <v>285.3</v>
      </c>
      <c r="M318" s="2" t="s">
        <v>29</v>
      </c>
      <c r="N318" s="2">
        <v>44</v>
      </c>
      <c r="O318" s="2">
        <v>19237</v>
      </c>
      <c r="P318" s="8">
        <f t="shared" si="368"/>
        <v>292.52551679999999</v>
      </c>
      <c r="Q318" s="8">
        <f t="shared" si="369"/>
        <v>7.2255167999999799</v>
      </c>
    </row>
    <row r="319" spans="1:17" x14ac:dyDescent="0.25">
      <c r="A319" s="3">
        <v>45077</v>
      </c>
      <c r="B319" s="2" t="s">
        <v>72</v>
      </c>
      <c r="C319" s="2">
        <v>54</v>
      </c>
      <c r="D319" s="2">
        <v>64</v>
      </c>
      <c r="E319" s="2">
        <v>110908</v>
      </c>
      <c r="F319" s="2">
        <v>1</v>
      </c>
      <c r="G319" s="8">
        <v>286.2</v>
      </c>
      <c r="H319" s="3">
        <v>45079</v>
      </c>
      <c r="I319" s="2" t="s">
        <v>91</v>
      </c>
      <c r="J319" s="2">
        <f t="shared" si="372"/>
        <v>110908</v>
      </c>
      <c r="K319" s="2">
        <f t="shared" si="372"/>
        <v>1</v>
      </c>
      <c r="L319" s="8">
        <f t="shared" si="372"/>
        <v>286.2</v>
      </c>
      <c r="M319" s="2" t="s">
        <v>29</v>
      </c>
      <c r="N319" s="2">
        <v>44</v>
      </c>
      <c r="O319" s="2">
        <v>19230</v>
      </c>
      <c r="P319" s="8">
        <f t="shared" si="368"/>
        <v>292.41907200000003</v>
      </c>
      <c r="Q319" s="8">
        <f t="shared" si="369"/>
        <v>6.2190720000000397</v>
      </c>
    </row>
    <row r="320" spans="1:17" x14ac:dyDescent="0.25">
      <c r="A320" s="3">
        <v>45077</v>
      </c>
      <c r="B320" s="2" t="s">
        <v>72</v>
      </c>
      <c r="C320" s="2">
        <v>54</v>
      </c>
      <c r="D320" s="2">
        <v>64</v>
      </c>
      <c r="E320" s="2">
        <v>110910</v>
      </c>
      <c r="F320" s="2">
        <v>1</v>
      </c>
      <c r="G320" s="8">
        <v>285.10000000000002</v>
      </c>
      <c r="H320" s="3">
        <v>45079</v>
      </c>
      <c r="I320" s="2" t="s">
        <v>91</v>
      </c>
      <c r="J320" s="2">
        <f t="shared" si="372"/>
        <v>110910</v>
      </c>
      <c r="K320" s="2">
        <f t="shared" si="372"/>
        <v>1</v>
      </c>
      <c r="L320" s="8">
        <f t="shared" si="372"/>
        <v>285.10000000000002</v>
      </c>
      <c r="M320" s="2" t="s">
        <v>29</v>
      </c>
      <c r="N320" s="2">
        <v>44</v>
      </c>
      <c r="O320" s="2">
        <v>19249</v>
      </c>
      <c r="P320" s="8">
        <f t="shared" si="368"/>
        <v>292.70799360000001</v>
      </c>
      <c r="Q320" s="8">
        <f t="shared" si="369"/>
        <v>7.6079935999999861</v>
      </c>
    </row>
    <row r="321" spans="1:17" x14ac:dyDescent="0.25">
      <c r="A321" s="3">
        <v>45077</v>
      </c>
      <c r="B321" s="2" t="s">
        <v>72</v>
      </c>
      <c r="C321" s="2">
        <v>54</v>
      </c>
      <c r="D321" s="2">
        <v>64</v>
      </c>
      <c r="E321" s="2">
        <v>110911</v>
      </c>
      <c r="F321" s="2">
        <v>1</v>
      </c>
      <c r="G321" s="8">
        <v>338</v>
      </c>
      <c r="H321" s="3">
        <v>45079</v>
      </c>
      <c r="I321" s="2" t="s">
        <v>91</v>
      </c>
      <c r="J321" s="2">
        <f t="shared" si="372"/>
        <v>110911</v>
      </c>
      <c r="K321" s="2">
        <f t="shared" si="372"/>
        <v>1</v>
      </c>
      <c r="L321" s="8">
        <f t="shared" si="372"/>
        <v>338</v>
      </c>
      <c r="M321" s="2" t="s">
        <v>29</v>
      </c>
      <c r="N321" s="2">
        <v>44</v>
      </c>
      <c r="O321" s="2">
        <v>22607</v>
      </c>
      <c r="P321" s="8">
        <f t="shared" si="368"/>
        <v>343.77108479999998</v>
      </c>
      <c r="Q321" s="8">
        <f t="shared" si="369"/>
        <v>5.7710847999999828</v>
      </c>
    </row>
    <row r="322" spans="1:17" x14ac:dyDescent="0.25">
      <c r="A322" s="3">
        <v>45077</v>
      </c>
      <c r="B322" s="2" t="s">
        <v>72</v>
      </c>
      <c r="C322" s="2">
        <v>54</v>
      </c>
      <c r="D322" s="2">
        <v>64</v>
      </c>
      <c r="E322" s="2">
        <v>110912</v>
      </c>
      <c r="F322" s="2">
        <v>1</v>
      </c>
      <c r="G322" s="8">
        <v>337.8</v>
      </c>
      <c r="H322" s="2"/>
      <c r="I322" s="2"/>
      <c r="J322" s="2"/>
      <c r="K322" s="2"/>
      <c r="L322" s="2"/>
      <c r="M322" s="2"/>
      <c r="N322" s="2"/>
      <c r="O322" s="2"/>
      <c r="P322" s="8">
        <f t="shared" si="368"/>
        <v>0</v>
      </c>
      <c r="Q322" s="8">
        <f t="shared" si="369"/>
        <v>-337.8</v>
      </c>
    </row>
    <row r="323" spans="1:17" x14ac:dyDescent="0.25">
      <c r="A323" s="3">
        <v>45077</v>
      </c>
      <c r="B323" s="2" t="s">
        <v>72</v>
      </c>
      <c r="C323" s="2">
        <v>54</v>
      </c>
      <c r="D323" s="2">
        <v>64</v>
      </c>
      <c r="E323" s="2">
        <v>110913</v>
      </c>
      <c r="F323" s="2">
        <v>1</v>
      </c>
      <c r="G323" s="8">
        <v>340</v>
      </c>
      <c r="H323" s="3">
        <v>45079</v>
      </c>
      <c r="I323" s="2" t="s">
        <v>91</v>
      </c>
      <c r="J323" s="2">
        <f t="shared" ref="J323:L327" si="373">+E323</f>
        <v>110913</v>
      </c>
      <c r="K323" s="2">
        <f t="shared" si="373"/>
        <v>1</v>
      </c>
      <c r="L323" s="8">
        <f t="shared" si="373"/>
        <v>340</v>
      </c>
      <c r="M323" s="2" t="s">
        <v>29</v>
      </c>
      <c r="N323" s="2">
        <v>44</v>
      </c>
      <c r="O323" s="2">
        <v>22732</v>
      </c>
      <c r="P323" s="8">
        <f t="shared" si="368"/>
        <v>345.67188479999999</v>
      </c>
      <c r="Q323" s="8">
        <f t="shared" si="369"/>
        <v>5.6718847999999866</v>
      </c>
    </row>
    <row r="324" spans="1:17" x14ac:dyDescent="0.25">
      <c r="A324" s="3">
        <v>45077</v>
      </c>
      <c r="B324" s="2" t="s">
        <v>72</v>
      </c>
      <c r="C324" s="2">
        <v>54</v>
      </c>
      <c r="D324" s="2">
        <v>64</v>
      </c>
      <c r="E324" s="2">
        <v>110914</v>
      </c>
      <c r="F324" s="2">
        <v>1</v>
      </c>
      <c r="G324" s="8">
        <v>329.4</v>
      </c>
      <c r="H324" s="3">
        <v>45079</v>
      </c>
      <c r="I324" s="2" t="s">
        <v>91</v>
      </c>
      <c r="J324" s="2">
        <f t="shared" si="373"/>
        <v>110914</v>
      </c>
      <c r="K324" s="2">
        <f t="shared" si="373"/>
        <v>1</v>
      </c>
      <c r="L324" s="8">
        <f t="shared" si="373"/>
        <v>329.4</v>
      </c>
      <c r="M324" s="2" t="s">
        <v>29</v>
      </c>
      <c r="N324" s="2">
        <v>44</v>
      </c>
      <c r="O324" s="2">
        <v>22710</v>
      </c>
      <c r="P324" s="8">
        <f t="shared" si="368"/>
        <v>345.33734400000003</v>
      </c>
      <c r="Q324" s="8">
        <f t="shared" si="369"/>
        <v>15.937344000000053</v>
      </c>
    </row>
    <row r="325" spans="1:17" x14ac:dyDescent="0.25">
      <c r="A325" s="3">
        <v>45077</v>
      </c>
      <c r="B325" s="2" t="s">
        <v>72</v>
      </c>
      <c r="C325" s="2">
        <v>54</v>
      </c>
      <c r="D325" s="2">
        <v>64</v>
      </c>
      <c r="E325" s="2">
        <v>110915</v>
      </c>
      <c r="F325" s="2">
        <v>1</v>
      </c>
      <c r="G325" s="8">
        <v>337.8</v>
      </c>
      <c r="H325" s="3">
        <v>45079</v>
      </c>
      <c r="I325" s="2" t="s">
        <v>91</v>
      </c>
      <c r="J325" s="2">
        <f t="shared" si="373"/>
        <v>110915</v>
      </c>
      <c r="K325" s="2">
        <f t="shared" si="373"/>
        <v>1</v>
      </c>
      <c r="L325" s="8">
        <f t="shared" si="373"/>
        <v>337.8</v>
      </c>
      <c r="M325" s="2" t="s">
        <v>29</v>
      </c>
      <c r="N325" s="2">
        <v>44</v>
      </c>
      <c r="O325" s="2">
        <v>22698</v>
      </c>
      <c r="P325" s="8">
        <f t="shared" si="368"/>
        <v>345.15486720000007</v>
      </c>
      <c r="Q325" s="8">
        <f t="shared" si="369"/>
        <v>7.3548672000000579</v>
      </c>
    </row>
    <row r="326" spans="1:17" x14ac:dyDescent="0.25">
      <c r="A326" s="3">
        <v>45077</v>
      </c>
      <c r="B326" s="2" t="s">
        <v>72</v>
      </c>
      <c r="C326" s="2">
        <v>54</v>
      </c>
      <c r="D326" s="2">
        <v>64</v>
      </c>
      <c r="E326" s="2">
        <v>110916</v>
      </c>
      <c r="F326" s="2">
        <v>1</v>
      </c>
      <c r="G326" s="8">
        <v>282.7</v>
      </c>
      <c r="H326" s="3">
        <v>45079</v>
      </c>
      <c r="I326" s="2" t="s">
        <v>91</v>
      </c>
      <c r="J326" s="2">
        <f t="shared" si="373"/>
        <v>110916</v>
      </c>
      <c r="K326" s="2">
        <f t="shared" si="373"/>
        <v>1</v>
      </c>
      <c r="L326" s="8">
        <f t="shared" si="373"/>
        <v>282.7</v>
      </c>
      <c r="M326" s="2" t="s">
        <v>29</v>
      </c>
      <c r="N326" s="2">
        <v>44</v>
      </c>
      <c r="O326" s="2">
        <v>19231</v>
      </c>
      <c r="P326" s="8">
        <f t="shared" si="368"/>
        <v>292.43427840000004</v>
      </c>
      <c r="Q326" s="8">
        <f t="shared" si="369"/>
        <v>9.7342784000000506</v>
      </c>
    </row>
    <row r="327" spans="1:17" x14ac:dyDescent="0.25">
      <c r="A327" s="3">
        <v>45077</v>
      </c>
      <c r="B327" s="2" t="s">
        <v>72</v>
      </c>
      <c r="C327" s="2">
        <v>54</v>
      </c>
      <c r="D327" s="2">
        <v>64</v>
      </c>
      <c r="E327" s="2">
        <v>110946</v>
      </c>
      <c r="F327" s="2">
        <v>1</v>
      </c>
      <c r="G327" s="8">
        <v>335.5</v>
      </c>
      <c r="H327" s="3">
        <v>45079</v>
      </c>
      <c r="I327" s="2" t="s">
        <v>91</v>
      </c>
      <c r="J327" s="2">
        <f t="shared" si="373"/>
        <v>110946</v>
      </c>
      <c r="K327" s="2">
        <f t="shared" si="373"/>
        <v>1</v>
      </c>
      <c r="L327" s="8">
        <f t="shared" si="373"/>
        <v>335.5</v>
      </c>
      <c r="M327" s="2" t="s">
        <v>29</v>
      </c>
      <c r="N327" s="2">
        <v>44</v>
      </c>
      <c r="O327" s="2">
        <v>22711</v>
      </c>
      <c r="P327" s="8">
        <f t="shared" si="368"/>
        <v>345.35255040000004</v>
      </c>
      <c r="Q327" s="8">
        <f t="shared" si="369"/>
        <v>9.852550400000041</v>
      </c>
    </row>
    <row r="328" spans="1:17" x14ac:dyDescent="0.25">
      <c r="A328" s="3">
        <v>45077</v>
      </c>
      <c r="B328" s="2" t="s">
        <v>72</v>
      </c>
      <c r="C328" s="2">
        <v>88</v>
      </c>
      <c r="D328" s="2">
        <v>64</v>
      </c>
      <c r="E328" s="2">
        <v>109284</v>
      </c>
      <c r="F328" s="2">
        <v>1</v>
      </c>
      <c r="G328" s="8">
        <v>564.29999999999995</v>
      </c>
      <c r="H328" s="2"/>
      <c r="I328" s="2"/>
      <c r="J328" s="2"/>
      <c r="K328" s="2"/>
      <c r="L328" s="2"/>
      <c r="M328" s="2"/>
      <c r="N328" s="2"/>
      <c r="O328" s="2"/>
      <c r="P328" s="8">
        <f t="shared" si="368"/>
        <v>0</v>
      </c>
      <c r="Q328" s="8">
        <f t="shared" si="369"/>
        <v>-564.29999999999995</v>
      </c>
    </row>
    <row r="329" spans="1:17" x14ac:dyDescent="0.25">
      <c r="A329" s="3">
        <v>45077</v>
      </c>
      <c r="B329" s="2" t="s">
        <v>72</v>
      </c>
      <c r="C329" s="2">
        <v>88</v>
      </c>
      <c r="D329" s="2">
        <v>64</v>
      </c>
      <c r="E329" s="2">
        <v>109285</v>
      </c>
      <c r="F329" s="2">
        <v>1</v>
      </c>
      <c r="G329" s="8">
        <v>560</v>
      </c>
      <c r="H329" s="2"/>
      <c r="I329" s="2"/>
      <c r="J329" s="2"/>
      <c r="K329" s="2"/>
      <c r="L329" s="2"/>
      <c r="M329" s="2"/>
      <c r="N329" s="2"/>
      <c r="O329" s="2"/>
      <c r="P329" s="8">
        <f t="shared" si="368"/>
        <v>0</v>
      </c>
      <c r="Q329" s="8">
        <f t="shared" si="369"/>
        <v>-560</v>
      </c>
    </row>
    <row r="330" spans="1:17" x14ac:dyDescent="0.25">
      <c r="A330" s="3">
        <v>45077</v>
      </c>
      <c r="B330" s="2" t="s">
        <v>72</v>
      </c>
      <c r="C330" s="2">
        <v>88</v>
      </c>
      <c r="D330" s="2">
        <v>64</v>
      </c>
      <c r="E330" s="2">
        <v>109286</v>
      </c>
      <c r="F330" s="2">
        <v>1</v>
      </c>
      <c r="G330" s="8">
        <v>560.1</v>
      </c>
      <c r="H330" s="2"/>
      <c r="I330" s="2"/>
      <c r="J330" s="2"/>
      <c r="K330" s="2"/>
      <c r="L330" s="2"/>
      <c r="M330" s="2"/>
      <c r="N330" s="2"/>
      <c r="O330" s="2"/>
      <c r="P330" s="8">
        <f t="shared" si="368"/>
        <v>0</v>
      </c>
      <c r="Q330" s="8">
        <f t="shared" si="369"/>
        <v>-560.1</v>
      </c>
    </row>
    <row r="331" spans="1:17" x14ac:dyDescent="0.25">
      <c r="A331" s="3">
        <v>45077</v>
      </c>
      <c r="B331" s="2" t="s">
        <v>72</v>
      </c>
      <c r="C331" s="2">
        <v>88</v>
      </c>
      <c r="D331" s="2">
        <v>64</v>
      </c>
      <c r="E331" s="2">
        <v>109288</v>
      </c>
      <c r="F331" s="2">
        <v>1</v>
      </c>
      <c r="G331" s="8">
        <v>485.5</v>
      </c>
      <c r="H331" s="2"/>
      <c r="I331" s="2"/>
      <c r="J331" s="2"/>
      <c r="K331" s="2"/>
      <c r="L331" s="2"/>
      <c r="M331" s="2"/>
      <c r="N331" s="2"/>
      <c r="O331" s="2"/>
      <c r="P331" s="8">
        <f t="shared" si="368"/>
        <v>0</v>
      </c>
      <c r="Q331" s="8">
        <f t="shared" si="369"/>
        <v>-485.5</v>
      </c>
    </row>
    <row r="332" spans="1:17" x14ac:dyDescent="0.25">
      <c r="A332" s="3">
        <v>45077</v>
      </c>
      <c r="B332" s="2" t="s">
        <v>72</v>
      </c>
      <c r="C332" s="2">
        <v>88</v>
      </c>
      <c r="D332" s="2">
        <v>64</v>
      </c>
      <c r="E332" s="2">
        <v>109289</v>
      </c>
      <c r="F332" s="2">
        <v>1</v>
      </c>
      <c r="G332" s="8">
        <v>482.5</v>
      </c>
      <c r="H332" s="3">
        <v>45079</v>
      </c>
      <c r="I332" s="2" t="s">
        <v>27</v>
      </c>
      <c r="J332" s="2">
        <f t="shared" ref="J332" si="374">+E332</f>
        <v>109289</v>
      </c>
      <c r="K332" s="2">
        <f t="shared" ref="K332" si="375">+F332</f>
        <v>1</v>
      </c>
      <c r="L332" s="17">
        <f t="shared" ref="L332" si="376">+G332</f>
        <v>482.5</v>
      </c>
      <c r="M332" s="2" t="s">
        <v>30</v>
      </c>
      <c r="N332" s="2">
        <v>42</v>
      </c>
      <c r="O332" s="2">
        <v>20225</v>
      </c>
      <c r="P332" s="8">
        <f t="shared" si="368"/>
        <v>478.41023999999999</v>
      </c>
      <c r="Q332" s="8">
        <f t="shared" si="369"/>
        <v>-4.0897600000000125</v>
      </c>
    </row>
    <row r="333" spans="1:17" x14ac:dyDescent="0.25">
      <c r="A333" s="3">
        <v>45077</v>
      </c>
      <c r="B333" s="2" t="s">
        <v>72</v>
      </c>
      <c r="C333" s="2">
        <v>88</v>
      </c>
      <c r="D333" s="2">
        <v>64</v>
      </c>
      <c r="E333" s="2">
        <v>109292</v>
      </c>
      <c r="F333" s="2">
        <v>1</v>
      </c>
      <c r="G333" s="8">
        <v>551.4</v>
      </c>
      <c r="H333" s="3">
        <v>45077</v>
      </c>
      <c r="I333" s="2" t="s">
        <v>79</v>
      </c>
      <c r="J333" s="2">
        <f t="shared" ref="J333:L334" si="377">+E333</f>
        <v>109292</v>
      </c>
      <c r="K333" s="2">
        <f t="shared" si="377"/>
        <v>1</v>
      </c>
      <c r="L333" s="17">
        <f t="shared" si="377"/>
        <v>551.4</v>
      </c>
      <c r="M333" s="2" t="s">
        <v>30</v>
      </c>
      <c r="N333" s="2">
        <v>42</v>
      </c>
      <c r="O333" s="2">
        <v>23385</v>
      </c>
      <c r="P333" s="8">
        <f t="shared" si="368"/>
        <v>553.15814399999999</v>
      </c>
      <c r="Q333" s="8">
        <f t="shared" si="369"/>
        <v>1.7581440000000157</v>
      </c>
    </row>
    <row r="334" spans="1:17" x14ac:dyDescent="0.25">
      <c r="A334" s="3">
        <v>45077</v>
      </c>
      <c r="B334" s="2" t="s">
        <v>72</v>
      </c>
      <c r="C334" s="2">
        <v>88</v>
      </c>
      <c r="D334" s="2">
        <v>64</v>
      </c>
      <c r="E334" s="2">
        <v>109293</v>
      </c>
      <c r="F334" s="2">
        <v>1</v>
      </c>
      <c r="G334" s="8">
        <v>547.5</v>
      </c>
      <c r="H334" s="3">
        <v>45078</v>
      </c>
      <c r="I334" s="2" t="s">
        <v>27</v>
      </c>
      <c r="J334" s="2">
        <f t="shared" si="377"/>
        <v>109293</v>
      </c>
      <c r="K334" s="2">
        <f t="shared" si="377"/>
        <v>1</v>
      </c>
      <c r="L334" s="17">
        <f t="shared" si="377"/>
        <v>547.5</v>
      </c>
      <c r="M334" s="2" t="s">
        <v>29</v>
      </c>
      <c r="N334" s="2">
        <v>42</v>
      </c>
      <c r="O334" s="2">
        <v>23445</v>
      </c>
      <c r="P334" s="8">
        <f t="shared" si="368"/>
        <v>554.5774080000001</v>
      </c>
      <c r="Q334" s="8">
        <f t="shared" si="369"/>
        <v>7.0774080000001049</v>
      </c>
    </row>
    <row r="335" spans="1:17" x14ac:dyDescent="0.25">
      <c r="A335" s="3">
        <v>45077</v>
      </c>
      <c r="B335" s="2" t="s">
        <v>72</v>
      </c>
      <c r="C335" s="2">
        <v>88</v>
      </c>
      <c r="D335" s="2">
        <v>64</v>
      </c>
      <c r="E335" s="2">
        <v>109294</v>
      </c>
      <c r="F335" s="2">
        <v>1</v>
      </c>
      <c r="G335" s="8">
        <v>547.70000000000005</v>
      </c>
      <c r="H335" s="2"/>
      <c r="I335" s="2"/>
      <c r="J335" s="2"/>
      <c r="K335" s="2"/>
      <c r="L335" s="2"/>
      <c r="M335" s="2"/>
      <c r="N335" s="2"/>
      <c r="O335" s="2"/>
      <c r="P335" s="8">
        <f t="shared" si="368"/>
        <v>0</v>
      </c>
      <c r="Q335" s="8">
        <f t="shared" si="369"/>
        <v>-547.70000000000005</v>
      </c>
    </row>
    <row r="336" spans="1:17" x14ac:dyDescent="0.25">
      <c r="A336" s="3">
        <v>45077</v>
      </c>
      <c r="B336" s="2" t="s">
        <v>72</v>
      </c>
      <c r="C336" s="2">
        <v>88</v>
      </c>
      <c r="D336" s="2">
        <v>64</v>
      </c>
      <c r="E336" s="2">
        <v>109296</v>
      </c>
      <c r="F336" s="2">
        <v>1</v>
      </c>
      <c r="G336" s="8">
        <v>538</v>
      </c>
      <c r="H336" s="3">
        <v>45078</v>
      </c>
      <c r="I336" s="2" t="s">
        <v>27</v>
      </c>
      <c r="J336" s="2">
        <f t="shared" ref="J336:L338" si="378">+E336</f>
        <v>109296</v>
      </c>
      <c r="K336" s="2">
        <f t="shared" si="378"/>
        <v>1</v>
      </c>
      <c r="L336" s="17">
        <f t="shared" si="378"/>
        <v>538</v>
      </c>
      <c r="M336" s="2" t="s">
        <v>29</v>
      </c>
      <c r="N336" s="2">
        <v>42</v>
      </c>
      <c r="O336" s="2">
        <v>23031</v>
      </c>
      <c r="P336" s="8">
        <f t="shared" si="368"/>
        <v>544.78448639999999</v>
      </c>
      <c r="Q336" s="8">
        <f t="shared" si="369"/>
        <v>6.7844863999999916</v>
      </c>
    </row>
    <row r="337" spans="1:17" x14ac:dyDescent="0.25">
      <c r="A337" s="3">
        <v>45077</v>
      </c>
      <c r="B337" s="2" t="s">
        <v>72</v>
      </c>
      <c r="C337" s="2">
        <v>88</v>
      </c>
      <c r="D337" s="2">
        <v>64</v>
      </c>
      <c r="E337" s="2">
        <v>109297</v>
      </c>
      <c r="F337" s="2">
        <v>1</v>
      </c>
      <c r="G337" s="8">
        <v>535.20000000000005</v>
      </c>
      <c r="H337" s="3">
        <v>45078</v>
      </c>
      <c r="I337" s="2" t="s">
        <v>27</v>
      </c>
      <c r="J337" s="2">
        <f t="shared" si="378"/>
        <v>109297</v>
      </c>
      <c r="K337" s="2">
        <f t="shared" si="378"/>
        <v>1</v>
      </c>
      <c r="L337" s="17">
        <f t="shared" si="378"/>
        <v>535.20000000000005</v>
      </c>
      <c r="M337" s="2" t="s">
        <v>29</v>
      </c>
      <c r="N337" s="2">
        <v>42</v>
      </c>
      <c r="O337" s="2">
        <v>23039</v>
      </c>
      <c r="P337" s="8">
        <f t="shared" si="368"/>
        <v>544.97372160000009</v>
      </c>
      <c r="Q337" s="8">
        <f t="shared" si="369"/>
        <v>9.7737216000000444</v>
      </c>
    </row>
    <row r="338" spans="1:17" x14ac:dyDescent="0.25">
      <c r="A338" s="3">
        <v>45077</v>
      </c>
      <c r="B338" s="2" t="s">
        <v>72</v>
      </c>
      <c r="C338" s="2">
        <v>88</v>
      </c>
      <c r="D338" s="2">
        <v>64</v>
      </c>
      <c r="E338" s="2">
        <v>109298</v>
      </c>
      <c r="F338" s="2">
        <v>1</v>
      </c>
      <c r="G338" s="8">
        <v>535.6</v>
      </c>
      <c r="H338" s="3">
        <v>45079</v>
      </c>
      <c r="I338" s="2" t="s">
        <v>27</v>
      </c>
      <c r="J338" s="2">
        <f t="shared" si="378"/>
        <v>109298</v>
      </c>
      <c r="K338" s="2">
        <f t="shared" si="378"/>
        <v>1</v>
      </c>
      <c r="L338" s="17">
        <f t="shared" si="378"/>
        <v>535.6</v>
      </c>
      <c r="M338" s="2" t="s">
        <v>30</v>
      </c>
      <c r="N338" s="2">
        <v>42</v>
      </c>
      <c r="O338" s="2">
        <v>23014</v>
      </c>
      <c r="P338" s="8">
        <f t="shared" si="368"/>
        <v>544.38236160000008</v>
      </c>
      <c r="Q338" s="8">
        <f t="shared" ref="Q338:Q401" si="379">+P338-G338</f>
        <v>8.7823616000000584</v>
      </c>
    </row>
    <row r="339" spans="1:17" x14ac:dyDescent="0.25">
      <c r="A339" s="3">
        <v>45077</v>
      </c>
      <c r="B339" s="2" t="s">
        <v>72</v>
      </c>
      <c r="C339" s="2">
        <v>88</v>
      </c>
      <c r="D339" s="2">
        <v>64</v>
      </c>
      <c r="E339" s="2">
        <v>110702</v>
      </c>
      <c r="F339" s="2">
        <v>1</v>
      </c>
      <c r="G339" s="8">
        <v>498.9</v>
      </c>
      <c r="H339" s="3">
        <v>45077</v>
      </c>
      <c r="I339" s="2" t="s">
        <v>27</v>
      </c>
      <c r="J339" s="2">
        <f>+E339</f>
        <v>110702</v>
      </c>
      <c r="K339" s="2">
        <f>+F339</f>
        <v>1</v>
      </c>
      <c r="L339" s="17">
        <f>+G339</f>
        <v>498.9</v>
      </c>
      <c r="M339" s="2" t="s">
        <v>29</v>
      </c>
      <c r="N339" s="2">
        <v>42</v>
      </c>
      <c r="O339" s="2">
        <v>21312</v>
      </c>
      <c r="P339" s="8">
        <f t="shared" ref="P339:P401" si="380">(O339/20000/500)*C339*D339*N339</f>
        <v>504.1225728</v>
      </c>
      <c r="Q339" s="8">
        <f t="shared" si="379"/>
        <v>5.2225728000000231</v>
      </c>
    </row>
    <row r="340" spans="1:17" x14ac:dyDescent="0.25">
      <c r="A340" s="3">
        <v>45077</v>
      </c>
      <c r="B340" s="2" t="s">
        <v>72</v>
      </c>
      <c r="C340" s="2">
        <v>88</v>
      </c>
      <c r="D340" s="2">
        <v>64</v>
      </c>
      <c r="E340" s="2">
        <v>110703</v>
      </c>
      <c r="F340" s="2">
        <v>1</v>
      </c>
      <c r="G340" s="8">
        <v>503.1</v>
      </c>
      <c r="H340" s="3">
        <v>45079</v>
      </c>
      <c r="I340" s="2" t="s">
        <v>27</v>
      </c>
      <c r="J340" s="2">
        <f t="shared" ref="J340" si="381">+E340</f>
        <v>110703</v>
      </c>
      <c r="K340" s="2">
        <f t="shared" ref="K340" si="382">+F340</f>
        <v>1</v>
      </c>
      <c r="L340" s="17">
        <f t="shared" ref="L340" si="383">+G340</f>
        <v>503.1</v>
      </c>
      <c r="M340" s="2" t="s">
        <v>30</v>
      </c>
      <c r="N340" s="2">
        <v>42</v>
      </c>
      <c r="O340" s="2">
        <v>21298</v>
      </c>
      <c r="P340" s="8">
        <f t="shared" si="380"/>
        <v>503.79141119999997</v>
      </c>
      <c r="Q340" s="8">
        <f t="shared" si="379"/>
        <v>0.69141119999994771</v>
      </c>
    </row>
    <row r="341" spans="1:17" x14ac:dyDescent="0.25">
      <c r="A341" s="3">
        <v>45077</v>
      </c>
      <c r="B341" s="2" t="s">
        <v>72</v>
      </c>
      <c r="C341" s="2">
        <v>88</v>
      </c>
      <c r="D341" s="2">
        <v>64</v>
      </c>
      <c r="E341" s="2">
        <v>110704</v>
      </c>
      <c r="F341" s="2">
        <v>1</v>
      </c>
      <c r="G341" s="8">
        <v>499</v>
      </c>
      <c r="H341" s="3">
        <v>45079</v>
      </c>
      <c r="I341" s="2" t="s">
        <v>27</v>
      </c>
      <c r="J341" s="2">
        <f t="shared" ref="J341" si="384">+E341</f>
        <v>110704</v>
      </c>
      <c r="K341" s="2">
        <f t="shared" ref="K341" si="385">+F341</f>
        <v>1</v>
      </c>
      <c r="L341" s="17">
        <f t="shared" ref="L341" si="386">+G341</f>
        <v>499</v>
      </c>
      <c r="M341" s="2" t="s">
        <v>30</v>
      </c>
      <c r="N341" s="2">
        <v>42</v>
      </c>
      <c r="O341" s="2">
        <v>21288</v>
      </c>
      <c r="P341" s="8">
        <f t="shared" si="380"/>
        <v>503.55486720000005</v>
      </c>
      <c r="Q341" s="8">
        <f t="shared" si="379"/>
        <v>4.5548672000000465</v>
      </c>
    </row>
    <row r="342" spans="1:17" x14ac:dyDescent="0.25">
      <c r="A342" s="3">
        <v>45077</v>
      </c>
      <c r="B342" s="2" t="s">
        <v>72</v>
      </c>
      <c r="C342" s="2">
        <v>88</v>
      </c>
      <c r="D342" s="2">
        <v>64</v>
      </c>
      <c r="E342" s="2">
        <v>110706</v>
      </c>
      <c r="F342" s="2">
        <v>1</v>
      </c>
      <c r="G342" s="8">
        <v>485.2</v>
      </c>
      <c r="H342" s="3">
        <v>45077</v>
      </c>
      <c r="I342" s="2" t="s">
        <v>27</v>
      </c>
      <c r="J342" s="2">
        <f t="shared" ref="J342:L344" si="387">+E342</f>
        <v>110706</v>
      </c>
      <c r="K342" s="2">
        <f t="shared" si="387"/>
        <v>1</v>
      </c>
      <c r="L342" s="17">
        <f t="shared" si="387"/>
        <v>485.2</v>
      </c>
      <c r="M342" s="2" t="s">
        <v>29</v>
      </c>
      <c r="N342" s="2">
        <v>42</v>
      </c>
      <c r="O342" s="2">
        <v>20481</v>
      </c>
      <c r="P342" s="8">
        <f t="shared" si="380"/>
        <v>484.46576639999989</v>
      </c>
      <c r="Q342" s="8">
        <f t="shared" si="379"/>
        <v>-0.73423360000009552</v>
      </c>
    </row>
    <row r="343" spans="1:17" x14ac:dyDescent="0.25">
      <c r="A343" s="3">
        <v>45077</v>
      </c>
      <c r="B343" s="2" t="s">
        <v>72</v>
      </c>
      <c r="C343" s="2">
        <v>88</v>
      </c>
      <c r="D343" s="2">
        <v>64</v>
      </c>
      <c r="E343" s="2">
        <v>110707</v>
      </c>
      <c r="F343" s="2">
        <v>1</v>
      </c>
      <c r="G343" s="8">
        <v>484.6</v>
      </c>
      <c r="H343" s="3">
        <v>45077</v>
      </c>
      <c r="I343" s="2" t="s">
        <v>27</v>
      </c>
      <c r="J343" s="2">
        <f t="shared" si="387"/>
        <v>110707</v>
      </c>
      <c r="K343" s="2">
        <f t="shared" si="387"/>
        <v>1</v>
      </c>
      <c r="L343" s="17">
        <f t="shared" si="387"/>
        <v>484.6</v>
      </c>
      <c r="M343" s="2" t="s">
        <v>29</v>
      </c>
      <c r="N343" s="2">
        <v>42</v>
      </c>
      <c r="O343" s="2">
        <v>20453</v>
      </c>
      <c r="P343" s="8">
        <f t="shared" si="380"/>
        <v>483.80344320000006</v>
      </c>
      <c r="Q343" s="8">
        <f t="shared" si="379"/>
        <v>-0.7965567999999621</v>
      </c>
    </row>
    <row r="344" spans="1:17" x14ac:dyDescent="0.25">
      <c r="A344" s="3">
        <v>45077</v>
      </c>
      <c r="B344" s="2" t="s">
        <v>72</v>
      </c>
      <c r="C344" s="2">
        <v>88</v>
      </c>
      <c r="D344" s="2">
        <v>64</v>
      </c>
      <c r="E344" s="2">
        <v>110708</v>
      </c>
      <c r="F344" s="2">
        <v>1</v>
      </c>
      <c r="G344" s="8">
        <v>490.3</v>
      </c>
      <c r="H344" s="3">
        <v>45077</v>
      </c>
      <c r="I344" s="2" t="s">
        <v>79</v>
      </c>
      <c r="J344" s="2">
        <f t="shared" si="387"/>
        <v>110708</v>
      </c>
      <c r="K344" s="2">
        <f t="shared" si="387"/>
        <v>1</v>
      </c>
      <c r="L344" s="17">
        <f t="shared" si="387"/>
        <v>490.3</v>
      </c>
      <c r="M344" s="2" t="s">
        <v>30</v>
      </c>
      <c r="N344" s="2">
        <v>42</v>
      </c>
      <c r="O344" s="2">
        <v>20468</v>
      </c>
      <c r="P344" s="8">
        <f t="shared" si="380"/>
        <v>484.15825920000003</v>
      </c>
      <c r="Q344" s="8">
        <f t="shared" si="379"/>
        <v>-6.1417407999999796</v>
      </c>
    </row>
    <row r="345" spans="1:17" x14ac:dyDescent="0.25">
      <c r="A345" s="3">
        <v>45077</v>
      </c>
      <c r="B345" s="2" t="s">
        <v>72</v>
      </c>
      <c r="C345" s="2">
        <v>88</v>
      </c>
      <c r="D345" s="2">
        <v>64</v>
      </c>
      <c r="E345" s="2">
        <v>110753</v>
      </c>
      <c r="F345" s="2">
        <v>1</v>
      </c>
      <c r="G345" s="8">
        <v>542.29999999999995</v>
      </c>
      <c r="H345" s="2"/>
      <c r="I345" s="2"/>
      <c r="J345" s="2"/>
      <c r="K345" s="2"/>
      <c r="L345" s="2"/>
      <c r="M345" s="2"/>
      <c r="N345" s="2"/>
      <c r="O345" s="2"/>
      <c r="P345" s="8">
        <f t="shared" si="380"/>
        <v>0</v>
      </c>
      <c r="Q345" s="8">
        <f t="shared" si="379"/>
        <v>-542.29999999999995</v>
      </c>
    </row>
    <row r="346" spans="1:17" x14ac:dyDescent="0.25">
      <c r="A346" s="3">
        <v>45077</v>
      </c>
      <c r="B346" s="2" t="s">
        <v>72</v>
      </c>
      <c r="C346" s="2">
        <v>88</v>
      </c>
      <c r="D346" s="2">
        <v>64</v>
      </c>
      <c r="E346" s="2">
        <v>110754</v>
      </c>
      <c r="F346" s="2">
        <v>1</v>
      </c>
      <c r="G346" s="8">
        <v>545.5</v>
      </c>
      <c r="H346" s="2"/>
      <c r="I346" s="2"/>
      <c r="J346" s="2"/>
      <c r="K346" s="2"/>
      <c r="L346" s="2"/>
      <c r="M346" s="2"/>
      <c r="N346" s="2"/>
      <c r="O346" s="2"/>
      <c r="P346" s="8">
        <f t="shared" si="380"/>
        <v>0</v>
      </c>
      <c r="Q346" s="8">
        <f t="shared" si="379"/>
        <v>-545.5</v>
      </c>
    </row>
    <row r="347" spans="1:17" x14ac:dyDescent="0.25">
      <c r="A347" s="3">
        <v>45077</v>
      </c>
      <c r="B347" s="2" t="s">
        <v>72</v>
      </c>
      <c r="C347" s="2">
        <v>88</v>
      </c>
      <c r="D347" s="2">
        <v>64</v>
      </c>
      <c r="E347" s="2">
        <v>110755</v>
      </c>
      <c r="F347" s="2">
        <v>1</v>
      </c>
      <c r="G347" s="8">
        <v>541.5</v>
      </c>
      <c r="H347" s="2"/>
      <c r="I347" s="2"/>
      <c r="J347" s="2"/>
      <c r="K347" s="2"/>
      <c r="L347" s="2"/>
      <c r="M347" s="2"/>
      <c r="N347" s="2"/>
      <c r="O347" s="2"/>
      <c r="P347" s="8">
        <f t="shared" si="380"/>
        <v>0</v>
      </c>
      <c r="Q347" s="8">
        <f t="shared" si="379"/>
        <v>-541.5</v>
      </c>
    </row>
    <row r="348" spans="1:17" x14ac:dyDescent="0.25">
      <c r="A348" s="3">
        <v>45077</v>
      </c>
      <c r="B348" s="2" t="s">
        <v>72</v>
      </c>
      <c r="C348" s="2">
        <v>88</v>
      </c>
      <c r="D348" s="2">
        <v>64</v>
      </c>
      <c r="E348" s="2">
        <v>110757</v>
      </c>
      <c r="F348" s="2">
        <v>1</v>
      </c>
      <c r="G348" s="8">
        <v>547.4</v>
      </c>
      <c r="H348" s="3">
        <v>45079</v>
      </c>
      <c r="I348" s="2" t="s">
        <v>27</v>
      </c>
      <c r="J348" s="2">
        <f>+E348</f>
        <v>110757</v>
      </c>
      <c r="K348" s="2">
        <f>+F348</f>
        <v>1</v>
      </c>
      <c r="L348" s="17">
        <f>+G348</f>
        <v>547.4</v>
      </c>
      <c r="M348" s="2" t="s">
        <v>30</v>
      </c>
      <c r="N348" s="2">
        <v>42</v>
      </c>
      <c r="O348" s="2">
        <v>23419</v>
      </c>
      <c r="P348" s="8">
        <f t="shared" si="380"/>
        <v>553.96239360000004</v>
      </c>
      <c r="Q348" s="8">
        <f t="shared" si="379"/>
        <v>6.562393600000064</v>
      </c>
    </row>
    <row r="349" spans="1:17" x14ac:dyDescent="0.25">
      <c r="A349" s="3">
        <v>45077</v>
      </c>
      <c r="B349" s="2" t="s">
        <v>72</v>
      </c>
      <c r="C349" s="2">
        <v>88</v>
      </c>
      <c r="D349" s="2">
        <v>64</v>
      </c>
      <c r="E349" s="2">
        <v>110758</v>
      </c>
      <c r="F349" s="2">
        <v>1</v>
      </c>
      <c r="G349" s="8">
        <v>546.29999999999995</v>
      </c>
      <c r="H349" s="2"/>
      <c r="I349" s="2"/>
      <c r="J349" s="2"/>
      <c r="K349" s="2"/>
      <c r="L349" s="2"/>
      <c r="M349" s="2"/>
      <c r="N349" s="2"/>
      <c r="O349" s="2"/>
      <c r="P349" s="8">
        <f t="shared" si="380"/>
        <v>0</v>
      </c>
      <c r="Q349" s="8">
        <f t="shared" si="379"/>
        <v>-546.29999999999995</v>
      </c>
    </row>
    <row r="350" spans="1:17" x14ac:dyDescent="0.25">
      <c r="A350" s="3">
        <v>45077</v>
      </c>
      <c r="B350" s="2" t="s">
        <v>72</v>
      </c>
      <c r="C350" s="2">
        <v>88</v>
      </c>
      <c r="D350" s="2">
        <v>64</v>
      </c>
      <c r="E350" s="2">
        <v>110759</v>
      </c>
      <c r="F350" s="2">
        <v>1</v>
      </c>
      <c r="G350" s="8">
        <v>543.9</v>
      </c>
      <c r="H350" s="2"/>
      <c r="I350" s="2"/>
      <c r="J350" s="2"/>
      <c r="K350" s="2"/>
      <c r="L350" s="2"/>
      <c r="M350" s="2"/>
      <c r="N350" s="2"/>
      <c r="O350" s="2"/>
      <c r="P350" s="8">
        <f t="shared" si="380"/>
        <v>0</v>
      </c>
      <c r="Q350" s="8">
        <f t="shared" si="379"/>
        <v>-543.9</v>
      </c>
    </row>
    <row r="351" spans="1:17" x14ac:dyDescent="0.25">
      <c r="A351" s="3">
        <v>45077</v>
      </c>
      <c r="B351" s="2" t="s">
        <v>72</v>
      </c>
      <c r="C351" s="2">
        <v>88</v>
      </c>
      <c r="D351" s="2">
        <v>64</v>
      </c>
      <c r="E351" s="2">
        <v>110761</v>
      </c>
      <c r="F351" s="2">
        <v>1</v>
      </c>
      <c r="G351" s="8">
        <v>542.29999999999995</v>
      </c>
      <c r="H351" s="2"/>
      <c r="I351" s="2"/>
      <c r="J351" s="2"/>
      <c r="K351" s="2"/>
      <c r="L351" s="2"/>
      <c r="M351" s="2"/>
      <c r="N351" s="2"/>
      <c r="O351" s="2"/>
      <c r="P351" s="8">
        <f t="shared" si="380"/>
        <v>0</v>
      </c>
      <c r="Q351" s="8">
        <f t="shared" si="379"/>
        <v>-542.29999999999995</v>
      </c>
    </row>
    <row r="352" spans="1:17" x14ac:dyDescent="0.25">
      <c r="A352" s="3">
        <v>45077</v>
      </c>
      <c r="B352" s="2" t="s">
        <v>72</v>
      </c>
      <c r="C352" s="2">
        <v>88</v>
      </c>
      <c r="D352" s="2">
        <v>64</v>
      </c>
      <c r="E352" s="19">
        <v>110762</v>
      </c>
      <c r="F352" s="2">
        <v>1</v>
      </c>
      <c r="G352" s="8">
        <v>545.4</v>
      </c>
      <c r="H352" s="2"/>
      <c r="I352" s="2"/>
      <c r="J352" s="2"/>
      <c r="K352" s="2"/>
      <c r="L352" s="2"/>
      <c r="M352" s="2"/>
      <c r="N352" s="2"/>
      <c r="O352" s="2"/>
      <c r="P352" s="8">
        <f t="shared" si="380"/>
        <v>0</v>
      </c>
      <c r="Q352" s="8">
        <f t="shared" si="379"/>
        <v>-545.4</v>
      </c>
    </row>
    <row r="353" spans="1:17" x14ac:dyDescent="0.25">
      <c r="A353" s="3">
        <v>45077</v>
      </c>
      <c r="B353" s="2" t="s">
        <v>72</v>
      </c>
      <c r="C353" s="2">
        <v>88</v>
      </c>
      <c r="D353" s="2">
        <v>64</v>
      </c>
      <c r="E353" s="2">
        <v>110763</v>
      </c>
      <c r="F353" s="2">
        <v>1</v>
      </c>
      <c r="G353" s="8">
        <v>542.5</v>
      </c>
      <c r="H353" s="2"/>
      <c r="I353" s="2"/>
      <c r="J353" s="2"/>
      <c r="K353" s="2"/>
      <c r="L353" s="2"/>
      <c r="M353" s="2"/>
      <c r="N353" s="2"/>
      <c r="O353" s="2"/>
      <c r="P353" s="8">
        <f t="shared" si="380"/>
        <v>0</v>
      </c>
      <c r="Q353" s="8">
        <f t="shared" si="379"/>
        <v>-542.5</v>
      </c>
    </row>
    <row r="354" spans="1:17" x14ac:dyDescent="0.25">
      <c r="A354" s="3">
        <v>45077</v>
      </c>
      <c r="B354" s="2" t="s">
        <v>72</v>
      </c>
      <c r="C354" s="2">
        <v>88</v>
      </c>
      <c r="D354" s="2">
        <v>64</v>
      </c>
      <c r="E354" s="2">
        <v>110765</v>
      </c>
      <c r="F354" s="2">
        <v>1</v>
      </c>
      <c r="G354" s="8">
        <v>546.6</v>
      </c>
      <c r="H354" s="2"/>
      <c r="I354" s="2"/>
      <c r="J354" s="2"/>
      <c r="K354" s="2"/>
      <c r="L354" s="2"/>
      <c r="M354" s="2"/>
      <c r="N354" s="2"/>
      <c r="O354" s="2"/>
      <c r="P354" s="8">
        <f t="shared" si="380"/>
        <v>0</v>
      </c>
      <c r="Q354" s="8">
        <f t="shared" si="379"/>
        <v>-546.6</v>
      </c>
    </row>
    <row r="355" spans="1:17" x14ac:dyDescent="0.25">
      <c r="A355" s="3">
        <v>45077</v>
      </c>
      <c r="B355" s="2" t="s">
        <v>72</v>
      </c>
      <c r="C355" s="2">
        <v>88</v>
      </c>
      <c r="D355" s="2">
        <v>64</v>
      </c>
      <c r="E355" s="2">
        <v>110766</v>
      </c>
      <c r="F355" s="2">
        <v>1</v>
      </c>
      <c r="G355" s="8">
        <v>547.20000000000005</v>
      </c>
      <c r="H355" s="3">
        <v>45079</v>
      </c>
      <c r="I355" s="2" t="s">
        <v>27</v>
      </c>
      <c r="J355" s="2">
        <f>+E355</f>
        <v>110766</v>
      </c>
      <c r="K355" s="2">
        <f>+F355</f>
        <v>1</v>
      </c>
      <c r="L355" s="17">
        <f>+G355</f>
        <v>547.20000000000005</v>
      </c>
      <c r="M355" s="2" t="s">
        <v>30</v>
      </c>
      <c r="N355" s="2">
        <v>42</v>
      </c>
      <c r="O355" s="2">
        <v>23768</v>
      </c>
      <c r="P355" s="8">
        <f t="shared" si="380"/>
        <v>562.21777919999988</v>
      </c>
      <c r="Q355" s="8">
        <f t="shared" si="379"/>
        <v>15.017779199999836</v>
      </c>
    </row>
    <row r="356" spans="1:17" x14ac:dyDescent="0.25">
      <c r="A356" s="3">
        <v>45077</v>
      </c>
      <c r="B356" s="2" t="s">
        <v>72</v>
      </c>
      <c r="C356" s="2">
        <v>88</v>
      </c>
      <c r="D356" s="2">
        <v>64</v>
      </c>
      <c r="E356" s="2">
        <v>110767</v>
      </c>
      <c r="F356" s="2">
        <v>1</v>
      </c>
      <c r="G356" s="8">
        <v>549.9</v>
      </c>
      <c r="H356" s="2"/>
      <c r="I356" s="2"/>
      <c r="J356" s="2"/>
      <c r="K356" s="2"/>
      <c r="L356" s="2"/>
      <c r="M356" s="2"/>
      <c r="N356" s="2"/>
      <c r="O356" s="2"/>
      <c r="P356" s="8">
        <f t="shared" si="380"/>
        <v>0</v>
      </c>
      <c r="Q356" s="8">
        <f t="shared" si="379"/>
        <v>-549.9</v>
      </c>
    </row>
    <row r="357" spans="1:17" x14ac:dyDescent="0.25">
      <c r="A357" s="3">
        <v>45077</v>
      </c>
      <c r="B357" s="2" t="s">
        <v>72</v>
      </c>
      <c r="C357" s="2">
        <v>88</v>
      </c>
      <c r="D357" s="2">
        <v>64</v>
      </c>
      <c r="E357" s="2">
        <v>110769</v>
      </c>
      <c r="F357" s="2">
        <v>1</v>
      </c>
      <c r="G357" s="8">
        <v>536.5</v>
      </c>
      <c r="H357" s="3">
        <v>45077</v>
      </c>
      <c r="I357" s="2" t="s">
        <v>27</v>
      </c>
      <c r="J357" s="2">
        <f>+E357</f>
        <v>110769</v>
      </c>
      <c r="K357" s="2">
        <f>+F357</f>
        <v>1</v>
      </c>
      <c r="L357" s="17">
        <f>+G357</f>
        <v>536.5</v>
      </c>
      <c r="M357" s="2" t="s">
        <v>29</v>
      </c>
      <c r="N357" s="2">
        <v>42</v>
      </c>
      <c r="O357" s="2">
        <v>22946</v>
      </c>
      <c r="P357" s="8">
        <f t="shared" si="380"/>
        <v>542.77386239999998</v>
      </c>
      <c r="Q357" s="8">
        <f t="shared" si="379"/>
        <v>6.2738623999999845</v>
      </c>
    </row>
    <row r="358" spans="1:17" x14ac:dyDescent="0.25">
      <c r="A358" s="3">
        <v>45077</v>
      </c>
      <c r="B358" s="2" t="s">
        <v>72</v>
      </c>
      <c r="C358" s="2">
        <v>88</v>
      </c>
      <c r="D358" s="2">
        <v>64</v>
      </c>
      <c r="E358" s="2">
        <v>110770</v>
      </c>
      <c r="F358" s="2">
        <v>1</v>
      </c>
      <c r="G358" s="8">
        <v>533.4</v>
      </c>
      <c r="H358" s="2"/>
      <c r="I358" s="2"/>
      <c r="J358" s="2"/>
      <c r="K358" s="2"/>
      <c r="L358" s="2"/>
      <c r="M358" s="2"/>
      <c r="N358" s="2"/>
      <c r="O358" s="2"/>
      <c r="P358" s="8">
        <f t="shared" si="380"/>
        <v>0</v>
      </c>
      <c r="Q358" s="8">
        <f t="shared" si="379"/>
        <v>-533.4</v>
      </c>
    </row>
    <row r="359" spans="1:17" x14ac:dyDescent="0.25">
      <c r="A359" s="3">
        <v>45077</v>
      </c>
      <c r="B359" s="2" t="s">
        <v>72</v>
      </c>
      <c r="C359" s="2">
        <v>88</v>
      </c>
      <c r="D359" s="2">
        <v>64</v>
      </c>
      <c r="E359" s="2">
        <v>110771</v>
      </c>
      <c r="F359" s="2">
        <v>1</v>
      </c>
      <c r="G359" s="8">
        <v>533</v>
      </c>
      <c r="H359" s="3">
        <v>45079</v>
      </c>
      <c r="I359" s="2" t="s">
        <v>27</v>
      </c>
      <c r="J359" s="2">
        <f>+E359</f>
        <v>110771</v>
      </c>
      <c r="K359" s="2">
        <f>+F359</f>
        <v>1</v>
      </c>
      <c r="L359" s="17">
        <f>+G359</f>
        <v>533</v>
      </c>
      <c r="M359" s="2" t="s">
        <v>30</v>
      </c>
      <c r="N359" s="2">
        <v>42</v>
      </c>
      <c r="O359" s="2">
        <v>22943</v>
      </c>
      <c r="P359" s="8">
        <f t="shared" si="380"/>
        <v>542.70289920000005</v>
      </c>
      <c r="Q359" s="8">
        <f t="shared" si="379"/>
        <v>9.7028992000000471</v>
      </c>
    </row>
    <row r="360" spans="1:17" x14ac:dyDescent="0.25">
      <c r="A360" s="3">
        <v>45077</v>
      </c>
      <c r="B360" s="2" t="s">
        <v>72</v>
      </c>
      <c r="C360" s="2">
        <v>88</v>
      </c>
      <c r="D360" s="2">
        <v>64</v>
      </c>
      <c r="E360" s="2">
        <v>110773</v>
      </c>
      <c r="F360" s="2">
        <v>1</v>
      </c>
      <c r="G360" s="8">
        <v>533.70000000000005</v>
      </c>
      <c r="H360" s="2"/>
      <c r="I360" s="2"/>
      <c r="J360" s="2"/>
      <c r="K360" s="2"/>
      <c r="L360" s="2"/>
      <c r="M360" s="2"/>
      <c r="N360" s="2"/>
      <c r="O360" s="2"/>
      <c r="P360" s="8">
        <f t="shared" si="380"/>
        <v>0</v>
      </c>
      <c r="Q360" s="8">
        <f t="shared" si="379"/>
        <v>-533.70000000000005</v>
      </c>
    </row>
    <row r="361" spans="1:17" x14ac:dyDescent="0.25">
      <c r="A361" s="3">
        <v>45077</v>
      </c>
      <c r="B361" s="2" t="s">
        <v>72</v>
      </c>
      <c r="C361" s="2">
        <v>88</v>
      </c>
      <c r="D361" s="2">
        <v>64</v>
      </c>
      <c r="E361" s="2">
        <v>110774</v>
      </c>
      <c r="F361" s="2">
        <v>1</v>
      </c>
      <c r="G361" s="8">
        <v>536.9</v>
      </c>
      <c r="H361" s="2"/>
      <c r="I361" s="2"/>
      <c r="J361" s="2"/>
      <c r="K361" s="2"/>
      <c r="L361" s="2"/>
      <c r="M361" s="2"/>
      <c r="N361" s="2"/>
      <c r="O361" s="2"/>
      <c r="P361" s="8">
        <f t="shared" si="380"/>
        <v>0</v>
      </c>
      <c r="Q361" s="8">
        <f t="shared" si="379"/>
        <v>-536.9</v>
      </c>
    </row>
    <row r="362" spans="1:17" x14ac:dyDescent="0.25">
      <c r="A362" s="3">
        <v>45077</v>
      </c>
      <c r="B362" s="2" t="s">
        <v>72</v>
      </c>
      <c r="C362" s="2">
        <v>88</v>
      </c>
      <c r="D362" s="2">
        <v>64</v>
      </c>
      <c r="E362" s="2">
        <v>110775</v>
      </c>
      <c r="F362" s="2">
        <v>1</v>
      </c>
      <c r="G362" s="8">
        <v>534.4</v>
      </c>
      <c r="H362" s="2"/>
      <c r="I362" s="2"/>
      <c r="J362" s="2"/>
      <c r="K362" s="2"/>
      <c r="L362" s="2"/>
      <c r="M362" s="2"/>
      <c r="N362" s="2"/>
      <c r="O362" s="2"/>
      <c r="P362" s="8">
        <f t="shared" si="380"/>
        <v>0</v>
      </c>
      <c r="Q362" s="8">
        <f t="shared" si="379"/>
        <v>-534.4</v>
      </c>
    </row>
    <row r="363" spans="1:17" x14ac:dyDescent="0.25">
      <c r="A363" s="3">
        <v>45077</v>
      </c>
      <c r="B363" s="2" t="s">
        <v>72</v>
      </c>
      <c r="C363" s="2">
        <v>88</v>
      </c>
      <c r="D363" s="2">
        <v>64</v>
      </c>
      <c r="E363" s="2">
        <v>110784</v>
      </c>
      <c r="F363" s="2">
        <v>1</v>
      </c>
      <c r="G363" s="8">
        <v>539.79999999999995</v>
      </c>
      <c r="H363" s="2"/>
      <c r="I363" s="2"/>
      <c r="J363" s="2"/>
      <c r="K363" s="2"/>
      <c r="L363" s="2"/>
      <c r="M363" s="2"/>
      <c r="N363" s="2"/>
      <c r="O363" s="2"/>
      <c r="P363" s="8">
        <f t="shared" si="380"/>
        <v>0</v>
      </c>
      <c r="Q363" s="8">
        <f t="shared" si="379"/>
        <v>-539.79999999999995</v>
      </c>
    </row>
    <row r="364" spans="1:17" x14ac:dyDescent="0.25">
      <c r="A364" s="3">
        <v>45077</v>
      </c>
      <c r="B364" s="2" t="s">
        <v>72</v>
      </c>
      <c r="C364" s="2">
        <v>88</v>
      </c>
      <c r="D364" s="2">
        <v>64</v>
      </c>
      <c r="E364" s="2">
        <v>110785</v>
      </c>
      <c r="F364" s="2">
        <v>1</v>
      </c>
      <c r="G364" s="8">
        <v>541</v>
      </c>
      <c r="H364" s="3">
        <v>45079</v>
      </c>
      <c r="I364" s="2" t="s">
        <v>27</v>
      </c>
      <c r="J364" s="2">
        <f>+E364</f>
        <v>110785</v>
      </c>
      <c r="K364" s="2">
        <f>+F364</f>
        <v>1</v>
      </c>
      <c r="L364" s="17">
        <f>+G364</f>
        <v>541</v>
      </c>
      <c r="M364" s="2" t="s">
        <v>30</v>
      </c>
      <c r="N364" s="2">
        <v>42</v>
      </c>
      <c r="O364" s="2">
        <v>23330</v>
      </c>
      <c r="P364" s="8">
        <f t="shared" si="380"/>
        <v>551.85715199999993</v>
      </c>
      <c r="Q364" s="8">
        <f t="shared" si="379"/>
        <v>10.857151999999928</v>
      </c>
    </row>
    <row r="365" spans="1:17" x14ac:dyDescent="0.25">
      <c r="A365" s="3">
        <v>45077</v>
      </c>
      <c r="B365" s="2" t="s">
        <v>72</v>
      </c>
      <c r="C365" s="2">
        <v>88</v>
      </c>
      <c r="D365" s="2">
        <v>64</v>
      </c>
      <c r="E365" s="2">
        <v>110787</v>
      </c>
      <c r="F365" s="2">
        <v>1</v>
      </c>
      <c r="G365" s="8">
        <v>543.20000000000005</v>
      </c>
      <c r="H365" s="2"/>
      <c r="I365" s="2"/>
      <c r="J365" s="2"/>
      <c r="K365" s="2"/>
      <c r="L365" s="2"/>
      <c r="M365" s="2"/>
      <c r="N365" s="2"/>
      <c r="O365" s="2"/>
      <c r="P365" s="8">
        <f t="shared" si="380"/>
        <v>0</v>
      </c>
      <c r="Q365" s="8">
        <f t="shared" si="379"/>
        <v>-543.20000000000005</v>
      </c>
    </row>
    <row r="366" spans="1:17" x14ac:dyDescent="0.25">
      <c r="A366" s="3">
        <v>45077</v>
      </c>
      <c r="B366" s="2" t="s">
        <v>72</v>
      </c>
      <c r="C366" s="2">
        <v>88</v>
      </c>
      <c r="D366" s="2">
        <v>64</v>
      </c>
      <c r="E366" s="2">
        <v>110788</v>
      </c>
      <c r="F366" s="2">
        <v>1</v>
      </c>
      <c r="G366" s="8">
        <v>537.20000000000005</v>
      </c>
      <c r="H366" s="3">
        <v>45079</v>
      </c>
      <c r="I366" s="2" t="s">
        <v>27</v>
      </c>
      <c r="J366" s="2">
        <f t="shared" ref="J366:L368" si="388">+E366</f>
        <v>110788</v>
      </c>
      <c r="K366" s="2">
        <f t="shared" si="388"/>
        <v>1</v>
      </c>
      <c r="L366" s="17">
        <f t="shared" si="388"/>
        <v>537.20000000000005</v>
      </c>
      <c r="M366" s="2" t="s">
        <v>30</v>
      </c>
      <c r="N366" s="2">
        <v>42</v>
      </c>
      <c r="O366" s="2">
        <v>23234</v>
      </c>
      <c r="P366" s="8">
        <f t="shared" si="380"/>
        <v>549.5863296</v>
      </c>
      <c r="Q366" s="8">
        <f t="shared" si="379"/>
        <v>12.386329599999954</v>
      </c>
    </row>
    <row r="367" spans="1:17" x14ac:dyDescent="0.25">
      <c r="A367" s="3">
        <v>45077</v>
      </c>
      <c r="B367" s="2" t="s">
        <v>72</v>
      </c>
      <c r="C367" s="2">
        <v>88</v>
      </c>
      <c r="D367" s="2">
        <v>64</v>
      </c>
      <c r="E367" s="2">
        <v>110789</v>
      </c>
      <c r="F367" s="2">
        <v>1</v>
      </c>
      <c r="G367" s="8">
        <v>538.79999999999995</v>
      </c>
      <c r="H367" s="3">
        <v>45077</v>
      </c>
      <c r="I367" s="2" t="s">
        <v>27</v>
      </c>
      <c r="J367" s="2">
        <f t="shared" si="388"/>
        <v>110789</v>
      </c>
      <c r="K367" s="2">
        <f t="shared" si="388"/>
        <v>1</v>
      </c>
      <c r="L367" s="17">
        <f t="shared" si="388"/>
        <v>538.79999999999995</v>
      </c>
      <c r="M367" s="2" t="s">
        <v>29</v>
      </c>
      <c r="N367" s="2">
        <v>42</v>
      </c>
      <c r="O367" s="2">
        <v>23044</v>
      </c>
      <c r="P367" s="8">
        <f t="shared" si="380"/>
        <v>545.09199360000002</v>
      </c>
      <c r="Q367" s="8">
        <f t="shared" si="379"/>
        <v>6.2919936000000689</v>
      </c>
    </row>
    <row r="368" spans="1:17" x14ac:dyDescent="0.25">
      <c r="A368" s="3">
        <v>45077</v>
      </c>
      <c r="B368" s="2" t="s">
        <v>72</v>
      </c>
      <c r="C368" s="2">
        <v>88</v>
      </c>
      <c r="D368" s="2">
        <v>64</v>
      </c>
      <c r="E368" s="2">
        <v>110791</v>
      </c>
      <c r="F368" s="2">
        <v>1</v>
      </c>
      <c r="G368" s="8">
        <v>558.20000000000005</v>
      </c>
      <c r="H368" s="3">
        <v>45079</v>
      </c>
      <c r="I368" s="2" t="s">
        <v>27</v>
      </c>
      <c r="J368" s="2">
        <f t="shared" si="388"/>
        <v>110791</v>
      </c>
      <c r="K368" s="2">
        <f t="shared" si="388"/>
        <v>1</v>
      </c>
      <c r="L368" s="17">
        <f t="shared" si="388"/>
        <v>558.20000000000005</v>
      </c>
      <c r="M368" s="2" t="s">
        <v>30</v>
      </c>
      <c r="N368" s="2">
        <v>42</v>
      </c>
      <c r="O368" s="2">
        <v>23864</v>
      </c>
      <c r="P368" s="8">
        <f t="shared" si="380"/>
        <v>564.48860160000004</v>
      </c>
      <c r="Q368" s="8">
        <f t="shared" si="379"/>
        <v>6.2886015999999927</v>
      </c>
    </row>
    <row r="369" spans="1:17" x14ac:dyDescent="0.25">
      <c r="A369" s="3">
        <v>45077</v>
      </c>
      <c r="B369" s="2" t="s">
        <v>72</v>
      </c>
      <c r="C369" s="2">
        <v>88</v>
      </c>
      <c r="D369" s="2">
        <v>64</v>
      </c>
      <c r="E369" s="2">
        <v>110793</v>
      </c>
      <c r="F369" s="2">
        <v>1</v>
      </c>
      <c r="G369" s="8">
        <v>555.9</v>
      </c>
      <c r="H369" s="2"/>
      <c r="I369" s="2"/>
      <c r="J369" s="2"/>
      <c r="K369" s="2"/>
      <c r="L369" s="2"/>
      <c r="M369" s="2"/>
      <c r="N369" s="2"/>
      <c r="O369" s="2"/>
      <c r="P369" s="8">
        <f t="shared" si="380"/>
        <v>0</v>
      </c>
      <c r="Q369" s="8">
        <f t="shared" si="379"/>
        <v>-555.9</v>
      </c>
    </row>
    <row r="370" spans="1:17" x14ac:dyDescent="0.25">
      <c r="A370" s="3">
        <v>45077</v>
      </c>
      <c r="B370" s="2" t="s">
        <v>72</v>
      </c>
      <c r="C370" s="2">
        <v>88</v>
      </c>
      <c r="D370" s="2">
        <v>64</v>
      </c>
      <c r="E370" s="2">
        <v>110796</v>
      </c>
      <c r="F370" s="2">
        <v>1</v>
      </c>
      <c r="G370" s="8">
        <v>534.79999999999995</v>
      </c>
      <c r="H370" s="3">
        <v>45079</v>
      </c>
      <c r="I370" s="2" t="s">
        <v>27</v>
      </c>
      <c r="J370" s="2">
        <f t="shared" ref="J370:L371" si="389">+E370</f>
        <v>110796</v>
      </c>
      <c r="K370" s="2">
        <f t="shared" si="389"/>
        <v>1</v>
      </c>
      <c r="L370" s="17">
        <f t="shared" si="389"/>
        <v>534.79999999999995</v>
      </c>
      <c r="M370" s="2" t="s">
        <v>30</v>
      </c>
      <c r="N370" s="2">
        <v>42</v>
      </c>
      <c r="O370" s="2">
        <v>22980</v>
      </c>
      <c r="P370" s="8">
        <f t="shared" si="380"/>
        <v>543.57811200000003</v>
      </c>
      <c r="Q370" s="8">
        <f t="shared" si="379"/>
        <v>8.7781120000000783</v>
      </c>
    </row>
    <row r="371" spans="1:17" s="35" customFormat="1" x14ac:dyDescent="0.25">
      <c r="A371" s="32">
        <v>45077</v>
      </c>
      <c r="B371" s="33" t="s">
        <v>72</v>
      </c>
      <c r="C371" s="33">
        <v>88</v>
      </c>
      <c r="D371" s="33">
        <v>64</v>
      </c>
      <c r="E371" s="33">
        <v>110859</v>
      </c>
      <c r="F371" s="33">
        <v>1</v>
      </c>
      <c r="G371" s="34">
        <v>541.79999999999995</v>
      </c>
      <c r="H371" s="32">
        <v>45079</v>
      </c>
      <c r="I371" s="33" t="s">
        <v>27</v>
      </c>
      <c r="J371" s="33">
        <f t="shared" si="389"/>
        <v>110859</v>
      </c>
      <c r="K371" s="33">
        <f t="shared" si="389"/>
        <v>1</v>
      </c>
      <c r="L371" s="37">
        <f t="shared" si="389"/>
        <v>541.79999999999995</v>
      </c>
      <c r="M371" s="33" t="s">
        <v>30</v>
      </c>
      <c r="N371" s="33">
        <v>42</v>
      </c>
      <c r="O371" s="33">
        <v>23250</v>
      </c>
      <c r="P371" s="34">
        <f t="shared" si="380"/>
        <v>549.96480000000008</v>
      </c>
      <c r="Q371" s="34">
        <f t="shared" si="379"/>
        <v>8.1648000000001275</v>
      </c>
    </row>
    <row r="372" spans="1:17" s="35" customFormat="1" x14ac:dyDescent="0.25">
      <c r="A372" s="32">
        <v>45077</v>
      </c>
      <c r="B372" s="33" t="s">
        <v>72</v>
      </c>
      <c r="C372" s="33">
        <v>88</v>
      </c>
      <c r="D372" s="33">
        <v>64</v>
      </c>
      <c r="E372" s="33">
        <v>110918</v>
      </c>
      <c r="F372" s="33">
        <v>1</v>
      </c>
      <c r="G372" s="34">
        <v>554.70000000000005</v>
      </c>
      <c r="H372" s="32">
        <v>45078</v>
      </c>
      <c r="I372" s="33" t="s">
        <v>27</v>
      </c>
      <c r="J372" s="33">
        <f t="shared" ref="J372:L378" si="390">+E372</f>
        <v>110918</v>
      </c>
      <c r="K372" s="33">
        <f t="shared" si="390"/>
        <v>1</v>
      </c>
      <c r="L372" s="37">
        <f t="shared" si="390"/>
        <v>554.70000000000005</v>
      </c>
      <c r="M372" s="33" t="s">
        <v>29</v>
      </c>
      <c r="N372" s="33">
        <v>42</v>
      </c>
      <c r="O372" s="33">
        <v>23875</v>
      </c>
      <c r="P372" s="34">
        <f t="shared" si="380"/>
        <v>564.74880000000007</v>
      </c>
      <c r="Q372" s="34">
        <f t="shared" si="379"/>
        <v>10.048800000000028</v>
      </c>
    </row>
    <row r="373" spans="1:17" x14ac:dyDescent="0.25">
      <c r="A373" s="3">
        <v>45077</v>
      </c>
      <c r="B373" s="2" t="s">
        <v>72</v>
      </c>
      <c r="C373" s="2">
        <v>88</v>
      </c>
      <c r="D373" s="2">
        <v>64</v>
      </c>
      <c r="E373" s="2">
        <v>111146</v>
      </c>
      <c r="F373" s="2">
        <v>1</v>
      </c>
      <c r="G373" s="8">
        <v>514.20000000000005</v>
      </c>
      <c r="H373" s="3">
        <v>45077</v>
      </c>
      <c r="I373" s="2" t="s">
        <v>79</v>
      </c>
      <c r="J373" s="2">
        <f t="shared" si="390"/>
        <v>111146</v>
      </c>
      <c r="K373" s="2">
        <f t="shared" si="390"/>
        <v>1</v>
      </c>
      <c r="L373" s="17">
        <f t="shared" si="390"/>
        <v>514.20000000000005</v>
      </c>
      <c r="M373" s="2" t="s">
        <v>30</v>
      </c>
      <c r="N373" s="2">
        <v>42</v>
      </c>
      <c r="O373" s="2">
        <v>21959</v>
      </c>
      <c r="P373" s="8">
        <f t="shared" si="380"/>
        <v>519.42696959999989</v>
      </c>
      <c r="Q373" s="8">
        <f t="shared" si="379"/>
        <v>5.2269695999998476</v>
      </c>
    </row>
    <row r="374" spans="1:17" x14ac:dyDescent="0.25">
      <c r="A374" s="3">
        <v>45078</v>
      </c>
      <c r="B374" s="2" t="s">
        <v>72</v>
      </c>
      <c r="C374" s="2">
        <v>88</v>
      </c>
      <c r="D374" s="2">
        <v>64</v>
      </c>
      <c r="E374" s="2">
        <v>110903</v>
      </c>
      <c r="F374" s="2">
        <v>1</v>
      </c>
      <c r="G374" s="8">
        <v>495.4</v>
      </c>
      <c r="H374" s="3">
        <v>45078</v>
      </c>
      <c r="I374" s="2" t="s">
        <v>89</v>
      </c>
      <c r="J374" s="2">
        <f t="shared" si="390"/>
        <v>110903</v>
      </c>
      <c r="K374" s="2">
        <f t="shared" si="390"/>
        <v>1</v>
      </c>
      <c r="L374" s="17">
        <f t="shared" si="390"/>
        <v>495.4</v>
      </c>
      <c r="M374" s="2" t="s">
        <v>30</v>
      </c>
      <c r="N374" s="2">
        <v>42</v>
      </c>
      <c r="O374" s="2">
        <v>21092</v>
      </c>
      <c r="P374" s="8">
        <f t="shared" ref="P374" si="391">(O374/20000/500)*C374*D374*N374</f>
        <v>498.91860479999997</v>
      </c>
      <c r="Q374" s="8">
        <f t="shared" si="379"/>
        <v>3.5186047999999914</v>
      </c>
    </row>
    <row r="375" spans="1:17" x14ac:dyDescent="0.25">
      <c r="A375" s="3">
        <v>45078</v>
      </c>
      <c r="B375" s="2" t="s">
        <v>72</v>
      </c>
      <c r="C375" s="2">
        <v>88</v>
      </c>
      <c r="D375" s="2">
        <v>64</v>
      </c>
      <c r="E375" s="2">
        <v>110930</v>
      </c>
      <c r="F375" s="2">
        <v>1</v>
      </c>
      <c r="G375" s="8">
        <v>543.6</v>
      </c>
      <c r="H375" s="3">
        <v>45078</v>
      </c>
      <c r="I375" s="2" t="s">
        <v>27</v>
      </c>
      <c r="J375" s="2">
        <f t="shared" si="390"/>
        <v>110930</v>
      </c>
      <c r="K375" s="2">
        <f t="shared" si="390"/>
        <v>1</v>
      </c>
      <c r="L375" s="17">
        <f t="shared" si="390"/>
        <v>543.6</v>
      </c>
      <c r="M375" s="2" t="s">
        <v>29</v>
      </c>
      <c r="N375" s="2">
        <v>42</v>
      </c>
      <c r="O375" s="2">
        <v>23531</v>
      </c>
      <c r="P375" s="8">
        <f t="shared" si="380"/>
        <v>556.61168640000005</v>
      </c>
      <c r="Q375" s="8">
        <f t="shared" si="379"/>
        <v>13.011686400000031</v>
      </c>
    </row>
    <row r="376" spans="1:17" x14ac:dyDescent="0.25">
      <c r="A376" s="3">
        <v>45078</v>
      </c>
      <c r="B376" s="2" t="s">
        <v>72</v>
      </c>
      <c r="C376" s="2">
        <v>88</v>
      </c>
      <c r="D376" s="2">
        <v>64</v>
      </c>
      <c r="E376" s="2">
        <v>110940</v>
      </c>
      <c r="F376" s="2">
        <v>1</v>
      </c>
      <c r="G376" s="8">
        <v>533.1</v>
      </c>
      <c r="H376" s="3">
        <v>45078</v>
      </c>
      <c r="I376" s="2" t="s">
        <v>89</v>
      </c>
      <c r="J376" s="2">
        <f t="shared" si="390"/>
        <v>110940</v>
      </c>
      <c r="K376" s="2">
        <f t="shared" si="390"/>
        <v>1</v>
      </c>
      <c r="L376" s="17">
        <f t="shared" si="390"/>
        <v>533.1</v>
      </c>
      <c r="M376" s="2" t="s">
        <v>30</v>
      </c>
      <c r="N376" s="2">
        <v>42</v>
      </c>
      <c r="O376" s="2">
        <v>22523</v>
      </c>
      <c r="P376" s="8">
        <f t="shared" si="380"/>
        <v>532.76805119999995</v>
      </c>
      <c r="Q376" s="8">
        <f t="shared" si="379"/>
        <v>-0.33194880000007743</v>
      </c>
    </row>
    <row r="377" spans="1:17" x14ac:dyDescent="0.25">
      <c r="A377" s="3">
        <v>45078</v>
      </c>
      <c r="B377" s="2" t="s">
        <v>72</v>
      </c>
      <c r="C377" s="2">
        <v>88</v>
      </c>
      <c r="D377" s="2">
        <v>64</v>
      </c>
      <c r="E377" s="2">
        <v>110948</v>
      </c>
      <c r="F377" s="2">
        <v>1</v>
      </c>
      <c r="G377" s="8">
        <v>535.70000000000005</v>
      </c>
      <c r="H377" s="3">
        <v>45078</v>
      </c>
      <c r="I377" s="2" t="s">
        <v>89</v>
      </c>
      <c r="J377" s="2">
        <f t="shared" si="390"/>
        <v>110948</v>
      </c>
      <c r="K377" s="2">
        <f t="shared" si="390"/>
        <v>1</v>
      </c>
      <c r="L377" s="17">
        <f t="shared" si="390"/>
        <v>535.70000000000005</v>
      </c>
      <c r="M377" s="2" t="s">
        <v>30</v>
      </c>
      <c r="N377" s="2">
        <v>42</v>
      </c>
      <c r="O377" s="2">
        <v>22870</v>
      </c>
      <c r="P377" s="8">
        <f t="shared" si="380"/>
        <v>540.97612800000002</v>
      </c>
      <c r="Q377" s="8">
        <f t="shared" si="379"/>
        <v>5.2761279999999715</v>
      </c>
    </row>
    <row r="378" spans="1:17" x14ac:dyDescent="0.25">
      <c r="A378" s="3">
        <v>45078</v>
      </c>
      <c r="B378" s="2" t="s">
        <v>72</v>
      </c>
      <c r="C378" s="2">
        <v>88</v>
      </c>
      <c r="D378" s="2">
        <v>64</v>
      </c>
      <c r="E378" s="2">
        <v>110953</v>
      </c>
      <c r="F378" s="2">
        <v>1</v>
      </c>
      <c r="G378" s="8">
        <v>525.29999999999995</v>
      </c>
      <c r="H378" s="3">
        <v>45078</v>
      </c>
      <c r="I378" s="2" t="s">
        <v>27</v>
      </c>
      <c r="J378" s="2">
        <f t="shared" si="390"/>
        <v>110953</v>
      </c>
      <c r="K378" s="2">
        <f t="shared" si="390"/>
        <v>1</v>
      </c>
      <c r="L378" s="17">
        <f t="shared" si="390"/>
        <v>525.29999999999995</v>
      </c>
      <c r="M378" s="2" t="s">
        <v>30</v>
      </c>
      <c r="N378" s="2">
        <v>42</v>
      </c>
      <c r="O378" s="2">
        <v>22605</v>
      </c>
      <c r="P378" s="8">
        <f t="shared" si="380"/>
        <v>534.70771200000001</v>
      </c>
      <c r="Q378" s="8">
        <f t="shared" si="379"/>
        <v>9.4077120000000605</v>
      </c>
    </row>
    <row r="379" spans="1:17" x14ac:dyDescent="0.25">
      <c r="A379" s="3">
        <v>45078</v>
      </c>
      <c r="B379" s="2" t="s">
        <v>72</v>
      </c>
      <c r="C379" s="2">
        <v>88</v>
      </c>
      <c r="D379" s="2">
        <v>64</v>
      </c>
      <c r="E379" s="2">
        <v>110958</v>
      </c>
      <c r="F379" s="2">
        <v>1</v>
      </c>
      <c r="G379" s="8">
        <v>528.70000000000005</v>
      </c>
      <c r="H379" s="3">
        <v>45079</v>
      </c>
      <c r="I379" s="2" t="s">
        <v>27</v>
      </c>
      <c r="J379" s="2">
        <f t="shared" ref="J379" si="392">+E379</f>
        <v>110958</v>
      </c>
      <c r="K379" s="2">
        <f t="shared" ref="K379" si="393">+F379</f>
        <v>1</v>
      </c>
      <c r="L379" s="17">
        <f t="shared" ref="L379" si="394">+G379</f>
        <v>528.70000000000005</v>
      </c>
      <c r="M379" s="2" t="s">
        <v>30</v>
      </c>
      <c r="N379" s="2">
        <v>42</v>
      </c>
      <c r="O379" s="2">
        <v>22675</v>
      </c>
      <c r="P379" s="8">
        <f t="shared" si="380"/>
        <v>536.36351999999999</v>
      </c>
      <c r="Q379" s="8">
        <f t="shared" si="379"/>
        <v>7.6635199999999486</v>
      </c>
    </row>
    <row r="380" spans="1:17" x14ac:dyDescent="0.25">
      <c r="A380" s="3">
        <v>45078</v>
      </c>
      <c r="B380" s="2" t="s">
        <v>72</v>
      </c>
      <c r="C380" s="2">
        <v>88</v>
      </c>
      <c r="D380" s="2">
        <v>64</v>
      </c>
      <c r="E380" s="2">
        <v>111118</v>
      </c>
      <c r="F380" s="2">
        <v>1</v>
      </c>
      <c r="G380" s="8">
        <v>532</v>
      </c>
      <c r="H380" s="3">
        <v>45079</v>
      </c>
      <c r="I380" s="2" t="s">
        <v>27</v>
      </c>
      <c r="J380" s="2">
        <f t="shared" ref="J380" si="395">+E380</f>
        <v>111118</v>
      </c>
      <c r="K380" s="2">
        <f t="shared" ref="K380" si="396">+F380</f>
        <v>1</v>
      </c>
      <c r="L380" s="17">
        <f t="shared" ref="L380" si="397">+G380</f>
        <v>532</v>
      </c>
      <c r="M380" s="2" t="s">
        <v>30</v>
      </c>
      <c r="N380" s="2">
        <v>42</v>
      </c>
      <c r="O380" s="2">
        <v>22939</v>
      </c>
      <c r="P380" s="8">
        <f t="shared" si="380"/>
        <v>542.60828159999994</v>
      </c>
      <c r="Q380" s="8">
        <f t="shared" si="379"/>
        <v>10.608281599999941</v>
      </c>
    </row>
    <row r="381" spans="1:17" x14ac:dyDescent="0.25">
      <c r="A381" s="3">
        <v>45078</v>
      </c>
      <c r="B381" s="2" t="s">
        <v>72</v>
      </c>
      <c r="C381" s="2">
        <v>88</v>
      </c>
      <c r="D381" s="2">
        <v>64</v>
      </c>
      <c r="E381" s="2">
        <v>111123</v>
      </c>
      <c r="F381" s="2">
        <v>1</v>
      </c>
      <c r="G381" s="8">
        <v>514.29999999999995</v>
      </c>
      <c r="H381" s="3">
        <v>45078</v>
      </c>
      <c r="I381" s="2" t="s">
        <v>27</v>
      </c>
      <c r="J381" s="2">
        <f>+E381</f>
        <v>111123</v>
      </c>
      <c r="K381" s="2">
        <f>+F381</f>
        <v>1</v>
      </c>
      <c r="L381" s="17">
        <f>+G381</f>
        <v>514.29999999999995</v>
      </c>
      <c r="M381" s="2" t="s">
        <v>29</v>
      </c>
      <c r="N381" s="2">
        <v>42</v>
      </c>
      <c r="O381" s="2">
        <v>22098</v>
      </c>
      <c r="P381" s="8">
        <f t="shared" si="380"/>
        <v>522.71493120000002</v>
      </c>
      <c r="Q381" s="8">
        <f t="shared" si="379"/>
        <v>8.4149312000000691</v>
      </c>
    </row>
    <row r="382" spans="1:17" x14ac:dyDescent="0.25">
      <c r="A382" s="3">
        <v>45078</v>
      </c>
      <c r="B382" s="2" t="s">
        <v>72</v>
      </c>
      <c r="C382" s="2">
        <v>88</v>
      </c>
      <c r="D382" s="2">
        <v>64</v>
      </c>
      <c r="E382" s="2">
        <v>111128</v>
      </c>
      <c r="F382" s="2">
        <v>1</v>
      </c>
      <c r="G382" s="8">
        <v>538.4</v>
      </c>
      <c r="H382" s="2"/>
      <c r="I382" s="2"/>
      <c r="J382" s="2"/>
      <c r="K382" s="2"/>
      <c r="L382" s="2"/>
      <c r="M382" s="2"/>
      <c r="N382" s="2"/>
      <c r="O382" s="2"/>
      <c r="P382" s="8">
        <f t="shared" si="380"/>
        <v>0</v>
      </c>
      <c r="Q382" s="8">
        <f t="shared" si="379"/>
        <v>-538.4</v>
      </c>
    </row>
    <row r="383" spans="1:17" x14ac:dyDescent="0.25">
      <c r="A383" s="3">
        <v>45078</v>
      </c>
      <c r="B383" s="2" t="s">
        <v>72</v>
      </c>
      <c r="C383" s="2">
        <v>88</v>
      </c>
      <c r="D383" s="2">
        <v>64</v>
      </c>
      <c r="E383" s="2">
        <v>111151</v>
      </c>
      <c r="F383" s="2">
        <v>1</v>
      </c>
      <c r="G383" s="8">
        <v>487.7</v>
      </c>
      <c r="H383" s="3">
        <v>45078</v>
      </c>
      <c r="I383" s="2" t="s">
        <v>27</v>
      </c>
      <c r="J383" s="2">
        <f>+E383</f>
        <v>111151</v>
      </c>
      <c r="K383" s="2">
        <f>+F383</f>
        <v>1</v>
      </c>
      <c r="L383" s="17">
        <f>+G383</f>
        <v>487.7</v>
      </c>
      <c r="M383" s="2" t="s">
        <v>30</v>
      </c>
      <c r="N383" s="2">
        <v>42</v>
      </c>
      <c r="O383" s="2">
        <v>21075</v>
      </c>
      <c r="P383" s="8">
        <f t="shared" si="380"/>
        <v>498.51648000000006</v>
      </c>
      <c r="Q383" s="8">
        <f t="shared" si="379"/>
        <v>10.81648000000007</v>
      </c>
    </row>
    <row r="384" spans="1:17" x14ac:dyDescent="0.25">
      <c r="A384" s="3">
        <v>45079</v>
      </c>
      <c r="B384" s="2" t="s">
        <v>72</v>
      </c>
      <c r="C384" s="2">
        <v>96</v>
      </c>
      <c r="D384" s="2">
        <v>54</v>
      </c>
      <c r="E384" s="2">
        <v>111520</v>
      </c>
      <c r="F384" s="2">
        <v>1</v>
      </c>
      <c r="G384" s="8">
        <v>571.20000000000005</v>
      </c>
      <c r="H384" s="2"/>
      <c r="I384" s="2"/>
      <c r="J384" s="2"/>
      <c r="K384" s="2"/>
      <c r="L384" s="2"/>
      <c r="M384" s="2"/>
      <c r="N384" s="2"/>
      <c r="O384" s="2"/>
      <c r="P384" s="8">
        <f t="shared" si="380"/>
        <v>0</v>
      </c>
      <c r="Q384" s="8">
        <f t="shared" si="379"/>
        <v>-571.20000000000005</v>
      </c>
    </row>
    <row r="385" spans="1:17" x14ac:dyDescent="0.25">
      <c r="A385" s="3">
        <v>45079</v>
      </c>
      <c r="B385" s="2" t="s">
        <v>72</v>
      </c>
      <c r="C385" s="2">
        <v>96</v>
      </c>
      <c r="D385" s="2">
        <v>54</v>
      </c>
      <c r="E385" s="2">
        <v>111591</v>
      </c>
      <c r="F385" s="2">
        <v>1</v>
      </c>
      <c r="G385" s="2">
        <v>556.79999999999995</v>
      </c>
      <c r="H385" s="2"/>
      <c r="I385" s="2"/>
      <c r="J385" s="2"/>
      <c r="K385" s="2"/>
      <c r="L385" s="2"/>
      <c r="M385" s="2"/>
      <c r="N385" s="2"/>
      <c r="O385" s="2"/>
      <c r="P385" s="8">
        <f t="shared" si="380"/>
        <v>0</v>
      </c>
      <c r="Q385" s="8">
        <f t="shared" si="379"/>
        <v>-556.79999999999995</v>
      </c>
    </row>
    <row r="386" spans="1:17" x14ac:dyDescent="0.25">
      <c r="A386" s="3">
        <v>45079</v>
      </c>
      <c r="B386" s="2" t="s">
        <v>72</v>
      </c>
      <c r="C386" s="2">
        <v>96</v>
      </c>
      <c r="D386" s="2">
        <v>54</v>
      </c>
      <c r="E386" s="2">
        <v>111592</v>
      </c>
      <c r="F386" s="2">
        <v>1</v>
      </c>
      <c r="G386" s="2">
        <v>566</v>
      </c>
      <c r="H386" s="2"/>
      <c r="I386" s="2"/>
      <c r="J386" s="2"/>
      <c r="K386" s="2"/>
      <c r="L386" s="2"/>
      <c r="M386" s="2"/>
      <c r="N386" s="2"/>
      <c r="O386" s="2"/>
      <c r="P386" s="8">
        <f t="shared" si="380"/>
        <v>0</v>
      </c>
      <c r="Q386" s="8">
        <f t="shared" si="379"/>
        <v>-566</v>
      </c>
    </row>
    <row r="387" spans="1:17" x14ac:dyDescent="0.25">
      <c r="A387" s="3">
        <v>45079</v>
      </c>
      <c r="B387" s="2" t="s">
        <v>72</v>
      </c>
      <c r="C387" s="2">
        <v>96</v>
      </c>
      <c r="D387" s="2">
        <v>54</v>
      </c>
      <c r="E387" s="2">
        <v>111602</v>
      </c>
      <c r="F387" s="2">
        <v>1</v>
      </c>
      <c r="G387" s="2">
        <v>522.70000000000005</v>
      </c>
      <c r="H387" s="2"/>
      <c r="I387" s="2"/>
      <c r="J387" s="2"/>
      <c r="K387" s="2"/>
      <c r="L387" s="2"/>
      <c r="M387" s="2"/>
      <c r="N387" s="2"/>
      <c r="O387" s="2"/>
      <c r="P387" s="8">
        <f t="shared" si="380"/>
        <v>0</v>
      </c>
      <c r="Q387" s="8">
        <f t="shared" si="379"/>
        <v>-522.70000000000005</v>
      </c>
    </row>
    <row r="388" spans="1:17" x14ac:dyDescent="0.25">
      <c r="A388" s="3">
        <v>45079</v>
      </c>
      <c r="B388" s="2" t="s">
        <v>72</v>
      </c>
      <c r="C388" s="2">
        <v>96</v>
      </c>
      <c r="D388" s="2">
        <v>54</v>
      </c>
      <c r="E388" s="2">
        <v>111609</v>
      </c>
      <c r="F388" s="2">
        <v>1</v>
      </c>
      <c r="G388" s="2">
        <v>565.4</v>
      </c>
      <c r="H388" s="2"/>
      <c r="I388" s="2"/>
      <c r="J388" s="2"/>
      <c r="K388" s="2"/>
      <c r="L388" s="2"/>
      <c r="M388" s="2"/>
      <c r="N388" s="2"/>
      <c r="O388" s="2"/>
      <c r="P388" s="8">
        <f t="shared" si="380"/>
        <v>0</v>
      </c>
      <c r="Q388" s="8">
        <f t="shared" si="379"/>
        <v>-565.4</v>
      </c>
    </row>
    <row r="389" spans="1:17" x14ac:dyDescent="0.25">
      <c r="A389" s="3">
        <v>45079</v>
      </c>
      <c r="B389" s="2" t="s">
        <v>72</v>
      </c>
      <c r="C389" s="2">
        <v>96</v>
      </c>
      <c r="D389" s="2">
        <v>54</v>
      </c>
      <c r="E389" s="2">
        <v>112262</v>
      </c>
      <c r="F389" s="2">
        <v>1</v>
      </c>
      <c r="G389" s="2">
        <v>563.5</v>
      </c>
      <c r="H389" s="2"/>
      <c r="I389" s="2"/>
      <c r="J389" s="2"/>
      <c r="K389" s="2"/>
      <c r="L389" s="2"/>
      <c r="M389" s="2"/>
      <c r="N389" s="2"/>
      <c r="O389" s="2"/>
      <c r="P389" s="8">
        <f t="shared" si="380"/>
        <v>0</v>
      </c>
      <c r="Q389" s="8">
        <f t="shared" si="379"/>
        <v>-563.5</v>
      </c>
    </row>
    <row r="390" spans="1:17" x14ac:dyDescent="0.25">
      <c r="A390" s="3">
        <v>45079</v>
      </c>
      <c r="B390" s="2" t="s">
        <v>72</v>
      </c>
      <c r="C390" s="2">
        <v>96</v>
      </c>
      <c r="D390" s="2">
        <v>54</v>
      </c>
      <c r="E390" s="2">
        <v>112274</v>
      </c>
      <c r="F390" s="2">
        <v>1</v>
      </c>
      <c r="G390" s="2">
        <v>550.9</v>
      </c>
      <c r="H390" s="2"/>
      <c r="I390" s="2"/>
      <c r="J390" s="2"/>
      <c r="K390" s="2"/>
      <c r="L390" s="2"/>
      <c r="M390" s="2"/>
      <c r="N390" s="2"/>
      <c r="O390" s="2"/>
      <c r="P390" s="8">
        <f t="shared" si="380"/>
        <v>0</v>
      </c>
      <c r="Q390" s="8">
        <f t="shared" si="379"/>
        <v>-550.9</v>
      </c>
    </row>
    <row r="391" spans="1:17" x14ac:dyDescent="0.25">
      <c r="A391" s="3">
        <v>45079</v>
      </c>
      <c r="B391" s="2" t="s">
        <v>72</v>
      </c>
      <c r="C391" s="2">
        <v>96</v>
      </c>
      <c r="D391" s="2">
        <v>54</v>
      </c>
      <c r="E391" s="2">
        <v>112278</v>
      </c>
      <c r="F391" s="2">
        <v>1</v>
      </c>
      <c r="G391" s="2">
        <v>595.79999999999995</v>
      </c>
      <c r="H391" s="2"/>
      <c r="I391" s="2"/>
      <c r="J391" s="2"/>
      <c r="K391" s="2"/>
      <c r="L391" s="2"/>
      <c r="M391" s="2"/>
      <c r="N391" s="2"/>
      <c r="O391" s="2"/>
      <c r="P391" s="8">
        <f t="shared" si="380"/>
        <v>0</v>
      </c>
      <c r="Q391" s="8">
        <f t="shared" si="379"/>
        <v>-595.79999999999995</v>
      </c>
    </row>
    <row r="392" spans="1:17" x14ac:dyDescent="0.25">
      <c r="A392" s="3">
        <v>45079</v>
      </c>
      <c r="B392" s="2" t="s">
        <v>72</v>
      </c>
      <c r="C392" s="2">
        <v>96</v>
      </c>
      <c r="D392" s="2">
        <v>54</v>
      </c>
      <c r="E392" s="2">
        <v>112282</v>
      </c>
      <c r="F392" s="2">
        <v>1</v>
      </c>
      <c r="G392" s="2">
        <v>601</v>
      </c>
      <c r="H392" s="2"/>
      <c r="I392" s="2"/>
      <c r="J392" s="2"/>
      <c r="K392" s="2"/>
      <c r="L392" s="2"/>
      <c r="M392" s="2"/>
      <c r="N392" s="2"/>
      <c r="O392" s="2"/>
      <c r="P392" s="8">
        <f t="shared" si="380"/>
        <v>0</v>
      </c>
      <c r="Q392" s="8">
        <f t="shared" si="379"/>
        <v>-601</v>
      </c>
    </row>
    <row r="393" spans="1:17" x14ac:dyDescent="0.25">
      <c r="A393" s="3">
        <v>45079</v>
      </c>
      <c r="B393" s="2" t="s">
        <v>72</v>
      </c>
      <c r="C393" s="2">
        <v>96</v>
      </c>
      <c r="D393" s="2">
        <v>54</v>
      </c>
      <c r="E393" s="2">
        <v>112285</v>
      </c>
      <c r="F393" s="2">
        <v>1</v>
      </c>
      <c r="G393" s="2">
        <v>596.1</v>
      </c>
      <c r="H393" s="2"/>
      <c r="I393" s="2"/>
      <c r="J393" s="2"/>
      <c r="K393" s="2"/>
      <c r="L393" s="2"/>
      <c r="M393" s="2"/>
      <c r="N393" s="2"/>
      <c r="O393" s="2"/>
      <c r="P393" s="8">
        <f t="shared" si="380"/>
        <v>0</v>
      </c>
      <c r="Q393" s="8">
        <f t="shared" si="379"/>
        <v>-596.1</v>
      </c>
    </row>
    <row r="394" spans="1:17" x14ac:dyDescent="0.25">
      <c r="A394" s="3">
        <v>45079</v>
      </c>
      <c r="B394" s="2" t="s">
        <v>72</v>
      </c>
      <c r="C394" s="2">
        <v>96</v>
      </c>
      <c r="D394" s="2">
        <v>54</v>
      </c>
      <c r="E394" s="2">
        <v>112290</v>
      </c>
      <c r="F394" s="2">
        <v>1</v>
      </c>
      <c r="G394" s="2">
        <v>576.1</v>
      </c>
      <c r="H394" s="2"/>
      <c r="I394" s="2"/>
      <c r="J394" s="2"/>
      <c r="K394" s="2"/>
      <c r="L394" s="2"/>
      <c r="M394" s="2"/>
      <c r="N394" s="2"/>
      <c r="O394" s="2"/>
      <c r="P394" s="8">
        <f t="shared" si="380"/>
        <v>0</v>
      </c>
      <c r="Q394" s="8">
        <f t="shared" si="379"/>
        <v>-576.1</v>
      </c>
    </row>
    <row r="395" spans="1:17" x14ac:dyDescent="0.25">
      <c r="A395" s="3">
        <v>45079</v>
      </c>
      <c r="B395" s="2" t="s">
        <v>72</v>
      </c>
      <c r="C395" s="2">
        <v>96</v>
      </c>
      <c r="D395" s="2">
        <v>54</v>
      </c>
      <c r="E395" s="2">
        <v>112299</v>
      </c>
      <c r="F395" s="2">
        <v>1</v>
      </c>
      <c r="G395" s="2">
        <v>552.5</v>
      </c>
      <c r="H395" s="2"/>
      <c r="I395" s="2"/>
      <c r="J395" s="2"/>
      <c r="K395" s="2"/>
      <c r="L395" s="2"/>
      <c r="M395" s="2"/>
      <c r="N395" s="2"/>
      <c r="O395" s="2"/>
      <c r="P395" s="8">
        <f t="shared" si="380"/>
        <v>0</v>
      </c>
      <c r="Q395" s="8">
        <f t="shared" si="379"/>
        <v>-552.5</v>
      </c>
    </row>
    <row r="396" spans="1:17" x14ac:dyDescent="0.25">
      <c r="A396" s="3">
        <v>45079</v>
      </c>
      <c r="B396" s="2" t="s">
        <v>72</v>
      </c>
      <c r="C396" s="2">
        <v>96</v>
      </c>
      <c r="D396" s="2">
        <v>54</v>
      </c>
      <c r="E396" s="42">
        <v>112300</v>
      </c>
      <c r="F396" s="2">
        <v>1</v>
      </c>
      <c r="G396" s="2">
        <v>593.29999999999995</v>
      </c>
      <c r="H396" s="2"/>
      <c r="I396" s="2"/>
      <c r="J396" s="2"/>
      <c r="K396" s="2"/>
      <c r="L396" s="2"/>
      <c r="M396" s="2"/>
      <c r="N396" s="2"/>
      <c r="O396" s="2"/>
      <c r="P396" s="8">
        <f t="shared" si="380"/>
        <v>0</v>
      </c>
      <c r="Q396" s="8">
        <f t="shared" si="379"/>
        <v>-593.29999999999995</v>
      </c>
    </row>
    <row r="397" spans="1:17" x14ac:dyDescent="0.25">
      <c r="A397" s="3">
        <v>45079</v>
      </c>
      <c r="B397" s="2" t="s">
        <v>72</v>
      </c>
      <c r="C397" s="2">
        <v>96</v>
      </c>
      <c r="D397" s="2">
        <v>54</v>
      </c>
      <c r="E397" s="2">
        <v>112305</v>
      </c>
      <c r="F397" s="2">
        <v>1</v>
      </c>
      <c r="G397" s="2">
        <v>577.70000000000005</v>
      </c>
      <c r="H397" s="2"/>
      <c r="I397" s="2"/>
      <c r="J397" s="2"/>
      <c r="K397" s="2"/>
      <c r="L397" s="2"/>
      <c r="M397" s="2"/>
      <c r="N397" s="2"/>
      <c r="O397" s="2"/>
      <c r="P397" s="8">
        <f t="shared" si="380"/>
        <v>0</v>
      </c>
      <c r="Q397" s="8">
        <f t="shared" si="379"/>
        <v>-577.70000000000005</v>
      </c>
    </row>
    <row r="398" spans="1:17" x14ac:dyDescent="0.25">
      <c r="A398" s="3">
        <v>45079</v>
      </c>
      <c r="B398" s="2" t="s">
        <v>72</v>
      </c>
      <c r="C398" s="2">
        <v>96</v>
      </c>
      <c r="D398" s="2">
        <v>54</v>
      </c>
      <c r="E398" s="2">
        <v>112311</v>
      </c>
      <c r="F398" s="2">
        <v>1</v>
      </c>
      <c r="G398" s="2">
        <v>613.29999999999995</v>
      </c>
      <c r="H398" s="2"/>
      <c r="I398" s="2"/>
      <c r="J398" s="2"/>
      <c r="K398" s="2"/>
      <c r="L398" s="2"/>
      <c r="M398" s="2"/>
      <c r="N398" s="2"/>
      <c r="O398" s="2"/>
      <c r="P398" s="8">
        <f t="shared" si="380"/>
        <v>0</v>
      </c>
      <c r="Q398" s="8">
        <f t="shared" si="379"/>
        <v>-613.29999999999995</v>
      </c>
    </row>
    <row r="399" spans="1:17" x14ac:dyDescent="0.25">
      <c r="A399" s="3">
        <v>45079</v>
      </c>
      <c r="B399" s="2" t="s">
        <v>72</v>
      </c>
      <c r="C399" s="2">
        <v>96</v>
      </c>
      <c r="D399" s="2">
        <v>54</v>
      </c>
      <c r="E399" s="2">
        <v>112318</v>
      </c>
      <c r="F399" s="2">
        <v>1</v>
      </c>
      <c r="G399" s="2">
        <v>603.20000000000005</v>
      </c>
      <c r="H399" s="2"/>
      <c r="I399" s="2"/>
      <c r="J399" s="2"/>
      <c r="K399" s="2"/>
      <c r="L399" s="2"/>
      <c r="M399" s="2"/>
      <c r="N399" s="2"/>
      <c r="O399" s="2"/>
      <c r="P399" s="8">
        <f t="shared" si="380"/>
        <v>0</v>
      </c>
      <c r="Q399" s="8">
        <f t="shared" si="379"/>
        <v>-603.20000000000005</v>
      </c>
    </row>
    <row r="400" spans="1:17" x14ac:dyDescent="0.25">
      <c r="A400" s="3">
        <v>45079</v>
      </c>
      <c r="B400" s="2" t="s">
        <v>72</v>
      </c>
      <c r="C400" s="2">
        <v>96</v>
      </c>
      <c r="D400" s="2">
        <v>54</v>
      </c>
      <c r="E400" s="2">
        <v>112325</v>
      </c>
      <c r="F400" s="2">
        <v>1</v>
      </c>
      <c r="G400" s="2">
        <v>598.29999999999995</v>
      </c>
      <c r="H400" s="2"/>
      <c r="I400" s="2"/>
      <c r="J400" s="2"/>
      <c r="K400" s="2"/>
      <c r="L400" s="2"/>
      <c r="M400" s="2"/>
      <c r="N400" s="2"/>
      <c r="O400" s="2"/>
      <c r="P400" s="8">
        <f t="shared" si="380"/>
        <v>0</v>
      </c>
      <c r="Q400" s="8">
        <f t="shared" si="379"/>
        <v>-598.29999999999995</v>
      </c>
    </row>
    <row r="401" spans="1:17" x14ac:dyDescent="0.25">
      <c r="A401" s="3">
        <v>45079</v>
      </c>
      <c r="B401" s="2" t="s">
        <v>72</v>
      </c>
      <c r="C401" s="2">
        <v>96</v>
      </c>
      <c r="D401" s="2">
        <v>54</v>
      </c>
      <c r="E401" s="2">
        <v>112335</v>
      </c>
      <c r="F401" s="2">
        <v>1</v>
      </c>
      <c r="G401" s="2">
        <v>612.70000000000005</v>
      </c>
      <c r="H401" s="2"/>
      <c r="I401" s="2"/>
      <c r="J401" s="2"/>
      <c r="K401" s="2"/>
      <c r="L401" s="2"/>
      <c r="M401" s="2"/>
      <c r="N401" s="2"/>
      <c r="O401" s="2"/>
      <c r="P401" s="8">
        <f t="shared" si="380"/>
        <v>0</v>
      </c>
      <c r="Q401" s="8">
        <f t="shared" si="379"/>
        <v>-612.70000000000005</v>
      </c>
    </row>
    <row r="402" spans="1:17" x14ac:dyDescent="0.25">
      <c r="A402" s="3">
        <v>45079</v>
      </c>
      <c r="B402" s="2" t="s">
        <v>72</v>
      </c>
      <c r="C402" s="2">
        <v>96</v>
      </c>
      <c r="D402" s="2">
        <v>54</v>
      </c>
      <c r="E402" s="2">
        <v>112340</v>
      </c>
      <c r="F402" s="2">
        <v>1</v>
      </c>
      <c r="G402" s="2">
        <v>630.29999999999995</v>
      </c>
      <c r="H402" s="2"/>
      <c r="I402" s="2"/>
      <c r="J402" s="2"/>
      <c r="K402" s="2"/>
      <c r="L402" s="2"/>
      <c r="M402" s="2"/>
      <c r="N402" s="2"/>
      <c r="O402" s="2"/>
      <c r="P402" s="8">
        <f t="shared" ref="P402:P465" si="398">(O402/20000/500)*C402*D402*N402</f>
        <v>0</v>
      </c>
      <c r="Q402" s="8">
        <f t="shared" ref="Q402:Q465" si="399">+P402-G402</f>
        <v>-630.29999999999995</v>
      </c>
    </row>
    <row r="403" spans="1:17" x14ac:dyDescent="0.25">
      <c r="A403" s="3">
        <v>45079</v>
      </c>
      <c r="B403" s="2" t="s">
        <v>72</v>
      </c>
      <c r="C403" s="2">
        <v>96</v>
      </c>
      <c r="D403" s="2">
        <v>54</v>
      </c>
      <c r="E403" s="2">
        <v>112345</v>
      </c>
      <c r="F403" s="2">
        <v>1</v>
      </c>
      <c r="G403" s="2">
        <v>610.6</v>
      </c>
      <c r="H403" s="2"/>
      <c r="I403" s="2"/>
      <c r="J403" s="2"/>
      <c r="K403" s="2"/>
      <c r="L403" s="2"/>
      <c r="M403" s="2"/>
      <c r="N403" s="2"/>
      <c r="O403" s="2"/>
      <c r="P403" s="8">
        <f t="shared" si="398"/>
        <v>0</v>
      </c>
      <c r="Q403" s="8">
        <f t="shared" si="399"/>
        <v>-610.6</v>
      </c>
    </row>
    <row r="404" spans="1:17" x14ac:dyDescent="0.25">
      <c r="A404" s="3">
        <v>45079</v>
      </c>
      <c r="B404" s="2" t="s">
        <v>72</v>
      </c>
      <c r="C404" s="2">
        <v>96</v>
      </c>
      <c r="D404" s="2">
        <v>54</v>
      </c>
      <c r="E404" s="2">
        <v>112350</v>
      </c>
      <c r="F404" s="2">
        <v>1</v>
      </c>
      <c r="G404" s="2">
        <v>616.4</v>
      </c>
      <c r="H404" s="2"/>
      <c r="I404" s="2"/>
      <c r="J404" s="2"/>
      <c r="K404" s="2"/>
      <c r="L404" s="2"/>
      <c r="M404" s="2"/>
      <c r="N404" s="2"/>
      <c r="O404" s="2"/>
      <c r="P404" s="8">
        <f t="shared" si="398"/>
        <v>0</v>
      </c>
      <c r="Q404" s="8">
        <f t="shared" si="399"/>
        <v>-616.4</v>
      </c>
    </row>
    <row r="405" spans="1:17" x14ac:dyDescent="0.25">
      <c r="A405" s="3">
        <v>45079</v>
      </c>
      <c r="B405" s="2" t="s">
        <v>72</v>
      </c>
      <c r="C405" s="2">
        <v>96</v>
      </c>
      <c r="D405" s="2">
        <v>54</v>
      </c>
      <c r="E405" s="2">
        <v>112355</v>
      </c>
      <c r="F405" s="2">
        <v>1</v>
      </c>
      <c r="G405" s="2">
        <v>486.7</v>
      </c>
      <c r="H405" s="2"/>
      <c r="I405" s="2"/>
      <c r="J405" s="2"/>
      <c r="K405" s="2"/>
      <c r="L405" s="2"/>
      <c r="M405" s="2"/>
      <c r="N405" s="2"/>
      <c r="O405" s="2"/>
      <c r="P405" s="8">
        <f t="shared" si="398"/>
        <v>0</v>
      </c>
      <c r="Q405" s="8">
        <f t="shared" si="399"/>
        <v>-486.7</v>
      </c>
    </row>
    <row r="406" spans="1:17" x14ac:dyDescent="0.25">
      <c r="A406" s="3">
        <v>45079</v>
      </c>
      <c r="B406" s="2" t="s">
        <v>72</v>
      </c>
      <c r="C406" s="2">
        <v>96</v>
      </c>
      <c r="D406" s="2">
        <v>54</v>
      </c>
      <c r="E406" s="2">
        <v>112361</v>
      </c>
      <c r="F406" s="2">
        <v>1</v>
      </c>
      <c r="G406" s="2">
        <v>480.2</v>
      </c>
      <c r="H406" s="2"/>
      <c r="I406" s="2"/>
      <c r="J406" s="2"/>
      <c r="K406" s="2"/>
      <c r="L406" s="2"/>
      <c r="M406" s="2"/>
      <c r="N406" s="2"/>
      <c r="O406" s="2"/>
      <c r="P406" s="8">
        <f t="shared" si="398"/>
        <v>0</v>
      </c>
      <c r="Q406" s="8">
        <f t="shared" si="399"/>
        <v>-480.2</v>
      </c>
    </row>
    <row r="407" spans="1:17" x14ac:dyDescent="0.25">
      <c r="A407" s="3">
        <v>45079</v>
      </c>
      <c r="B407" s="2" t="s">
        <v>72</v>
      </c>
      <c r="C407" s="2">
        <v>96</v>
      </c>
      <c r="D407" s="2">
        <v>54</v>
      </c>
      <c r="E407" s="2">
        <v>112366</v>
      </c>
      <c r="F407" s="2">
        <v>1</v>
      </c>
      <c r="G407" s="2">
        <v>581.29999999999995</v>
      </c>
      <c r="H407" s="2"/>
      <c r="I407" s="2"/>
      <c r="J407" s="2"/>
      <c r="K407" s="2"/>
      <c r="L407" s="2"/>
      <c r="M407" s="2"/>
      <c r="N407" s="2"/>
      <c r="O407" s="2"/>
      <c r="P407" s="8">
        <f t="shared" si="398"/>
        <v>0</v>
      </c>
      <c r="Q407" s="8">
        <f t="shared" si="399"/>
        <v>-581.29999999999995</v>
      </c>
    </row>
    <row r="408" spans="1:17" x14ac:dyDescent="0.25">
      <c r="A408" s="3">
        <v>45079</v>
      </c>
      <c r="B408" s="2" t="s">
        <v>72</v>
      </c>
      <c r="C408" s="2">
        <v>96</v>
      </c>
      <c r="D408" s="2">
        <v>54</v>
      </c>
      <c r="E408" s="2">
        <v>112367</v>
      </c>
      <c r="F408" s="2">
        <v>1</v>
      </c>
      <c r="G408" s="2">
        <v>522.1</v>
      </c>
      <c r="H408" s="2"/>
      <c r="I408" s="2"/>
      <c r="J408" s="2"/>
      <c r="K408" s="2"/>
      <c r="L408" s="2"/>
      <c r="M408" s="2"/>
      <c r="N408" s="2"/>
      <c r="O408" s="2"/>
      <c r="P408" s="8">
        <f t="shared" si="398"/>
        <v>0</v>
      </c>
      <c r="Q408" s="8">
        <f t="shared" si="399"/>
        <v>-522.1</v>
      </c>
    </row>
    <row r="409" spans="1:17" x14ac:dyDescent="0.25">
      <c r="A409" s="3">
        <v>45079</v>
      </c>
      <c r="B409" s="2" t="s">
        <v>72</v>
      </c>
      <c r="C409" s="2">
        <v>96</v>
      </c>
      <c r="D409" s="2">
        <v>54</v>
      </c>
      <c r="E409" s="2">
        <v>110795</v>
      </c>
      <c r="F409" s="2">
        <v>1</v>
      </c>
      <c r="G409" s="2">
        <v>530.70000000000005</v>
      </c>
      <c r="H409" s="2"/>
      <c r="I409" s="2"/>
      <c r="J409" s="2"/>
      <c r="K409" s="2"/>
      <c r="L409" s="2"/>
      <c r="M409" s="2"/>
      <c r="N409" s="2"/>
      <c r="O409" s="2"/>
      <c r="P409" s="8">
        <f t="shared" si="398"/>
        <v>0</v>
      </c>
      <c r="Q409" s="8">
        <f t="shared" si="399"/>
        <v>-530.70000000000005</v>
      </c>
    </row>
    <row r="410" spans="1:17" x14ac:dyDescent="0.25">
      <c r="A410" s="3">
        <v>45079</v>
      </c>
      <c r="B410" s="2" t="s">
        <v>72</v>
      </c>
      <c r="C410" s="2">
        <v>88</v>
      </c>
      <c r="D410" s="2">
        <v>64</v>
      </c>
      <c r="E410" s="2">
        <v>110797</v>
      </c>
      <c r="F410" s="2">
        <v>1</v>
      </c>
      <c r="G410" s="2">
        <v>533.20000000000005</v>
      </c>
      <c r="H410" s="2"/>
      <c r="I410" s="2"/>
      <c r="J410" s="2"/>
      <c r="K410" s="2"/>
      <c r="L410" s="2"/>
      <c r="M410" s="2"/>
      <c r="N410" s="2"/>
      <c r="O410" s="2"/>
      <c r="P410" s="8">
        <f t="shared" si="398"/>
        <v>0</v>
      </c>
      <c r="Q410" s="8">
        <f t="shared" si="399"/>
        <v>-533.20000000000005</v>
      </c>
    </row>
    <row r="411" spans="1:17" x14ac:dyDescent="0.25">
      <c r="A411" s="3">
        <v>45079</v>
      </c>
      <c r="B411" s="2" t="s">
        <v>72</v>
      </c>
      <c r="C411" s="2">
        <v>88</v>
      </c>
      <c r="D411" s="2">
        <v>64</v>
      </c>
      <c r="E411" s="2">
        <v>110799</v>
      </c>
      <c r="F411" s="2">
        <v>1</v>
      </c>
      <c r="G411" s="2">
        <v>544.9</v>
      </c>
      <c r="H411" s="2"/>
      <c r="I411" s="2"/>
      <c r="J411" s="2"/>
      <c r="K411" s="2"/>
      <c r="L411" s="2"/>
      <c r="M411" s="2"/>
      <c r="N411" s="2"/>
      <c r="O411" s="2"/>
      <c r="P411" s="8">
        <f t="shared" si="398"/>
        <v>0</v>
      </c>
      <c r="Q411" s="8">
        <f t="shared" si="399"/>
        <v>-544.9</v>
      </c>
    </row>
    <row r="412" spans="1:17" x14ac:dyDescent="0.25">
      <c r="A412" s="3">
        <v>45079</v>
      </c>
      <c r="B412" s="2" t="s">
        <v>72</v>
      </c>
      <c r="C412" s="2">
        <v>88</v>
      </c>
      <c r="D412" s="2">
        <v>64</v>
      </c>
      <c r="E412" s="2">
        <v>110800</v>
      </c>
      <c r="F412" s="2">
        <v>1</v>
      </c>
      <c r="G412" s="2">
        <v>541.6</v>
      </c>
      <c r="H412" s="2"/>
      <c r="I412" s="2"/>
      <c r="J412" s="2"/>
      <c r="K412" s="2"/>
      <c r="L412" s="2"/>
      <c r="M412" s="2"/>
      <c r="N412" s="2"/>
      <c r="O412" s="2"/>
      <c r="P412" s="8">
        <f t="shared" si="398"/>
        <v>0</v>
      </c>
      <c r="Q412" s="8">
        <f t="shared" si="399"/>
        <v>-541.6</v>
      </c>
    </row>
    <row r="413" spans="1:17" x14ac:dyDescent="0.25">
      <c r="A413" s="3">
        <v>45079</v>
      </c>
      <c r="B413" s="2" t="s">
        <v>72</v>
      </c>
      <c r="C413" s="2">
        <v>88</v>
      </c>
      <c r="D413" s="2">
        <v>64</v>
      </c>
      <c r="E413" s="2">
        <v>110801</v>
      </c>
      <c r="F413" s="2">
        <v>1</v>
      </c>
      <c r="G413" s="2">
        <v>537.70000000000005</v>
      </c>
      <c r="H413" s="2"/>
      <c r="I413" s="2"/>
      <c r="J413" s="2"/>
      <c r="K413" s="2"/>
      <c r="L413" s="2"/>
      <c r="M413" s="2"/>
      <c r="N413" s="2"/>
      <c r="O413" s="2"/>
      <c r="P413" s="8">
        <f t="shared" si="398"/>
        <v>0</v>
      </c>
      <c r="Q413" s="8">
        <f t="shared" si="399"/>
        <v>-537.70000000000005</v>
      </c>
    </row>
    <row r="414" spans="1:17" x14ac:dyDescent="0.25">
      <c r="A414" s="3">
        <v>45079</v>
      </c>
      <c r="B414" s="2" t="s">
        <v>72</v>
      </c>
      <c r="C414" s="2">
        <v>88</v>
      </c>
      <c r="D414" s="2">
        <v>64</v>
      </c>
      <c r="E414" s="2">
        <v>110904</v>
      </c>
      <c r="F414" s="2">
        <v>1</v>
      </c>
      <c r="G414" s="2">
        <v>484.7</v>
      </c>
      <c r="H414" s="2"/>
      <c r="I414" s="2"/>
      <c r="J414" s="2"/>
      <c r="K414" s="2"/>
      <c r="L414" s="2"/>
      <c r="M414" s="2"/>
      <c r="N414" s="2"/>
      <c r="O414" s="2"/>
      <c r="P414" s="8">
        <f t="shared" si="398"/>
        <v>0</v>
      </c>
      <c r="Q414" s="8">
        <f t="shared" si="399"/>
        <v>-484.7</v>
      </c>
    </row>
    <row r="415" spans="1:17" x14ac:dyDescent="0.25">
      <c r="A415" s="3">
        <v>45079</v>
      </c>
      <c r="B415" s="2" t="s">
        <v>72</v>
      </c>
      <c r="C415" s="2">
        <v>88</v>
      </c>
      <c r="D415" s="2">
        <v>64</v>
      </c>
      <c r="E415" s="2">
        <v>110919</v>
      </c>
      <c r="F415" s="2">
        <v>1</v>
      </c>
      <c r="G415" s="2">
        <v>544.1</v>
      </c>
      <c r="H415" s="2"/>
      <c r="I415" s="2"/>
      <c r="J415" s="2"/>
      <c r="K415" s="2"/>
      <c r="L415" s="2"/>
      <c r="M415" s="2"/>
      <c r="N415" s="2"/>
      <c r="O415" s="2"/>
      <c r="P415" s="8">
        <f t="shared" si="398"/>
        <v>0</v>
      </c>
      <c r="Q415" s="8">
        <f t="shared" si="399"/>
        <v>-544.1</v>
      </c>
    </row>
    <row r="416" spans="1:17" x14ac:dyDescent="0.25">
      <c r="A416" s="3">
        <v>45079</v>
      </c>
      <c r="B416" s="2" t="s">
        <v>72</v>
      </c>
      <c r="C416" s="2">
        <v>88</v>
      </c>
      <c r="D416" s="2">
        <v>64</v>
      </c>
      <c r="E416" s="2">
        <v>110920</v>
      </c>
      <c r="F416" s="2">
        <v>1</v>
      </c>
      <c r="G416" s="2">
        <v>536.9</v>
      </c>
      <c r="H416" s="2"/>
      <c r="I416" s="2"/>
      <c r="J416" s="2"/>
      <c r="K416" s="2"/>
      <c r="L416" s="2"/>
      <c r="M416" s="2"/>
      <c r="N416" s="2"/>
      <c r="O416" s="2"/>
      <c r="P416" s="8">
        <f t="shared" si="398"/>
        <v>0</v>
      </c>
      <c r="Q416" s="8">
        <f t="shared" si="399"/>
        <v>-536.9</v>
      </c>
    </row>
    <row r="417" spans="1:17" x14ac:dyDescent="0.25">
      <c r="A417" s="3">
        <v>45079</v>
      </c>
      <c r="B417" s="2" t="s">
        <v>72</v>
      </c>
      <c r="C417" s="2">
        <v>88</v>
      </c>
      <c r="D417" s="2">
        <v>64</v>
      </c>
      <c r="E417" s="2">
        <v>110921</v>
      </c>
      <c r="F417" s="2">
        <v>1</v>
      </c>
      <c r="G417" s="2">
        <v>534.1</v>
      </c>
      <c r="H417" s="2"/>
      <c r="I417" s="2"/>
      <c r="J417" s="2"/>
      <c r="K417" s="2"/>
      <c r="L417" s="2"/>
      <c r="M417" s="2"/>
      <c r="N417" s="2"/>
      <c r="O417" s="2"/>
      <c r="P417" s="8">
        <f t="shared" si="398"/>
        <v>0</v>
      </c>
      <c r="Q417" s="8">
        <f t="shared" si="399"/>
        <v>-534.1</v>
      </c>
    </row>
    <row r="418" spans="1:17" x14ac:dyDescent="0.25">
      <c r="A418" s="3">
        <v>45079</v>
      </c>
      <c r="B418" s="2" t="s">
        <v>72</v>
      </c>
      <c r="C418" s="2">
        <v>88</v>
      </c>
      <c r="D418" s="2">
        <v>64</v>
      </c>
      <c r="E418" s="2">
        <v>110945</v>
      </c>
      <c r="F418" s="2">
        <v>1</v>
      </c>
      <c r="G418" s="2">
        <v>494.8</v>
      </c>
      <c r="H418" s="2"/>
      <c r="I418" s="2"/>
      <c r="J418" s="2"/>
      <c r="K418" s="2"/>
      <c r="L418" s="2"/>
      <c r="M418" s="2"/>
      <c r="N418" s="2"/>
      <c r="O418" s="2"/>
      <c r="P418" s="8">
        <f t="shared" si="398"/>
        <v>0</v>
      </c>
      <c r="Q418" s="8">
        <f t="shared" si="399"/>
        <v>-494.8</v>
      </c>
    </row>
    <row r="419" spans="1:17" x14ac:dyDescent="0.25">
      <c r="A419" s="3">
        <v>45079</v>
      </c>
      <c r="B419" s="2" t="s">
        <v>72</v>
      </c>
      <c r="C419" s="2">
        <v>80.5</v>
      </c>
      <c r="D419" s="2">
        <v>54</v>
      </c>
      <c r="E419" s="2">
        <v>112395</v>
      </c>
      <c r="F419" s="2">
        <v>1</v>
      </c>
      <c r="G419" s="2">
        <v>453.9</v>
      </c>
      <c r="H419" s="2"/>
      <c r="I419" s="2"/>
      <c r="J419" s="2"/>
      <c r="K419" s="2"/>
      <c r="L419" s="2"/>
      <c r="M419" s="2"/>
      <c r="N419" s="2"/>
      <c r="O419" s="2"/>
      <c r="P419" s="8">
        <f t="shared" si="398"/>
        <v>0</v>
      </c>
      <c r="Q419" s="8">
        <f t="shared" si="399"/>
        <v>-453.9</v>
      </c>
    </row>
    <row r="420" spans="1:17" x14ac:dyDescent="0.25">
      <c r="A420" s="3">
        <v>45079</v>
      </c>
      <c r="B420" s="2" t="s">
        <v>72</v>
      </c>
      <c r="C420" s="2">
        <v>80.5</v>
      </c>
      <c r="D420" s="2">
        <v>54</v>
      </c>
      <c r="E420" s="2">
        <v>112396</v>
      </c>
      <c r="F420" s="2">
        <v>1</v>
      </c>
      <c r="G420" s="2">
        <v>461.9</v>
      </c>
      <c r="H420" s="2"/>
      <c r="I420" s="2"/>
      <c r="J420" s="2"/>
      <c r="K420" s="2"/>
      <c r="L420" s="2"/>
      <c r="M420" s="2"/>
      <c r="N420" s="2"/>
      <c r="O420" s="2"/>
      <c r="P420" s="8">
        <f t="shared" si="398"/>
        <v>0</v>
      </c>
      <c r="Q420" s="8">
        <f t="shared" si="399"/>
        <v>-461.9</v>
      </c>
    </row>
    <row r="421" spans="1:17" x14ac:dyDescent="0.25">
      <c r="A421" s="3">
        <v>45079</v>
      </c>
      <c r="B421" s="2" t="s">
        <v>72</v>
      </c>
      <c r="C421" s="2">
        <v>80.5</v>
      </c>
      <c r="D421" s="2">
        <v>54</v>
      </c>
      <c r="E421" s="2">
        <v>112398</v>
      </c>
      <c r="F421" s="2">
        <v>1</v>
      </c>
      <c r="G421" s="2">
        <v>447.9</v>
      </c>
      <c r="H421" s="2"/>
      <c r="I421" s="2"/>
      <c r="J421" s="2"/>
      <c r="K421" s="2"/>
      <c r="L421" s="2"/>
      <c r="M421" s="2"/>
      <c r="N421" s="2"/>
      <c r="O421" s="2"/>
      <c r="P421" s="8">
        <f t="shared" si="398"/>
        <v>0</v>
      </c>
      <c r="Q421" s="8">
        <f t="shared" si="399"/>
        <v>-447.9</v>
      </c>
    </row>
    <row r="422" spans="1:17" x14ac:dyDescent="0.25">
      <c r="A422" s="3">
        <v>45079</v>
      </c>
      <c r="B422" s="2" t="s">
        <v>72</v>
      </c>
      <c r="C422" s="2">
        <v>80.5</v>
      </c>
      <c r="D422" s="2">
        <v>54</v>
      </c>
      <c r="E422" s="2">
        <v>112400</v>
      </c>
      <c r="F422" s="2">
        <v>1</v>
      </c>
      <c r="G422" s="2">
        <v>433.1</v>
      </c>
      <c r="H422" s="2"/>
      <c r="I422" s="2"/>
      <c r="J422" s="2"/>
      <c r="K422" s="2"/>
      <c r="L422" s="2"/>
      <c r="M422" s="2"/>
      <c r="N422" s="2"/>
      <c r="O422" s="2"/>
      <c r="P422" s="8">
        <f t="shared" si="398"/>
        <v>0</v>
      </c>
      <c r="Q422" s="8">
        <f t="shared" si="399"/>
        <v>-433.1</v>
      </c>
    </row>
    <row r="423" spans="1:17" x14ac:dyDescent="0.25">
      <c r="A423" s="3">
        <v>45079</v>
      </c>
      <c r="B423" s="2" t="s">
        <v>72</v>
      </c>
      <c r="C423" s="2">
        <v>80.5</v>
      </c>
      <c r="D423" s="2">
        <v>54</v>
      </c>
      <c r="E423" s="2">
        <v>112401</v>
      </c>
      <c r="F423" s="2">
        <v>1</v>
      </c>
      <c r="G423" s="2">
        <v>443.5</v>
      </c>
      <c r="H423" s="2"/>
      <c r="I423" s="2"/>
      <c r="J423" s="2"/>
      <c r="K423" s="2"/>
      <c r="L423" s="2"/>
      <c r="M423" s="2"/>
      <c r="N423" s="2"/>
      <c r="O423" s="2"/>
      <c r="P423" s="8">
        <f t="shared" si="398"/>
        <v>0</v>
      </c>
      <c r="Q423" s="8">
        <f t="shared" si="399"/>
        <v>-443.5</v>
      </c>
    </row>
    <row r="424" spans="1:17" x14ac:dyDescent="0.25">
      <c r="A424" s="3">
        <v>45079</v>
      </c>
      <c r="B424" s="2" t="s">
        <v>72</v>
      </c>
      <c r="C424" s="2">
        <v>80.5</v>
      </c>
      <c r="D424" s="2">
        <v>54</v>
      </c>
      <c r="E424" s="2">
        <v>112402</v>
      </c>
      <c r="F424" s="2">
        <v>1</v>
      </c>
      <c r="G424" s="2">
        <v>444.7</v>
      </c>
      <c r="H424" s="2"/>
      <c r="I424" s="2"/>
      <c r="J424" s="2"/>
      <c r="K424" s="2"/>
      <c r="L424" s="2"/>
      <c r="M424" s="2"/>
      <c r="N424" s="2"/>
      <c r="O424" s="2"/>
      <c r="P424" s="8">
        <f t="shared" si="398"/>
        <v>0</v>
      </c>
      <c r="Q424" s="8">
        <f t="shared" si="399"/>
        <v>-444.7</v>
      </c>
    </row>
    <row r="425" spans="1:17" x14ac:dyDescent="0.25">
      <c r="A425" s="3">
        <v>45079</v>
      </c>
      <c r="B425" s="2" t="s">
        <v>72</v>
      </c>
      <c r="C425" s="2">
        <v>80.5</v>
      </c>
      <c r="D425" s="2">
        <v>54</v>
      </c>
      <c r="E425" s="2">
        <v>112409</v>
      </c>
      <c r="F425" s="2">
        <v>1</v>
      </c>
      <c r="G425" s="2">
        <v>437.5</v>
      </c>
      <c r="H425" s="2"/>
      <c r="I425" s="2"/>
      <c r="J425" s="2"/>
      <c r="K425" s="2"/>
      <c r="L425" s="2"/>
      <c r="M425" s="2"/>
      <c r="N425" s="2"/>
      <c r="O425" s="2"/>
      <c r="P425" s="8">
        <f t="shared" si="398"/>
        <v>0</v>
      </c>
      <c r="Q425" s="8">
        <f t="shared" si="399"/>
        <v>-437.5</v>
      </c>
    </row>
    <row r="426" spans="1:17" x14ac:dyDescent="0.25">
      <c r="A426" s="3">
        <v>45079</v>
      </c>
      <c r="B426" s="2" t="s">
        <v>72</v>
      </c>
      <c r="C426" s="2">
        <v>96</v>
      </c>
      <c r="D426" s="2">
        <v>54</v>
      </c>
      <c r="E426" s="2">
        <v>111411</v>
      </c>
      <c r="F426" s="2">
        <v>1</v>
      </c>
      <c r="G426" s="2">
        <v>529.4</v>
      </c>
      <c r="H426" s="2"/>
      <c r="I426" s="2"/>
      <c r="J426" s="2"/>
      <c r="K426" s="2"/>
      <c r="L426" s="2"/>
      <c r="M426" s="2"/>
      <c r="N426" s="2"/>
      <c r="O426" s="2"/>
      <c r="P426" s="8">
        <f t="shared" si="398"/>
        <v>0</v>
      </c>
      <c r="Q426" s="8">
        <f t="shared" si="399"/>
        <v>-529.4</v>
      </c>
    </row>
    <row r="427" spans="1:17" x14ac:dyDescent="0.25">
      <c r="A427" s="3">
        <v>45079</v>
      </c>
      <c r="B427" s="2" t="s">
        <v>72</v>
      </c>
      <c r="C427" s="2">
        <v>96</v>
      </c>
      <c r="D427" s="2">
        <v>54</v>
      </c>
      <c r="E427" s="2">
        <v>111412</v>
      </c>
      <c r="F427" s="2">
        <v>1</v>
      </c>
      <c r="G427" s="2">
        <v>535.79999999999995</v>
      </c>
      <c r="H427" s="2"/>
      <c r="I427" s="2"/>
      <c r="J427" s="2"/>
      <c r="K427" s="2"/>
      <c r="L427" s="2"/>
      <c r="M427" s="2"/>
      <c r="N427" s="2"/>
      <c r="O427" s="2"/>
      <c r="P427" s="8">
        <f t="shared" si="398"/>
        <v>0</v>
      </c>
      <c r="Q427" s="8">
        <f t="shared" si="399"/>
        <v>-535.79999999999995</v>
      </c>
    </row>
    <row r="428" spans="1:17" x14ac:dyDescent="0.25">
      <c r="A428" s="3">
        <v>45079</v>
      </c>
      <c r="B428" s="2" t="s">
        <v>72</v>
      </c>
      <c r="C428" s="2">
        <v>96</v>
      </c>
      <c r="D428" s="2">
        <v>54</v>
      </c>
      <c r="E428" s="2">
        <v>111415</v>
      </c>
      <c r="F428" s="2">
        <v>1</v>
      </c>
      <c r="G428" s="2">
        <v>567.9</v>
      </c>
      <c r="H428" s="2"/>
      <c r="I428" s="2"/>
      <c r="J428" s="2"/>
      <c r="K428" s="2"/>
      <c r="L428" s="2"/>
      <c r="M428" s="2"/>
      <c r="N428" s="2"/>
      <c r="O428" s="2"/>
      <c r="P428" s="8">
        <f t="shared" si="398"/>
        <v>0</v>
      </c>
      <c r="Q428" s="8">
        <f t="shared" si="399"/>
        <v>-567.9</v>
      </c>
    </row>
    <row r="429" spans="1:17" x14ac:dyDescent="0.25">
      <c r="A429" s="3">
        <v>45079</v>
      </c>
      <c r="B429" s="2" t="s">
        <v>72</v>
      </c>
      <c r="C429" s="2">
        <v>96</v>
      </c>
      <c r="D429" s="2">
        <v>54</v>
      </c>
      <c r="E429" s="2">
        <v>111416</v>
      </c>
      <c r="F429" s="2">
        <v>1</v>
      </c>
      <c r="G429" s="2">
        <v>575.1</v>
      </c>
      <c r="H429" s="2"/>
      <c r="I429" s="2"/>
      <c r="J429" s="2"/>
      <c r="K429" s="2"/>
      <c r="L429" s="2"/>
      <c r="M429" s="2"/>
      <c r="N429" s="2"/>
      <c r="O429" s="2"/>
      <c r="P429" s="8">
        <f t="shared" si="398"/>
        <v>0</v>
      </c>
      <c r="Q429" s="8">
        <f t="shared" si="399"/>
        <v>-575.1</v>
      </c>
    </row>
    <row r="430" spans="1:17" x14ac:dyDescent="0.25">
      <c r="A430" s="3">
        <v>45079</v>
      </c>
      <c r="B430" s="2" t="s">
        <v>72</v>
      </c>
      <c r="C430" s="2">
        <v>96</v>
      </c>
      <c r="D430" s="2">
        <v>54</v>
      </c>
      <c r="E430" s="2">
        <v>111420</v>
      </c>
      <c r="F430" s="2">
        <v>1</v>
      </c>
      <c r="G430" s="2">
        <v>583.79999999999995</v>
      </c>
      <c r="H430" s="2"/>
      <c r="I430" s="2"/>
      <c r="J430" s="2"/>
      <c r="K430" s="2"/>
      <c r="L430" s="2"/>
      <c r="M430" s="2"/>
      <c r="N430" s="2"/>
      <c r="O430" s="2"/>
      <c r="P430" s="8">
        <f t="shared" si="398"/>
        <v>0</v>
      </c>
      <c r="Q430" s="8">
        <f t="shared" si="399"/>
        <v>-583.79999999999995</v>
      </c>
    </row>
    <row r="431" spans="1:17" x14ac:dyDescent="0.25">
      <c r="A431" s="3">
        <v>45079</v>
      </c>
      <c r="B431" s="2" t="s">
        <v>72</v>
      </c>
      <c r="C431" s="2">
        <v>96</v>
      </c>
      <c r="D431" s="2">
        <v>54</v>
      </c>
      <c r="E431" s="2">
        <v>111424</v>
      </c>
      <c r="F431" s="2">
        <v>1</v>
      </c>
      <c r="G431" s="2">
        <v>527</v>
      </c>
      <c r="H431" s="2"/>
      <c r="I431" s="2"/>
      <c r="J431" s="2"/>
      <c r="K431" s="2"/>
      <c r="L431" s="2"/>
      <c r="M431" s="2"/>
      <c r="N431" s="2"/>
      <c r="O431" s="2"/>
      <c r="P431" s="8">
        <f t="shared" si="398"/>
        <v>0</v>
      </c>
      <c r="Q431" s="8">
        <f t="shared" si="399"/>
        <v>-527</v>
      </c>
    </row>
    <row r="432" spans="1:17" x14ac:dyDescent="0.25">
      <c r="A432" s="3">
        <v>45079</v>
      </c>
      <c r="B432" s="2" t="s">
        <v>72</v>
      </c>
      <c r="C432" s="2">
        <v>96</v>
      </c>
      <c r="D432" s="2">
        <v>54</v>
      </c>
      <c r="E432" s="2">
        <v>111431</v>
      </c>
      <c r="F432" s="2">
        <v>1</v>
      </c>
      <c r="G432" s="2">
        <v>538</v>
      </c>
      <c r="H432" s="2"/>
      <c r="I432" s="2"/>
      <c r="J432" s="2"/>
      <c r="K432" s="2"/>
      <c r="L432" s="2"/>
      <c r="M432" s="2"/>
      <c r="N432" s="2"/>
      <c r="O432" s="2"/>
      <c r="P432" s="8">
        <f t="shared" si="398"/>
        <v>0</v>
      </c>
      <c r="Q432" s="8">
        <f t="shared" si="399"/>
        <v>-538</v>
      </c>
    </row>
    <row r="433" spans="1:17" x14ac:dyDescent="0.25">
      <c r="A433" s="3">
        <v>45079</v>
      </c>
      <c r="B433" s="2" t="s">
        <v>72</v>
      </c>
      <c r="C433" s="2">
        <v>96</v>
      </c>
      <c r="D433" s="2">
        <v>54</v>
      </c>
      <c r="E433" s="2">
        <v>111435</v>
      </c>
      <c r="F433" s="2">
        <v>1</v>
      </c>
      <c r="G433" s="2">
        <v>583.20000000000005</v>
      </c>
      <c r="H433" s="2"/>
      <c r="I433" s="2"/>
      <c r="J433" s="2"/>
      <c r="K433" s="2"/>
      <c r="L433" s="2"/>
      <c r="M433" s="2"/>
      <c r="N433" s="2"/>
      <c r="O433" s="2"/>
      <c r="P433" s="8">
        <f t="shared" si="398"/>
        <v>0</v>
      </c>
      <c r="Q433" s="8">
        <f t="shared" si="399"/>
        <v>-583.20000000000005</v>
      </c>
    </row>
    <row r="434" spans="1:17" x14ac:dyDescent="0.25">
      <c r="A434" s="3">
        <v>45079</v>
      </c>
      <c r="B434" s="2" t="s">
        <v>72</v>
      </c>
      <c r="C434" s="2">
        <v>96</v>
      </c>
      <c r="D434" s="2">
        <v>54</v>
      </c>
      <c r="E434" s="2">
        <v>111466</v>
      </c>
      <c r="F434" s="2">
        <v>1</v>
      </c>
      <c r="G434" s="2">
        <v>521.79999999999995</v>
      </c>
      <c r="H434" s="2"/>
      <c r="I434" s="2"/>
      <c r="J434" s="2"/>
      <c r="K434" s="2"/>
      <c r="L434" s="2"/>
      <c r="M434" s="2"/>
      <c r="N434" s="2"/>
      <c r="O434" s="2"/>
      <c r="P434" s="8">
        <f t="shared" si="398"/>
        <v>0</v>
      </c>
      <c r="Q434" s="8">
        <f t="shared" si="399"/>
        <v>-521.79999999999995</v>
      </c>
    </row>
    <row r="435" spans="1:17" x14ac:dyDescent="0.25">
      <c r="A435" s="3">
        <v>45079</v>
      </c>
      <c r="B435" s="2" t="s">
        <v>72</v>
      </c>
      <c r="C435" s="2">
        <v>96</v>
      </c>
      <c r="D435" s="2">
        <v>54</v>
      </c>
      <c r="E435" s="2">
        <v>111467</v>
      </c>
      <c r="F435" s="2">
        <v>1</v>
      </c>
      <c r="G435" s="2">
        <v>577.1</v>
      </c>
      <c r="H435" s="2"/>
      <c r="I435" s="2"/>
      <c r="J435" s="2"/>
      <c r="K435" s="2"/>
      <c r="L435" s="2"/>
      <c r="M435" s="2"/>
      <c r="N435" s="2"/>
      <c r="O435" s="2"/>
      <c r="P435" s="8">
        <f t="shared" si="398"/>
        <v>0</v>
      </c>
      <c r="Q435" s="8">
        <f t="shared" si="399"/>
        <v>-577.1</v>
      </c>
    </row>
    <row r="436" spans="1:17" x14ac:dyDescent="0.25">
      <c r="A436" s="3">
        <v>45079</v>
      </c>
      <c r="B436" s="2" t="s">
        <v>72</v>
      </c>
      <c r="C436" s="2">
        <v>96</v>
      </c>
      <c r="D436" s="2">
        <v>54</v>
      </c>
      <c r="E436" s="2">
        <v>111469</v>
      </c>
      <c r="F436" s="2">
        <v>1</v>
      </c>
      <c r="G436" s="2">
        <v>589.6</v>
      </c>
      <c r="H436" s="2"/>
      <c r="I436" s="2"/>
      <c r="J436" s="2"/>
      <c r="K436" s="2"/>
      <c r="L436" s="2"/>
      <c r="M436" s="2"/>
      <c r="N436" s="2"/>
      <c r="O436" s="2"/>
      <c r="P436" s="8">
        <f t="shared" si="398"/>
        <v>0</v>
      </c>
      <c r="Q436" s="8">
        <f t="shared" si="399"/>
        <v>-589.6</v>
      </c>
    </row>
    <row r="437" spans="1:17" x14ac:dyDescent="0.25">
      <c r="A437" s="3">
        <v>45079</v>
      </c>
      <c r="B437" s="2" t="s">
        <v>72</v>
      </c>
      <c r="C437" s="2">
        <v>96</v>
      </c>
      <c r="D437" s="2">
        <v>54</v>
      </c>
      <c r="E437" s="2">
        <v>111470</v>
      </c>
      <c r="F437" s="2">
        <v>1</v>
      </c>
      <c r="G437" s="2">
        <v>531.29999999999995</v>
      </c>
      <c r="H437" s="2"/>
      <c r="I437" s="2"/>
      <c r="J437" s="2"/>
      <c r="K437" s="2"/>
      <c r="L437" s="2"/>
      <c r="M437" s="2"/>
      <c r="N437" s="2"/>
      <c r="O437" s="2"/>
      <c r="P437" s="8">
        <f t="shared" si="398"/>
        <v>0</v>
      </c>
      <c r="Q437" s="8">
        <f t="shared" si="399"/>
        <v>-531.29999999999995</v>
      </c>
    </row>
    <row r="438" spans="1:17" x14ac:dyDescent="0.25">
      <c r="A438" s="3">
        <v>45079</v>
      </c>
      <c r="B438" s="2" t="s">
        <v>72</v>
      </c>
      <c r="C438" s="2">
        <v>96</v>
      </c>
      <c r="D438" s="2">
        <v>54</v>
      </c>
      <c r="E438" s="2">
        <v>111471</v>
      </c>
      <c r="F438" s="2">
        <v>1</v>
      </c>
      <c r="G438" s="2">
        <v>560.1</v>
      </c>
      <c r="H438" s="2"/>
      <c r="I438" s="2"/>
      <c r="J438" s="2"/>
      <c r="K438" s="2"/>
      <c r="L438" s="2"/>
      <c r="M438" s="2"/>
      <c r="N438" s="2"/>
      <c r="O438" s="2"/>
      <c r="P438" s="38">
        <f t="shared" si="398"/>
        <v>0</v>
      </c>
      <c r="Q438" s="8">
        <f t="shared" si="399"/>
        <v>-560.1</v>
      </c>
    </row>
    <row r="439" spans="1:17" x14ac:dyDescent="0.25">
      <c r="A439" s="3">
        <v>45079</v>
      </c>
      <c r="B439" s="2" t="s">
        <v>72</v>
      </c>
      <c r="C439" s="2">
        <v>96</v>
      </c>
      <c r="D439" s="2">
        <v>54</v>
      </c>
      <c r="E439" s="2">
        <v>111472</v>
      </c>
      <c r="F439" s="2">
        <v>1</v>
      </c>
      <c r="G439" s="2">
        <v>568.79999999999995</v>
      </c>
      <c r="H439" s="2"/>
      <c r="I439" s="2"/>
      <c r="J439" s="2"/>
      <c r="K439" s="2"/>
      <c r="L439" s="2"/>
      <c r="M439" s="2"/>
      <c r="N439" s="2"/>
      <c r="O439" s="2"/>
      <c r="P439" s="38">
        <f t="shared" si="398"/>
        <v>0</v>
      </c>
      <c r="Q439" s="8">
        <f t="shared" si="399"/>
        <v>-568.79999999999995</v>
      </c>
    </row>
    <row r="440" spans="1:17" x14ac:dyDescent="0.25">
      <c r="A440" s="3">
        <v>45079</v>
      </c>
      <c r="B440" s="2" t="s">
        <v>72</v>
      </c>
      <c r="C440" s="2">
        <v>96</v>
      </c>
      <c r="D440" s="2">
        <v>54</v>
      </c>
      <c r="E440" s="2">
        <v>111475</v>
      </c>
      <c r="F440" s="2">
        <v>1</v>
      </c>
      <c r="G440" s="2">
        <v>544.29999999999995</v>
      </c>
      <c r="H440" s="2"/>
      <c r="I440" s="2"/>
      <c r="J440" s="2"/>
      <c r="K440" s="2"/>
      <c r="L440" s="2"/>
      <c r="M440" s="2"/>
      <c r="N440" s="2"/>
      <c r="O440" s="2"/>
      <c r="P440" s="38">
        <f t="shared" si="398"/>
        <v>0</v>
      </c>
      <c r="Q440" s="8">
        <f t="shared" si="399"/>
        <v>-544.29999999999995</v>
      </c>
    </row>
    <row r="441" spans="1:17" x14ac:dyDescent="0.25">
      <c r="A441" s="3">
        <v>45079</v>
      </c>
      <c r="B441" s="2" t="s">
        <v>72</v>
      </c>
      <c r="C441" s="2">
        <v>96</v>
      </c>
      <c r="D441" s="2">
        <v>54</v>
      </c>
      <c r="E441" s="2">
        <v>111476</v>
      </c>
      <c r="F441" s="2">
        <v>1</v>
      </c>
      <c r="G441" s="2">
        <v>551.9</v>
      </c>
      <c r="H441" s="2"/>
      <c r="I441" s="2"/>
      <c r="J441" s="2"/>
      <c r="K441" s="2"/>
      <c r="L441" s="2"/>
      <c r="M441" s="2"/>
      <c r="N441" s="2"/>
      <c r="O441" s="2"/>
      <c r="P441" s="38">
        <f t="shared" si="398"/>
        <v>0</v>
      </c>
      <c r="Q441" s="8">
        <f t="shared" si="399"/>
        <v>-551.9</v>
      </c>
    </row>
    <row r="442" spans="1:17" x14ac:dyDescent="0.25">
      <c r="A442" s="3">
        <v>45079</v>
      </c>
      <c r="B442" s="2" t="s">
        <v>72</v>
      </c>
      <c r="C442" s="2">
        <v>96</v>
      </c>
      <c r="D442" s="2">
        <v>54</v>
      </c>
      <c r="E442" s="2">
        <v>111479</v>
      </c>
      <c r="F442" s="2">
        <v>1</v>
      </c>
      <c r="G442" s="2">
        <v>570.4</v>
      </c>
      <c r="H442" s="2"/>
      <c r="I442" s="2"/>
      <c r="J442" s="2"/>
      <c r="K442" s="2"/>
      <c r="L442" s="2"/>
      <c r="M442" s="2"/>
      <c r="N442" s="2"/>
      <c r="O442" s="2"/>
      <c r="P442" s="38">
        <f t="shared" si="398"/>
        <v>0</v>
      </c>
      <c r="Q442" s="8">
        <f t="shared" si="399"/>
        <v>-570.4</v>
      </c>
    </row>
    <row r="443" spans="1:17" x14ac:dyDescent="0.25">
      <c r="A443" s="3">
        <v>45079</v>
      </c>
      <c r="B443" s="2" t="s">
        <v>72</v>
      </c>
      <c r="C443" s="2">
        <v>96</v>
      </c>
      <c r="D443" s="2">
        <v>54</v>
      </c>
      <c r="E443" s="2">
        <v>111480</v>
      </c>
      <c r="F443" s="2">
        <v>1</v>
      </c>
      <c r="G443" s="2">
        <v>558.9</v>
      </c>
      <c r="H443" s="2"/>
      <c r="I443" s="2"/>
      <c r="J443" s="2"/>
      <c r="K443" s="2"/>
      <c r="L443" s="2"/>
      <c r="M443" s="2"/>
      <c r="N443" s="2"/>
      <c r="O443" s="2"/>
      <c r="P443" s="38">
        <f t="shared" si="398"/>
        <v>0</v>
      </c>
      <c r="Q443" s="8">
        <f t="shared" si="399"/>
        <v>-558.9</v>
      </c>
    </row>
    <row r="444" spans="1:17" x14ac:dyDescent="0.25">
      <c r="A444" s="3">
        <v>45079</v>
      </c>
      <c r="B444" s="2" t="s">
        <v>72</v>
      </c>
      <c r="C444" s="2">
        <v>96</v>
      </c>
      <c r="D444" s="2">
        <v>54</v>
      </c>
      <c r="E444" s="2">
        <v>111492</v>
      </c>
      <c r="F444" s="2">
        <v>1</v>
      </c>
      <c r="G444" s="2">
        <v>523.4</v>
      </c>
      <c r="H444" s="2"/>
      <c r="I444" s="2"/>
      <c r="J444" s="2"/>
      <c r="K444" s="2"/>
      <c r="L444" s="2"/>
      <c r="M444" s="2"/>
      <c r="N444" s="2"/>
      <c r="O444" s="2"/>
      <c r="P444" s="38">
        <f t="shared" si="398"/>
        <v>0</v>
      </c>
      <c r="Q444" s="8">
        <f t="shared" si="399"/>
        <v>-523.4</v>
      </c>
    </row>
    <row r="445" spans="1:17" x14ac:dyDescent="0.25">
      <c r="A445" s="3">
        <v>45079</v>
      </c>
      <c r="B445" s="2" t="s">
        <v>72</v>
      </c>
      <c r="C445" s="2">
        <v>96</v>
      </c>
      <c r="D445" s="2">
        <v>54</v>
      </c>
      <c r="E445" s="2">
        <v>111493</v>
      </c>
      <c r="F445" s="2">
        <v>1</v>
      </c>
      <c r="G445" s="2">
        <v>531</v>
      </c>
      <c r="H445" s="2"/>
      <c r="I445" s="2"/>
      <c r="J445" s="2"/>
      <c r="K445" s="2"/>
      <c r="L445" s="2"/>
      <c r="M445" s="2"/>
      <c r="N445" s="2"/>
      <c r="O445" s="2"/>
      <c r="P445" s="38">
        <f t="shared" si="398"/>
        <v>0</v>
      </c>
      <c r="Q445" s="8">
        <f t="shared" si="399"/>
        <v>-531</v>
      </c>
    </row>
    <row r="446" spans="1:17" x14ac:dyDescent="0.25">
      <c r="A446" s="3">
        <v>45079</v>
      </c>
      <c r="B446" s="2" t="s">
        <v>72</v>
      </c>
      <c r="C446" s="2">
        <v>96</v>
      </c>
      <c r="D446" s="2">
        <v>54</v>
      </c>
      <c r="E446" s="2">
        <v>111496</v>
      </c>
      <c r="F446" s="2">
        <v>1</v>
      </c>
      <c r="G446" s="2">
        <v>568.79999999999995</v>
      </c>
      <c r="H446" s="2"/>
      <c r="I446" s="2"/>
      <c r="J446" s="2"/>
      <c r="K446" s="2"/>
      <c r="L446" s="2"/>
      <c r="M446" s="2"/>
      <c r="N446" s="2"/>
      <c r="O446" s="2"/>
      <c r="P446" s="38">
        <f t="shared" si="398"/>
        <v>0</v>
      </c>
      <c r="Q446" s="8">
        <f t="shared" si="399"/>
        <v>-568.79999999999995</v>
      </c>
    </row>
    <row r="447" spans="1:17" x14ac:dyDescent="0.25">
      <c r="A447" s="3">
        <v>45079</v>
      </c>
      <c r="B447" s="2" t="s">
        <v>72</v>
      </c>
      <c r="C447" s="2">
        <v>96</v>
      </c>
      <c r="D447" s="2">
        <v>54</v>
      </c>
      <c r="E447" s="2">
        <v>111497</v>
      </c>
      <c r="F447" s="2">
        <v>1</v>
      </c>
      <c r="G447" s="2">
        <v>560.70000000000005</v>
      </c>
      <c r="H447" s="2"/>
      <c r="I447" s="2"/>
      <c r="J447" s="2"/>
      <c r="K447" s="2"/>
      <c r="L447" s="2"/>
      <c r="M447" s="2"/>
      <c r="N447" s="2"/>
      <c r="O447" s="2"/>
      <c r="P447" s="38">
        <f t="shared" si="398"/>
        <v>0</v>
      </c>
      <c r="Q447" s="8">
        <f t="shared" si="399"/>
        <v>-560.70000000000005</v>
      </c>
    </row>
    <row r="448" spans="1:17" x14ac:dyDescent="0.25">
      <c r="A448" s="3">
        <v>45079</v>
      </c>
      <c r="B448" s="2" t="s">
        <v>72</v>
      </c>
      <c r="C448" s="2">
        <v>96</v>
      </c>
      <c r="D448" s="2">
        <v>54</v>
      </c>
      <c r="E448" s="2">
        <v>111500</v>
      </c>
      <c r="F448" s="2">
        <v>1</v>
      </c>
      <c r="G448" s="2">
        <v>594.70000000000005</v>
      </c>
      <c r="H448" s="2"/>
      <c r="I448" s="2"/>
      <c r="J448" s="2"/>
      <c r="K448" s="2"/>
      <c r="L448" s="2"/>
      <c r="M448" s="2"/>
      <c r="N448" s="2"/>
      <c r="O448" s="2"/>
      <c r="P448" s="38">
        <f t="shared" si="398"/>
        <v>0</v>
      </c>
      <c r="Q448" s="8">
        <f t="shared" si="399"/>
        <v>-594.70000000000005</v>
      </c>
    </row>
    <row r="449" spans="1:17" x14ac:dyDescent="0.25">
      <c r="A449" s="3">
        <v>45079</v>
      </c>
      <c r="B449" s="2" t="s">
        <v>72</v>
      </c>
      <c r="C449" s="2">
        <v>96</v>
      </c>
      <c r="D449" s="2">
        <v>54</v>
      </c>
      <c r="E449" s="2">
        <v>111501</v>
      </c>
      <c r="F449" s="2">
        <v>1</v>
      </c>
      <c r="G449" s="2">
        <v>601.9</v>
      </c>
      <c r="H449" s="2"/>
      <c r="I449" s="2"/>
      <c r="J449" s="2"/>
      <c r="K449" s="2"/>
      <c r="L449" s="2"/>
      <c r="M449" s="2"/>
      <c r="N449" s="2"/>
      <c r="O449" s="2"/>
      <c r="P449" s="38">
        <f t="shared" si="398"/>
        <v>0</v>
      </c>
      <c r="Q449" s="8">
        <f t="shared" si="399"/>
        <v>-601.9</v>
      </c>
    </row>
    <row r="450" spans="1:17" x14ac:dyDescent="0.25">
      <c r="A450" s="3">
        <v>45079</v>
      </c>
      <c r="B450" s="2" t="s">
        <v>72</v>
      </c>
      <c r="C450" s="2">
        <v>96</v>
      </c>
      <c r="D450" s="2">
        <v>54</v>
      </c>
      <c r="E450" s="2">
        <v>111519</v>
      </c>
      <c r="F450" s="2">
        <v>1</v>
      </c>
      <c r="G450" s="2">
        <v>562.20000000000005</v>
      </c>
      <c r="H450" s="2"/>
      <c r="I450" s="2"/>
      <c r="J450" s="2"/>
      <c r="K450" s="2"/>
      <c r="L450" s="2"/>
      <c r="M450" s="2"/>
      <c r="N450" s="2"/>
      <c r="O450" s="2"/>
      <c r="P450" s="38">
        <f t="shared" si="398"/>
        <v>0</v>
      </c>
      <c r="Q450" s="8">
        <f t="shared" si="399"/>
        <v>-562.20000000000005</v>
      </c>
    </row>
    <row r="451" spans="1:17" x14ac:dyDescent="0.25">
      <c r="A451" s="3">
        <v>45079</v>
      </c>
      <c r="B451" s="2" t="s">
        <v>72</v>
      </c>
      <c r="C451" s="2">
        <v>96</v>
      </c>
      <c r="D451" s="2">
        <v>54</v>
      </c>
      <c r="E451" s="2">
        <v>111596</v>
      </c>
      <c r="F451" s="2">
        <v>1</v>
      </c>
      <c r="G451" s="2">
        <v>634.1</v>
      </c>
      <c r="H451" s="2"/>
      <c r="I451" s="2"/>
      <c r="J451" s="2"/>
      <c r="K451" s="2"/>
      <c r="L451" s="2"/>
      <c r="M451" s="2"/>
      <c r="N451" s="2"/>
      <c r="O451" s="2"/>
      <c r="P451" s="38">
        <f t="shared" si="398"/>
        <v>0</v>
      </c>
      <c r="Q451" s="8">
        <f t="shared" si="399"/>
        <v>-634.1</v>
      </c>
    </row>
    <row r="452" spans="1:17" x14ac:dyDescent="0.25">
      <c r="A452" s="3">
        <v>45079</v>
      </c>
      <c r="B452" s="2" t="s">
        <v>72</v>
      </c>
      <c r="C452" s="2">
        <v>96</v>
      </c>
      <c r="D452" s="2">
        <v>54</v>
      </c>
      <c r="E452" s="2">
        <v>111605</v>
      </c>
      <c r="F452" s="2">
        <v>1</v>
      </c>
      <c r="G452" s="2">
        <v>560.79999999999995</v>
      </c>
      <c r="H452" s="2"/>
      <c r="I452" s="2"/>
      <c r="J452" s="2"/>
      <c r="K452" s="2"/>
      <c r="L452" s="2"/>
      <c r="M452" s="2"/>
      <c r="N452" s="2"/>
      <c r="O452" s="2"/>
      <c r="P452" s="38">
        <f t="shared" si="398"/>
        <v>0</v>
      </c>
      <c r="Q452" s="8">
        <f t="shared" si="399"/>
        <v>-560.79999999999995</v>
      </c>
    </row>
    <row r="453" spans="1:17" x14ac:dyDescent="0.25">
      <c r="A453" s="3">
        <v>45079</v>
      </c>
      <c r="B453" s="2" t="s">
        <v>72</v>
      </c>
      <c r="C453" s="2">
        <v>96</v>
      </c>
      <c r="D453" s="2">
        <v>54</v>
      </c>
      <c r="E453" s="2">
        <v>111606</v>
      </c>
      <c r="F453" s="2">
        <v>1</v>
      </c>
      <c r="G453" s="2">
        <v>569.5</v>
      </c>
      <c r="H453" s="2"/>
      <c r="I453" s="2"/>
      <c r="J453" s="2"/>
      <c r="K453" s="2"/>
      <c r="L453" s="2"/>
      <c r="M453" s="2"/>
      <c r="N453" s="2"/>
      <c r="O453" s="2"/>
      <c r="P453" s="38">
        <f t="shared" si="398"/>
        <v>0</v>
      </c>
      <c r="Q453" s="8">
        <f t="shared" si="399"/>
        <v>-569.5</v>
      </c>
    </row>
    <row r="454" spans="1:17" x14ac:dyDescent="0.25">
      <c r="A454" s="3">
        <v>45079</v>
      </c>
      <c r="B454" s="2" t="s">
        <v>72</v>
      </c>
      <c r="C454" s="2">
        <v>54</v>
      </c>
      <c r="D454" s="2">
        <v>64</v>
      </c>
      <c r="E454" s="2">
        <v>110909</v>
      </c>
      <c r="F454" s="2">
        <v>1</v>
      </c>
      <c r="G454" s="2">
        <v>277.8</v>
      </c>
      <c r="H454" s="2"/>
      <c r="I454" s="2"/>
      <c r="J454" s="2"/>
      <c r="K454" s="2"/>
      <c r="L454" s="2"/>
      <c r="M454" s="2"/>
      <c r="N454" s="2"/>
      <c r="O454" s="2"/>
      <c r="P454" s="38">
        <f t="shared" si="398"/>
        <v>0</v>
      </c>
      <c r="Q454" s="8">
        <f t="shared" si="399"/>
        <v>-277.8</v>
      </c>
    </row>
    <row r="455" spans="1:17" x14ac:dyDescent="0.25">
      <c r="A455" s="3">
        <v>45079</v>
      </c>
      <c r="B455" s="2" t="s">
        <v>72</v>
      </c>
      <c r="C455" s="2">
        <v>80.5</v>
      </c>
      <c r="D455" s="2">
        <v>54</v>
      </c>
      <c r="E455" s="2">
        <v>112397</v>
      </c>
      <c r="F455" s="2">
        <v>1</v>
      </c>
      <c r="G455" s="2">
        <v>459.6</v>
      </c>
      <c r="H455" s="2"/>
      <c r="I455" s="2"/>
      <c r="J455" s="2"/>
      <c r="K455" s="2"/>
      <c r="L455" s="2"/>
      <c r="M455" s="2"/>
      <c r="N455" s="2"/>
      <c r="O455" s="2"/>
      <c r="P455" s="38">
        <f t="shared" si="398"/>
        <v>0</v>
      </c>
      <c r="Q455" s="8">
        <f t="shared" si="399"/>
        <v>-459.6</v>
      </c>
    </row>
    <row r="456" spans="1:1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8">
        <f t="shared" si="398"/>
        <v>0</v>
      </c>
      <c r="Q456" s="8">
        <f t="shared" si="399"/>
        <v>0</v>
      </c>
    </row>
    <row r="457" spans="1:1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8">
        <f t="shared" si="398"/>
        <v>0</v>
      </c>
      <c r="Q457" s="8">
        <f t="shared" si="399"/>
        <v>0</v>
      </c>
    </row>
    <row r="458" spans="1:1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8">
        <f t="shared" si="398"/>
        <v>0</v>
      </c>
      <c r="Q458" s="8">
        <f t="shared" si="399"/>
        <v>0</v>
      </c>
    </row>
    <row r="459" spans="1:1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8">
        <f t="shared" si="398"/>
        <v>0</v>
      </c>
      <c r="Q459" s="8">
        <f t="shared" si="399"/>
        <v>0</v>
      </c>
    </row>
    <row r="460" spans="1:1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8">
        <f t="shared" si="398"/>
        <v>0</v>
      </c>
      <c r="Q460" s="8">
        <f t="shared" si="399"/>
        <v>0</v>
      </c>
    </row>
    <row r="461" spans="1:1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8">
        <f t="shared" si="398"/>
        <v>0</v>
      </c>
      <c r="Q461" s="8">
        <f t="shared" si="399"/>
        <v>0</v>
      </c>
    </row>
    <row r="462" spans="1:1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8">
        <f t="shared" si="398"/>
        <v>0</v>
      </c>
      <c r="Q462" s="8">
        <f t="shared" si="399"/>
        <v>0</v>
      </c>
    </row>
    <row r="463" spans="1:1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8">
        <f t="shared" si="398"/>
        <v>0</v>
      </c>
      <c r="Q463" s="8">
        <f t="shared" si="399"/>
        <v>0</v>
      </c>
    </row>
    <row r="464" spans="1:1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8">
        <f t="shared" si="398"/>
        <v>0</v>
      </c>
      <c r="Q464" s="8">
        <f t="shared" si="399"/>
        <v>0</v>
      </c>
    </row>
    <row r="465" spans="1:1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8">
        <f t="shared" si="398"/>
        <v>0</v>
      </c>
      <c r="Q465" s="8">
        <f t="shared" si="399"/>
        <v>0</v>
      </c>
    </row>
    <row r="466" spans="1:1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8">
        <f t="shared" ref="P466:P529" si="400">(O466/20000/500)*C466*D466*N466</f>
        <v>0</v>
      </c>
      <c r="Q466" s="8">
        <f t="shared" ref="Q466:Q529" si="401">+P466-G466</f>
        <v>0</v>
      </c>
    </row>
    <row r="467" spans="1:1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8">
        <f t="shared" si="400"/>
        <v>0</v>
      </c>
      <c r="Q467" s="8">
        <f t="shared" si="401"/>
        <v>0</v>
      </c>
    </row>
    <row r="468" spans="1:1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8">
        <f t="shared" si="400"/>
        <v>0</v>
      </c>
      <c r="Q468" s="8">
        <f t="shared" si="401"/>
        <v>0</v>
      </c>
    </row>
    <row r="469" spans="1:1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8">
        <f t="shared" si="400"/>
        <v>0</v>
      </c>
      <c r="Q469" s="8">
        <f t="shared" si="401"/>
        <v>0</v>
      </c>
    </row>
    <row r="470" spans="1:1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8">
        <f t="shared" si="400"/>
        <v>0</v>
      </c>
      <c r="Q470" s="8">
        <f t="shared" si="401"/>
        <v>0</v>
      </c>
    </row>
    <row r="471" spans="1:1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8">
        <f t="shared" si="400"/>
        <v>0</v>
      </c>
      <c r="Q471" s="8">
        <f t="shared" si="401"/>
        <v>0</v>
      </c>
    </row>
    <row r="472" spans="1:1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8">
        <f t="shared" si="400"/>
        <v>0</v>
      </c>
      <c r="Q472" s="8">
        <f t="shared" si="401"/>
        <v>0</v>
      </c>
    </row>
    <row r="473" spans="1:1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8">
        <f t="shared" si="400"/>
        <v>0</v>
      </c>
      <c r="Q473" s="8">
        <f t="shared" si="401"/>
        <v>0</v>
      </c>
    </row>
    <row r="474" spans="1:1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8">
        <f t="shared" si="400"/>
        <v>0</v>
      </c>
      <c r="Q474" s="8">
        <f t="shared" si="401"/>
        <v>0</v>
      </c>
    </row>
    <row r="475" spans="1:1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8">
        <f t="shared" si="400"/>
        <v>0</v>
      </c>
      <c r="Q475" s="8">
        <f t="shared" si="401"/>
        <v>0</v>
      </c>
    </row>
    <row r="476" spans="1:1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8">
        <f t="shared" si="400"/>
        <v>0</v>
      </c>
      <c r="Q476" s="8">
        <f t="shared" si="401"/>
        <v>0</v>
      </c>
    </row>
    <row r="477" spans="1:1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8">
        <f t="shared" si="400"/>
        <v>0</v>
      </c>
      <c r="Q477" s="8">
        <f t="shared" si="401"/>
        <v>0</v>
      </c>
    </row>
    <row r="478" spans="1:1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8">
        <f t="shared" si="400"/>
        <v>0</v>
      </c>
      <c r="Q478" s="8">
        <f t="shared" si="401"/>
        <v>0</v>
      </c>
    </row>
    <row r="479" spans="1:1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8">
        <f t="shared" si="400"/>
        <v>0</v>
      </c>
      <c r="Q479" s="8">
        <f t="shared" si="401"/>
        <v>0</v>
      </c>
    </row>
    <row r="480" spans="1:1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8">
        <f t="shared" si="400"/>
        <v>0</v>
      </c>
      <c r="Q480" s="8">
        <f t="shared" si="401"/>
        <v>0</v>
      </c>
    </row>
    <row r="481" spans="1:1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8">
        <f t="shared" si="400"/>
        <v>0</v>
      </c>
      <c r="Q481" s="8">
        <f t="shared" si="401"/>
        <v>0</v>
      </c>
    </row>
    <row r="482" spans="1:1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8">
        <f t="shared" si="400"/>
        <v>0</v>
      </c>
      <c r="Q482" s="8">
        <f t="shared" si="401"/>
        <v>0</v>
      </c>
    </row>
    <row r="483" spans="1:1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8">
        <f t="shared" si="400"/>
        <v>0</v>
      </c>
      <c r="Q483" s="8">
        <f t="shared" si="401"/>
        <v>0</v>
      </c>
    </row>
    <row r="484" spans="1:1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8">
        <f t="shared" si="400"/>
        <v>0</v>
      </c>
      <c r="Q484" s="8">
        <f t="shared" si="401"/>
        <v>0</v>
      </c>
    </row>
    <row r="485" spans="1:1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8">
        <f t="shared" si="400"/>
        <v>0</v>
      </c>
      <c r="Q485" s="8">
        <f t="shared" si="401"/>
        <v>0</v>
      </c>
    </row>
    <row r="486" spans="1:1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8">
        <f t="shared" si="400"/>
        <v>0</v>
      </c>
      <c r="Q486" s="8">
        <f t="shared" si="401"/>
        <v>0</v>
      </c>
    </row>
    <row r="487" spans="1:1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8">
        <f t="shared" si="400"/>
        <v>0</v>
      </c>
      <c r="Q487" s="8">
        <f t="shared" si="401"/>
        <v>0</v>
      </c>
    </row>
    <row r="488" spans="1:1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8">
        <f t="shared" si="400"/>
        <v>0</v>
      </c>
      <c r="Q488" s="8">
        <f t="shared" si="401"/>
        <v>0</v>
      </c>
    </row>
    <row r="489" spans="1:1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8">
        <f t="shared" si="400"/>
        <v>0</v>
      </c>
      <c r="Q489" s="8">
        <f t="shared" si="401"/>
        <v>0</v>
      </c>
    </row>
    <row r="490" spans="1:1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8">
        <f t="shared" si="400"/>
        <v>0</v>
      </c>
      <c r="Q490" s="8">
        <f t="shared" si="401"/>
        <v>0</v>
      </c>
    </row>
    <row r="491" spans="1:1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8">
        <f t="shared" si="400"/>
        <v>0</v>
      </c>
      <c r="Q491" s="8">
        <f t="shared" si="401"/>
        <v>0</v>
      </c>
    </row>
    <row r="492" spans="1:1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8">
        <f t="shared" si="400"/>
        <v>0</v>
      </c>
      <c r="Q492" s="8">
        <f t="shared" si="401"/>
        <v>0</v>
      </c>
    </row>
    <row r="493" spans="1:1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8">
        <f t="shared" si="400"/>
        <v>0</v>
      </c>
      <c r="Q493" s="8">
        <f t="shared" si="401"/>
        <v>0</v>
      </c>
    </row>
    <row r="494" spans="1:1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8">
        <f t="shared" si="400"/>
        <v>0</v>
      </c>
      <c r="Q494" s="8">
        <f t="shared" si="401"/>
        <v>0</v>
      </c>
    </row>
    <row r="495" spans="1:1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8">
        <f t="shared" si="400"/>
        <v>0</v>
      </c>
      <c r="Q495" s="8">
        <f t="shared" si="401"/>
        <v>0</v>
      </c>
    </row>
    <row r="496" spans="1:1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8">
        <f t="shared" si="400"/>
        <v>0</v>
      </c>
      <c r="Q496" s="8">
        <f t="shared" si="401"/>
        <v>0</v>
      </c>
    </row>
    <row r="497" spans="1:1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8">
        <f t="shared" si="400"/>
        <v>0</v>
      </c>
      <c r="Q497" s="8">
        <f t="shared" si="401"/>
        <v>0</v>
      </c>
    </row>
    <row r="498" spans="1:1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8">
        <f t="shared" si="400"/>
        <v>0</v>
      </c>
      <c r="Q498" s="8">
        <f t="shared" si="401"/>
        <v>0</v>
      </c>
    </row>
    <row r="499" spans="1:1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8">
        <f t="shared" si="400"/>
        <v>0</v>
      </c>
      <c r="Q499" s="8">
        <f t="shared" si="401"/>
        <v>0</v>
      </c>
    </row>
    <row r="500" spans="1:1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8">
        <f t="shared" si="400"/>
        <v>0</v>
      </c>
      <c r="Q500" s="8">
        <f t="shared" si="401"/>
        <v>0</v>
      </c>
    </row>
    <row r="501" spans="1:1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8">
        <f t="shared" si="400"/>
        <v>0</v>
      </c>
      <c r="Q501" s="8">
        <f t="shared" si="401"/>
        <v>0</v>
      </c>
    </row>
    <row r="502" spans="1:1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8">
        <f t="shared" si="400"/>
        <v>0</v>
      </c>
      <c r="Q502" s="8">
        <f t="shared" si="401"/>
        <v>0</v>
      </c>
    </row>
    <row r="503" spans="1:1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8">
        <f t="shared" si="400"/>
        <v>0</v>
      </c>
      <c r="Q503" s="8">
        <f t="shared" si="401"/>
        <v>0</v>
      </c>
    </row>
    <row r="504" spans="1:1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8">
        <f t="shared" si="400"/>
        <v>0</v>
      </c>
      <c r="Q504" s="8">
        <f t="shared" si="401"/>
        <v>0</v>
      </c>
    </row>
    <row r="505" spans="1:1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8">
        <f t="shared" si="400"/>
        <v>0</v>
      </c>
      <c r="Q505" s="8">
        <f t="shared" si="401"/>
        <v>0</v>
      </c>
    </row>
    <row r="506" spans="1:1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8">
        <f t="shared" si="400"/>
        <v>0</v>
      </c>
      <c r="Q506" s="8">
        <f t="shared" si="401"/>
        <v>0</v>
      </c>
    </row>
    <row r="507" spans="1:1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8">
        <f t="shared" si="400"/>
        <v>0</v>
      </c>
      <c r="Q507" s="8">
        <f t="shared" si="401"/>
        <v>0</v>
      </c>
    </row>
    <row r="508" spans="1:1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8">
        <f t="shared" si="400"/>
        <v>0</v>
      </c>
      <c r="Q508" s="8">
        <f t="shared" si="401"/>
        <v>0</v>
      </c>
    </row>
    <row r="509" spans="1:1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8">
        <f t="shared" si="400"/>
        <v>0</v>
      </c>
      <c r="Q509" s="8">
        <f t="shared" si="401"/>
        <v>0</v>
      </c>
    </row>
    <row r="510" spans="1:1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8">
        <f t="shared" si="400"/>
        <v>0</v>
      </c>
      <c r="Q510" s="8">
        <f t="shared" si="401"/>
        <v>0</v>
      </c>
    </row>
    <row r="511" spans="1:1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8">
        <f t="shared" si="400"/>
        <v>0</v>
      </c>
      <c r="Q511" s="8">
        <f t="shared" si="401"/>
        <v>0</v>
      </c>
    </row>
    <row r="512" spans="1:1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8">
        <f t="shared" si="400"/>
        <v>0</v>
      </c>
      <c r="Q512" s="8">
        <f t="shared" si="401"/>
        <v>0</v>
      </c>
    </row>
    <row r="513" spans="1:1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8">
        <f t="shared" si="400"/>
        <v>0</v>
      </c>
      <c r="Q513" s="8">
        <f t="shared" si="401"/>
        <v>0</v>
      </c>
    </row>
    <row r="514" spans="1:1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8">
        <f t="shared" si="400"/>
        <v>0</v>
      </c>
      <c r="Q514" s="8">
        <f t="shared" si="401"/>
        <v>0</v>
      </c>
    </row>
    <row r="515" spans="1:1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8">
        <f t="shared" si="400"/>
        <v>0</v>
      </c>
      <c r="Q515" s="8">
        <f t="shared" si="401"/>
        <v>0</v>
      </c>
    </row>
    <row r="516" spans="1:1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8">
        <f t="shared" si="400"/>
        <v>0</v>
      </c>
      <c r="Q516" s="8">
        <f t="shared" si="401"/>
        <v>0</v>
      </c>
    </row>
    <row r="517" spans="1:1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8">
        <f t="shared" si="400"/>
        <v>0</v>
      </c>
      <c r="Q517" s="8">
        <f t="shared" si="401"/>
        <v>0</v>
      </c>
    </row>
    <row r="518" spans="1:1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8">
        <f t="shared" si="400"/>
        <v>0</v>
      </c>
      <c r="Q518" s="8">
        <f t="shared" si="401"/>
        <v>0</v>
      </c>
    </row>
    <row r="519" spans="1:1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8">
        <f t="shared" si="400"/>
        <v>0</v>
      </c>
      <c r="Q519" s="8">
        <f t="shared" si="401"/>
        <v>0</v>
      </c>
    </row>
    <row r="520" spans="1:1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8">
        <f t="shared" si="400"/>
        <v>0</v>
      </c>
      <c r="Q520" s="8">
        <f t="shared" si="401"/>
        <v>0</v>
      </c>
    </row>
    <row r="521" spans="1:1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8">
        <f t="shared" si="400"/>
        <v>0</v>
      </c>
      <c r="Q521" s="8">
        <f t="shared" si="401"/>
        <v>0</v>
      </c>
    </row>
    <row r="522" spans="1:1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8">
        <f t="shared" si="400"/>
        <v>0</v>
      </c>
      <c r="Q522" s="8">
        <f t="shared" si="401"/>
        <v>0</v>
      </c>
    </row>
    <row r="523" spans="1:1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8">
        <f t="shared" si="400"/>
        <v>0</v>
      </c>
      <c r="Q523" s="8">
        <f t="shared" si="401"/>
        <v>0</v>
      </c>
    </row>
    <row r="524" spans="1:1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8">
        <f t="shared" si="400"/>
        <v>0</v>
      </c>
      <c r="Q524" s="8">
        <f t="shared" si="401"/>
        <v>0</v>
      </c>
    </row>
    <row r="525" spans="1:1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8">
        <f t="shared" si="400"/>
        <v>0</v>
      </c>
      <c r="Q525" s="8">
        <f t="shared" si="401"/>
        <v>0</v>
      </c>
    </row>
    <row r="526" spans="1:1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8">
        <f t="shared" si="400"/>
        <v>0</v>
      </c>
      <c r="Q526" s="8">
        <f t="shared" si="401"/>
        <v>0</v>
      </c>
    </row>
    <row r="527" spans="1:1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8">
        <f t="shared" si="400"/>
        <v>0</v>
      </c>
      <c r="Q527" s="8">
        <f t="shared" si="401"/>
        <v>0</v>
      </c>
    </row>
    <row r="528" spans="1:1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8">
        <f t="shared" si="400"/>
        <v>0</v>
      </c>
      <c r="Q528" s="8">
        <f t="shared" si="401"/>
        <v>0</v>
      </c>
    </row>
    <row r="529" spans="1:1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8">
        <f t="shared" si="400"/>
        <v>0</v>
      </c>
      <c r="Q529" s="8">
        <f t="shared" si="401"/>
        <v>0</v>
      </c>
    </row>
    <row r="530" spans="1:1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8">
        <f t="shared" ref="P530:P566" si="402">(O530/20000/500)*C530*D530*N530</f>
        <v>0</v>
      </c>
      <c r="Q530" s="8">
        <f t="shared" ref="Q530:Q566" si="403">+P530-G530</f>
        <v>0</v>
      </c>
    </row>
    <row r="531" spans="1:1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8">
        <f t="shared" si="402"/>
        <v>0</v>
      </c>
      <c r="Q531" s="8">
        <f t="shared" si="403"/>
        <v>0</v>
      </c>
    </row>
    <row r="532" spans="1:1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8">
        <f t="shared" si="402"/>
        <v>0</v>
      </c>
      <c r="Q532" s="8">
        <f t="shared" si="403"/>
        <v>0</v>
      </c>
    </row>
    <row r="533" spans="1:1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8">
        <f t="shared" si="402"/>
        <v>0</v>
      </c>
      <c r="Q533" s="8">
        <f t="shared" si="403"/>
        <v>0</v>
      </c>
    </row>
    <row r="534" spans="1:1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8">
        <f t="shared" si="402"/>
        <v>0</v>
      </c>
      <c r="Q534" s="8">
        <f t="shared" si="403"/>
        <v>0</v>
      </c>
    </row>
    <row r="535" spans="1:1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8">
        <f t="shared" si="402"/>
        <v>0</v>
      </c>
      <c r="Q535" s="8">
        <f t="shared" si="403"/>
        <v>0</v>
      </c>
    </row>
    <row r="536" spans="1:1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8">
        <f t="shared" si="402"/>
        <v>0</v>
      </c>
      <c r="Q536" s="8">
        <f t="shared" si="403"/>
        <v>0</v>
      </c>
    </row>
    <row r="537" spans="1:1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8">
        <f t="shared" si="402"/>
        <v>0</v>
      </c>
      <c r="Q537" s="8">
        <f t="shared" si="403"/>
        <v>0</v>
      </c>
    </row>
    <row r="538" spans="1:1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8">
        <f t="shared" si="402"/>
        <v>0</v>
      </c>
      <c r="Q538" s="8">
        <f t="shared" si="403"/>
        <v>0</v>
      </c>
    </row>
    <row r="539" spans="1:1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8">
        <f t="shared" si="402"/>
        <v>0</v>
      </c>
      <c r="Q539" s="8">
        <f t="shared" si="403"/>
        <v>0</v>
      </c>
    </row>
    <row r="540" spans="1:1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8">
        <f t="shared" si="402"/>
        <v>0</v>
      </c>
      <c r="Q540" s="8">
        <f t="shared" si="403"/>
        <v>0</v>
      </c>
    </row>
    <row r="541" spans="1:1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8">
        <f t="shared" si="402"/>
        <v>0</v>
      </c>
      <c r="Q541" s="8">
        <f t="shared" si="403"/>
        <v>0</v>
      </c>
    </row>
    <row r="542" spans="1:1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8">
        <f t="shared" si="402"/>
        <v>0</v>
      </c>
      <c r="Q542" s="8">
        <f t="shared" si="403"/>
        <v>0</v>
      </c>
    </row>
    <row r="543" spans="1:1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8">
        <f t="shared" si="402"/>
        <v>0</v>
      </c>
      <c r="Q543" s="8">
        <f t="shared" si="403"/>
        <v>0</v>
      </c>
    </row>
    <row r="544" spans="1:1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8">
        <f t="shared" si="402"/>
        <v>0</v>
      </c>
      <c r="Q544" s="8">
        <f t="shared" si="403"/>
        <v>0</v>
      </c>
    </row>
    <row r="545" spans="1:1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8">
        <f t="shared" si="402"/>
        <v>0</v>
      </c>
      <c r="Q545" s="8">
        <f t="shared" si="403"/>
        <v>0</v>
      </c>
    </row>
    <row r="546" spans="1:1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8">
        <f t="shared" si="402"/>
        <v>0</v>
      </c>
      <c r="Q546" s="8">
        <f t="shared" si="403"/>
        <v>0</v>
      </c>
    </row>
    <row r="547" spans="1:1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8">
        <f t="shared" si="402"/>
        <v>0</v>
      </c>
      <c r="Q547" s="8">
        <f t="shared" si="403"/>
        <v>0</v>
      </c>
    </row>
    <row r="548" spans="1:1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8">
        <f t="shared" si="402"/>
        <v>0</v>
      </c>
      <c r="Q548" s="8">
        <f t="shared" si="403"/>
        <v>0</v>
      </c>
    </row>
    <row r="549" spans="1:1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8">
        <f t="shared" si="402"/>
        <v>0</v>
      </c>
      <c r="Q549" s="8">
        <f t="shared" si="403"/>
        <v>0</v>
      </c>
    </row>
    <row r="550" spans="1:1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8">
        <f t="shared" si="402"/>
        <v>0</v>
      </c>
      <c r="Q550" s="8">
        <f t="shared" si="403"/>
        <v>0</v>
      </c>
    </row>
    <row r="551" spans="1:1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8">
        <f t="shared" si="402"/>
        <v>0</v>
      </c>
      <c r="Q551" s="8">
        <f t="shared" si="403"/>
        <v>0</v>
      </c>
    </row>
    <row r="552" spans="1:1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8">
        <f t="shared" si="402"/>
        <v>0</v>
      </c>
      <c r="Q552" s="8">
        <f t="shared" si="403"/>
        <v>0</v>
      </c>
    </row>
    <row r="553" spans="1:1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8">
        <f t="shared" si="402"/>
        <v>0</v>
      </c>
      <c r="Q553" s="8">
        <f t="shared" si="403"/>
        <v>0</v>
      </c>
    </row>
    <row r="554" spans="1:1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8">
        <f t="shared" si="402"/>
        <v>0</v>
      </c>
      <c r="Q554" s="8">
        <f t="shared" si="403"/>
        <v>0</v>
      </c>
    </row>
    <row r="555" spans="1:1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8">
        <f t="shared" si="402"/>
        <v>0</v>
      </c>
      <c r="Q555" s="8">
        <f t="shared" si="403"/>
        <v>0</v>
      </c>
    </row>
    <row r="556" spans="1:1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8">
        <f t="shared" si="402"/>
        <v>0</v>
      </c>
      <c r="Q556" s="8">
        <f t="shared" si="403"/>
        <v>0</v>
      </c>
    </row>
    <row r="557" spans="1:1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8">
        <f t="shared" si="402"/>
        <v>0</v>
      </c>
      <c r="Q557" s="8">
        <f t="shared" si="403"/>
        <v>0</v>
      </c>
    </row>
    <row r="558" spans="1:1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8">
        <f t="shared" si="402"/>
        <v>0</v>
      </c>
      <c r="Q558" s="8">
        <f t="shared" si="403"/>
        <v>0</v>
      </c>
    </row>
    <row r="559" spans="1:1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8">
        <f t="shared" si="402"/>
        <v>0</v>
      </c>
      <c r="Q559" s="8">
        <f t="shared" si="403"/>
        <v>0</v>
      </c>
    </row>
    <row r="560" spans="1:1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8">
        <f t="shared" si="402"/>
        <v>0</v>
      </c>
      <c r="Q560" s="8">
        <f t="shared" si="403"/>
        <v>0</v>
      </c>
    </row>
    <row r="561" spans="1:1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8">
        <f t="shared" si="402"/>
        <v>0</v>
      </c>
      <c r="Q561" s="8">
        <f t="shared" si="403"/>
        <v>0</v>
      </c>
    </row>
    <row r="562" spans="1:1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8">
        <f t="shared" si="402"/>
        <v>0</v>
      </c>
      <c r="Q562" s="8">
        <f t="shared" si="403"/>
        <v>0</v>
      </c>
    </row>
    <row r="563" spans="1:1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8">
        <f t="shared" si="402"/>
        <v>0</v>
      </c>
      <c r="Q563" s="8">
        <f t="shared" si="403"/>
        <v>0</v>
      </c>
    </row>
    <row r="564" spans="1:1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8">
        <f t="shared" si="402"/>
        <v>0</v>
      </c>
      <c r="Q564" s="8">
        <f t="shared" si="403"/>
        <v>0</v>
      </c>
    </row>
    <row r="565" spans="1:1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8">
        <f t="shared" si="402"/>
        <v>0</v>
      </c>
      <c r="Q565" s="8">
        <f t="shared" si="403"/>
        <v>0</v>
      </c>
    </row>
    <row r="566" spans="1:1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8">
        <f t="shared" si="402"/>
        <v>0</v>
      </c>
      <c r="Q566" s="8">
        <f t="shared" si="403"/>
        <v>0</v>
      </c>
    </row>
    <row r="567" spans="1:1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8">
        <f t="shared" ref="P567:P630" si="404">(O567/20000/500)*C567*D567*N567</f>
        <v>0</v>
      </c>
      <c r="Q567" s="8">
        <f t="shared" ref="Q567:Q630" si="405">+P567-G567</f>
        <v>0</v>
      </c>
    </row>
    <row r="568" spans="1:1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8">
        <f t="shared" si="404"/>
        <v>0</v>
      </c>
      <c r="Q568" s="8">
        <f t="shared" si="405"/>
        <v>0</v>
      </c>
    </row>
    <row r="569" spans="1:1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8">
        <f t="shared" si="404"/>
        <v>0</v>
      </c>
      <c r="Q569" s="8">
        <f t="shared" si="405"/>
        <v>0</v>
      </c>
    </row>
    <row r="570" spans="1:1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8">
        <f t="shared" si="404"/>
        <v>0</v>
      </c>
      <c r="Q570" s="8">
        <f t="shared" si="405"/>
        <v>0</v>
      </c>
    </row>
    <row r="571" spans="1:1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8">
        <f t="shared" si="404"/>
        <v>0</v>
      </c>
      <c r="Q571" s="8">
        <f t="shared" si="405"/>
        <v>0</v>
      </c>
    </row>
    <row r="572" spans="1:1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8">
        <f t="shared" si="404"/>
        <v>0</v>
      </c>
      <c r="Q572" s="8">
        <f t="shared" si="405"/>
        <v>0</v>
      </c>
    </row>
    <row r="573" spans="1:1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8">
        <f t="shared" si="404"/>
        <v>0</v>
      </c>
      <c r="Q573" s="8">
        <f t="shared" si="405"/>
        <v>0</v>
      </c>
    </row>
    <row r="574" spans="1:1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8">
        <f t="shared" si="404"/>
        <v>0</v>
      </c>
      <c r="Q574" s="8">
        <f t="shared" si="405"/>
        <v>0</v>
      </c>
    </row>
    <row r="575" spans="1:1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8">
        <f t="shared" si="404"/>
        <v>0</v>
      </c>
      <c r="Q575" s="8">
        <f t="shared" si="405"/>
        <v>0</v>
      </c>
    </row>
    <row r="576" spans="1:1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8">
        <f t="shared" si="404"/>
        <v>0</v>
      </c>
      <c r="Q576" s="8">
        <f t="shared" si="405"/>
        <v>0</v>
      </c>
    </row>
    <row r="577" spans="1:1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8">
        <f t="shared" si="404"/>
        <v>0</v>
      </c>
      <c r="Q577" s="8">
        <f t="shared" si="405"/>
        <v>0</v>
      </c>
    </row>
    <row r="578" spans="1:1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8">
        <f t="shared" si="404"/>
        <v>0</v>
      </c>
      <c r="Q578" s="8">
        <f t="shared" si="405"/>
        <v>0</v>
      </c>
    </row>
    <row r="579" spans="1:1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8">
        <f t="shared" si="404"/>
        <v>0</v>
      </c>
      <c r="Q579" s="8">
        <f t="shared" si="405"/>
        <v>0</v>
      </c>
    </row>
    <row r="580" spans="1:1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8">
        <f t="shared" si="404"/>
        <v>0</v>
      </c>
      <c r="Q580" s="8">
        <f t="shared" si="405"/>
        <v>0</v>
      </c>
    </row>
    <row r="581" spans="1:1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8">
        <f t="shared" si="404"/>
        <v>0</v>
      </c>
      <c r="Q581" s="8">
        <f t="shared" si="405"/>
        <v>0</v>
      </c>
    </row>
    <row r="582" spans="1:1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8">
        <f t="shared" si="404"/>
        <v>0</v>
      </c>
      <c r="Q582" s="8">
        <f t="shared" si="405"/>
        <v>0</v>
      </c>
    </row>
    <row r="583" spans="1:1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8">
        <f t="shared" si="404"/>
        <v>0</v>
      </c>
      <c r="Q583" s="8">
        <f t="shared" si="405"/>
        <v>0</v>
      </c>
    </row>
    <row r="584" spans="1:1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8">
        <f t="shared" si="404"/>
        <v>0</v>
      </c>
      <c r="Q584" s="8">
        <f t="shared" si="405"/>
        <v>0</v>
      </c>
    </row>
    <row r="585" spans="1:1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8">
        <f t="shared" si="404"/>
        <v>0</v>
      </c>
      <c r="Q585" s="8">
        <f t="shared" si="405"/>
        <v>0</v>
      </c>
    </row>
    <row r="586" spans="1:1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8">
        <f t="shared" si="404"/>
        <v>0</v>
      </c>
      <c r="Q586" s="8">
        <f t="shared" si="405"/>
        <v>0</v>
      </c>
    </row>
    <row r="587" spans="1:1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8">
        <f t="shared" si="404"/>
        <v>0</v>
      </c>
      <c r="Q587" s="8">
        <f t="shared" si="405"/>
        <v>0</v>
      </c>
    </row>
    <row r="588" spans="1:1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8">
        <f t="shared" si="404"/>
        <v>0</v>
      </c>
      <c r="Q588" s="8">
        <f t="shared" si="405"/>
        <v>0</v>
      </c>
    </row>
    <row r="589" spans="1:1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8">
        <f t="shared" si="404"/>
        <v>0</v>
      </c>
      <c r="Q589" s="8">
        <f t="shared" si="405"/>
        <v>0</v>
      </c>
    </row>
    <row r="590" spans="1:1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8">
        <f t="shared" si="404"/>
        <v>0</v>
      </c>
      <c r="Q590" s="8">
        <f t="shared" si="405"/>
        <v>0</v>
      </c>
    </row>
    <row r="591" spans="1:1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8">
        <f t="shared" si="404"/>
        <v>0</v>
      </c>
      <c r="Q591" s="8">
        <f t="shared" si="405"/>
        <v>0</v>
      </c>
    </row>
    <row r="592" spans="1:1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8">
        <f t="shared" si="404"/>
        <v>0</v>
      </c>
      <c r="Q592" s="8">
        <f t="shared" si="405"/>
        <v>0</v>
      </c>
    </row>
    <row r="593" spans="1:1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8">
        <f t="shared" si="404"/>
        <v>0</v>
      </c>
      <c r="Q593" s="8">
        <f t="shared" si="405"/>
        <v>0</v>
      </c>
    </row>
    <row r="594" spans="1:1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8">
        <f t="shared" si="404"/>
        <v>0</v>
      </c>
      <c r="Q594" s="8">
        <f t="shared" si="405"/>
        <v>0</v>
      </c>
    </row>
    <row r="595" spans="1:1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8">
        <f t="shared" si="404"/>
        <v>0</v>
      </c>
      <c r="Q595" s="8">
        <f t="shared" si="405"/>
        <v>0</v>
      </c>
    </row>
    <row r="596" spans="1:1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8">
        <f t="shared" si="404"/>
        <v>0</v>
      </c>
      <c r="Q596" s="8">
        <f t="shared" si="405"/>
        <v>0</v>
      </c>
    </row>
    <row r="597" spans="1:1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8">
        <f t="shared" si="404"/>
        <v>0</v>
      </c>
      <c r="Q597" s="8">
        <f t="shared" si="405"/>
        <v>0</v>
      </c>
    </row>
    <row r="598" spans="1:1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8">
        <f t="shared" si="404"/>
        <v>0</v>
      </c>
      <c r="Q598" s="8">
        <f t="shared" si="405"/>
        <v>0</v>
      </c>
    </row>
    <row r="599" spans="1:1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8">
        <f t="shared" si="404"/>
        <v>0</v>
      </c>
      <c r="Q599" s="8">
        <f t="shared" si="405"/>
        <v>0</v>
      </c>
    </row>
    <row r="600" spans="1:1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8">
        <f t="shared" si="404"/>
        <v>0</v>
      </c>
      <c r="Q600" s="8">
        <f t="shared" si="405"/>
        <v>0</v>
      </c>
    </row>
    <row r="601" spans="1:1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8">
        <f t="shared" si="404"/>
        <v>0</v>
      </c>
      <c r="Q601" s="8">
        <f t="shared" si="405"/>
        <v>0</v>
      </c>
    </row>
    <row r="602" spans="1:1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8">
        <f t="shared" si="404"/>
        <v>0</v>
      </c>
      <c r="Q602" s="8">
        <f t="shared" si="405"/>
        <v>0</v>
      </c>
    </row>
    <row r="603" spans="1:1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8">
        <f t="shared" si="404"/>
        <v>0</v>
      </c>
      <c r="Q603" s="8">
        <f t="shared" si="405"/>
        <v>0</v>
      </c>
    </row>
    <row r="604" spans="1:1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8">
        <f t="shared" si="404"/>
        <v>0</v>
      </c>
      <c r="Q604" s="8">
        <f t="shared" si="405"/>
        <v>0</v>
      </c>
    </row>
    <row r="605" spans="1:1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8">
        <f t="shared" si="404"/>
        <v>0</v>
      </c>
      <c r="Q605" s="8">
        <f t="shared" si="405"/>
        <v>0</v>
      </c>
    </row>
    <row r="606" spans="1:1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8">
        <f t="shared" si="404"/>
        <v>0</v>
      </c>
      <c r="Q606" s="8">
        <f t="shared" si="405"/>
        <v>0</v>
      </c>
    </row>
    <row r="607" spans="1:1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8">
        <f t="shared" si="404"/>
        <v>0</v>
      </c>
      <c r="Q607" s="8">
        <f t="shared" si="405"/>
        <v>0</v>
      </c>
    </row>
    <row r="608" spans="1:1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8">
        <f t="shared" si="404"/>
        <v>0</v>
      </c>
      <c r="Q608" s="8">
        <f t="shared" si="405"/>
        <v>0</v>
      </c>
    </row>
    <row r="609" spans="1:1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8">
        <f t="shared" si="404"/>
        <v>0</v>
      </c>
      <c r="Q609" s="8">
        <f t="shared" si="405"/>
        <v>0</v>
      </c>
    </row>
    <row r="610" spans="1:1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8">
        <f t="shared" si="404"/>
        <v>0</v>
      </c>
      <c r="Q610" s="8">
        <f t="shared" si="405"/>
        <v>0</v>
      </c>
    </row>
    <row r="611" spans="1:1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8">
        <f t="shared" si="404"/>
        <v>0</v>
      </c>
      <c r="Q611" s="8">
        <f t="shared" si="405"/>
        <v>0</v>
      </c>
    </row>
    <row r="612" spans="1:1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8">
        <f t="shared" si="404"/>
        <v>0</v>
      </c>
      <c r="Q612" s="8">
        <f t="shared" si="405"/>
        <v>0</v>
      </c>
    </row>
    <row r="613" spans="1:1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8">
        <f t="shared" si="404"/>
        <v>0</v>
      </c>
      <c r="Q613" s="8">
        <f t="shared" si="405"/>
        <v>0</v>
      </c>
    </row>
    <row r="614" spans="1:1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8">
        <f t="shared" si="404"/>
        <v>0</v>
      </c>
      <c r="Q614" s="8">
        <f t="shared" si="405"/>
        <v>0</v>
      </c>
    </row>
    <row r="615" spans="1:1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8">
        <f t="shared" si="404"/>
        <v>0</v>
      </c>
      <c r="Q615" s="8">
        <f t="shared" si="405"/>
        <v>0</v>
      </c>
    </row>
    <row r="616" spans="1:1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8">
        <f t="shared" si="404"/>
        <v>0</v>
      </c>
      <c r="Q616" s="8">
        <f t="shared" si="405"/>
        <v>0</v>
      </c>
    </row>
    <row r="617" spans="1:1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8">
        <f t="shared" si="404"/>
        <v>0</v>
      </c>
      <c r="Q617" s="8">
        <f t="shared" si="405"/>
        <v>0</v>
      </c>
    </row>
    <row r="618" spans="1:1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8">
        <f t="shared" si="404"/>
        <v>0</v>
      </c>
      <c r="Q618" s="8">
        <f t="shared" si="405"/>
        <v>0</v>
      </c>
    </row>
    <row r="619" spans="1:1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8">
        <f t="shared" si="404"/>
        <v>0</v>
      </c>
      <c r="Q619" s="8">
        <f t="shared" si="405"/>
        <v>0</v>
      </c>
    </row>
    <row r="620" spans="1:1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8">
        <f t="shared" si="404"/>
        <v>0</v>
      </c>
      <c r="Q620" s="8">
        <f t="shared" si="405"/>
        <v>0</v>
      </c>
    </row>
    <row r="621" spans="1:1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8">
        <f t="shared" si="404"/>
        <v>0</v>
      </c>
      <c r="Q621" s="8">
        <f t="shared" si="405"/>
        <v>0</v>
      </c>
    </row>
    <row r="622" spans="1:1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8">
        <f t="shared" si="404"/>
        <v>0</v>
      </c>
      <c r="Q622" s="8">
        <f t="shared" si="405"/>
        <v>0</v>
      </c>
    </row>
    <row r="623" spans="1:1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8">
        <f t="shared" si="404"/>
        <v>0</v>
      </c>
      <c r="Q623" s="8">
        <f t="shared" si="405"/>
        <v>0</v>
      </c>
    </row>
    <row r="624" spans="1:1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8">
        <f t="shared" si="404"/>
        <v>0</v>
      </c>
      <c r="Q624" s="8">
        <f t="shared" si="405"/>
        <v>0</v>
      </c>
    </row>
    <row r="625" spans="1:1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8">
        <f t="shared" si="404"/>
        <v>0</v>
      </c>
      <c r="Q625" s="8">
        <f t="shared" si="405"/>
        <v>0</v>
      </c>
    </row>
    <row r="626" spans="1:1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8">
        <f t="shared" si="404"/>
        <v>0</v>
      </c>
      <c r="Q626" s="8">
        <f t="shared" si="405"/>
        <v>0</v>
      </c>
    </row>
    <row r="627" spans="1:1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8">
        <f t="shared" si="404"/>
        <v>0</v>
      </c>
      <c r="Q627" s="8">
        <f t="shared" si="405"/>
        <v>0</v>
      </c>
    </row>
    <row r="628" spans="1:1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8">
        <f t="shared" si="404"/>
        <v>0</v>
      </c>
      <c r="Q628" s="8">
        <f t="shared" si="405"/>
        <v>0</v>
      </c>
    </row>
    <row r="629" spans="1:1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8">
        <f t="shared" si="404"/>
        <v>0</v>
      </c>
      <c r="Q629" s="8">
        <f t="shared" si="405"/>
        <v>0</v>
      </c>
    </row>
    <row r="630" spans="1:1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8">
        <f t="shared" si="404"/>
        <v>0</v>
      </c>
      <c r="Q630" s="8">
        <f t="shared" si="405"/>
        <v>0</v>
      </c>
    </row>
    <row r="631" spans="1:1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8">
        <f t="shared" ref="P631:P681" si="406">(O631/20000/500)*C631*D631*N631</f>
        <v>0</v>
      </c>
      <c r="Q631" s="8">
        <f t="shared" ref="Q631:Q681" si="407">+P631-G631</f>
        <v>0</v>
      </c>
    </row>
    <row r="632" spans="1:1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8">
        <f t="shared" si="406"/>
        <v>0</v>
      </c>
      <c r="Q632" s="8">
        <f t="shared" si="407"/>
        <v>0</v>
      </c>
    </row>
    <row r="633" spans="1:1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8">
        <f t="shared" si="406"/>
        <v>0</v>
      </c>
      <c r="Q633" s="8">
        <f t="shared" si="407"/>
        <v>0</v>
      </c>
    </row>
    <row r="634" spans="1:1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8">
        <f t="shared" si="406"/>
        <v>0</v>
      </c>
      <c r="Q634" s="8">
        <f t="shared" si="407"/>
        <v>0</v>
      </c>
    </row>
    <row r="635" spans="1:1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8">
        <f t="shared" si="406"/>
        <v>0</v>
      </c>
      <c r="Q635" s="8">
        <f t="shared" si="407"/>
        <v>0</v>
      </c>
    </row>
    <row r="636" spans="1:1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8">
        <f t="shared" si="406"/>
        <v>0</v>
      </c>
      <c r="Q636" s="8">
        <f t="shared" si="407"/>
        <v>0</v>
      </c>
    </row>
    <row r="637" spans="1:1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8">
        <f t="shared" si="406"/>
        <v>0</v>
      </c>
      <c r="Q637" s="8">
        <f t="shared" si="407"/>
        <v>0</v>
      </c>
    </row>
    <row r="638" spans="1:1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8">
        <f t="shared" si="406"/>
        <v>0</v>
      </c>
      <c r="Q638" s="8">
        <f t="shared" si="407"/>
        <v>0</v>
      </c>
    </row>
    <row r="639" spans="1:1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8">
        <f t="shared" si="406"/>
        <v>0</v>
      </c>
      <c r="Q639" s="8">
        <f t="shared" si="407"/>
        <v>0</v>
      </c>
    </row>
    <row r="640" spans="1:1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8">
        <f t="shared" si="406"/>
        <v>0</v>
      </c>
      <c r="Q640" s="8">
        <f t="shared" si="407"/>
        <v>0</v>
      </c>
    </row>
    <row r="641" spans="1:1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8">
        <f t="shared" si="406"/>
        <v>0</v>
      </c>
      <c r="Q641" s="8">
        <f t="shared" si="407"/>
        <v>0</v>
      </c>
    </row>
    <row r="642" spans="1:1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8">
        <f t="shared" si="406"/>
        <v>0</v>
      </c>
      <c r="Q642" s="8">
        <f t="shared" si="407"/>
        <v>0</v>
      </c>
    </row>
    <row r="643" spans="1:1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8">
        <f t="shared" si="406"/>
        <v>0</v>
      </c>
      <c r="Q643" s="8">
        <f t="shared" si="407"/>
        <v>0</v>
      </c>
    </row>
    <row r="644" spans="1:1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8">
        <f t="shared" si="406"/>
        <v>0</v>
      </c>
      <c r="Q644" s="8">
        <f t="shared" si="407"/>
        <v>0</v>
      </c>
    </row>
    <row r="645" spans="1:1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8">
        <f t="shared" si="406"/>
        <v>0</v>
      </c>
      <c r="Q645" s="8">
        <f t="shared" si="407"/>
        <v>0</v>
      </c>
    </row>
    <row r="646" spans="1:1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8">
        <f t="shared" si="406"/>
        <v>0</v>
      </c>
      <c r="Q646" s="8">
        <f t="shared" si="407"/>
        <v>0</v>
      </c>
    </row>
    <row r="647" spans="1:1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8">
        <f t="shared" si="406"/>
        <v>0</v>
      </c>
      <c r="Q647" s="8">
        <f t="shared" si="407"/>
        <v>0</v>
      </c>
    </row>
    <row r="648" spans="1:1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8">
        <f t="shared" si="406"/>
        <v>0</v>
      </c>
      <c r="Q648" s="8">
        <f t="shared" si="407"/>
        <v>0</v>
      </c>
    </row>
    <row r="649" spans="1:1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8">
        <f t="shared" si="406"/>
        <v>0</v>
      </c>
      <c r="Q649" s="8">
        <f t="shared" si="407"/>
        <v>0</v>
      </c>
    </row>
    <row r="650" spans="1:1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8">
        <f t="shared" si="406"/>
        <v>0</v>
      </c>
      <c r="Q650" s="8">
        <f t="shared" si="407"/>
        <v>0</v>
      </c>
    </row>
    <row r="651" spans="1:1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8">
        <f t="shared" si="406"/>
        <v>0</v>
      </c>
      <c r="Q651" s="8">
        <f t="shared" si="407"/>
        <v>0</v>
      </c>
    </row>
    <row r="652" spans="1:1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8">
        <f t="shared" si="406"/>
        <v>0</v>
      </c>
      <c r="Q652" s="8">
        <f t="shared" si="407"/>
        <v>0</v>
      </c>
    </row>
    <row r="653" spans="1:1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8">
        <f t="shared" si="406"/>
        <v>0</v>
      </c>
      <c r="Q653" s="8">
        <f t="shared" si="407"/>
        <v>0</v>
      </c>
    </row>
    <row r="654" spans="1:1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8">
        <f t="shared" si="406"/>
        <v>0</v>
      </c>
      <c r="Q654" s="8">
        <f t="shared" si="407"/>
        <v>0</v>
      </c>
    </row>
    <row r="655" spans="1:1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8">
        <f t="shared" si="406"/>
        <v>0</v>
      </c>
      <c r="Q655" s="8">
        <f t="shared" si="407"/>
        <v>0</v>
      </c>
    </row>
    <row r="656" spans="1:1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8">
        <f t="shared" si="406"/>
        <v>0</v>
      </c>
      <c r="Q656" s="8">
        <f t="shared" si="407"/>
        <v>0</v>
      </c>
    </row>
    <row r="657" spans="1:1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8">
        <f t="shared" si="406"/>
        <v>0</v>
      </c>
      <c r="Q657" s="8">
        <f t="shared" si="407"/>
        <v>0</v>
      </c>
    </row>
    <row r="658" spans="1:1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8">
        <f t="shared" si="406"/>
        <v>0</v>
      </c>
      <c r="Q658" s="8">
        <f t="shared" si="407"/>
        <v>0</v>
      </c>
    </row>
    <row r="659" spans="1:1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8">
        <f t="shared" si="406"/>
        <v>0</v>
      </c>
      <c r="Q659" s="8">
        <f t="shared" si="407"/>
        <v>0</v>
      </c>
    </row>
    <row r="660" spans="1:1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8">
        <f t="shared" si="406"/>
        <v>0</v>
      </c>
      <c r="Q660" s="8">
        <f t="shared" si="407"/>
        <v>0</v>
      </c>
    </row>
    <row r="661" spans="1:1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8">
        <f t="shared" si="406"/>
        <v>0</v>
      </c>
      <c r="Q661" s="8">
        <f t="shared" si="407"/>
        <v>0</v>
      </c>
    </row>
    <row r="662" spans="1:1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8">
        <f t="shared" si="406"/>
        <v>0</v>
      </c>
      <c r="Q662" s="8">
        <f t="shared" si="407"/>
        <v>0</v>
      </c>
    </row>
    <row r="663" spans="1:1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8">
        <f t="shared" si="406"/>
        <v>0</v>
      </c>
      <c r="Q663" s="8">
        <f t="shared" si="407"/>
        <v>0</v>
      </c>
    </row>
    <row r="664" spans="1:1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8">
        <f t="shared" si="406"/>
        <v>0</v>
      </c>
      <c r="Q664" s="8">
        <f t="shared" si="407"/>
        <v>0</v>
      </c>
    </row>
    <row r="665" spans="1:1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8">
        <f t="shared" si="406"/>
        <v>0</v>
      </c>
      <c r="Q665" s="8">
        <f t="shared" si="407"/>
        <v>0</v>
      </c>
    </row>
    <row r="666" spans="1:1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8">
        <f t="shared" si="406"/>
        <v>0</v>
      </c>
      <c r="Q666" s="8">
        <f t="shared" si="407"/>
        <v>0</v>
      </c>
    </row>
    <row r="667" spans="1:1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8">
        <f t="shared" si="406"/>
        <v>0</v>
      </c>
      <c r="Q667" s="8">
        <f t="shared" si="407"/>
        <v>0</v>
      </c>
    </row>
    <row r="668" spans="1:1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8">
        <f t="shared" si="406"/>
        <v>0</v>
      </c>
      <c r="Q668" s="8">
        <f t="shared" si="407"/>
        <v>0</v>
      </c>
    </row>
    <row r="669" spans="1:1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8">
        <f t="shared" si="406"/>
        <v>0</v>
      </c>
      <c r="Q669" s="8">
        <f t="shared" si="407"/>
        <v>0</v>
      </c>
    </row>
    <row r="670" spans="1:17" x14ac:dyDescent="0.25">
      <c r="P670" s="38">
        <f t="shared" si="406"/>
        <v>0</v>
      </c>
      <c r="Q670" s="8">
        <f t="shared" si="407"/>
        <v>0</v>
      </c>
    </row>
    <row r="671" spans="1:17" x14ac:dyDescent="0.25">
      <c r="P671" s="38">
        <f t="shared" si="406"/>
        <v>0</v>
      </c>
      <c r="Q671" s="8">
        <f t="shared" si="407"/>
        <v>0</v>
      </c>
    </row>
    <row r="672" spans="1:17" x14ac:dyDescent="0.25">
      <c r="P672" s="38">
        <f t="shared" si="406"/>
        <v>0</v>
      </c>
      <c r="Q672" s="8">
        <f t="shared" si="407"/>
        <v>0</v>
      </c>
    </row>
    <row r="673" spans="16:17" x14ac:dyDescent="0.25">
      <c r="P673" s="38">
        <f t="shared" si="406"/>
        <v>0</v>
      </c>
      <c r="Q673" s="8">
        <f t="shared" si="407"/>
        <v>0</v>
      </c>
    </row>
    <row r="674" spans="16:17" x14ac:dyDescent="0.25">
      <c r="P674" s="38">
        <f t="shared" si="406"/>
        <v>0</v>
      </c>
      <c r="Q674" s="8">
        <f t="shared" si="407"/>
        <v>0</v>
      </c>
    </row>
    <row r="675" spans="16:17" x14ac:dyDescent="0.25">
      <c r="P675" s="38">
        <f t="shared" si="406"/>
        <v>0</v>
      </c>
      <c r="Q675" s="8">
        <f t="shared" si="407"/>
        <v>0</v>
      </c>
    </row>
    <row r="676" spans="16:17" x14ac:dyDescent="0.25">
      <c r="P676" s="38">
        <f t="shared" si="406"/>
        <v>0</v>
      </c>
      <c r="Q676" s="8">
        <f t="shared" si="407"/>
        <v>0</v>
      </c>
    </row>
    <row r="677" spans="16:17" x14ac:dyDescent="0.25">
      <c r="P677" s="38">
        <f t="shared" si="406"/>
        <v>0</v>
      </c>
      <c r="Q677" s="8">
        <f t="shared" si="407"/>
        <v>0</v>
      </c>
    </row>
    <row r="678" spans="16:17" x14ac:dyDescent="0.25">
      <c r="P678" s="38">
        <f t="shared" si="406"/>
        <v>0</v>
      </c>
      <c r="Q678" s="8">
        <f t="shared" si="407"/>
        <v>0</v>
      </c>
    </row>
    <row r="679" spans="16:17" x14ac:dyDescent="0.25">
      <c r="P679" s="38">
        <f t="shared" si="406"/>
        <v>0</v>
      </c>
      <c r="Q679" s="8">
        <f t="shared" si="407"/>
        <v>0</v>
      </c>
    </row>
    <row r="680" spans="16:17" x14ac:dyDescent="0.25">
      <c r="P680" s="38">
        <f t="shared" si="406"/>
        <v>0</v>
      </c>
      <c r="Q680" s="8">
        <f t="shared" si="407"/>
        <v>0</v>
      </c>
    </row>
    <row r="681" spans="16:17" x14ac:dyDescent="0.25">
      <c r="P681" s="38">
        <f t="shared" si="406"/>
        <v>0</v>
      </c>
      <c r="Q681" s="8">
        <f t="shared" si="407"/>
        <v>0</v>
      </c>
    </row>
  </sheetData>
  <autoFilter ref="A1:U681" xr:uid="{00000000-0001-0000-0200-000000000000}"/>
  <mergeCells count="4">
    <mergeCell ref="A4:G4"/>
    <mergeCell ref="H4:L4"/>
    <mergeCell ref="E1:E2"/>
    <mergeCell ref="M4:Q4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87"/>
  <sheetViews>
    <sheetView zoomScaleNormal="100" workbookViewId="0">
      <pane ySplit="2" topLeftCell="A37" activePane="bottomLeft" state="frozen"/>
      <selection pane="bottomLeft" activeCell="E62" sqref="E62"/>
    </sheetView>
  </sheetViews>
  <sheetFormatPr defaultRowHeight="15" x14ac:dyDescent="0.25"/>
  <cols>
    <col min="1" max="1" width="17.28515625" style="1" customWidth="1"/>
    <col min="2" max="3" width="9.140625" style="1"/>
    <col min="4" max="4" width="10.42578125" style="1" customWidth="1"/>
    <col min="5" max="5" width="10.5703125" style="1" customWidth="1"/>
    <col min="6" max="6" width="13.7109375" style="1" customWidth="1"/>
    <col min="7" max="7" width="10.7109375" style="1" customWidth="1"/>
    <col min="8" max="18" width="9.85546875" style="1" customWidth="1"/>
    <col min="19" max="19" width="15.28515625" style="1" customWidth="1"/>
    <col min="20" max="20" width="10.140625" style="1" customWidth="1"/>
    <col min="21" max="16384" width="9.140625" style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16">
        <v>30</v>
      </c>
      <c r="I2" s="16">
        <v>21</v>
      </c>
      <c r="J2" s="16">
        <v>28</v>
      </c>
      <c r="K2" s="16">
        <v>29</v>
      </c>
      <c r="L2" s="16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16" t="s">
        <v>22</v>
      </c>
      <c r="T2" s="16" t="s">
        <v>10</v>
      </c>
      <c r="U2" s="16" t="s">
        <v>54</v>
      </c>
    </row>
    <row r="3" spans="1:21" x14ac:dyDescent="0.25">
      <c r="A3" s="2" t="s">
        <v>31</v>
      </c>
      <c r="B3" s="2">
        <v>59</v>
      </c>
      <c r="C3" s="2">
        <v>42</v>
      </c>
      <c r="D3" s="2">
        <v>64</v>
      </c>
      <c r="E3" s="2">
        <v>2</v>
      </c>
      <c r="F3" s="2" t="s">
        <v>27</v>
      </c>
      <c r="G3" s="19">
        <f>23561+22738+23485+20239+19422+23749+22344+22770+22580+24329+23746+22911+23681+23591</f>
        <v>319146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>(H3*H2+I3*I2+J3*J2+K3*K2+L3*L2+M3*M2+N3*N2+O3*O2+P3*P2+Q3*Q2+R3*R2)/E3</f>
        <v>0</v>
      </c>
      <c r="T3" s="2">
        <f t="shared" ref="T3:T47" si="0">+G3-S3</f>
        <v>319146</v>
      </c>
      <c r="U3" s="17">
        <f>+T3/500</f>
        <v>638.29200000000003</v>
      </c>
    </row>
    <row r="4" spans="1:21" x14ac:dyDescent="0.25">
      <c r="A4" s="2" t="s">
        <v>37</v>
      </c>
      <c r="B4" s="2">
        <v>96</v>
      </c>
      <c r="C4" s="2">
        <v>36.5</v>
      </c>
      <c r="D4" s="2">
        <v>54</v>
      </c>
      <c r="E4" s="2">
        <v>4</v>
      </c>
      <c r="F4" s="2" t="s">
        <v>47</v>
      </c>
      <c r="G4" s="19">
        <f>79201</f>
        <v>79201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(H4*H2+I4*I2+J4*J3+K4*K2+L4*L2+M4*M2+N4*N2+O4*O2+P4*P2+Q4*Q2+R4*R2)/E4</f>
        <v>0</v>
      </c>
      <c r="T4" s="2">
        <f t="shared" ref="T4:T5" si="1">+G4-S4</f>
        <v>79201</v>
      </c>
      <c r="U4" s="17">
        <f t="shared" ref="U4:U5" si="2">+T4/500</f>
        <v>158.40199999999999</v>
      </c>
    </row>
    <row r="5" spans="1:21" x14ac:dyDescent="0.25">
      <c r="A5" s="2" t="s">
        <v>37</v>
      </c>
      <c r="B5" s="2">
        <v>96</v>
      </c>
      <c r="C5" s="2">
        <v>36.5</v>
      </c>
      <c r="D5" s="2">
        <v>54</v>
      </c>
      <c r="E5" s="2">
        <v>4</v>
      </c>
      <c r="F5" s="2" t="s">
        <v>27</v>
      </c>
      <c r="G5" s="19">
        <v>130664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">
        <f>(H5*H2+I5*I2+J5*J2+K5*K2+L5*L2+M5*M2+N5*N2+O5*O2+P5*P2+Q5*Q2+R5*R2)/E5</f>
        <v>0</v>
      </c>
      <c r="T5" s="2">
        <f t="shared" si="1"/>
        <v>130664</v>
      </c>
      <c r="U5" s="17">
        <f t="shared" si="2"/>
        <v>261.32799999999997</v>
      </c>
    </row>
    <row r="6" spans="1:21" x14ac:dyDescent="0.25">
      <c r="A6" s="2" t="s">
        <v>37</v>
      </c>
      <c r="B6" s="2">
        <v>96</v>
      </c>
      <c r="C6" s="2">
        <v>36.5</v>
      </c>
      <c r="D6" s="2">
        <v>54</v>
      </c>
      <c r="E6" s="2">
        <v>4</v>
      </c>
      <c r="F6" s="2" t="s">
        <v>33</v>
      </c>
      <c r="G6" s="19">
        <v>107500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ref="T6:T7" si="3">+G6-S6</f>
        <v>107500</v>
      </c>
      <c r="U6" s="17"/>
    </row>
    <row r="7" spans="1:21" x14ac:dyDescent="0.25">
      <c r="A7" s="2" t="s">
        <v>37</v>
      </c>
      <c r="B7" s="2">
        <v>96</v>
      </c>
      <c r="C7" s="2">
        <v>36.5</v>
      </c>
      <c r="D7" s="2">
        <v>54</v>
      </c>
      <c r="E7" s="2">
        <v>4</v>
      </c>
      <c r="F7" s="2" t="s">
        <v>56</v>
      </c>
      <c r="G7" s="19">
        <v>37912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>(H7*H2+I7*I2+J7*J2+K7*K2+L7*L2+M7*M2+N7*N2+O7*O2+P7*P2+Q7*Q2+R7*R2)/E7</f>
        <v>0</v>
      </c>
      <c r="T7" s="2">
        <f t="shared" si="3"/>
        <v>37912</v>
      </c>
      <c r="U7" s="17"/>
    </row>
    <row r="8" spans="1:21" x14ac:dyDescent="0.25">
      <c r="A8" s="2" t="s">
        <v>34</v>
      </c>
      <c r="B8" s="2">
        <v>48</v>
      </c>
      <c r="C8" s="2">
        <v>38.5</v>
      </c>
      <c r="D8" s="2">
        <v>50</v>
      </c>
      <c r="E8" s="2">
        <v>2</v>
      </c>
      <c r="F8" s="2" t="s">
        <v>35</v>
      </c>
      <c r="G8" s="19">
        <f>20732+24296+24776+24975+50492+24956+24266+22264+3892</f>
        <v>220649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(H8*H2+I8*I2+J8*J2+K8*K2+L8*L2+M8*M2+N8*N2+O8*O2+P8*P2+Q8*Q2+R8*R2)/E8</f>
        <v>0</v>
      </c>
      <c r="T8" s="2">
        <f>+G8-S8</f>
        <v>220649</v>
      </c>
      <c r="U8" s="17">
        <f t="shared" ref="U8:U49" si="4">+T8/500</f>
        <v>441.298</v>
      </c>
    </row>
    <row r="9" spans="1:21" x14ac:dyDescent="0.25">
      <c r="A9" s="2" t="s">
        <v>34</v>
      </c>
      <c r="B9" s="2">
        <v>48</v>
      </c>
      <c r="C9" s="2">
        <v>38.5</v>
      </c>
      <c r="D9" s="2">
        <v>50</v>
      </c>
      <c r="E9" s="2">
        <v>2</v>
      </c>
      <c r="F9" s="2" t="s">
        <v>33</v>
      </c>
      <c r="G9" s="19">
        <v>22225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>(H9*H2+I9*I2+J9*J2+K9*K2+L9*L2+M9*M2+N9*N2+O9*O2+P9*P2+Q9*Q2+R9*R2)/E9</f>
        <v>0</v>
      </c>
      <c r="T9" s="2">
        <f t="shared" si="0"/>
        <v>22225</v>
      </c>
      <c r="U9" s="17">
        <f t="shared" si="4"/>
        <v>44.45</v>
      </c>
    </row>
    <row r="10" spans="1:21" x14ac:dyDescent="0.25">
      <c r="A10" s="2" t="s">
        <v>34</v>
      </c>
      <c r="B10" s="2">
        <v>48</v>
      </c>
      <c r="C10" s="2">
        <v>38.5</v>
      </c>
      <c r="D10" s="2">
        <v>50</v>
      </c>
      <c r="E10" s="2">
        <v>2</v>
      </c>
      <c r="F10" s="2" t="s">
        <v>36</v>
      </c>
      <c r="G10" s="19">
        <f>3300+26186+24718+49915+26272+24784+25552+24643+25728+27924</f>
        <v>259022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>(H10*H2+I10*I2+J10*J2+K10*K2+L10*L2+M10*M2+N10*N2+O10*O2+P10*P2+Q10*Q2+R10*R2)/E10</f>
        <v>0</v>
      </c>
      <c r="T10" s="2">
        <f t="shared" si="0"/>
        <v>259022</v>
      </c>
      <c r="U10" s="17">
        <f t="shared" si="4"/>
        <v>518.04399999999998</v>
      </c>
    </row>
    <row r="11" spans="1:21" x14ac:dyDescent="0.25">
      <c r="A11" s="2" t="s">
        <v>37</v>
      </c>
      <c r="B11" s="2">
        <v>86</v>
      </c>
      <c r="C11" s="2">
        <v>42</v>
      </c>
      <c r="D11" s="2">
        <v>54</v>
      </c>
      <c r="E11" s="2">
        <v>3</v>
      </c>
      <c r="F11" s="2" t="s">
        <v>27</v>
      </c>
      <c r="G11" s="19">
        <f>25931+26087+24722+24283+24188+25142+24119+24609+24750+24168</f>
        <v>247999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>(H11*H2+I11*I2+J11*J2+K11*K2+L11*L2+M11*M2+N11*N2+O11*O2+P11*P2+Q11*Q2+R11*R2)/E11</f>
        <v>0</v>
      </c>
      <c r="T11" s="2">
        <f t="shared" si="0"/>
        <v>247999</v>
      </c>
      <c r="U11" s="17">
        <f t="shared" si="4"/>
        <v>495.99799999999999</v>
      </c>
    </row>
    <row r="12" spans="1:21" x14ac:dyDescent="0.25">
      <c r="A12" s="2" t="s">
        <v>34</v>
      </c>
      <c r="B12" s="2">
        <v>86</v>
      </c>
      <c r="C12" s="2">
        <v>42</v>
      </c>
      <c r="D12" s="2">
        <v>54</v>
      </c>
      <c r="E12" s="2">
        <v>3</v>
      </c>
      <c r="F12" s="2" t="s">
        <v>27</v>
      </c>
      <c r="G12" s="19">
        <f>+(320+120+45+116)*500+(22467+26482)+(21164+22316+21229)+192384</f>
        <v>606542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>(H12*H2+I12*I2+J12*J2+K12*K2+L12*L2+M12*M2+N12*N2+O12*O2+P12*P2+Q12*Q2+R12*R2)/E12</f>
        <v>0</v>
      </c>
      <c r="T12" s="2">
        <f t="shared" si="0"/>
        <v>606542</v>
      </c>
      <c r="U12" s="17">
        <f t="shared" si="4"/>
        <v>1213.0840000000001</v>
      </c>
    </row>
    <row r="13" spans="1:21" x14ac:dyDescent="0.25">
      <c r="A13" s="2" t="s">
        <v>34</v>
      </c>
      <c r="B13" s="2">
        <v>96</v>
      </c>
      <c r="C13" s="2">
        <v>36.5</v>
      </c>
      <c r="D13" s="2">
        <v>54</v>
      </c>
      <c r="E13" s="2">
        <v>4</v>
      </c>
      <c r="F13" s="2" t="s">
        <v>27</v>
      </c>
      <c r="G13" s="19">
        <f>(180+24+180+30+60+60+30)*500</f>
        <v>282000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>(H13*H2+I13*I2+J13*J2+K13*K2+L13*L2+M13*M2+N13*N2+O13*O2+P13*P2+Q13*Q2+R13*R2)/E13</f>
        <v>0</v>
      </c>
      <c r="T13" s="2">
        <f t="shared" si="0"/>
        <v>282000</v>
      </c>
      <c r="U13" s="17">
        <f t="shared" si="4"/>
        <v>564</v>
      </c>
    </row>
    <row r="14" spans="1:21" x14ac:dyDescent="0.25">
      <c r="A14" s="2" t="s">
        <v>34</v>
      </c>
      <c r="B14" s="2">
        <v>96</v>
      </c>
      <c r="C14" s="2">
        <v>36.5</v>
      </c>
      <c r="D14" s="2">
        <v>54</v>
      </c>
      <c r="E14" s="2">
        <v>4</v>
      </c>
      <c r="F14" s="2" t="s">
        <v>28</v>
      </c>
      <c r="G14" s="19">
        <f>+(120+180+180+60+120)*500</f>
        <v>330000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>(H14*H2+I14*I2+J14*J2+K14*K2+L14*L2+M14*M2+N14*N2+O14*O2+P14*P2+Q14*Q2+R14*R2)/E14</f>
        <v>0</v>
      </c>
      <c r="T14" s="2">
        <f t="shared" si="0"/>
        <v>330000</v>
      </c>
      <c r="U14" s="17">
        <f t="shared" si="4"/>
        <v>660</v>
      </c>
    </row>
    <row r="15" spans="1:21" x14ac:dyDescent="0.25">
      <c r="A15" s="2" t="s">
        <v>34</v>
      </c>
      <c r="B15" s="2">
        <v>96</v>
      </c>
      <c r="C15" s="2">
        <v>36.5</v>
      </c>
      <c r="D15" s="2">
        <v>54</v>
      </c>
      <c r="E15" s="2">
        <v>4</v>
      </c>
      <c r="F15" s="2" t="s">
        <v>40</v>
      </c>
      <c r="G15" s="19">
        <f>+(220+120)*500</f>
        <v>170000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>(H15*H2+I15*I2+J15*J2+K15*K2+L15*L2+M15*M2+N15*N2+O15*O2+P15*P2+Q15*Q2+R15*R2)/E15</f>
        <v>0</v>
      </c>
      <c r="T15" s="2">
        <f t="shared" si="0"/>
        <v>170000</v>
      </c>
      <c r="U15" s="17">
        <f t="shared" si="4"/>
        <v>340</v>
      </c>
    </row>
    <row r="16" spans="1:21" x14ac:dyDescent="0.25">
      <c r="A16" s="2" t="s">
        <v>34</v>
      </c>
      <c r="B16" s="2">
        <v>96</v>
      </c>
      <c r="C16" s="2">
        <v>36.5</v>
      </c>
      <c r="D16" s="2">
        <v>54</v>
      </c>
      <c r="E16" s="2">
        <v>4</v>
      </c>
      <c r="F16" s="2" t="s">
        <v>41</v>
      </c>
      <c r="G16" s="19">
        <f>(280+60+60)*500</f>
        <v>200000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>(H16*H2+I16*I2+J16*J2+K16*K2+L16*L2+M16*M2+N16*N2+O16*O2+P16*P2+Q16*Q2+R16*R2)/E16</f>
        <v>0</v>
      </c>
      <c r="T16" s="2">
        <f t="shared" si="0"/>
        <v>200000</v>
      </c>
      <c r="U16" s="17">
        <f t="shared" si="4"/>
        <v>400</v>
      </c>
    </row>
    <row r="17" spans="1:21" x14ac:dyDescent="0.25">
      <c r="A17" s="2" t="s">
        <v>34</v>
      </c>
      <c r="B17" s="2">
        <v>96</v>
      </c>
      <c r="C17" s="2">
        <v>36.5</v>
      </c>
      <c r="D17" s="2">
        <v>54</v>
      </c>
      <c r="E17" s="2">
        <v>4</v>
      </c>
      <c r="F17" s="2" t="s">
        <v>36</v>
      </c>
      <c r="G17" s="19">
        <f>(80+50)*500</f>
        <v>65000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>(H17*H2+I17*I2+J17*J2+K17*K2+L17*L2+M17*M2+N17*N2+O17*O2+P17*P2+Q17*Q2+R17*R2)/E17</f>
        <v>0</v>
      </c>
      <c r="T17" s="2">
        <f t="shared" si="0"/>
        <v>65000</v>
      </c>
      <c r="U17" s="17">
        <f t="shared" si="4"/>
        <v>130</v>
      </c>
    </row>
    <row r="18" spans="1:21" x14ac:dyDescent="0.25">
      <c r="A18" s="2" t="s">
        <v>38</v>
      </c>
      <c r="B18" s="2">
        <v>94</v>
      </c>
      <c r="C18" s="2">
        <v>34.5</v>
      </c>
      <c r="D18" s="2">
        <v>54</v>
      </c>
      <c r="E18" s="2">
        <v>4</v>
      </c>
      <c r="F18" s="2" t="s">
        <v>27</v>
      </c>
      <c r="G18" s="19">
        <v>31816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>(H18*H2+I18*I2+J18*J2+K18*K2+L18*L2+M18*M2+N18*N2+O18*O2+P18*P2+Q18*Q2+R18*R2)/E18</f>
        <v>0</v>
      </c>
      <c r="T18" s="2">
        <f t="shared" si="0"/>
        <v>31816</v>
      </c>
      <c r="U18" s="17">
        <f t="shared" si="4"/>
        <v>63.631999999999998</v>
      </c>
    </row>
    <row r="19" spans="1:21" x14ac:dyDescent="0.25">
      <c r="A19" s="2" t="s">
        <v>37</v>
      </c>
      <c r="B19" s="2">
        <v>96</v>
      </c>
      <c r="C19" s="2">
        <v>36.5</v>
      </c>
      <c r="D19" s="2">
        <v>54</v>
      </c>
      <c r="E19" s="2">
        <v>4</v>
      </c>
      <c r="F19" s="2" t="s">
        <v>39</v>
      </c>
      <c r="G19" s="19">
        <f>170674+153488</f>
        <v>324162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>(H19*H2+I19*I2+J19*J2+K19*K2+L19*L2+M19*M2+N19*N2+O19*O2+P19*P2+Q19*Q2+R19*R2)/E19</f>
        <v>0</v>
      </c>
      <c r="T19" s="2">
        <f t="shared" si="0"/>
        <v>324162</v>
      </c>
      <c r="U19" s="17">
        <f t="shared" si="4"/>
        <v>648.32399999999996</v>
      </c>
    </row>
    <row r="20" spans="1:21" x14ac:dyDescent="0.25">
      <c r="A20" s="2" t="s">
        <v>42</v>
      </c>
      <c r="B20" s="2">
        <v>96</v>
      </c>
      <c r="C20" s="2">
        <v>36.5</v>
      </c>
      <c r="D20" s="2">
        <v>56</v>
      </c>
      <c r="E20" s="2">
        <v>4</v>
      </c>
      <c r="F20" s="2" t="s">
        <v>27</v>
      </c>
      <c r="G20" s="19">
        <f>(60+15+45)*500</f>
        <v>60000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>(H20*H2+I20*I2+J20*J2+K20*K2+L20*L2+M20*M2+N20*N2+O20*O2+P20*P2+Q20*Q2+R20*R2)/E20</f>
        <v>0</v>
      </c>
      <c r="T20" s="2">
        <f t="shared" si="0"/>
        <v>60000</v>
      </c>
      <c r="U20" s="17">
        <f t="shared" si="4"/>
        <v>120</v>
      </c>
    </row>
    <row r="21" spans="1:21" x14ac:dyDescent="0.25">
      <c r="A21" s="19" t="s">
        <v>42</v>
      </c>
      <c r="B21" s="2">
        <v>96</v>
      </c>
      <c r="C21" s="2">
        <v>36.5</v>
      </c>
      <c r="D21" s="2">
        <v>56</v>
      </c>
      <c r="E21" s="2">
        <v>4</v>
      </c>
      <c r="F21" s="2" t="s">
        <v>40</v>
      </c>
      <c r="G21" s="19">
        <f>60*500</f>
        <v>30000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>(H21*H2+I21*I2+J21*J2+K21*K2+L21*L2+M21*M2+N21*N2+O21*O2+P21*P2+Q21*Q2+R21*R2)/E21</f>
        <v>0</v>
      </c>
      <c r="T21" s="2">
        <f t="shared" si="0"/>
        <v>30000</v>
      </c>
      <c r="U21" s="17">
        <f t="shared" si="4"/>
        <v>60</v>
      </c>
    </row>
    <row r="22" spans="1:21" x14ac:dyDescent="0.25">
      <c r="A22" s="2" t="s">
        <v>42</v>
      </c>
      <c r="B22" s="2">
        <v>96</v>
      </c>
      <c r="C22" s="2">
        <v>36.5</v>
      </c>
      <c r="D22" s="2">
        <v>56</v>
      </c>
      <c r="E22" s="2">
        <v>4</v>
      </c>
      <c r="F22" s="2" t="s">
        <v>28</v>
      </c>
      <c r="G22" s="19">
        <f>(60+120)*500</f>
        <v>90000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>(H22*H2+I22*I2+J22*J2+K22*K2+L22*L2+M22*M2+N22*N2+O22*O2+P22*P2+Q22*Q2+R22*R2)/E22</f>
        <v>0</v>
      </c>
      <c r="T22" s="2">
        <f t="shared" si="0"/>
        <v>90000</v>
      </c>
      <c r="U22" s="17">
        <f t="shared" si="4"/>
        <v>180</v>
      </c>
    </row>
    <row r="23" spans="1:21" x14ac:dyDescent="0.25">
      <c r="A23" s="2" t="s">
        <v>43</v>
      </c>
      <c r="B23" s="2">
        <v>96</v>
      </c>
      <c r="C23" s="2">
        <v>36.5</v>
      </c>
      <c r="D23" s="2">
        <v>52</v>
      </c>
      <c r="E23" s="2">
        <v>4</v>
      </c>
      <c r="F23" s="2" t="s">
        <v>27</v>
      </c>
      <c r="G23" s="19">
        <f>40*500</f>
        <v>20000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>(H23*H2+I23*I2+J23*J2+K23*K2+L23*L2+M23*M2+N23*N2+O23*O2+P23*P2+Q23*Q2+R23*R2)/E23</f>
        <v>0</v>
      </c>
      <c r="T23" s="2">
        <f t="shared" si="0"/>
        <v>20000</v>
      </c>
      <c r="U23" s="17">
        <f t="shared" si="4"/>
        <v>40</v>
      </c>
    </row>
    <row r="24" spans="1:21" x14ac:dyDescent="0.25">
      <c r="A24" s="2" t="s">
        <v>31</v>
      </c>
      <c r="B24" s="2">
        <v>88</v>
      </c>
      <c r="C24" s="2">
        <v>42</v>
      </c>
      <c r="D24" s="2">
        <v>64</v>
      </c>
      <c r="E24" s="2">
        <v>3</v>
      </c>
      <c r="F24" s="2" t="s">
        <v>36</v>
      </c>
      <c r="G24" s="19">
        <f>(35+50)*500</f>
        <v>42500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>(H24*H2+I24*I2+J24*J2+K24*K2+L24*L2+M24*M2+N24*N2+O24*O2+P24*P2+Q24*Q2+R24*R2)/E24</f>
        <v>0</v>
      </c>
      <c r="T24" s="2">
        <f t="shared" si="0"/>
        <v>42500</v>
      </c>
      <c r="U24" s="17">
        <f t="shared" si="4"/>
        <v>85</v>
      </c>
    </row>
    <row r="25" spans="1:21" x14ac:dyDescent="0.25">
      <c r="A25" s="2" t="s">
        <v>31</v>
      </c>
      <c r="B25" s="2">
        <v>88</v>
      </c>
      <c r="C25" s="2">
        <v>42</v>
      </c>
      <c r="D25" s="2">
        <v>64</v>
      </c>
      <c r="E25" s="2">
        <v>3</v>
      </c>
      <c r="F25" s="2" t="s">
        <v>27</v>
      </c>
      <c r="G25" s="19">
        <f>(250+60)*500</f>
        <v>155000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>(H25*H2+I25*I2+J25*J2+K25*K2+L25*L2+M25*M2+N25*N2+O25*O2+P25*P2+Q25*Q2+R25*R2)/E25</f>
        <v>0</v>
      </c>
      <c r="T25" s="2">
        <f t="shared" si="0"/>
        <v>155000</v>
      </c>
      <c r="U25" s="17">
        <f t="shared" si="4"/>
        <v>310</v>
      </c>
    </row>
    <row r="26" spans="1:21" x14ac:dyDescent="0.25">
      <c r="A26" s="2" t="s">
        <v>31</v>
      </c>
      <c r="B26" s="2">
        <v>88</v>
      </c>
      <c r="C26" s="2">
        <v>42</v>
      </c>
      <c r="D26" s="2">
        <v>64</v>
      </c>
      <c r="E26" s="2">
        <v>3</v>
      </c>
      <c r="F26" s="2" t="s">
        <v>44</v>
      </c>
      <c r="G26" s="19">
        <f>100*500</f>
        <v>50000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>(H26*H2+I26*I2+J26*J2+K26*K2+L26*L2+M26*M2+N26*N2+O26*O2+P26*P2+Q26*Q2+R26*R2)/E26</f>
        <v>0</v>
      </c>
      <c r="T26" s="2">
        <f t="shared" si="0"/>
        <v>50000</v>
      </c>
      <c r="U26" s="17">
        <f t="shared" si="4"/>
        <v>100</v>
      </c>
    </row>
    <row r="27" spans="1:21" x14ac:dyDescent="0.25">
      <c r="A27" s="2" t="s">
        <v>34</v>
      </c>
      <c r="B27" s="2">
        <v>80</v>
      </c>
      <c r="C27" s="2">
        <v>34.5</v>
      </c>
      <c r="D27" s="2">
        <v>54</v>
      </c>
      <c r="E27" s="2">
        <v>3</v>
      </c>
      <c r="F27" s="2" t="s">
        <v>27</v>
      </c>
      <c r="G27" s="19">
        <f>(120+280+660)*500+385352</f>
        <v>915352</v>
      </c>
      <c r="H27" s="2"/>
      <c r="I27" s="2"/>
      <c r="J27" s="2">
        <v>1500</v>
      </c>
      <c r="K27" s="2">
        <v>8000</v>
      </c>
      <c r="L27" s="2">
        <v>6000</v>
      </c>
      <c r="M27" s="2"/>
      <c r="N27" s="2"/>
      <c r="O27" s="2"/>
      <c r="P27" s="2"/>
      <c r="Q27" s="2"/>
      <c r="R27" s="2"/>
      <c r="S27" s="23">
        <f>(H27*H2+I27*I2+J27*J2+K27*K2+L27*L2+M27*M2+N27*N2+O27*O2+P27*P2+Q27*Q2+R27*R2)/E27</f>
        <v>171333.33333333334</v>
      </c>
      <c r="T27" s="23">
        <f t="shared" si="0"/>
        <v>744018.66666666663</v>
      </c>
      <c r="U27" s="17">
        <f t="shared" si="4"/>
        <v>1488.0373333333332</v>
      </c>
    </row>
    <row r="28" spans="1:21" x14ac:dyDescent="0.25">
      <c r="A28" s="2" t="s">
        <v>42</v>
      </c>
      <c r="B28" s="2">
        <v>80</v>
      </c>
      <c r="C28" s="2">
        <v>34.5</v>
      </c>
      <c r="D28" s="2">
        <v>56</v>
      </c>
      <c r="E28" s="2">
        <v>3</v>
      </c>
      <c r="F28" s="2" t="s">
        <v>27</v>
      </c>
      <c r="G28" s="19">
        <f>120*500</f>
        <v>60000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(H28*H2+I28*I2+J28*J2+K28*K2+L28*L2+M28*M2+N28*N2+O28*O2+P28*P2+Q28*Q2+R28*R2)/E28</f>
        <v>0</v>
      </c>
      <c r="T28" s="2">
        <f t="shared" si="0"/>
        <v>60000</v>
      </c>
      <c r="U28" s="17">
        <f t="shared" si="4"/>
        <v>120</v>
      </c>
    </row>
    <row r="29" spans="1:21" x14ac:dyDescent="0.25">
      <c r="A29" s="2" t="s">
        <v>42</v>
      </c>
      <c r="B29" s="2">
        <v>80</v>
      </c>
      <c r="C29" s="2">
        <v>34.5</v>
      </c>
      <c r="D29" s="2">
        <v>52</v>
      </c>
      <c r="E29" s="2">
        <v>3</v>
      </c>
      <c r="F29" s="2" t="s">
        <v>27</v>
      </c>
      <c r="G29" s="19">
        <f>42*500</f>
        <v>21000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>(H29*H2+I29*I2+J29*J2+K29*K2+L29*L2+M29*M2+N29*N2+O29*O2+P29*P2+Q29*Q2+R29*R2)/E29</f>
        <v>0</v>
      </c>
      <c r="T29" s="2">
        <f t="shared" si="0"/>
        <v>21000</v>
      </c>
      <c r="U29" s="17">
        <f t="shared" si="4"/>
        <v>42</v>
      </c>
    </row>
    <row r="30" spans="1:21" x14ac:dyDescent="0.25">
      <c r="A30" s="2" t="s">
        <v>45</v>
      </c>
      <c r="B30" s="2">
        <v>80</v>
      </c>
      <c r="C30" s="2">
        <v>34.5</v>
      </c>
      <c r="D30" s="2">
        <v>58</v>
      </c>
      <c r="E30" s="2">
        <v>3</v>
      </c>
      <c r="F30" s="2" t="s">
        <v>27</v>
      </c>
      <c r="G30" s="19">
        <f>55*500</f>
        <v>27500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3">
        <f>(H30*H2+I30*I2+J30*J2+K30*K2+L30*L2+M30*M2+N30*N2+O30*O2+P30*P2+Q30*Q2+R30*R2)/E30</f>
        <v>0</v>
      </c>
      <c r="T30" s="23">
        <f t="shared" si="0"/>
        <v>27500</v>
      </c>
      <c r="U30" s="17">
        <f t="shared" si="4"/>
        <v>55</v>
      </c>
    </row>
    <row r="31" spans="1:21" x14ac:dyDescent="0.25">
      <c r="A31" s="2" t="s">
        <v>52</v>
      </c>
      <c r="B31" s="2">
        <v>89</v>
      </c>
      <c r="C31" s="2">
        <v>34.5</v>
      </c>
      <c r="D31" s="2">
        <v>56</v>
      </c>
      <c r="E31" s="2">
        <v>4</v>
      </c>
      <c r="F31" s="2" t="s">
        <v>40</v>
      </c>
      <c r="G31" s="19">
        <f>27*500</f>
        <v>13500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3">
        <f>(H31*H2+I31*I2+J31*J2+K31*K2+L31*L2+M31*M2+N31*N2+O31*O2+P31*P2+Q31*Q2+R31*R2)/E31</f>
        <v>0</v>
      </c>
      <c r="T31" s="23">
        <f t="shared" si="0"/>
        <v>13500</v>
      </c>
      <c r="U31" s="17">
        <f t="shared" si="4"/>
        <v>27</v>
      </c>
    </row>
    <row r="32" spans="1:21" x14ac:dyDescent="0.25">
      <c r="A32" s="2" t="s">
        <v>52</v>
      </c>
      <c r="B32" s="2">
        <v>89</v>
      </c>
      <c r="C32" s="2">
        <v>34.5</v>
      </c>
      <c r="D32" s="2">
        <v>56</v>
      </c>
      <c r="E32" s="2">
        <v>4</v>
      </c>
      <c r="F32" s="2" t="s">
        <v>27</v>
      </c>
      <c r="G32" s="19">
        <f>75*500</f>
        <v>37500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3">
        <f>(H32*H2+I32*I2+J32*J2+K32*K2+L32*L2+M32*M2+N32*N2+O32*O2+P32*P2+Q32*Q2+R32*R2)/E32</f>
        <v>0</v>
      </c>
      <c r="T32" s="23">
        <f t="shared" si="0"/>
        <v>37500</v>
      </c>
      <c r="U32" s="17">
        <f t="shared" si="4"/>
        <v>75</v>
      </c>
    </row>
    <row r="33" spans="1:21" x14ac:dyDescent="0.25">
      <c r="A33" s="2" t="s">
        <v>52</v>
      </c>
      <c r="B33" s="2">
        <v>89</v>
      </c>
      <c r="C33" s="2">
        <v>34.5</v>
      </c>
      <c r="D33" s="2">
        <v>56</v>
      </c>
      <c r="E33" s="2">
        <v>4</v>
      </c>
      <c r="F33" s="2" t="s">
        <v>28</v>
      </c>
      <c r="G33" s="19">
        <f>40*500</f>
        <v>20000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3">
        <f>(H33*H2+I33*I2+J33*J2+K33*K2+L33*L2+M33*M2+N33*N2+O33*O2+P33*P2+Q33*Q2+R33*R2)/E33</f>
        <v>0</v>
      </c>
      <c r="T33" s="23">
        <f t="shared" si="0"/>
        <v>20000</v>
      </c>
      <c r="U33" s="17">
        <f t="shared" si="4"/>
        <v>40</v>
      </c>
    </row>
    <row r="34" spans="1:21" x14ac:dyDescent="0.25">
      <c r="A34" s="2" t="s">
        <v>52</v>
      </c>
      <c r="B34" s="2">
        <v>89</v>
      </c>
      <c r="C34" s="2">
        <v>34.5</v>
      </c>
      <c r="D34" s="2">
        <v>56</v>
      </c>
      <c r="E34" s="2">
        <v>4</v>
      </c>
      <c r="F34" s="2" t="s">
        <v>36</v>
      </c>
      <c r="G34" s="19">
        <f>6*500</f>
        <v>3000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3">
        <f>(H34*H2+I34*I2+J34*J2+K34*K2+L34*L2+M34*M2+N34*N2+O34*O2+P34*P2+Q34*Q2+R34*R2)/E34</f>
        <v>0</v>
      </c>
      <c r="T34" s="23">
        <f t="shared" si="0"/>
        <v>3000</v>
      </c>
      <c r="U34" s="17">
        <f t="shared" si="4"/>
        <v>6</v>
      </c>
    </row>
    <row r="35" spans="1:21" x14ac:dyDescent="0.25">
      <c r="A35" s="2" t="s">
        <v>31</v>
      </c>
      <c r="B35" s="2">
        <v>96</v>
      </c>
      <c r="C35" s="2">
        <v>36.5</v>
      </c>
      <c r="D35" s="2">
        <v>56</v>
      </c>
      <c r="E35" s="2">
        <v>4</v>
      </c>
      <c r="F35" s="2" t="s">
        <v>28</v>
      </c>
      <c r="G35" s="19">
        <f>40*500</f>
        <v>20000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3">
        <f>(H35*H2+I35*I2+J35*J2+K35*K2+L35*L2+M35*M2+N35*N2+O35*O2+P35*P2+Q35*Q2+R35*R2)/E35</f>
        <v>0</v>
      </c>
      <c r="T35" s="23">
        <f t="shared" si="0"/>
        <v>20000</v>
      </c>
      <c r="U35" s="17">
        <f t="shared" si="4"/>
        <v>40</v>
      </c>
    </row>
    <row r="36" spans="1:21" x14ac:dyDescent="0.25">
      <c r="A36" s="2" t="s">
        <v>46</v>
      </c>
      <c r="B36" s="2">
        <v>96</v>
      </c>
      <c r="C36" s="2">
        <v>36.5</v>
      </c>
      <c r="D36" s="2">
        <v>54</v>
      </c>
      <c r="E36" s="2">
        <v>4</v>
      </c>
      <c r="F36" s="2" t="s">
        <v>28</v>
      </c>
      <c r="G36" s="19">
        <f>42*500</f>
        <v>21000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3">
        <f>(H36*H2+I36*I2+J36*J2+K36*K2+L36*L2+M36*M2+N36*N2+O36*O2+P36*P2+Q36*Q2+R36*R2)/E36</f>
        <v>0</v>
      </c>
      <c r="T36" s="23">
        <f t="shared" si="0"/>
        <v>21000</v>
      </c>
      <c r="U36" s="17">
        <f t="shared" si="4"/>
        <v>42</v>
      </c>
    </row>
    <row r="37" spans="1:21" x14ac:dyDescent="0.25">
      <c r="A37" s="2" t="s">
        <v>42</v>
      </c>
      <c r="B37" s="2">
        <v>96</v>
      </c>
      <c r="C37" s="2">
        <v>36.5</v>
      </c>
      <c r="D37" s="2">
        <v>56</v>
      </c>
      <c r="E37" s="2">
        <v>4</v>
      </c>
      <c r="F37" s="2" t="s">
        <v>47</v>
      </c>
      <c r="G37" s="19">
        <f>+(25+40)*500</f>
        <v>32500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3">
        <f>(H37*H2+I37*I2+J37*J2+K37*K2+L37*L2+M37*M2+N37*N2+O37*O2+P37*P2+Q37*Q2+R37*R2)/E37</f>
        <v>0</v>
      </c>
      <c r="T37" s="23">
        <f t="shared" si="0"/>
        <v>32500</v>
      </c>
      <c r="U37" s="17">
        <f t="shared" si="4"/>
        <v>65</v>
      </c>
    </row>
    <row r="38" spans="1:21" x14ac:dyDescent="0.25">
      <c r="A38" s="2" t="s">
        <v>42</v>
      </c>
      <c r="B38" s="2">
        <v>96</v>
      </c>
      <c r="C38" s="2">
        <v>36.5</v>
      </c>
      <c r="D38" s="2">
        <v>56</v>
      </c>
      <c r="E38" s="2">
        <v>4</v>
      </c>
      <c r="F38" s="2" t="s">
        <v>48</v>
      </c>
      <c r="G38" s="19">
        <f>(18+17)*500</f>
        <v>17500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3">
        <f>(H38*H2+I38*I2+J38*J2+K38*K2+L38*L2+M38*M2+N38*N2+O38*O2+P38*P2+Q38*Q2+R38*R2)/E38</f>
        <v>0</v>
      </c>
      <c r="T38" s="23">
        <f t="shared" si="0"/>
        <v>17500</v>
      </c>
      <c r="U38" s="17">
        <f t="shared" si="4"/>
        <v>35</v>
      </c>
    </row>
    <row r="39" spans="1:21" x14ac:dyDescent="0.25">
      <c r="A39" s="2" t="s">
        <v>42</v>
      </c>
      <c r="B39" s="2">
        <v>96</v>
      </c>
      <c r="C39" s="2">
        <v>36.5</v>
      </c>
      <c r="D39" s="2">
        <v>56</v>
      </c>
      <c r="E39" s="2">
        <v>4</v>
      </c>
      <c r="F39" s="2" t="s">
        <v>49</v>
      </c>
      <c r="G39" s="19">
        <f>(46+25)*500</f>
        <v>35500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3">
        <f>(H39*H2+I39*I2+J39*J2+K39*K2+L39*L2+M39*M2+N39*N2+O39*O2+P39*P2+Q39*Q2+R39*R2)/E39</f>
        <v>0</v>
      </c>
      <c r="T39" s="23">
        <f t="shared" si="0"/>
        <v>35500</v>
      </c>
      <c r="U39" s="17">
        <f t="shared" si="4"/>
        <v>71</v>
      </c>
    </row>
    <row r="40" spans="1:21" x14ac:dyDescent="0.25">
      <c r="A40" s="2" t="s">
        <v>42</v>
      </c>
      <c r="B40" s="2">
        <v>96</v>
      </c>
      <c r="C40" s="2">
        <v>36.5</v>
      </c>
      <c r="D40" s="2">
        <v>56</v>
      </c>
      <c r="E40" s="2">
        <v>4</v>
      </c>
      <c r="F40" s="2" t="s">
        <v>36</v>
      </c>
      <c r="G40" s="19">
        <f>7*500</f>
        <v>3500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3">
        <f>(H40*H2+I40*I2+J40*J2+K40*K2+L40*L2+M40*M2+N40*N2+O40*O2+P40*P2+Q40*Q2+R40*R2)/E40</f>
        <v>0</v>
      </c>
      <c r="T40" s="23">
        <f t="shared" si="0"/>
        <v>3500</v>
      </c>
      <c r="U40" s="17">
        <f t="shared" si="4"/>
        <v>7</v>
      </c>
    </row>
    <row r="41" spans="1:21" x14ac:dyDescent="0.25">
      <c r="A41" s="2" t="s">
        <v>42</v>
      </c>
      <c r="B41" s="2">
        <v>96</v>
      </c>
      <c r="C41" s="2">
        <v>36.5</v>
      </c>
      <c r="D41" s="2">
        <v>56</v>
      </c>
      <c r="E41" s="2">
        <v>4</v>
      </c>
      <c r="F41" s="2" t="s">
        <v>50</v>
      </c>
      <c r="G41" s="19">
        <f>18*500</f>
        <v>9000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3">
        <f>(H41*H2+I41*I2+J41*J2+K41*K2+L41*L2+M41*M2+N41*N2+O41*O2+P41*P2+Q41*Q2+R41*R2)/E41</f>
        <v>0</v>
      </c>
      <c r="T41" s="23">
        <f t="shared" si="0"/>
        <v>9000</v>
      </c>
      <c r="U41" s="17">
        <f t="shared" si="4"/>
        <v>18</v>
      </c>
    </row>
    <row r="42" spans="1:21" x14ac:dyDescent="0.25">
      <c r="A42" s="19" t="s">
        <v>42</v>
      </c>
      <c r="B42" s="2">
        <v>96</v>
      </c>
      <c r="C42" s="2">
        <v>36.5</v>
      </c>
      <c r="D42" s="2">
        <v>56</v>
      </c>
      <c r="E42" s="2">
        <v>4</v>
      </c>
      <c r="F42" s="19" t="s">
        <v>40</v>
      </c>
      <c r="G42" s="19">
        <f>35*500</f>
        <v>17500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3">
        <f>(H42*H2+I42*I2+J42*J2+K42*K2+L42*L2+M42*M2+N42*N2+O42*O2+P42*P2+Q42*Q2+R42*R2)/E42</f>
        <v>0</v>
      </c>
      <c r="T42" s="23">
        <f t="shared" si="0"/>
        <v>17500</v>
      </c>
      <c r="U42" s="17">
        <f t="shared" si="4"/>
        <v>35</v>
      </c>
    </row>
    <row r="43" spans="1:21" x14ac:dyDescent="0.25">
      <c r="A43" s="2" t="s">
        <v>51</v>
      </c>
      <c r="B43" s="2">
        <v>96</v>
      </c>
      <c r="C43" s="2">
        <v>36.5</v>
      </c>
      <c r="D43" s="2"/>
      <c r="E43" s="2">
        <v>4</v>
      </c>
      <c r="F43" s="2" t="s">
        <v>36</v>
      </c>
      <c r="G43" s="19">
        <f>8*500</f>
        <v>4000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3">
        <f>(H43*H2+I43*I2+J43*J2+K43*K2+L43*L2+M43*M2+N43*N2+O43*O2+P43*P2+Q43*Q2+R43*R2)/E43</f>
        <v>0</v>
      </c>
      <c r="T43" s="23">
        <f t="shared" si="0"/>
        <v>4000</v>
      </c>
      <c r="U43" s="17">
        <f t="shared" si="4"/>
        <v>8</v>
      </c>
    </row>
    <row r="44" spans="1:21" s="21" customFormat="1" x14ac:dyDescent="0.25">
      <c r="A44" s="19" t="s">
        <v>34</v>
      </c>
      <c r="B44" s="19">
        <v>89</v>
      </c>
      <c r="C44" s="19">
        <v>34.5</v>
      </c>
      <c r="D44" s="19">
        <v>50</v>
      </c>
      <c r="E44" s="19">
        <v>4</v>
      </c>
      <c r="F44" s="19" t="s">
        <v>27</v>
      </c>
      <c r="G44" s="19">
        <f>(130+180+90)*500</f>
        <v>200000</v>
      </c>
      <c r="H44" s="19">
        <v>11800</v>
      </c>
      <c r="I44" s="19">
        <v>4317</v>
      </c>
      <c r="J44" s="19"/>
      <c r="K44" s="19"/>
      <c r="L44" s="19"/>
      <c r="M44" s="19"/>
      <c r="N44" s="19"/>
      <c r="O44" s="19"/>
      <c r="P44" s="19"/>
      <c r="Q44" s="19"/>
      <c r="R44" s="19"/>
      <c r="S44" s="24">
        <f>(H44*H2+I44*I2+J44*J2+K44*K2+L44*L2+M44*M2+N44*N2+O44*O2+P44*P2+Q44*Q2+R44*R2)/E44</f>
        <v>111164.25</v>
      </c>
      <c r="T44" s="24">
        <f t="shared" si="0"/>
        <v>88835.75</v>
      </c>
      <c r="U44" s="20">
        <f t="shared" si="4"/>
        <v>177.67150000000001</v>
      </c>
    </row>
    <row r="45" spans="1:21" x14ac:dyDescent="0.25">
      <c r="A45" s="2" t="s">
        <v>34</v>
      </c>
      <c r="B45" s="2">
        <v>89</v>
      </c>
      <c r="C45" s="2">
        <v>34.5</v>
      </c>
      <c r="D45" s="2">
        <v>50</v>
      </c>
      <c r="E45" s="2">
        <v>4</v>
      </c>
      <c r="F45" s="2" t="s">
        <v>47</v>
      </c>
      <c r="G45" s="19">
        <f>(60+60)*500</f>
        <v>60000</v>
      </c>
      <c r="H45" s="2">
        <v>3006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3">
        <f>(H45*H2+I45*I2+J45*J2+K45*K2+L45*L2+M45*M2+N45*N2+O45*O2+P45*P2+Q45*Q2+R45*R2)/E45</f>
        <v>22545</v>
      </c>
      <c r="T45" s="23">
        <f t="shared" si="0"/>
        <v>37455</v>
      </c>
      <c r="U45" s="17">
        <f t="shared" si="4"/>
        <v>74.91</v>
      </c>
    </row>
    <row r="46" spans="1:21" x14ac:dyDescent="0.25">
      <c r="A46" s="2" t="s">
        <v>34</v>
      </c>
      <c r="B46" s="2">
        <v>89</v>
      </c>
      <c r="C46" s="2">
        <v>34.5</v>
      </c>
      <c r="D46" s="2">
        <v>50</v>
      </c>
      <c r="E46" s="2">
        <v>4</v>
      </c>
      <c r="F46" s="2" t="s">
        <v>36</v>
      </c>
      <c r="G46" s="19">
        <f>40*500</f>
        <v>20000</v>
      </c>
      <c r="H46" s="2">
        <v>2000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3">
        <f>(H46*H2+I46*I2+J46*J2+K46*K2+L46*L2+M46*M2+N46*N2+O46*O2+P46*P2+Q46*Q2+R46*R2)/E46</f>
        <v>15000</v>
      </c>
      <c r="T46" s="23">
        <f t="shared" si="0"/>
        <v>5000</v>
      </c>
      <c r="U46" s="17">
        <f t="shared" si="4"/>
        <v>10</v>
      </c>
    </row>
    <row r="47" spans="1:21" x14ac:dyDescent="0.25">
      <c r="A47" s="2" t="s">
        <v>34</v>
      </c>
      <c r="B47" s="2">
        <v>89</v>
      </c>
      <c r="C47" s="2">
        <v>34.5</v>
      </c>
      <c r="D47" s="2">
        <v>50</v>
      </c>
      <c r="E47" s="2">
        <v>4</v>
      </c>
      <c r="F47" s="2" t="s">
        <v>28</v>
      </c>
      <c r="G47" s="19">
        <f>300*500</f>
        <v>150000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3">
        <f>(H47*H2+I47*I2+J47*J2+K47*K2+L47*L2+M47*M2+N47*N2+O47*O2+P47*P2+Q47*Q2+R47*R2)/E47</f>
        <v>0</v>
      </c>
      <c r="T47" s="23">
        <f t="shared" si="0"/>
        <v>150000</v>
      </c>
      <c r="U47" s="17">
        <f t="shared" si="4"/>
        <v>300</v>
      </c>
    </row>
    <row r="48" spans="1:21" x14ac:dyDescent="0.25">
      <c r="A48" s="2" t="s">
        <v>34</v>
      </c>
      <c r="B48" s="2">
        <v>89</v>
      </c>
      <c r="C48" s="2">
        <v>34.5</v>
      </c>
      <c r="D48" s="2">
        <v>50</v>
      </c>
      <c r="E48" s="2">
        <v>4</v>
      </c>
      <c r="F48" s="2" t="s">
        <v>40</v>
      </c>
      <c r="G48" s="19">
        <f>260*500</f>
        <v>130000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3">
        <f>(H48*H2+I48*I2+J48*J2+K48*K2+L48*L2+M48*M2+N48*N2+O48*O2+P48*P2+Q48*Q2+R48*R2)/E48</f>
        <v>0</v>
      </c>
      <c r="T48" s="23">
        <f>+G48-S48</f>
        <v>130000</v>
      </c>
      <c r="U48" s="17">
        <f t="shared" si="4"/>
        <v>260</v>
      </c>
    </row>
    <row r="49" spans="1:21" x14ac:dyDescent="0.25">
      <c r="A49" s="2"/>
      <c r="B49" s="2">
        <v>54</v>
      </c>
      <c r="C49" s="2">
        <v>44</v>
      </c>
      <c r="D49" s="2">
        <v>58</v>
      </c>
      <c r="E49" s="2">
        <v>2</v>
      </c>
      <c r="F49" s="2" t="s">
        <v>53</v>
      </c>
      <c r="G49" s="19">
        <f>+(35+42)*500</f>
        <v>38500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3">
        <f>(H49*H2+I49*I2+J49*J2+K49*K2+L49*L2+M49*M2+N49*N2+O49*O2+P49*P2+Q49*Q2+R49*R2)/E49</f>
        <v>0</v>
      </c>
      <c r="T49" s="23">
        <f>+G49-S49</f>
        <v>38500</v>
      </c>
      <c r="U49" s="17">
        <f t="shared" si="4"/>
        <v>77</v>
      </c>
    </row>
    <row r="50" spans="1:21" x14ac:dyDescent="0.25">
      <c r="A50" s="2" t="s">
        <v>37</v>
      </c>
      <c r="B50" s="2">
        <v>80</v>
      </c>
      <c r="C50" s="2">
        <v>34.5</v>
      </c>
      <c r="D50" s="2">
        <v>54</v>
      </c>
      <c r="E50" s="2">
        <v>3</v>
      </c>
      <c r="F50" s="2" t="s">
        <v>27</v>
      </c>
      <c r="G50" s="19">
        <v>156255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3">
        <f>(H50*H2+I50*I2+J50*J2+K50*K2+L50*L2+M50*M2+N50*N2+O50*O2+P50*P2+Q50*Q2+R50*R2)/E50</f>
        <v>0</v>
      </c>
      <c r="T50" s="23">
        <f t="shared" ref="T50:T54" si="5">+G50-S50</f>
        <v>156255</v>
      </c>
      <c r="U50" s="17">
        <f t="shared" ref="U50:U54" si="6">+T50/500</f>
        <v>312.51</v>
      </c>
    </row>
    <row r="51" spans="1:21" x14ac:dyDescent="0.25">
      <c r="A51" s="2" t="s">
        <v>71</v>
      </c>
      <c r="B51" s="2">
        <v>89</v>
      </c>
      <c r="C51" s="2">
        <f>69/2</f>
        <v>34.5</v>
      </c>
      <c r="D51" s="2">
        <v>50</v>
      </c>
      <c r="E51" s="2">
        <v>4</v>
      </c>
      <c r="F51" s="2" t="s">
        <v>27</v>
      </c>
      <c r="G51" s="2">
        <f>520*500</f>
        <v>260000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3">
        <f>(H51*H2+I51*I2+J51*J2+K51*K2+L51*L2+M51*M2+N51*N2+O51*O2+P51*P2+Q51*Q2+R51*R2)/E51</f>
        <v>0</v>
      </c>
      <c r="T51" s="23">
        <f t="shared" si="5"/>
        <v>260000</v>
      </c>
      <c r="U51" s="17">
        <f t="shared" si="6"/>
        <v>520</v>
      </c>
    </row>
    <row r="52" spans="1:21" x14ac:dyDescent="0.25">
      <c r="A52" s="2" t="s">
        <v>71</v>
      </c>
      <c r="B52" s="2">
        <v>89</v>
      </c>
      <c r="C52" s="2">
        <f t="shared" ref="C52:C54" si="7">69/2</f>
        <v>34.5</v>
      </c>
      <c r="D52" s="2">
        <v>50</v>
      </c>
      <c r="E52" s="2">
        <v>4</v>
      </c>
      <c r="F52" s="2" t="s">
        <v>28</v>
      </c>
      <c r="G52" s="2">
        <f>180*500</f>
        <v>90000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3">
        <f>(H52*H2+I52*I2+J52*J2+K52*K2+L52*L2+M52*M2+N52*N2+O52*O2+P52*P2+Q52*Q2+R52*R2)/E52</f>
        <v>0</v>
      </c>
      <c r="T52" s="23">
        <f t="shared" si="5"/>
        <v>90000</v>
      </c>
      <c r="U52" s="17">
        <f t="shared" si="6"/>
        <v>180</v>
      </c>
    </row>
    <row r="53" spans="1:21" x14ac:dyDescent="0.25">
      <c r="A53" s="2" t="s">
        <v>71</v>
      </c>
      <c r="B53" s="2">
        <v>89</v>
      </c>
      <c r="C53" s="2">
        <f t="shared" si="7"/>
        <v>34.5</v>
      </c>
      <c r="D53" s="2">
        <v>50</v>
      </c>
      <c r="E53" s="2">
        <v>4</v>
      </c>
      <c r="F53" s="2" t="s">
        <v>40</v>
      </c>
      <c r="G53" s="2">
        <f>60*500</f>
        <v>30000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3">
        <f>(H53*H2+I53*I2+J53*J2+K53*K2+L53*L2+M53*M2+N53*N2+O53*O2+P53*P2+Q53*Q2+R53*R2)/E53</f>
        <v>0</v>
      </c>
      <c r="T53" s="23">
        <f t="shared" si="5"/>
        <v>30000</v>
      </c>
      <c r="U53" s="17">
        <f t="shared" si="6"/>
        <v>60</v>
      </c>
    </row>
    <row r="54" spans="1:21" x14ac:dyDescent="0.25">
      <c r="A54" s="2" t="s">
        <v>71</v>
      </c>
      <c r="B54" s="2">
        <v>89</v>
      </c>
      <c r="C54" s="2">
        <f t="shared" si="7"/>
        <v>34.5</v>
      </c>
      <c r="D54" s="2">
        <v>50</v>
      </c>
      <c r="E54" s="2">
        <v>4</v>
      </c>
      <c r="F54" s="2" t="s">
        <v>47</v>
      </c>
      <c r="G54" s="2">
        <f>30*500</f>
        <v>15000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3">
        <f>(H54*H2+I54*I2+J54*J2+K54*K2+L54*L2+M54*M2+N54*N2+O54*O2+P54*P2+Q54*Q2+R54*R2)/E54</f>
        <v>0</v>
      </c>
      <c r="T54" s="23">
        <f t="shared" si="5"/>
        <v>15000</v>
      </c>
      <c r="U54" s="17">
        <f t="shared" si="6"/>
        <v>30</v>
      </c>
    </row>
    <row r="55" spans="1:21" x14ac:dyDescent="0.25">
      <c r="A55" s="2" t="s">
        <v>71</v>
      </c>
      <c r="B55" s="2">
        <v>98</v>
      </c>
      <c r="C55" s="2">
        <f>64/2</f>
        <v>32</v>
      </c>
      <c r="D55" s="2">
        <v>50</v>
      </c>
      <c r="E55" s="2">
        <v>4</v>
      </c>
      <c r="F55" s="2" t="s">
        <v>27</v>
      </c>
      <c r="G55" s="2">
        <f>115*500</f>
        <v>57500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3">
        <f>(H55*H2+I55*I2+J55*J2+K55*K2+L55*L2+M55*M2+N55*N2+O55*O2+P55*P2+Q55*Q2+R55*R2)/E55</f>
        <v>0</v>
      </c>
      <c r="T55" s="23"/>
      <c r="U55" s="2"/>
    </row>
    <row r="56" spans="1:21" x14ac:dyDescent="0.25">
      <c r="A56" s="2" t="s">
        <v>71</v>
      </c>
      <c r="B56" s="2">
        <v>84</v>
      </c>
      <c r="C56" s="2">
        <f>67/2</f>
        <v>33.5</v>
      </c>
      <c r="D56" s="2">
        <v>50</v>
      </c>
      <c r="E56" s="2">
        <v>4</v>
      </c>
      <c r="F56" s="2" t="s">
        <v>49</v>
      </c>
      <c r="G56" s="2">
        <f>35*500</f>
        <v>17500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3"/>
      <c r="T56" s="23"/>
      <c r="U56" s="2"/>
    </row>
    <row r="57" spans="1:21" x14ac:dyDescent="0.25">
      <c r="A57" s="2" t="s">
        <v>71</v>
      </c>
      <c r="B57" s="2">
        <v>84</v>
      </c>
      <c r="C57" s="2">
        <f t="shared" ref="C57:C58" si="8">67/2</f>
        <v>33.5</v>
      </c>
      <c r="D57" s="2">
        <v>50</v>
      </c>
      <c r="E57" s="2">
        <v>4</v>
      </c>
      <c r="F57" s="2" t="s">
        <v>28</v>
      </c>
      <c r="G57" s="2">
        <f>60*500</f>
        <v>30000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3"/>
      <c r="T57" s="23"/>
      <c r="U57" s="2"/>
    </row>
    <row r="58" spans="1:21" x14ac:dyDescent="0.25">
      <c r="A58" s="2" t="s">
        <v>71</v>
      </c>
      <c r="B58" s="2">
        <v>84</v>
      </c>
      <c r="C58" s="2">
        <f t="shared" si="8"/>
        <v>33.5</v>
      </c>
      <c r="D58" s="2">
        <v>50</v>
      </c>
      <c r="E58" s="2">
        <v>4</v>
      </c>
      <c r="F58" s="2" t="s">
        <v>27</v>
      </c>
      <c r="G58" s="2">
        <f>44*500</f>
        <v>22000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3"/>
      <c r="T58" s="23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</sheetData>
  <autoFilter ref="A2:Q54" xr:uid="{00000000-0009-0000-0000-000003000000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9"/>
  <sheetViews>
    <sheetView topLeftCell="B1" workbookViewId="0">
      <selection activeCell="H16" sqref="H16"/>
    </sheetView>
  </sheetViews>
  <sheetFormatPr defaultRowHeight="15" x14ac:dyDescent="0.25"/>
  <cols>
    <col min="1" max="1" width="16.28515625" customWidth="1"/>
    <col min="6" max="6" width="12.5703125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30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68</v>
      </c>
      <c r="B3" s="2">
        <v>98</v>
      </c>
      <c r="C3" s="2">
        <v>32</v>
      </c>
      <c r="D3" s="2">
        <v>50</v>
      </c>
      <c r="E3" s="2">
        <v>4</v>
      </c>
      <c r="F3" s="2" t="s">
        <v>27</v>
      </c>
      <c r="G3" s="2">
        <f>115*500</f>
        <v>57500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0</v>
      </c>
      <c r="T3" s="2">
        <f>+G3-S3</f>
        <v>57500</v>
      </c>
      <c r="U3" s="17">
        <f t="shared" ref="U3:U9" si="0">+T3/500</f>
        <v>115</v>
      </c>
    </row>
    <row r="4" spans="1:21" x14ac:dyDescent="0.25">
      <c r="A4" s="2"/>
      <c r="B4" s="2">
        <v>96</v>
      </c>
      <c r="C4" s="2">
        <v>36.5</v>
      </c>
      <c r="D4" s="2">
        <v>54</v>
      </c>
      <c r="E4" s="2">
        <v>4</v>
      </c>
      <c r="F4" s="2" t="s">
        <v>39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ref="T4:T9" si="1">+G4-S4</f>
        <v>0</v>
      </c>
      <c r="U4" s="17">
        <f t="shared" si="0"/>
        <v>0</v>
      </c>
    </row>
    <row r="5" spans="1:21" x14ac:dyDescent="0.25">
      <c r="A5" s="2"/>
      <c r="B5" s="2">
        <v>96</v>
      </c>
      <c r="C5" s="2">
        <v>36.5</v>
      </c>
      <c r="D5" s="2">
        <v>54</v>
      </c>
      <c r="E5" s="2">
        <v>4</v>
      </c>
      <c r="F5" s="2" t="s">
        <v>47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>(H5*H2+I5*I2+J5*J2+K5*K2+L5*L2+M5*M2+N5*N2+O5*O2+P5*P2+Q5*Q2+R5*R2)/E5</f>
        <v>0</v>
      </c>
      <c r="T5" s="2">
        <f t="shared" si="1"/>
        <v>0</v>
      </c>
      <c r="U5" s="17">
        <f t="shared" si="0"/>
        <v>0</v>
      </c>
    </row>
    <row r="6" spans="1:21" x14ac:dyDescent="0.25">
      <c r="A6" s="2"/>
      <c r="B6" s="2">
        <v>96</v>
      </c>
      <c r="C6" s="2">
        <v>36.5</v>
      </c>
      <c r="D6" s="2">
        <v>54</v>
      </c>
      <c r="E6" s="2">
        <v>4</v>
      </c>
      <c r="F6" s="2" t="s">
        <v>59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si="1"/>
        <v>0</v>
      </c>
      <c r="U6" s="17">
        <f t="shared" si="0"/>
        <v>0</v>
      </c>
    </row>
    <row r="7" spans="1:21" x14ac:dyDescent="0.25">
      <c r="A7" s="19" t="s">
        <v>37</v>
      </c>
      <c r="B7" s="19">
        <v>96</v>
      </c>
      <c r="C7" s="19">
        <v>36.5</v>
      </c>
      <c r="D7" s="19">
        <v>54</v>
      </c>
      <c r="E7" s="19">
        <v>4</v>
      </c>
      <c r="F7" s="19" t="s">
        <v>33</v>
      </c>
      <c r="G7" s="19">
        <v>107500</v>
      </c>
      <c r="H7" s="19">
        <f>+H3+H4+H5+H6</f>
        <v>0</v>
      </c>
      <c r="I7" s="19">
        <f t="shared" ref="I7:Q7" si="2">+I3+I4+I5+I6</f>
        <v>0</v>
      </c>
      <c r="J7" s="19">
        <f t="shared" si="2"/>
        <v>0</v>
      </c>
      <c r="K7" s="19">
        <f t="shared" si="2"/>
        <v>0</v>
      </c>
      <c r="L7" s="19">
        <f t="shared" si="2"/>
        <v>0</v>
      </c>
      <c r="M7" s="19">
        <f t="shared" si="2"/>
        <v>0</v>
      </c>
      <c r="N7" s="19">
        <f t="shared" si="2"/>
        <v>0</v>
      </c>
      <c r="O7" s="19">
        <f t="shared" si="2"/>
        <v>0</v>
      </c>
      <c r="P7" s="19">
        <f t="shared" si="2"/>
        <v>0</v>
      </c>
      <c r="Q7" s="19">
        <f t="shared" si="2"/>
        <v>0</v>
      </c>
      <c r="R7" s="19">
        <f>+R3+R4+R5+R6</f>
        <v>0</v>
      </c>
      <c r="S7" s="19">
        <f>(H7+I7+J7+K7+L7+M7+N7+O7+P7+Q7+R7)/E7</f>
        <v>0</v>
      </c>
      <c r="T7" s="19">
        <f t="shared" si="1"/>
        <v>107500</v>
      </c>
      <c r="U7" s="20">
        <f t="shared" si="0"/>
        <v>215</v>
      </c>
    </row>
    <row r="8" spans="1:21" x14ac:dyDescent="0.25">
      <c r="A8" s="2" t="s">
        <v>37</v>
      </c>
      <c r="B8" s="2">
        <v>96</v>
      </c>
      <c r="C8" s="2">
        <v>36.5</v>
      </c>
      <c r="D8" s="2">
        <v>54</v>
      </c>
      <c r="E8" s="2">
        <v>4</v>
      </c>
      <c r="F8" s="2" t="s">
        <v>40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(H8*H2+I8*I2+J8*J2+K8*K2+L8*L2+M8*M2+N8*N2+O8*O2+P8*P2+Q8*Q2+R8*R2)/E8</f>
        <v>0</v>
      </c>
      <c r="T8" s="2">
        <f t="shared" si="1"/>
        <v>0</v>
      </c>
      <c r="U8" s="17">
        <f t="shared" si="0"/>
        <v>0</v>
      </c>
    </row>
    <row r="9" spans="1:21" x14ac:dyDescent="0.25">
      <c r="A9" s="19" t="s">
        <v>37</v>
      </c>
      <c r="B9" s="19">
        <v>96</v>
      </c>
      <c r="C9" s="19">
        <v>36.5</v>
      </c>
      <c r="D9" s="19">
        <v>54</v>
      </c>
      <c r="E9" s="19">
        <v>4</v>
      </c>
      <c r="F9" s="19" t="s">
        <v>56</v>
      </c>
      <c r="G9" s="19">
        <v>41121</v>
      </c>
      <c r="H9" s="19">
        <f>+H8</f>
        <v>0</v>
      </c>
      <c r="I9" s="19">
        <f t="shared" ref="I9:R9" si="3">+I8</f>
        <v>0</v>
      </c>
      <c r="J9" s="19">
        <f t="shared" si="3"/>
        <v>0</v>
      </c>
      <c r="K9" s="19">
        <f t="shared" si="3"/>
        <v>0</v>
      </c>
      <c r="L9" s="19">
        <f t="shared" si="3"/>
        <v>0</v>
      </c>
      <c r="M9" s="19">
        <f t="shared" si="3"/>
        <v>0</v>
      </c>
      <c r="N9" s="19">
        <f t="shared" si="3"/>
        <v>0</v>
      </c>
      <c r="O9" s="19">
        <f t="shared" si="3"/>
        <v>0</v>
      </c>
      <c r="P9" s="19">
        <f t="shared" si="3"/>
        <v>0</v>
      </c>
      <c r="Q9" s="19">
        <f t="shared" si="3"/>
        <v>0</v>
      </c>
      <c r="R9" s="19">
        <f t="shared" si="3"/>
        <v>0</v>
      </c>
      <c r="S9" s="19">
        <f>(H9+I9+J9+K9+L9+M9+N9+O9+P9+Q9+R9)/E9</f>
        <v>0</v>
      </c>
      <c r="T9" s="19">
        <f t="shared" si="1"/>
        <v>41121</v>
      </c>
      <c r="U9" s="20">
        <f t="shared" si="0"/>
        <v>82.242000000000004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54"/>
  <sheetViews>
    <sheetView topLeftCell="A4" workbookViewId="0">
      <selection activeCell="H14" sqref="H14"/>
    </sheetView>
  </sheetViews>
  <sheetFormatPr defaultRowHeight="15" x14ac:dyDescent="0.25"/>
  <cols>
    <col min="1" max="1" width="18.5703125" customWidth="1"/>
    <col min="2" max="2" width="10.28515625" customWidth="1"/>
    <col min="3" max="3" width="7.42578125" customWidth="1"/>
    <col min="4" max="4" width="6.28515625" customWidth="1"/>
    <col min="5" max="5" width="5.5703125" customWidth="1"/>
    <col min="6" max="6" width="13.5703125" bestFit="1" customWidth="1"/>
    <col min="7" max="7" width="9" customWidth="1"/>
    <col min="8" max="8" width="7.85546875" customWidth="1"/>
    <col min="9" max="9" width="10" customWidth="1"/>
    <col min="10" max="18" width="7.85546875" customWidth="1"/>
    <col min="19" max="19" width="14.28515625" customWidth="1"/>
    <col min="20" max="20" width="7.85546875" bestFit="1" customWidth="1"/>
    <col min="21" max="21" width="7" bestFit="1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16">
        <v>31</v>
      </c>
      <c r="I2" s="16">
        <v>11</v>
      </c>
      <c r="J2" s="16">
        <v>29</v>
      </c>
      <c r="K2" s="16">
        <v>8</v>
      </c>
      <c r="L2" s="16">
        <v>13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37</v>
      </c>
      <c r="B3" s="2">
        <v>96</v>
      </c>
      <c r="C3" s="2">
        <v>36.5</v>
      </c>
      <c r="D3" s="2">
        <v>54</v>
      </c>
      <c r="E3" s="2">
        <v>4</v>
      </c>
      <c r="F3" s="2" t="s">
        <v>27</v>
      </c>
      <c r="G3" s="2">
        <v>155964</v>
      </c>
      <c r="H3" s="22">
        <v>8989</v>
      </c>
      <c r="I3" s="22">
        <v>10224</v>
      </c>
      <c r="J3" s="22">
        <v>6003</v>
      </c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141302.5</v>
      </c>
      <c r="T3" s="2">
        <f>+G3-S3</f>
        <v>14661.5</v>
      </c>
      <c r="U3" s="17">
        <f t="shared" ref="U3" si="0">+T3/500</f>
        <v>29.323</v>
      </c>
    </row>
    <row r="4" spans="1:21" x14ac:dyDescent="0.25">
      <c r="A4" s="2" t="s">
        <v>37</v>
      </c>
      <c r="B4" s="2">
        <v>96</v>
      </c>
      <c r="C4" s="2">
        <v>36.5</v>
      </c>
      <c r="D4" s="2">
        <v>54</v>
      </c>
      <c r="E4" s="2">
        <v>4</v>
      </c>
      <c r="F4" s="2" t="s">
        <v>39</v>
      </c>
      <c r="G4" s="2">
        <f>170674+153488</f>
        <v>324162</v>
      </c>
      <c r="H4" s="2">
        <v>9150</v>
      </c>
      <c r="I4" s="2">
        <v>10078</v>
      </c>
      <c r="J4" s="2">
        <v>2941</v>
      </c>
      <c r="K4" s="2">
        <f>15097+3317</f>
        <v>18414</v>
      </c>
      <c r="L4" s="2">
        <f>2011+3026</f>
        <v>5037</v>
      </c>
      <c r="M4" s="2"/>
      <c r="N4" s="2"/>
      <c r="O4" s="2"/>
      <c r="P4" s="2"/>
      <c r="Q4" s="2"/>
      <c r="R4" s="2"/>
      <c r="S4" s="2">
        <f>(H4*H2+I4*I2+J4*J2+K4*K2+L4*L2+M4*M2+N4*N2+O4*O2+P4*P2+Q4*Q2+R4*R2)/E4</f>
        <v>173147.5</v>
      </c>
      <c r="T4" s="2">
        <f t="shared" ref="T4:T9" si="1">+G4-S4</f>
        <v>151014.5</v>
      </c>
      <c r="U4" s="17">
        <f t="shared" ref="U4:U9" si="2">+T4/500</f>
        <v>302.029</v>
      </c>
    </row>
    <row r="5" spans="1:21" x14ac:dyDescent="0.25">
      <c r="A5" s="2" t="s">
        <v>37</v>
      </c>
      <c r="B5" s="2">
        <v>96</v>
      </c>
      <c r="C5" s="2">
        <v>36.5</v>
      </c>
      <c r="D5" s="2">
        <v>54</v>
      </c>
      <c r="E5" s="2">
        <v>4</v>
      </c>
      <c r="F5" s="2" t="s">
        <v>47</v>
      </c>
      <c r="G5" s="2">
        <v>79201</v>
      </c>
      <c r="H5" s="2">
        <v>3470</v>
      </c>
      <c r="I5" s="2">
        <v>9992</v>
      </c>
      <c r="J5" s="2">
        <v>2950</v>
      </c>
      <c r="K5" s="2"/>
      <c r="L5" s="2"/>
      <c r="M5" s="2"/>
      <c r="N5" s="2"/>
      <c r="O5" s="2"/>
      <c r="P5" s="2"/>
      <c r="Q5" s="2"/>
      <c r="R5" s="2"/>
      <c r="S5" s="2">
        <f>(H5*H2+I5*I2+J5*J2+K5*K2+L5*L2+M5*M2+N5*N2+O5*O2+P5*P2+Q5*Q2+R5*R2)/E5</f>
        <v>75758</v>
      </c>
      <c r="T5" s="2">
        <f t="shared" si="1"/>
        <v>3443</v>
      </c>
      <c r="U5" s="17">
        <f t="shared" si="2"/>
        <v>6.8860000000000001</v>
      </c>
    </row>
    <row r="6" spans="1:21" x14ac:dyDescent="0.25">
      <c r="A6" s="2" t="s">
        <v>37</v>
      </c>
      <c r="B6" s="2">
        <v>96</v>
      </c>
      <c r="C6" s="2">
        <v>36.5</v>
      </c>
      <c r="D6" s="2">
        <v>54</v>
      </c>
      <c r="E6" s="2">
        <v>4</v>
      </c>
      <c r="F6" s="2" t="s">
        <v>79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si="1"/>
        <v>0</v>
      </c>
      <c r="U6" s="17">
        <f t="shared" si="2"/>
        <v>0</v>
      </c>
    </row>
    <row r="7" spans="1:21" x14ac:dyDescent="0.25">
      <c r="A7" s="19" t="s">
        <v>37</v>
      </c>
      <c r="B7" s="19">
        <v>96</v>
      </c>
      <c r="C7" s="19">
        <v>36.5</v>
      </c>
      <c r="D7" s="19">
        <v>54</v>
      </c>
      <c r="E7" s="19">
        <v>4</v>
      </c>
      <c r="F7" s="19" t="s">
        <v>33</v>
      </c>
      <c r="G7" s="19">
        <v>107500</v>
      </c>
      <c r="H7" s="19">
        <f>+H3+H4+H5+H6</f>
        <v>21609</v>
      </c>
      <c r="I7" s="19">
        <f t="shared" ref="I7:R7" si="3">+I3+I4+I5+I6</f>
        <v>30294</v>
      </c>
      <c r="J7" s="19">
        <f t="shared" si="3"/>
        <v>11894</v>
      </c>
      <c r="K7" s="19">
        <f t="shared" si="3"/>
        <v>18414</v>
      </c>
      <c r="L7" s="19">
        <f t="shared" si="3"/>
        <v>5037</v>
      </c>
      <c r="M7" s="19">
        <f t="shared" si="3"/>
        <v>0</v>
      </c>
      <c r="N7" s="19">
        <f t="shared" si="3"/>
        <v>0</v>
      </c>
      <c r="O7" s="19">
        <f t="shared" si="3"/>
        <v>0</v>
      </c>
      <c r="P7" s="19">
        <f t="shared" si="3"/>
        <v>0</v>
      </c>
      <c r="Q7" s="19">
        <f t="shared" si="3"/>
        <v>0</v>
      </c>
      <c r="R7" s="19">
        <f t="shared" si="3"/>
        <v>0</v>
      </c>
      <c r="S7" s="19">
        <f>(H7+I7+J7+K7+L7+M7+N7+O7+P7+Q7+R7)/E7</f>
        <v>21812</v>
      </c>
      <c r="T7" s="19">
        <f t="shared" si="1"/>
        <v>85688</v>
      </c>
      <c r="U7" s="20">
        <f t="shared" si="2"/>
        <v>171.376</v>
      </c>
    </row>
    <row r="8" spans="1:21" x14ac:dyDescent="0.25">
      <c r="A8" s="2" t="s">
        <v>37</v>
      </c>
      <c r="B8" s="2">
        <v>96</v>
      </c>
      <c r="C8" s="2">
        <v>36.5</v>
      </c>
      <c r="D8" s="2">
        <v>54</v>
      </c>
      <c r="E8" s="2">
        <v>4</v>
      </c>
      <c r="F8" s="2" t="s">
        <v>40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(H8*H2+I8*I2+J8*J2+K8*K2+L8*L2+M8*M2+N8*N2+O8*O2+P8*P2+Q8*Q2+R8*R2)/E8</f>
        <v>0</v>
      </c>
      <c r="T8" s="2">
        <f t="shared" ref="T8" si="4">+G8-S8</f>
        <v>0</v>
      </c>
      <c r="U8" s="17">
        <f t="shared" ref="U8" si="5">+T8/500</f>
        <v>0</v>
      </c>
    </row>
    <row r="9" spans="1:21" x14ac:dyDescent="0.25">
      <c r="A9" s="19" t="s">
        <v>37</v>
      </c>
      <c r="B9" s="19">
        <v>96</v>
      </c>
      <c r="C9" s="19">
        <v>36.5</v>
      </c>
      <c r="D9" s="19">
        <v>54</v>
      </c>
      <c r="E9" s="19">
        <v>4</v>
      </c>
      <c r="F9" s="19" t="s">
        <v>56</v>
      </c>
      <c r="G9" s="19">
        <v>41121</v>
      </c>
      <c r="H9" s="19">
        <f>+H8</f>
        <v>0</v>
      </c>
      <c r="I9" s="19">
        <f t="shared" ref="I9:R9" si="6">+I8</f>
        <v>0</v>
      </c>
      <c r="J9" s="19">
        <f t="shared" si="6"/>
        <v>0</v>
      </c>
      <c r="K9" s="19">
        <f t="shared" si="6"/>
        <v>0</v>
      </c>
      <c r="L9" s="19">
        <f t="shared" si="6"/>
        <v>0</v>
      </c>
      <c r="M9" s="19">
        <f t="shared" si="6"/>
        <v>0</v>
      </c>
      <c r="N9" s="19">
        <f t="shared" si="6"/>
        <v>0</v>
      </c>
      <c r="O9" s="19">
        <f t="shared" si="6"/>
        <v>0</v>
      </c>
      <c r="P9" s="19">
        <f t="shared" si="6"/>
        <v>0</v>
      </c>
      <c r="Q9" s="19">
        <f t="shared" si="6"/>
        <v>0</v>
      </c>
      <c r="R9" s="19">
        <f t="shared" si="6"/>
        <v>0</v>
      </c>
      <c r="S9" s="19">
        <f>(H9+I9+J9+K9+L9+M9+N9+O9+P9+Q9+R9)/E9</f>
        <v>0</v>
      </c>
      <c r="T9" s="19">
        <f t="shared" si="1"/>
        <v>41121</v>
      </c>
      <c r="U9" s="20">
        <f t="shared" si="2"/>
        <v>82.242000000000004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5"/>
    </row>
    <row r="11" spans="1:21" x14ac:dyDescent="0.25">
      <c r="F11" s="2"/>
    </row>
    <row r="12" spans="1:21" x14ac:dyDescent="0.25">
      <c r="A12" s="4" t="s">
        <v>58</v>
      </c>
      <c r="B12" s="4" t="s">
        <v>2</v>
      </c>
      <c r="C12" s="4" t="s">
        <v>19</v>
      </c>
      <c r="D12" s="4" t="s">
        <v>8</v>
      </c>
      <c r="E12" s="4" t="s">
        <v>21</v>
      </c>
      <c r="F12" s="4" t="s">
        <v>32</v>
      </c>
      <c r="G12" s="4" t="s">
        <v>20</v>
      </c>
      <c r="H12" s="4">
        <v>34</v>
      </c>
      <c r="I12" s="4">
        <v>43</v>
      </c>
      <c r="J12" s="4">
        <v>11</v>
      </c>
      <c r="K12" s="4">
        <v>23</v>
      </c>
      <c r="L12" s="4">
        <v>40</v>
      </c>
      <c r="M12" s="4">
        <v>224</v>
      </c>
      <c r="N12" s="4">
        <v>8.5</v>
      </c>
      <c r="O12" s="4">
        <v>260</v>
      </c>
      <c r="P12" s="4">
        <v>292</v>
      </c>
      <c r="Q12" s="4">
        <v>324</v>
      </c>
      <c r="R12" s="4">
        <v>20</v>
      </c>
      <c r="S12" s="4" t="s">
        <v>22</v>
      </c>
      <c r="T12" s="4" t="s">
        <v>10</v>
      </c>
      <c r="U12" s="4" t="s">
        <v>54</v>
      </c>
    </row>
    <row r="13" spans="1:21" x14ac:dyDescent="0.25">
      <c r="A13" s="2" t="s">
        <v>42</v>
      </c>
      <c r="B13" s="2">
        <v>96</v>
      </c>
      <c r="C13" s="2">
        <v>36.5</v>
      </c>
      <c r="D13" s="2">
        <v>56</v>
      </c>
      <c r="E13" s="2">
        <v>4</v>
      </c>
      <c r="F13" s="2" t="s">
        <v>27</v>
      </c>
      <c r="G13" s="2">
        <f>(60+15+45)*500</f>
        <v>60000</v>
      </c>
      <c r="H13" s="2">
        <v>3035</v>
      </c>
      <c r="I13" s="2">
        <v>2748</v>
      </c>
      <c r="J13" s="2"/>
      <c r="K13" s="2"/>
      <c r="L13" s="2"/>
      <c r="M13" s="2"/>
      <c r="N13" s="2"/>
      <c r="O13" s="2"/>
      <c r="P13" s="2"/>
      <c r="Q13" s="2"/>
      <c r="R13" s="2"/>
      <c r="S13" s="2">
        <f>(H13*H12+I13*I12+J13*J12+K13*K12+L13*L12+M13*M12+N13*N12+O13*O12+P13*P12+Q13*Q12+R13*R12)/E13</f>
        <v>55338.5</v>
      </c>
      <c r="T13" s="2">
        <f>+G13-S13</f>
        <v>4661.5</v>
      </c>
      <c r="U13" s="17">
        <f t="shared" ref="U13:U20" si="7">+T13/500</f>
        <v>9.3230000000000004</v>
      </c>
    </row>
    <row r="14" spans="1:21" x14ac:dyDescent="0.25">
      <c r="A14" s="2" t="s">
        <v>42</v>
      </c>
      <c r="B14" s="2">
        <v>96</v>
      </c>
      <c r="C14" s="2">
        <v>36.5</v>
      </c>
      <c r="D14" s="2">
        <v>56</v>
      </c>
      <c r="E14" s="2">
        <v>4</v>
      </c>
      <c r="F14" s="2" t="s">
        <v>28</v>
      </c>
      <c r="G14" s="2">
        <f>(60+120)*500</f>
        <v>90000</v>
      </c>
      <c r="H14" s="2">
        <v>3004</v>
      </c>
      <c r="I14" s="2">
        <v>3015</v>
      </c>
      <c r="J14" s="2">
        <v>503</v>
      </c>
      <c r="K14" s="2"/>
      <c r="L14" s="2"/>
      <c r="M14" s="2"/>
      <c r="N14" s="2"/>
      <c r="O14" s="2"/>
      <c r="P14" s="2"/>
      <c r="Q14" s="2"/>
      <c r="R14" s="2"/>
      <c r="S14" s="2">
        <f>(H14*H12+I14*I12+J14*J12+K14*K12+L14*L12+M14*M12+N14*N12+O14*O12+P14*P12+Q14*Q12+R14*R12)/E14</f>
        <v>59328.5</v>
      </c>
      <c r="T14" s="2">
        <f t="shared" ref="T14:T20" si="8">+G14-S14</f>
        <v>30671.5</v>
      </c>
      <c r="U14" s="17">
        <f t="shared" si="7"/>
        <v>61.343000000000004</v>
      </c>
    </row>
    <row r="15" spans="1:21" x14ac:dyDescent="0.25">
      <c r="A15" s="2" t="s">
        <v>42</v>
      </c>
      <c r="B15" s="2">
        <v>96</v>
      </c>
      <c r="C15" s="2">
        <v>36.5</v>
      </c>
      <c r="D15" s="2">
        <v>56</v>
      </c>
      <c r="E15" s="2">
        <v>4</v>
      </c>
      <c r="F15" s="2" t="s">
        <v>61</v>
      </c>
      <c r="G15" s="2">
        <f>+(25+40)*500</f>
        <v>32500</v>
      </c>
      <c r="H15" s="2">
        <v>200</v>
      </c>
      <c r="I15" s="2">
        <v>3072</v>
      </c>
      <c r="J15" s="2"/>
      <c r="K15" s="2"/>
      <c r="L15" s="2"/>
      <c r="M15" s="2"/>
      <c r="N15" s="2"/>
      <c r="O15" s="2"/>
      <c r="P15" s="2"/>
      <c r="Q15" s="2"/>
      <c r="R15" s="2"/>
      <c r="S15" s="2">
        <f>(H15*H12+I15*I12+J15*J12+K15*K12+L15*L12+M15*M12+N15*N12+O15*O12+P15*P12+Q15*Q12+R15*R12)/E15</f>
        <v>34724</v>
      </c>
      <c r="T15" s="2">
        <f t="shared" si="8"/>
        <v>-2224</v>
      </c>
      <c r="U15" s="17">
        <f t="shared" si="7"/>
        <v>-4.4480000000000004</v>
      </c>
    </row>
    <row r="16" spans="1:21" x14ac:dyDescent="0.25">
      <c r="A16" s="2" t="s">
        <v>42</v>
      </c>
      <c r="B16" s="2">
        <v>96</v>
      </c>
      <c r="C16" s="2">
        <v>36.5</v>
      </c>
      <c r="D16" s="2">
        <v>56</v>
      </c>
      <c r="E16" s="2">
        <v>4</v>
      </c>
      <c r="F16" s="2" t="s">
        <v>60</v>
      </c>
      <c r="G16" s="2">
        <f>(46+25)*500</f>
        <v>35500</v>
      </c>
      <c r="H16" s="2">
        <v>1008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>(H16*H12+I16*I12+J16*J12+K16*K12+L16*L12+M16*M12+N16*N12+O16*O12+P16*P12+Q16*Q12+R16*R12)/E16</f>
        <v>8568</v>
      </c>
      <c r="T16" s="2">
        <f t="shared" si="8"/>
        <v>26932</v>
      </c>
      <c r="U16" s="17">
        <f t="shared" si="7"/>
        <v>53.863999999999997</v>
      </c>
    </row>
    <row r="17" spans="1:21" x14ac:dyDescent="0.25">
      <c r="A17" s="2" t="s">
        <v>42</v>
      </c>
      <c r="B17" s="2">
        <v>96</v>
      </c>
      <c r="C17" s="2">
        <v>36.5</v>
      </c>
      <c r="D17" s="2">
        <v>56</v>
      </c>
      <c r="E17" s="2">
        <v>4</v>
      </c>
      <c r="F17" s="2" t="s">
        <v>63</v>
      </c>
      <c r="G17" s="2">
        <f>35*500</f>
        <v>17500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>(H17*H12+I17*I12+J17*J12+K17*K12+L17*L12+M17*M12+N17*N12+O17*O12+P17*P12+Q17*Q12+R17*R12)/E17</f>
        <v>0</v>
      </c>
      <c r="T17" s="2">
        <f t="shared" ref="T17" si="9">+G17-S17</f>
        <v>17500</v>
      </c>
      <c r="U17" s="17">
        <f t="shared" ref="U17" si="10">+T17/500</f>
        <v>35</v>
      </c>
    </row>
    <row r="18" spans="1:21" x14ac:dyDescent="0.25">
      <c r="A18" s="2" t="s">
        <v>42</v>
      </c>
      <c r="B18" s="2">
        <v>96</v>
      </c>
      <c r="C18" s="2">
        <v>36.5</v>
      </c>
      <c r="D18" s="2">
        <v>56</v>
      </c>
      <c r="E18" s="2">
        <v>4</v>
      </c>
      <c r="F18" s="2" t="s">
        <v>80</v>
      </c>
      <c r="G18" s="2">
        <f>(18+17)*500</f>
        <v>17500</v>
      </c>
      <c r="H18" s="2">
        <v>500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>(H18*H12+I18*I12+J18*J12+K18*K12+L18*L12+M18*M12+N18*N12+O18*O12+P18*P12+Q18*Q12+R18*R12)/E18</f>
        <v>4250</v>
      </c>
      <c r="T18" s="2">
        <f t="shared" si="8"/>
        <v>13250</v>
      </c>
      <c r="U18" s="17">
        <f t="shared" si="7"/>
        <v>26.5</v>
      </c>
    </row>
    <row r="19" spans="1:21" x14ac:dyDescent="0.25">
      <c r="A19" s="2" t="s">
        <v>42</v>
      </c>
      <c r="B19" s="2">
        <v>96</v>
      </c>
      <c r="C19" s="2">
        <v>36.5</v>
      </c>
      <c r="D19" s="2">
        <v>56</v>
      </c>
      <c r="E19" s="2">
        <v>4</v>
      </c>
      <c r="F19" s="2" t="s">
        <v>79</v>
      </c>
      <c r="G19" s="2">
        <f>7*500</f>
        <v>3500</v>
      </c>
      <c r="H19" s="2">
        <v>200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>(H19*H12+I19*I12+J19*J12+K19*K12+L19*L12+M19*M12+N19*N12+O19*O12+P19*P12+Q19*Q12+R19*R12)/E19</f>
        <v>1700</v>
      </c>
      <c r="T19" s="2">
        <f t="shared" si="8"/>
        <v>1800</v>
      </c>
      <c r="U19" s="17">
        <f t="shared" si="7"/>
        <v>3.6</v>
      </c>
    </row>
    <row r="20" spans="1:21" x14ac:dyDescent="0.25">
      <c r="A20" s="2" t="s">
        <v>42</v>
      </c>
      <c r="B20" s="2">
        <v>96</v>
      </c>
      <c r="C20" s="2">
        <v>36.5</v>
      </c>
      <c r="D20" s="2">
        <v>56</v>
      </c>
      <c r="E20" s="2">
        <v>4</v>
      </c>
      <c r="F20" s="2" t="s">
        <v>50</v>
      </c>
      <c r="G20" s="2">
        <f>18*500</f>
        <v>9000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>(H20*H13+I20*I13+J20*J13+K20*K13+L20*L13+M20*M13+N20*N13+O20*O13+P20*P13+Q20*Q13+R20*R13)/E20</f>
        <v>0</v>
      </c>
      <c r="T20" s="2">
        <f t="shared" si="8"/>
        <v>9000</v>
      </c>
      <c r="U20" s="17">
        <f t="shared" si="7"/>
        <v>18</v>
      </c>
    </row>
    <row r="21" spans="1:21" x14ac:dyDescent="0.25">
      <c r="A21" s="2" t="s">
        <v>42</v>
      </c>
      <c r="B21" s="2">
        <v>96</v>
      </c>
      <c r="C21" s="2">
        <v>36.5</v>
      </c>
      <c r="D21" s="2">
        <v>54</v>
      </c>
      <c r="E21" s="2">
        <v>4</v>
      </c>
      <c r="F21" s="2" t="s">
        <v>33</v>
      </c>
      <c r="G21" s="2"/>
      <c r="H21" s="2">
        <f>H13+H14+H15+H16+H17+H18+H19+H20</f>
        <v>7947</v>
      </c>
      <c r="I21" s="2">
        <f t="shared" ref="I21:R21" si="11">I13+I14+I15+I16+I17+I18+I19+I20</f>
        <v>8835</v>
      </c>
      <c r="J21" s="2">
        <f t="shared" si="11"/>
        <v>503</v>
      </c>
      <c r="K21" s="2">
        <f t="shared" si="11"/>
        <v>0</v>
      </c>
      <c r="L21" s="2">
        <f t="shared" si="11"/>
        <v>0</v>
      </c>
      <c r="M21" s="2">
        <f t="shared" si="11"/>
        <v>0</v>
      </c>
      <c r="N21" s="2">
        <f t="shared" si="11"/>
        <v>0</v>
      </c>
      <c r="O21" s="2">
        <f t="shared" si="11"/>
        <v>0</v>
      </c>
      <c r="P21" s="2">
        <f t="shared" si="11"/>
        <v>0</v>
      </c>
      <c r="Q21" s="2">
        <f t="shared" si="11"/>
        <v>0</v>
      </c>
      <c r="R21" s="2">
        <f t="shared" si="11"/>
        <v>0</v>
      </c>
      <c r="S21" s="2">
        <f>(H21+I21+J21+K21+L21+M21+N21+O21+P21+Q21+R21)/E21</f>
        <v>4321.25</v>
      </c>
      <c r="T21" s="2">
        <f t="shared" ref="T21:T22" si="12">+G21-S21</f>
        <v>-4321.25</v>
      </c>
      <c r="U21" s="17">
        <f t="shared" ref="U21:U22" si="13">+T21/500</f>
        <v>-8.6425000000000001</v>
      </c>
    </row>
    <row r="22" spans="1:21" x14ac:dyDescent="0.25">
      <c r="A22" s="2" t="s">
        <v>42</v>
      </c>
      <c r="B22" s="2">
        <v>96</v>
      </c>
      <c r="C22" s="2">
        <v>36.5</v>
      </c>
      <c r="D22" s="2">
        <v>56</v>
      </c>
      <c r="E22" s="2">
        <v>4</v>
      </c>
      <c r="F22" s="2" t="s">
        <v>40</v>
      </c>
      <c r="G22" s="2">
        <f>60*500</f>
        <v>30000</v>
      </c>
      <c r="H22" s="2"/>
      <c r="I22" s="2"/>
      <c r="J22" s="2"/>
      <c r="K22" s="2">
        <v>503</v>
      </c>
      <c r="L22" s="2"/>
      <c r="M22" s="2"/>
      <c r="N22" s="2"/>
      <c r="O22" s="2"/>
      <c r="P22" s="2"/>
      <c r="Q22" s="2"/>
      <c r="R22" s="2"/>
      <c r="S22" s="2">
        <f>(H22*H12+I22*I12+J22*J12+K22*K12+L22*L12+M22*M12+N22*N12+O22*O12+P22*P12+Q22*Q12+R22*R12)/E22</f>
        <v>2892.25</v>
      </c>
      <c r="T22" s="2">
        <f t="shared" si="12"/>
        <v>27107.75</v>
      </c>
      <c r="U22" s="17">
        <f t="shared" si="13"/>
        <v>54.215499999999999</v>
      </c>
    </row>
    <row r="23" spans="1:21" x14ac:dyDescent="0.25">
      <c r="A23" s="2" t="s">
        <v>42</v>
      </c>
      <c r="B23" s="2">
        <v>96</v>
      </c>
      <c r="C23" s="2">
        <v>36.5</v>
      </c>
      <c r="D23" s="2">
        <v>54</v>
      </c>
      <c r="E23" s="2">
        <v>4</v>
      </c>
      <c r="F23" s="2" t="s">
        <v>56</v>
      </c>
      <c r="G23" s="2"/>
      <c r="H23" s="19">
        <f>+H22</f>
        <v>0</v>
      </c>
      <c r="I23" s="19">
        <f t="shared" ref="I23" si="14">+I22</f>
        <v>0</v>
      </c>
      <c r="J23" s="19">
        <f t="shared" ref="J23" si="15">+J22</f>
        <v>0</v>
      </c>
      <c r="K23" s="19">
        <f t="shared" ref="K23" si="16">+K22</f>
        <v>503</v>
      </c>
      <c r="L23" s="19">
        <f t="shared" ref="L23" si="17">+L22</f>
        <v>0</v>
      </c>
      <c r="M23" s="19">
        <f t="shared" ref="M23" si="18">+M22</f>
        <v>0</v>
      </c>
      <c r="N23" s="19">
        <f t="shared" ref="N23" si="19">+N22</f>
        <v>0</v>
      </c>
      <c r="O23" s="19">
        <f t="shared" ref="O23" si="20">+O22</f>
        <v>0</v>
      </c>
      <c r="P23" s="19">
        <f t="shared" ref="P23" si="21">+P22</f>
        <v>0</v>
      </c>
      <c r="Q23" s="19">
        <f t="shared" ref="Q23" si="22">+Q22</f>
        <v>0</v>
      </c>
      <c r="R23" s="19">
        <f t="shared" ref="R23" si="23">+R22</f>
        <v>0</v>
      </c>
      <c r="S23" s="19">
        <f>(H23+I23+J23+K23+L23+M23+N23+O23+P23+Q23+R23)/E23</f>
        <v>125.75</v>
      </c>
      <c r="T23" s="2">
        <f>+G23-S23</f>
        <v>-125.75</v>
      </c>
      <c r="U23" s="17">
        <f>+T23/500</f>
        <v>-0.2515</v>
      </c>
    </row>
    <row r="26" spans="1:21" x14ac:dyDescent="0.25">
      <c r="A26" s="4" t="s">
        <v>58</v>
      </c>
      <c r="B26" s="4" t="s">
        <v>2</v>
      </c>
      <c r="C26" s="4" t="s">
        <v>19</v>
      </c>
      <c r="D26" s="4" t="s">
        <v>8</v>
      </c>
      <c r="E26" s="4" t="s">
        <v>21</v>
      </c>
      <c r="F26" s="4" t="s">
        <v>32</v>
      </c>
      <c r="G26" s="4" t="s">
        <v>20</v>
      </c>
      <c r="H26" s="4">
        <v>19</v>
      </c>
      <c r="I26" s="4">
        <v>20</v>
      </c>
      <c r="J26" s="4">
        <v>28</v>
      </c>
      <c r="K26" s="4">
        <v>29</v>
      </c>
      <c r="L26" s="4">
        <v>40</v>
      </c>
      <c r="M26" s="4">
        <v>224</v>
      </c>
      <c r="N26" s="4">
        <v>8.5</v>
      </c>
      <c r="O26" s="4">
        <v>260</v>
      </c>
      <c r="P26" s="4">
        <v>292</v>
      </c>
      <c r="Q26" s="4">
        <v>324</v>
      </c>
      <c r="R26" s="4">
        <v>20</v>
      </c>
      <c r="S26" s="4" t="s">
        <v>22</v>
      </c>
      <c r="T26" s="4" t="s">
        <v>10</v>
      </c>
      <c r="U26" s="4" t="s">
        <v>54</v>
      </c>
    </row>
    <row r="27" spans="1:21" x14ac:dyDescent="0.25">
      <c r="A27" s="2" t="s">
        <v>43</v>
      </c>
      <c r="B27" s="2">
        <v>96</v>
      </c>
      <c r="C27" s="2">
        <v>36.5</v>
      </c>
      <c r="D27" s="2">
        <v>52</v>
      </c>
      <c r="E27" s="2">
        <v>4</v>
      </c>
      <c r="F27" s="2" t="s">
        <v>27</v>
      </c>
      <c r="G27" s="2">
        <v>22500</v>
      </c>
      <c r="H27" s="2"/>
      <c r="I27" s="2">
        <v>4639</v>
      </c>
      <c r="J27" s="2"/>
      <c r="K27" s="2"/>
      <c r="L27" s="2"/>
      <c r="M27" s="2"/>
      <c r="N27" s="2"/>
      <c r="O27" s="2"/>
      <c r="P27" s="2"/>
      <c r="Q27" s="2"/>
      <c r="R27" s="2"/>
      <c r="S27" s="2">
        <f>(H27*H26+I27*I26+J27*J26+K27*K26+L27*L26+M27*M26+N27*N26+O27*O26+P27*P26+Q27*Q26+R27*R26)/E27</f>
        <v>23195</v>
      </c>
      <c r="T27" s="2">
        <f>+G27-S27</f>
        <v>-695</v>
      </c>
      <c r="U27" s="17">
        <f t="shared" ref="U27:U30" si="24">+T27/500</f>
        <v>-1.39</v>
      </c>
    </row>
    <row r="28" spans="1:21" x14ac:dyDescent="0.25">
      <c r="A28" s="2" t="s">
        <v>31</v>
      </c>
      <c r="B28" s="2">
        <v>96</v>
      </c>
      <c r="C28" s="2">
        <v>36.5</v>
      </c>
      <c r="D28" s="2">
        <v>56</v>
      </c>
      <c r="E28" s="2">
        <v>4</v>
      </c>
      <c r="F28" s="2" t="s">
        <v>28</v>
      </c>
      <c r="G28" s="2">
        <v>20000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(H28*H26+I28*I26+J28*J26+K28*K26+L28*L26+M28*M26+N28*N26+O28*O26+P28*P26+Q28*Q26+R28*R26)/E28</f>
        <v>0</v>
      </c>
      <c r="T28" s="2">
        <f t="shared" ref="T28:T30" si="25">+G28-S28</f>
        <v>20000</v>
      </c>
      <c r="U28" s="17">
        <f t="shared" si="24"/>
        <v>40</v>
      </c>
    </row>
    <row r="29" spans="1:21" x14ac:dyDescent="0.25">
      <c r="A29" s="2" t="s">
        <v>46</v>
      </c>
      <c r="B29" s="2">
        <v>96</v>
      </c>
      <c r="C29" s="2">
        <v>36.5</v>
      </c>
      <c r="D29" s="2">
        <v>54</v>
      </c>
      <c r="E29" s="2">
        <v>4</v>
      </c>
      <c r="F29" s="2" t="s">
        <v>28</v>
      </c>
      <c r="G29" s="2">
        <v>21000</v>
      </c>
      <c r="H29" s="2">
        <v>4250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>(H29*H26+I29*I26+J29*J26+K29*K26+L29*L26+M29*M26+N29*N26+O29*O26+P29*P26+Q29*Q26+R29*R26)/E29</f>
        <v>20187.5</v>
      </c>
      <c r="T29" s="2">
        <f t="shared" si="25"/>
        <v>812.5</v>
      </c>
      <c r="U29" s="17">
        <f t="shared" si="24"/>
        <v>1.625</v>
      </c>
    </row>
    <row r="30" spans="1:21" x14ac:dyDescent="0.25">
      <c r="A30" s="2" t="s">
        <v>51</v>
      </c>
      <c r="B30" s="2">
        <v>96</v>
      </c>
      <c r="C30" s="2">
        <v>36.5</v>
      </c>
      <c r="D30" s="2"/>
      <c r="E30" s="2">
        <v>4</v>
      </c>
      <c r="F30" s="2" t="s">
        <v>36</v>
      </c>
      <c r="G30" s="2">
        <v>4000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>(H30*H26+I30*I26+J30*J26+K30*K26+L30*L26+M30*M26+N30*N26+O30*O26+P30*P26+Q30*Q26+R30*R26)/E30</f>
        <v>0</v>
      </c>
      <c r="T30" s="2">
        <f t="shared" si="25"/>
        <v>4000</v>
      </c>
      <c r="U30" s="17">
        <f t="shared" si="24"/>
        <v>8</v>
      </c>
    </row>
    <row r="32" spans="1:21" x14ac:dyDescent="0.25">
      <c r="A32" s="4" t="s">
        <v>58</v>
      </c>
      <c r="B32" s="4" t="s">
        <v>2</v>
      </c>
      <c r="C32" s="4" t="s">
        <v>19</v>
      </c>
      <c r="D32" s="4" t="s">
        <v>8</v>
      </c>
      <c r="E32" s="4" t="s">
        <v>21</v>
      </c>
      <c r="F32" s="4" t="s">
        <v>32</v>
      </c>
      <c r="G32" s="4" t="s">
        <v>20</v>
      </c>
      <c r="H32" s="4">
        <v>30</v>
      </c>
      <c r="I32" s="4">
        <v>21</v>
      </c>
      <c r="J32" s="4">
        <v>28</v>
      </c>
      <c r="K32" s="4">
        <v>29</v>
      </c>
      <c r="L32" s="4">
        <v>40</v>
      </c>
      <c r="M32" s="4">
        <v>224</v>
      </c>
      <c r="N32" s="4">
        <v>8.5</v>
      </c>
      <c r="O32" s="4">
        <v>260</v>
      </c>
      <c r="P32" s="4">
        <v>292</v>
      </c>
      <c r="Q32" s="4">
        <v>324</v>
      </c>
      <c r="R32" s="4">
        <v>20</v>
      </c>
      <c r="S32" s="4" t="s">
        <v>22</v>
      </c>
      <c r="T32" s="4" t="s">
        <v>10</v>
      </c>
      <c r="U32" s="4" t="s">
        <v>54</v>
      </c>
    </row>
    <row r="33" spans="1:21" x14ac:dyDescent="0.25">
      <c r="A33" s="2" t="s">
        <v>31</v>
      </c>
      <c r="B33" s="2">
        <v>96</v>
      </c>
      <c r="C33" s="2">
        <v>36.5</v>
      </c>
      <c r="D33" s="2">
        <v>52</v>
      </c>
      <c r="E33" s="2">
        <v>4</v>
      </c>
      <c r="F33" s="2" t="s">
        <v>27</v>
      </c>
      <c r="G33" s="2">
        <f>243737+386189</f>
        <v>629926</v>
      </c>
      <c r="H33" s="2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f>(H33*H32+I33*I32+J33*J32+K33*K32+L33*L32+M33*M32+N33*N32+O33*O32+P33*P32+Q33*Q32+R33*R32)/E33</f>
        <v>0</v>
      </c>
      <c r="T33" s="2">
        <f>+G33-S33</f>
        <v>629926</v>
      </c>
      <c r="U33" s="17">
        <f t="shared" ref="U33:U41" si="26">+T33/500</f>
        <v>1259.8520000000001</v>
      </c>
    </row>
    <row r="34" spans="1:21" x14ac:dyDescent="0.25">
      <c r="A34" s="2" t="s">
        <v>31</v>
      </c>
      <c r="B34" s="2">
        <v>96</v>
      </c>
      <c r="C34" s="2">
        <v>36.5</v>
      </c>
      <c r="D34" s="2">
        <v>52</v>
      </c>
      <c r="E34" s="2">
        <v>4</v>
      </c>
      <c r="F34" s="2" t="s">
        <v>39</v>
      </c>
      <c r="G34" s="2">
        <f>283600</f>
        <v>283600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f>(H34*H32+I34*I32+J34*J32+K34*K32+L34*L32+M34*M32+N34*N32+O34*O32+P34*P32+Q34*Q32+R34*R32)/E34</f>
        <v>0</v>
      </c>
      <c r="T34" s="2">
        <f t="shared" ref="T34:T41" si="27">+G34-S34</f>
        <v>283600</v>
      </c>
      <c r="U34" s="17">
        <f t="shared" si="26"/>
        <v>567.20000000000005</v>
      </c>
    </row>
    <row r="35" spans="1:21" x14ac:dyDescent="0.25">
      <c r="A35" s="2" t="s">
        <v>31</v>
      </c>
      <c r="B35" s="2">
        <v>96</v>
      </c>
      <c r="C35" s="2">
        <v>36.5</v>
      </c>
      <c r="D35" s="2">
        <v>52</v>
      </c>
      <c r="E35" s="2">
        <v>4</v>
      </c>
      <c r="F35" s="2" t="s">
        <v>47</v>
      </c>
      <c r="G35" s="2">
        <v>217804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f>(H35*H32+I35*I32+J35*J32+K35*K32+L35*L32+M35*M32+N35*N32+O35*O32+P35*P32+Q35*Q32+R35*R32)/E35</f>
        <v>0</v>
      </c>
      <c r="T35" s="2">
        <f t="shared" si="27"/>
        <v>217804</v>
      </c>
      <c r="U35" s="17">
        <f t="shared" si="26"/>
        <v>435.608</v>
      </c>
    </row>
    <row r="36" spans="1:21" x14ac:dyDescent="0.25">
      <c r="A36" s="2" t="s">
        <v>31</v>
      </c>
      <c r="B36" s="2">
        <v>96</v>
      </c>
      <c r="C36" s="2">
        <v>36.5</v>
      </c>
      <c r="D36" s="2">
        <v>52</v>
      </c>
      <c r="E36" s="2">
        <v>4</v>
      </c>
      <c r="F36" s="2" t="s">
        <v>81</v>
      </c>
      <c r="G36" s="2">
        <v>114398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f>(H36*H32+I36*I32+J36*J32+K36*K32+L36*L32+M36*M32+N36*N32+O36*O32+P36*P32+Q36*Q32+R36*R32)/E36</f>
        <v>0</v>
      </c>
      <c r="T36" s="2">
        <f t="shared" si="27"/>
        <v>114398</v>
      </c>
      <c r="U36" s="17">
        <f t="shared" si="26"/>
        <v>228.79599999999999</v>
      </c>
    </row>
    <row r="37" spans="1:21" x14ac:dyDescent="0.25">
      <c r="A37" s="2" t="s">
        <v>31</v>
      </c>
      <c r="B37" s="2">
        <v>96</v>
      </c>
      <c r="C37" s="2">
        <v>36.5</v>
      </c>
      <c r="D37" s="2">
        <v>52</v>
      </c>
      <c r="E37" s="2">
        <v>4</v>
      </c>
      <c r="F37" s="2" t="s">
        <v>80</v>
      </c>
      <c r="G37" s="2">
        <v>56768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f>(H37*H32+I37*I32+J37*J32+K37*K32+L37*L32+M37*M32+N37*N32+O37*O32+P37*P32+Q37*Q32+R37*R32)/E37</f>
        <v>0</v>
      </c>
      <c r="T37" s="2">
        <f t="shared" si="27"/>
        <v>56768</v>
      </c>
      <c r="U37" s="17">
        <f t="shared" si="26"/>
        <v>113.536</v>
      </c>
    </row>
    <row r="38" spans="1:21" x14ac:dyDescent="0.25">
      <c r="A38" s="2" t="s">
        <v>31</v>
      </c>
      <c r="B38" s="2">
        <v>96</v>
      </c>
      <c r="C38" s="2">
        <v>36.5</v>
      </c>
      <c r="D38" s="2">
        <v>52</v>
      </c>
      <c r="E38" s="2">
        <v>4</v>
      </c>
      <c r="F38" s="2" t="s">
        <v>78</v>
      </c>
      <c r="G38" s="2">
        <v>31740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f>(H38*H32+I38*I32+J38*J32+K38*K32+L38*L32+M38*M32+N38*N32+O38*O32+P38*P32+Q38*Q32+R38*R32)/E38</f>
        <v>0</v>
      </c>
      <c r="T38" s="2">
        <f t="shared" ref="T38" si="28">+G38-S38</f>
        <v>31740</v>
      </c>
      <c r="U38" s="17">
        <f t="shared" ref="U38" si="29">+T38/500</f>
        <v>63.48</v>
      </c>
    </row>
    <row r="39" spans="1:21" x14ac:dyDescent="0.25">
      <c r="A39" s="2" t="s">
        <v>31</v>
      </c>
      <c r="B39" s="19">
        <v>96</v>
      </c>
      <c r="C39" s="19">
        <v>36.5</v>
      </c>
      <c r="D39" s="2">
        <v>52</v>
      </c>
      <c r="E39" s="19">
        <v>4</v>
      </c>
      <c r="F39" s="19" t="s">
        <v>33</v>
      </c>
      <c r="G39" s="19"/>
      <c r="H39" s="19">
        <f>H33+H34+H35+H36+H37+H38</f>
        <v>0</v>
      </c>
      <c r="I39" s="19">
        <f t="shared" ref="I39:R39" si="30">I33+I34+I35+I36+I37+I38</f>
        <v>0</v>
      </c>
      <c r="J39" s="19">
        <f t="shared" si="30"/>
        <v>0</v>
      </c>
      <c r="K39" s="19">
        <f t="shared" si="30"/>
        <v>0</v>
      </c>
      <c r="L39" s="19">
        <f t="shared" si="30"/>
        <v>0</v>
      </c>
      <c r="M39" s="19">
        <f t="shared" si="30"/>
        <v>0</v>
      </c>
      <c r="N39" s="19">
        <f t="shared" si="30"/>
        <v>0</v>
      </c>
      <c r="O39" s="19">
        <f t="shared" si="30"/>
        <v>0</v>
      </c>
      <c r="P39" s="19">
        <f t="shared" si="30"/>
        <v>0</v>
      </c>
      <c r="Q39" s="19">
        <f t="shared" si="30"/>
        <v>0</v>
      </c>
      <c r="R39" s="19">
        <f t="shared" si="30"/>
        <v>0</v>
      </c>
      <c r="S39" s="19">
        <f>(H39+I39+J39+K39+L39+M39+N39+O39+P39+Q39+R39)/E39</f>
        <v>0</v>
      </c>
      <c r="T39" s="19">
        <f t="shared" si="27"/>
        <v>0</v>
      </c>
      <c r="U39" s="20">
        <f t="shared" si="26"/>
        <v>0</v>
      </c>
    </row>
    <row r="40" spans="1:21" x14ac:dyDescent="0.25">
      <c r="A40" s="2" t="s">
        <v>31</v>
      </c>
      <c r="B40" s="2">
        <v>96</v>
      </c>
      <c r="C40" s="2">
        <v>36.5</v>
      </c>
      <c r="D40" s="2">
        <v>52</v>
      </c>
      <c r="E40" s="2">
        <v>4</v>
      </c>
      <c r="F40" s="2" t="s">
        <v>40</v>
      </c>
      <c r="G40" s="2">
        <v>83769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f>(H40*H32+I40*I32+J40*J32+K40*K32+L40*L32+M40*M32+N40*N32+O40*O32+P40*P32+Q40*Q32+R40*R32)/E40</f>
        <v>0</v>
      </c>
      <c r="T40" s="2">
        <f t="shared" si="27"/>
        <v>83769</v>
      </c>
      <c r="U40" s="17">
        <f t="shared" si="26"/>
        <v>167.53800000000001</v>
      </c>
    </row>
    <row r="41" spans="1:21" x14ac:dyDescent="0.25">
      <c r="A41" s="2" t="s">
        <v>31</v>
      </c>
      <c r="B41" s="19">
        <v>96</v>
      </c>
      <c r="C41" s="19">
        <v>36.5</v>
      </c>
      <c r="D41" s="2">
        <v>52</v>
      </c>
      <c r="E41" s="19">
        <v>4</v>
      </c>
      <c r="F41" s="19" t="s">
        <v>56</v>
      </c>
      <c r="G41" s="19"/>
      <c r="H41" s="19">
        <f>+H40</f>
        <v>0</v>
      </c>
      <c r="I41" s="19">
        <f t="shared" ref="I41:R41" si="31">+I40</f>
        <v>0</v>
      </c>
      <c r="J41" s="19">
        <f t="shared" si="31"/>
        <v>0</v>
      </c>
      <c r="K41" s="19">
        <f t="shared" si="31"/>
        <v>0</v>
      </c>
      <c r="L41" s="19">
        <f t="shared" si="31"/>
        <v>0</v>
      </c>
      <c r="M41" s="19">
        <f t="shared" si="31"/>
        <v>0</v>
      </c>
      <c r="N41" s="19">
        <f t="shared" si="31"/>
        <v>0</v>
      </c>
      <c r="O41" s="19">
        <f t="shared" si="31"/>
        <v>0</v>
      </c>
      <c r="P41" s="19">
        <f t="shared" si="31"/>
        <v>0</v>
      </c>
      <c r="Q41" s="19">
        <f t="shared" si="31"/>
        <v>0</v>
      </c>
      <c r="R41" s="19">
        <f t="shared" si="31"/>
        <v>0</v>
      </c>
      <c r="S41" s="19">
        <f>(H41+I41+J41+K41+L41+M41+N41+O41+P41+Q41+R41)/E41</f>
        <v>0</v>
      </c>
      <c r="T41" s="19">
        <f t="shared" si="27"/>
        <v>0</v>
      </c>
      <c r="U41" s="20">
        <f t="shared" si="26"/>
        <v>0</v>
      </c>
    </row>
    <row r="46" spans="1:21" x14ac:dyDescent="0.25">
      <c r="A46" s="4" t="s">
        <v>58</v>
      </c>
      <c r="B46" s="4" t="s">
        <v>2</v>
      </c>
      <c r="C46" s="4" t="s">
        <v>19</v>
      </c>
      <c r="D46" s="4" t="s">
        <v>8</v>
      </c>
      <c r="E46" s="4" t="s">
        <v>21</v>
      </c>
      <c r="F46" s="4" t="s">
        <v>32</v>
      </c>
      <c r="G46" s="4" t="s">
        <v>20</v>
      </c>
      <c r="H46" s="16">
        <v>27</v>
      </c>
      <c r="I46" s="16">
        <v>24</v>
      </c>
      <c r="J46" s="16">
        <v>39</v>
      </c>
      <c r="K46" s="16">
        <v>26</v>
      </c>
      <c r="L46" s="16">
        <v>16</v>
      </c>
      <c r="M46" s="4">
        <v>224</v>
      </c>
      <c r="N46" s="4">
        <v>8.5</v>
      </c>
      <c r="O46" s="4">
        <v>260</v>
      </c>
      <c r="P46" s="4">
        <v>292</v>
      </c>
      <c r="Q46" s="4">
        <v>324</v>
      </c>
      <c r="R46" s="4">
        <v>20</v>
      </c>
      <c r="S46" s="4" t="s">
        <v>22</v>
      </c>
      <c r="T46" s="4" t="s">
        <v>10</v>
      </c>
      <c r="U46" s="4" t="s">
        <v>54</v>
      </c>
    </row>
    <row r="47" spans="1:21" x14ac:dyDescent="0.25">
      <c r="A47" s="2" t="s">
        <v>34</v>
      </c>
      <c r="B47" s="2">
        <v>96</v>
      </c>
      <c r="C47" s="2">
        <v>36.5</v>
      </c>
      <c r="D47" s="2">
        <v>54</v>
      </c>
      <c r="E47" s="2">
        <v>4</v>
      </c>
      <c r="F47" s="2" t="s">
        <v>27</v>
      </c>
      <c r="G47" s="2">
        <f>(180+24+180+30+60+60+30)*500+(146482+387518)</f>
        <v>816000</v>
      </c>
      <c r="H47" s="22"/>
      <c r="I47" s="2">
        <f>28430+21988+15420</f>
        <v>65838</v>
      </c>
      <c r="J47" s="2">
        <f>10628+6999</f>
        <v>17627</v>
      </c>
      <c r="K47" s="2"/>
      <c r="L47" s="2"/>
      <c r="M47" s="2"/>
      <c r="N47" s="2"/>
      <c r="O47" s="2"/>
      <c r="P47" s="2"/>
      <c r="Q47" s="2"/>
      <c r="R47" s="2"/>
      <c r="S47" s="2">
        <f>(H47*H46+I47*I46+J47*J46+K47*K46+L47*L46+M47*M46+N47*N46+O47*O46+P47*P46+Q47*Q46+R47*R46)/E47</f>
        <v>566891.25</v>
      </c>
      <c r="T47" s="2">
        <f>+G47-S47</f>
        <v>249108.75</v>
      </c>
      <c r="U47" s="17">
        <f t="shared" ref="U47:U49" si="32">+T47/500</f>
        <v>498.21749999999997</v>
      </c>
    </row>
    <row r="48" spans="1:21" x14ac:dyDescent="0.25">
      <c r="A48" s="2" t="s">
        <v>34</v>
      </c>
      <c r="B48" s="2">
        <v>96</v>
      </c>
      <c r="C48" s="2">
        <v>36.5</v>
      </c>
      <c r="D48" s="2">
        <v>54</v>
      </c>
      <c r="E48" s="2">
        <v>4</v>
      </c>
      <c r="F48" s="2" t="s">
        <v>39</v>
      </c>
      <c r="G48" s="2">
        <f>+(120+180+180+60+120)*500+(122262)</f>
        <v>452262</v>
      </c>
      <c r="H48" s="2"/>
      <c r="I48" s="2">
        <f>19980+9909+9649</f>
        <v>39538</v>
      </c>
      <c r="J48" s="2">
        <f>6674+2988</f>
        <v>9662</v>
      </c>
      <c r="K48" s="2"/>
      <c r="L48" s="2"/>
      <c r="M48" s="2"/>
      <c r="N48" s="2"/>
      <c r="O48" s="2"/>
      <c r="P48" s="2"/>
      <c r="Q48" s="2"/>
      <c r="R48" s="2"/>
      <c r="S48" s="2">
        <f>(H48*H46+I48*I46+J48*J46+K48*K46+L48*L46+M48*M46+N48*N46+O48*O46+P48*P46+Q48*Q46+R48*R46)/E48</f>
        <v>331432.5</v>
      </c>
      <c r="T48" s="2">
        <f t="shared" ref="T48:T49" si="33">+G48-S48</f>
        <v>120829.5</v>
      </c>
      <c r="U48" s="17">
        <f t="shared" si="32"/>
        <v>241.65899999999999</v>
      </c>
    </row>
    <row r="49" spans="1:21" x14ac:dyDescent="0.25">
      <c r="A49" s="2" t="s">
        <v>34</v>
      </c>
      <c r="B49" s="2">
        <v>96</v>
      </c>
      <c r="C49" s="2">
        <v>36.5</v>
      </c>
      <c r="D49" s="2">
        <v>54</v>
      </c>
      <c r="E49" s="2">
        <v>4</v>
      </c>
      <c r="F49" s="2" t="s">
        <v>47</v>
      </c>
      <c r="G49" s="40">
        <f>(280+60+60)*500+(158296)</f>
        <v>358296</v>
      </c>
      <c r="H49" s="2"/>
      <c r="I49" s="2">
        <f>2288+8060+5116</f>
        <v>15464</v>
      </c>
      <c r="J49" s="2">
        <f>4774+2149</f>
        <v>6923</v>
      </c>
      <c r="K49" s="2"/>
      <c r="L49" s="2"/>
      <c r="M49" s="2"/>
      <c r="N49" s="2"/>
      <c r="O49" s="2"/>
      <c r="P49" s="2"/>
      <c r="Q49" s="2"/>
      <c r="R49" s="2"/>
      <c r="S49" s="2">
        <f>(H49*H46+I49*I46+J49*J46+K49*K46+L49*L46+M49*M46+N49*N46+O49*O46+P49*P46+Q49*Q46+R49*R46)/E49</f>
        <v>160283.25</v>
      </c>
      <c r="T49" s="2">
        <f t="shared" si="33"/>
        <v>198012.75</v>
      </c>
      <c r="U49" s="17">
        <f t="shared" si="32"/>
        <v>396.02550000000002</v>
      </c>
    </row>
    <row r="50" spans="1:21" x14ac:dyDescent="0.25">
      <c r="A50" s="2" t="s">
        <v>34</v>
      </c>
      <c r="B50" s="2">
        <v>96</v>
      </c>
      <c r="C50" s="2">
        <v>36.5</v>
      </c>
      <c r="D50" s="2">
        <v>54</v>
      </c>
      <c r="E50" s="2">
        <v>4</v>
      </c>
      <c r="F50" s="2" t="s">
        <v>79</v>
      </c>
      <c r="G50" s="2">
        <f>(80+50)*500+(64583)</f>
        <v>129583</v>
      </c>
      <c r="H50" s="2">
        <v>1196</v>
      </c>
      <c r="I50" s="2">
        <v>3005</v>
      </c>
      <c r="J50" s="2">
        <v>984</v>
      </c>
      <c r="K50" s="12"/>
      <c r="L50" s="12"/>
      <c r="M50" s="12"/>
      <c r="N50" s="12"/>
      <c r="O50" s="12"/>
      <c r="P50" s="12"/>
      <c r="Q50" s="12"/>
      <c r="R50" s="12"/>
      <c r="S50" s="2">
        <f>(H50*H46+I50*I46+J50*J46+K50*K46+L50*L46+M50*M46+N50*N46+O50*O46+P50*P46+Q50*Q46+R50*R46)/E50</f>
        <v>35697</v>
      </c>
      <c r="T50" s="2">
        <f>+G50-S50</f>
        <v>93886</v>
      </c>
      <c r="U50" s="17">
        <f>+T50/500</f>
        <v>187.77199999999999</v>
      </c>
    </row>
    <row r="51" spans="1:21" x14ac:dyDescent="0.25">
      <c r="A51" s="2" t="s">
        <v>34</v>
      </c>
      <c r="B51" s="2">
        <v>96</v>
      </c>
      <c r="C51" s="2">
        <v>36.5</v>
      </c>
      <c r="D51" s="2">
        <v>54</v>
      </c>
      <c r="E51" s="2">
        <v>4</v>
      </c>
      <c r="F51" s="2" t="s">
        <v>80</v>
      </c>
      <c r="G51" s="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">
        <f>(H51*H46+I51*I46+J51*J46+K51*K46+L51*L46+M51*M46+N51*N46+O51*O46+P51*P46+Q51*Q46+R51*R46)/E51</f>
        <v>0</v>
      </c>
      <c r="T51" s="2">
        <f t="shared" ref="T51" si="34">+G51-S51</f>
        <v>0</v>
      </c>
      <c r="U51" s="17">
        <f t="shared" ref="U51" si="35">+T51/500</f>
        <v>0</v>
      </c>
    </row>
    <row r="52" spans="1:21" x14ac:dyDescent="0.25">
      <c r="A52" s="19" t="s">
        <v>34</v>
      </c>
      <c r="B52" s="19">
        <v>96</v>
      </c>
      <c r="C52" s="19">
        <v>36.5</v>
      </c>
      <c r="D52" s="19">
        <v>54</v>
      </c>
      <c r="E52" s="19">
        <v>4</v>
      </c>
      <c r="F52" s="19" t="s">
        <v>33</v>
      </c>
      <c r="G52" s="19"/>
      <c r="H52" s="19">
        <f t="shared" ref="H52:R52" si="36">H47+H48+H49+H50+H51</f>
        <v>1196</v>
      </c>
      <c r="I52" s="19">
        <f t="shared" si="36"/>
        <v>123845</v>
      </c>
      <c r="J52" s="19">
        <f t="shared" si="36"/>
        <v>35196</v>
      </c>
      <c r="K52" s="19">
        <f t="shared" si="36"/>
        <v>0</v>
      </c>
      <c r="L52" s="19">
        <f t="shared" si="36"/>
        <v>0</v>
      </c>
      <c r="M52" s="19">
        <f t="shared" si="36"/>
        <v>0</v>
      </c>
      <c r="N52" s="19">
        <f t="shared" si="36"/>
        <v>0</v>
      </c>
      <c r="O52" s="19">
        <f t="shared" si="36"/>
        <v>0</v>
      </c>
      <c r="P52" s="19">
        <f t="shared" si="36"/>
        <v>0</v>
      </c>
      <c r="Q52" s="19">
        <f t="shared" si="36"/>
        <v>0</v>
      </c>
      <c r="R52" s="19">
        <f t="shared" si="36"/>
        <v>0</v>
      </c>
      <c r="S52" s="19">
        <f>(H52+I52+J52+K52+L52+M52+N52+O52+P52+Q52+R52)/E52</f>
        <v>40059.25</v>
      </c>
      <c r="T52" s="19">
        <f t="shared" ref="T52:T54" si="37">+G52-S52</f>
        <v>-40059.25</v>
      </c>
      <c r="U52" s="20">
        <f t="shared" ref="U52:U54" si="38">+T52/500</f>
        <v>-80.118499999999997</v>
      </c>
    </row>
    <row r="53" spans="1:21" x14ac:dyDescent="0.25">
      <c r="A53" s="2" t="s">
        <v>34</v>
      </c>
      <c r="B53" s="2">
        <v>96</v>
      </c>
      <c r="C53" s="2">
        <v>36.5</v>
      </c>
      <c r="D53" s="2">
        <v>54</v>
      </c>
      <c r="E53" s="2">
        <v>4</v>
      </c>
      <c r="F53" s="2" t="s">
        <v>40</v>
      </c>
      <c r="G53" s="40">
        <f>+(220+120)*500</f>
        <v>170000</v>
      </c>
      <c r="H53" s="2"/>
      <c r="I53" s="2"/>
      <c r="J53" s="2"/>
      <c r="K53" s="2">
        <f>2011+3026</f>
        <v>5037</v>
      </c>
      <c r="L53" s="2">
        <f>15097+3317</f>
        <v>18414</v>
      </c>
      <c r="M53" s="2"/>
      <c r="N53" s="2"/>
      <c r="O53" s="2"/>
      <c r="P53" s="2"/>
      <c r="Q53" s="2"/>
      <c r="R53" s="2"/>
      <c r="S53" s="2">
        <f>(H53*H46+I53*I46+J53*J46+K53*K46+L53*L46+M53*M46+N53*N46+O53*O46+P53*P46+Q53*Q46+R53*R46)/E53</f>
        <v>106396.5</v>
      </c>
      <c r="T53" s="2">
        <f t="shared" si="37"/>
        <v>63603.5</v>
      </c>
      <c r="U53" s="17">
        <f t="shared" si="38"/>
        <v>127.20699999999999</v>
      </c>
    </row>
    <row r="54" spans="1:21" x14ac:dyDescent="0.25">
      <c r="A54" s="19" t="s">
        <v>34</v>
      </c>
      <c r="B54" s="19">
        <v>96</v>
      </c>
      <c r="C54" s="19">
        <v>36.5</v>
      </c>
      <c r="D54" s="19">
        <v>54</v>
      </c>
      <c r="E54" s="19">
        <v>4</v>
      </c>
      <c r="F54" s="19" t="s">
        <v>56</v>
      </c>
      <c r="G54" s="19"/>
      <c r="H54" s="19">
        <f>+H53</f>
        <v>0</v>
      </c>
      <c r="I54" s="19">
        <f t="shared" ref="I54:R54" si="39">+I53</f>
        <v>0</v>
      </c>
      <c r="J54" s="19">
        <f t="shared" si="39"/>
        <v>0</v>
      </c>
      <c r="K54" s="19">
        <f t="shared" si="39"/>
        <v>5037</v>
      </c>
      <c r="L54" s="19">
        <f t="shared" si="39"/>
        <v>18414</v>
      </c>
      <c r="M54" s="19">
        <f t="shared" si="39"/>
        <v>0</v>
      </c>
      <c r="N54" s="19">
        <f t="shared" si="39"/>
        <v>0</v>
      </c>
      <c r="O54" s="19">
        <f t="shared" si="39"/>
        <v>0</v>
      </c>
      <c r="P54" s="19">
        <f t="shared" si="39"/>
        <v>0</v>
      </c>
      <c r="Q54" s="19">
        <f t="shared" si="39"/>
        <v>0</v>
      </c>
      <c r="R54" s="19">
        <f t="shared" si="39"/>
        <v>0</v>
      </c>
      <c r="S54" s="19">
        <f>(H54+I54+J54+K54+L54+M54+N54+O54+P54+Q54+R54)/E54</f>
        <v>5862.75</v>
      </c>
      <c r="T54" s="19">
        <f t="shared" si="37"/>
        <v>-5862.75</v>
      </c>
      <c r="U54" s="20">
        <f t="shared" si="38"/>
        <v>-11.7255</v>
      </c>
    </row>
  </sheetData>
  <autoFilter ref="A2:U30" xr:uid="{00000000-0009-0000-0000-000005000000}"/>
  <pageMargins left="0.70866141732283472" right="0.70866141732283472" top="0.74803149606299213" bottom="0.74803149606299213" header="0.31496062992125984" footer="0.31496062992125984"/>
  <pageSetup scale="1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U9"/>
  <sheetViews>
    <sheetView workbookViewId="0">
      <selection activeCell="S7" sqref="S7"/>
    </sheetView>
  </sheetViews>
  <sheetFormatPr defaultRowHeight="15" x14ac:dyDescent="0.25"/>
  <cols>
    <col min="1" max="1" width="16.85546875" bestFit="1" customWidth="1"/>
    <col min="6" max="6" width="12.7109375" customWidth="1"/>
    <col min="7" max="7" width="11.42578125" customWidth="1"/>
    <col min="19" max="19" width="14.28515625" bestFit="1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4">
        <v>30</v>
      </c>
      <c r="I2" s="4">
        <v>21</v>
      </c>
      <c r="J2" s="4">
        <v>28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38</v>
      </c>
      <c r="B3" s="2">
        <v>94</v>
      </c>
      <c r="C3" s="2">
        <v>34.5</v>
      </c>
      <c r="D3" s="2">
        <v>54</v>
      </c>
      <c r="E3" s="2">
        <v>4</v>
      </c>
      <c r="F3" s="2" t="s">
        <v>27</v>
      </c>
      <c r="G3" s="2">
        <v>31816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">
        <f>(H3*H2+I3*I2+J3*J2+K3*K2+L3*L2+M3*M2+N3*N2+O3*O2+P3*P2+Q3*Q2+R3*R2)/E3</f>
        <v>0</v>
      </c>
      <c r="T3" s="2">
        <f>+G3-S3</f>
        <v>31816</v>
      </c>
      <c r="U3" s="17">
        <f t="shared" ref="U3:U9" si="0">+T3/500</f>
        <v>63.631999999999998</v>
      </c>
    </row>
    <row r="4" spans="1:21" x14ac:dyDescent="0.25">
      <c r="A4" s="2" t="s">
        <v>38</v>
      </c>
      <c r="B4" s="2">
        <v>96</v>
      </c>
      <c r="C4" s="2">
        <v>36.5</v>
      </c>
      <c r="D4" s="2">
        <v>54</v>
      </c>
      <c r="E4" s="2">
        <v>4</v>
      </c>
      <c r="F4" s="2" t="s">
        <v>39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ref="T4:T9" si="1">+G4-S4</f>
        <v>0</v>
      </c>
      <c r="U4" s="17">
        <f t="shared" si="0"/>
        <v>0</v>
      </c>
    </row>
    <row r="5" spans="1:21" x14ac:dyDescent="0.25">
      <c r="A5" s="2" t="s">
        <v>38</v>
      </c>
      <c r="B5" s="2">
        <v>96</v>
      </c>
      <c r="C5" s="2">
        <v>36.5</v>
      </c>
      <c r="D5" s="2">
        <v>54</v>
      </c>
      <c r="E5" s="2">
        <v>4</v>
      </c>
      <c r="F5" s="2" t="s">
        <v>47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>(H5*H2+I5*I2+J5*J2+K5*K2+L5*L2+M5*M2+N5*N2+O5*O2+P5*P2+Q5*Q2+R5*R2)/E5</f>
        <v>0</v>
      </c>
      <c r="T5" s="2">
        <f t="shared" si="1"/>
        <v>0</v>
      </c>
      <c r="U5" s="17">
        <f t="shared" si="0"/>
        <v>0</v>
      </c>
    </row>
    <row r="6" spans="1:21" x14ac:dyDescent="0.25">
      <c r="A6" s="2" t="s">
        <v>38</v>
      </c>
      <c r="B6" s="2">
        <v>96</v>
      </c>
      <c r="C6" s="2">
        <v>36.5</v>
      </c>
      <c r="D6" s="2">
        <v>54</v>
      </c>
      <c r="E6" s="2">
        <v>4</v>
      </c>
      <c r="F6" s="2" t="s">
        <v>81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si="1"/>
        <v>0</v>
      </c>
      <c r="U6" s="17">
        <f t="shared" si="0"/>
        <v>0</v>
      </c>
    </row>
    <row r="7" spans="1:21" x14ac:dyDescent="0.25">
      <c r="A7" s="2" t="s">
        <v>38</v>
      </c>
      <c r="B7" s="2">
        <v>96</v>
      </c>
      <c r="C7" s="2">
        <v>36.5</v>
      </c>
      <c r="D7" s="2">
        <v>54</v>
      </c>
      <c r="E7" s="2">
        <v>4</v>
      </c>
      <c r="F7" s="2" t="s">
        <v>33</v>
      </c>
      <c r="G7" s="2"/>
      <c r="H7" s="2">
        <f>+H6+H5+H4+H3</f>
        <v>0</v>
      </c>
      <c r="I7" s="2">
        <f t="shared" ref="I7:R7" si="2">+I6+I5+I4+I3</f>
        <v>0</v>
      </c>
      <c r="J7" s="2">
        <f t="shared" si="2"/>
        <v>0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  <c r="Q7" s="2">
        <f t="shared" si="2"/>
        <v>0</v>
      </c>
      <c r="R7" s="2">
        <f t="shared" si="2"/>
        <v>0</v>
      </c>
      <c r="S7" s="19">
        <f>(H7+I7+J7+K7+L7+M7+N7+O7+P7+Q7+R7)/E7</f>
        <v>0</v>
      </c>
      <c r="T7" s="2">
        <f>+G7-S7</f>
        <v>0</v>
      </c>
      <c r="U7" s="17">
        <f>+T7/500</f>
        <v>0</v>
      </c>
    </row>
    <row r="8" spans="1:21" x14ac:dyDescent="0.25">
      <c r="A8" s="2" t="s">
        <v>38</v>
      </c>
      <c r="B8" s="2">
        <v>96</v>
      </c>
      <c r="C8" s="2">
        <v>36.5</v>
      </c>
      <c r="D8" s="2">
        <v>54</v>
      </c>
      <c r="E8" s="2">
        <v>4</v>
      </c>
      <c r="F8" s="2" t="s">
        <v>40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>(H8*H2+I8*I2+J8*J2+K8*K2+L8*L2+M8*M2+N8*N2+O8*O2+P8*P2+Q8*Q2+R8*R2)/E8</f>
        <v>0</v>
      </c>
      <c r="T8" s="2">
        <f>+G8-S8</f>
        <v>0</v>
      </c>
      <c r="U8" s="17">
        <f>+T8/500</f>
        <v>0</v>
      </c>
    </row>
    <row r="9" spans="1:21" x14ac:dyDescent="0.25">
      <c r="A9" s="2" t="s">
        <v>38</v>
      </c>
      <c r="B9" s="2">
        <v>96</v>
      </c>
      <c r="C9" s="2">
        <v>36.5</v>
      </c>
      <c r="D9" s="2">
        <v>54</v>
      </c>
      <c r="E9" s="2">
        <v>4</v>
      </c>
      <c r="F9" s="2" t="s">
        <v>56</v>
      </c>
      <c r="G9" s="2"/>
      <c r="H9" s="19">
        <f>+H8</f>
        <v>0</v>
      </c>
      <c r="I9" s="19">
        <f t="shared" ref="I9:R9" si="3">+I8</f>
        <v>0</v>
      </c>
      <c r="J9" s="19">
        <f t="shared" si="3"/>
        <v>0</v>
      </c>
      <c r="K9" s="19">
        <f t="shared" si="3"/>
        <v>0</v>
      </c>
      <c r="L9" s="19">
        <f t="shared" si="3"/>
        <v>0</v>
      </c>
      <c r="M9" s="19">
        <f t="shared" si="3"/>
        <v>0</v>
      </c>
      <c r="N9" s="19">
        <f t="shared" si="3"/>
        <v>0</v>
      </c>
      <c r="O9" s="19">
        <f t="shared" si="3"/>
        <v>0</v>
      </c>
      <c r="P9" s="19">
        <f t="shared" si="3"/>
        <v>0</v>
      </c>
      <c r="Q9" s="19">
        <f t="shared" si="3"/>
        <v>0</v>
      </c>
      <c r="R9" s="19">
        <f t="shared" si="3"/>
        <v>0</v>
      </c>
      <c r="S9" s="19">
        <f>(H9+I9+J9+K9+L9+M9+N9+O9+P9+Q9+R9)/E9</f>
        <v>0</v>
      </c>
      <c r="T9" s="2">
        <f t="shared" si="1"/>
        <v>0</v>
      </c>
      <c r="U9" s="17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30"/>
  <sheetViews>
    <sheetView topLeftCell="A6" zoomScale="85" zoomScaleNormal="85" workbookViewId="0">
      <selection activeCell="U14" sqref="U14"/>
    </sheetView>
  </sheetViews>
  <sheetFormatPr defaultRowHeight="15" x14ac:dyDescent="0.25"/>
  <cols>
    <col min="1" max="1" width="16.85546875" bestFit="1" customWidth="1"/>
    <col min="6" max="6" width="11.85546875" bestFit="1" customWidth="1"/>
    <col min="8" max="18" width="9.140625" customWidth="1"/>
    <col min="19" max="19" width="12.140625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16">
        <v>30</v>
      </c>
      <c r="I2" s="16">
        <v>21</v>
      </c>
      <c r="J2" s="16">
        <v>27</v>
      </c>
      <c r="K2" s="4">
        <v>29</v>
      </c>
      <c r="L2" s="4">
        <v>40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34</v>
      </c>
      <c r="B3" s="2">
        <v>89</v>
      </c>
      <c r="C3" s="2">
        <v>34.5</v>
      </c>
      <c r="D3" s="2">
        <v>50</v>
      </c>
      <c r="E3" s="2">
        <v>4</v>
      </c>
      <c r="F3" s="2" t="s">
        <v>27</v>
      </c>
      <c r="G3" s="2">
        <v>200000</v>
      </c>
      <c r="H3" s="22">
        <v>24160</v>
      </c>
      <c r="I3" s="22">
        <v>4317</v>
      </c>
      <c r="J3" s="22">
        <v>3020</v>
      </c>
      <c r="K3" s="22"/>
      <c r="L3" s="22"/>
      <c r="M3" s="22"/>
      <c r="N3" s="22"/>
      <c r="O3" s="22"/>
      <c r="P3" s="22"/>
      <c r="Q3" s="22"/>
      <c r="R3" s="22"/>
      <c r="S3" s="23">
        <f>(H3*H2+I3*I2+J3*J2+K3*K2+L3*L2+M3*M2+N3*N2+O3*O2+P3*P2+Q3*Q2+R3*R2)/E3</f>
        <v>224249.25</v>
      </c>
      <c r="T3" s="23">
        <f>+G3-S3</f>
        <v>-24249.25</v>
      </c>
      <c r="U3" s="23">
        <f t="shared" ref="U3:U9" si="0">+T3/500</f>
        <v>-48.4985</v>
      </c>
    </row>
    <row r="4" spans="1:21" x14ac:dyDescent="0.25">
      <c r="A4" s="2" t="s">
        <v>34</v>
      </c>
      <c r="B4" s="2">
        <v>89</v>
      </c>
      <c r="C4" s="2">
        <v>34.5</v>
      </c>
      <c r="D4" s="2">
        <v>50</v>
      </c>
      <c r="E4" s="2">
        <v>4</v>
      </c>
      <c r="F4" s="2" t="s">
        <v>39</v>
      </c>
      <c r="G4" s="2">
        <f>300*500</f>
        <v>150000</v>
      </c>
      <c r="H4" s="2">
        <v>11800</v>
      </c>
      <c r="I4" s="2"/>
      <c r="J4" s="2"/>
      <c r="K4" s="2"/>
      <c r="L4" s="2"/>
      <c r="M4" s="2"/>
      <c r="N4" s="2"/>
      <c r="O4" s="2"/>
      <c r="P4" s="2"/>
      <c r="Q4" s="2"/>
      <c r="R4" s="2"/>
      <c r="S4" s="23">
        <f>(H4*H2+I4*I2+J4*J2+K4*K2+L4*L2+M4*M2+N4*N2+O4*O2+P4*P2+Q4*Q2+R4*R2)/E4</f>
        <v>88500</v>
      </c>
      <c r="T4" s="23">
        <f t="shared" ref="T4:T9" si="1">+G4-S4</f>
        <v>61500</v>
      </c>
      <c r="U4" s="23">
        <f t="shared" si="0"/>
        <v>123</v>
      </c>
    </row>
    <row r="5" spans="1:21" x14ac:dyDescent="0.25">
      <c r="A5" s="2" t="s">
        <v>34</v>
      </c>
      <c r="B5" s="2">
        <v>89</v>
      </c>
      <c r="C5" s="2">
        <v>34.5</v>
      </c>
      <c r="D5" s="2">
        <v>50</v>
      </c>
      <c r="E5" s="2">
        <v>4</v>
      </c>
      <c r="F5" s="2" t="s">
        <v>47</v>
      </c>
      <c r="G5" s="2">
        <f>(60+60+10)*500</f>
        <v>65000</v>
      </c>
      <c r="H5" s="2">
        <v>3006</v>
      </c>
      <c r="I5" s="2"/>
      <c r="J5" s="2"/>
      <c r="K5" s="2"/>
      <c r="L5" s="2"/>
      <c r="M5" s="2"/>
      <c r="N5" s="2"/>
      <c r="O5" s="2"/>
      <c r="P5" s="2"/>
      <c r="Q5" s="2"/>
      <c r="R5" s="2"/>
      <c r="S5" s="23">
        <f>(H5*H2+I5*I2+J5*J2+K5*K2+L5*L2+M5*M2+N5*N2+O5*O2+P5*P2+Q5*Q2+R5*R2)/E5</f>
        <v>22545</v>
      </c>
      <c r="T5" s="23">
        <f t="shared" si="1"/>
        <v>42455</v>
      </c>
      <c r="U5" s="23">
        <f t="shared" si="0"/>
        <v>84.91</v>
      </c>
    </row>
    <row r="6" spans="1:21" x14ac:dyDescent="0.25">
      <c r="A6" s="2" t="s">
        <v>34</v>
      </c>
      <c r="B6" s="2">
        <v>89</v>
      </c>
      <c r="C6" s="2">
        <v>34.5</v>
      </c>
      <c r="D6" s="2">
        <v>50</v>
      </c>
      <c r="E6" s="2">
        <v>4</v>
      </c>
      <c r="F6" s="2" t="s">
        <v>81</v>
      </c>
      <c r="G6" s="2">
        <f>40*500</f>
        <v>20000</v>
      </c>
      <c r="H6" s="2">
        <v>2000</v>
      </c>
      <c r="I6" s="2"/>
      <c r="J6" s="2"/>
      <c r="K6" s="2"/>
      <c r="L6" s="2"/>
      <c r="M6" s="2"/>
      <c r="N6" s="2"/>
      <c r="O6" s="2"/>
      <c r="P6" s="2"/>
      <c r="Q6" s="2"/>
      <c r="R6" s="2"/>
      <c r="S6" s="23">
        <f>(H6*H2+I6*I2+J6*J2+K6*K2+L6*L2+M6*M2+N6*N2+O6*O2+P6*P2+Q6*Q2+R6*R2)/E6</f>
        <v>15000</v>
      </c>
      <c r="T6" s="23">
        <f t="shared" si="1"/>
        <v>5000</v>
      </c>
      <c r="U6" s="23">
        <f t="shared" si="0"/>
        <v>10</v>
      </c>
    </row>
    <row r="7" spans="1:21" x14ac:dyDescent="0.25">
      <c r="A7" s="2" t="s">
        <v>34</v>
      </c>
      <c r="B7" s="2">
        <v>89</v>
      </c>
      <c r="C7" s="2">
        <v>34.5</v>
      </c>
      <c r="D7" s="2">
        <v>50</v>
      </c>
      <c r="E7" s="2">
        <v>4</v>
      </c>
      <c r="F7" s="2" t="s">
        <v>33</v>
      </c>
      <c r="G7" s="2"/>
      <c r="H7" s="2">
        <f>+H6+H5+H4+H3</f>
        <v>40966</v>
      </c>
      <c r="I7" s="2">
        <f t="shared" ref="I7:R7" si="2">+I6+I5+I4+I3</f>
        <v>4317</v>
      </c>
      <c r="J7" s="2">
        <f t="shared" si="2"/>
        <v>3020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  <c r="Q7" s="2">
        <f t="shared" si="2"/>
        <v>0</v>
      </c>
      <c r="R7" s="2">
        <f t="shared" si="2"/>
        <v>0</v>
      </c>
      <c r="S7" s="24">
        <f>(H7+I7+J7+K7+L7+M7+N7+O7+P7+Q7+R7)/E7</f>
        <v>12075.75</v>
      </c>
      <c r="T7" s="23">
        <f t="shared" si="1"/>
        <v>-12075.75</v>
      </c>
      <c r="U7" s="23">
        <f t="shared" si="0"/>
        <v>-24.151499999999999</v>
      </c>
    </row>
    <row r="8" spans="1:21" x14ac:dyDescent="0.25">
      <c r="A8" s="2" t="s">
        <v>34</v>
      </c>
      <c r="B8" s="2">
        <v>89</v>
      </c>
      <c r="C8" s="2">
        <v>34.5</v>
      </c>
      <c r="D8" s="2">
        <v>50</v>
      </c>
      <c r="E8" s="2">
        <v>4</v>
      </c>
      <c r="F8" s="2" t="s">
        <v>40</v>
      </c>
      <c r="G8" s="2">
        <f>260*500</f>
        <v>130000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3">
        <f>(H8*H2+I8*I2+J8*J2+K8*K2+L8*L2+M8*M2+N8*N2+O8*O2+P8*P2+Q8*Q2+R8*R2)/E8</f>
        <v>0</v>
      </c>
      <c r="T8" s="23">
        <f>+G8-S8</f>
        <v>130000</v>
      </c>
      <c r="U8" s="23">
        <f>+T8/500</f>
        <v>260</v>
      </c>
    </row>
    <row r="9" spans="1:21" x14ac:dyDescent="0.25">
      <c r="A9" s="2" t="s">
        <v>34</v>
      </c>
      <c r="B9" s="2">
        <v>89</v>
      </c>
      <c r="C9" s="2">
        <v>34.5</v>
      </c>
      <c r="D9" s="2">
        <v>50</v>
      </c>
      <c r="E9" s="2">
        <v>4</v>
      </c>
      <c r="F9" s="2" t="s">
        <v>56</v>
      </c>
      <c r="G9" s="2"/>
      <c r="H9" s="19">
        <f>+H8</f>
        <v>0</v>
      </c>
      <c r="I9" s="19">
        <f t="shared" ref="I9:R9" si="3">+I8</f>
        <v>0</v>
      </c>
      <c r="J9" s="19">
        <f t="shared" si="3"/>
        <v>0</v>
      </c>
      <c r="K9" s="19">
        <f t="shared" si="3"/>
        <v>0</v>
      </c>
      <c r="L9" s="19">
        <f t="shared" si="3"/>
        <v>0</v>
      </c>
      <c r="M9" s="19">
        <f t="shared" si="3"/>
        <v>0</v>
      </c>
      <c r="N9" s="19">
        <f t="shared" si="3"/>
        <v>0</v>
      </c>
      <c r="O9" s="19">
        <f t="shared" si="3"/>
        <v>0</v>
      </c>
      <c r="P9" s="19">
        <f t="shared" si="3"/>
        <v>0</v>
      </c>
      <c r="Q9" s="19">
        <f t="shared" si="3"/>
        <v>0</v>
      </c>
      <c r="R9" s="19">
        <f t="shared" si="3"/>
        <v>0</v>
      </c>
      <c r="S9" s="24">
        <f>(H9+I9+J9+K9+L9+M9+N9+O9+P9+Q9+R9)/E9</f>
        <v>0</v>
      </c>
      <c r="T9" s="23">
        <f t="shared" si="1"/>
        <v>0</v>
      </c>
      <c r="U9" s="23">
        <f t="shared" si="0"/>
        <v>0</v>
      </c>
    </row>
    <row r="10" spans="1:21" x14ac:dyDescent="0.25">
      <c r="S10" s="26"/>
      <c r="T10" s="26"/>
      <c r="U10" s="26"/>
    </row>
    <row r="12" spans="1:21" x14ac:dyDescent="0.25">
      <c r="A12" s="4" t="s">
        <v>58</v>
      </c>
      <c r="B12" s="4" t="s">
        <v>2</v>
      </c>
      <c r="C12" s="4" t="s">
        <v>19</v>
      </c>
      <c r="D12" s="4" t="s">
        <v>8</v>
      </c>
      <c r="E12" s="4" t="s">
        <v>21</v>
      </c>
      <c r="F12" s="4" t="s">
        <v>32</v>
      </c>
      <c r="G12" s="4" t="s">
        <v>20</v>
      </c>
      <c r="H12" s="4">
        <v>30</v>
      </c>
      <c r="I12" s="4">
        <v>21</v>
      </c>
      <c r="J12" s="4">
        <v>28</v>
      </c>
      <c r="K12" s="4">
        <v>29</v>
      </c>
      <c r="L12" s="4">
        <v>40</v>
      </c>
      <c r="M12" s="4">
        <v>224</v>
      </c>
      <c r="N12" s="4">
        <v>8.5</v>
      </c>
      <c r="O12" s="4">
        <v>260</v>
      </c>
      <c r="P12" s="4">
        <v>292</v>
      </c>
      <c r="Q12" s="4">
        <v>324</v>
      </c>
      <c r="R12" s="4">
        <v>20</v>
      </c>
      <c r="S12" s="4" t="s">
        <v>22</v>
      </c>
      <c r="T12" s="4" t="s">
        <v>10</v>
      </c>
      <c r="U12" s="4" t="s">
        <v>54</v>
      </c>
    </row>
    <row r="13" spans="1:21" x14ac:dyDescent="0.25">
      <c r="A13" s="2" t="s">
        <v>52</v>
      </c>
      <c r="B13" s="2">
        <v>89</v>
      </c>
      <c r="C13" s="2">
        <v>34.5</v>
      </c>
      <c r="D13" s="2">
        <v>56</v>
      </c>
      <c r="E13" s="2">
        <v>4</v>
      </c>
      <c r="F13" s="2" t="s">
        <v>27</v>
      </c>
      <c r="G13" s="2">
        <f>75*500</f>
        <v>37500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>(H13*H12+I13*I12+J13*J12+K13*K12+L13*L12+M13*M12+N13*N12+O13*O12+P13*P12+Q13*Q12+R13*R12)/E13</f>
        <v>0</v>
      </c>
      <c r="T13" s="2">
        <f>+G13-S13</f>
        <v>37500</v>
      </c>
      <c r="U13" s="17">
        <f t="shared" ref="U13:U20" si="4">+T13/500</f>
        <v>75</v>
      </c>
    </row>
    <row r="14" spans="1:21" x14ac:dyDescent="0.25">
      <c r="A14" s="2" t="s">
        <v>52</v>
      </c>
      <c r="B14" s="2">
        <v>89</v>
      </c>
      <c r="C14" s="2">
        <v>34.5</v>
      </c>
      <c r="D14" s="2">
        <v>56</v>
      </c>
      <c r="E14" s="2">
        <v>4</v>
      </c>
      <c r="F14" s="2" t="s">
        <v>39</v>
      </c>
      <c r="G14" s="2">
        <f>40*500</f>
        <v>20000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>(H14*H12+I14*I12+J14*J12+K14*K12+L14*L12+M14*M12+N14*N12+O14*O12+P14*P12+Q14*Q12+R14*R12)/E14</f>
        <v>0</v>
      </c>
      <c r="T14" s="2">
        <f t="shared" ref="T14:T18" si="5">+G14-S14</f>
        <v>20000</v>
      </c>
      <c r="U14" s="17">
        <f t="shared" si="4"/>
        <v>40</v>
      </c>
    </row>
    <row r="15" spans="1:21" x14ac:dyDescent="0.25">
      <c r="A15" s="2" t="s">
        <v>52</v>
      </c>
      <c r="B15" s="2">
        <v>89</v>
      </c>
      <c r="C15" s="2">
        <v>34.5</v>
      </c>
      <c r="D15" s="2">
        <v>56</v>
      </c>
      <c r="E15" s="2">
        <v>4</v>
      </c>
      <c r="F15" s="2" t="s">
        <v>47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>(H15*H12+I15*I12+J15*J12+K15*K12+L15*L12+M15*M12+N15*N12+O15*O12+P15*P12+Q15*Q12+R15*R12)/E15</f>
        <v>0</v>
      </c>
      <c r="T15" s="2">
        <f t="shared" si="5"/>
        <v>0</v>
      </c>
      <c r="U15" s="17">
        <f t="shared" si="4"/>
        <v>0</v>
      </c>
    </row>
    <row r="16" spans="1:21" x14ac:dyDescent="0.25">
      <c r="A16" s="2" t="s">
        <v>52</v>
      </c>
      <c r="B16" s="2">
        <v>89</v>
      </c>
      <c r="C16" s="2">
        <v>34.5</v>
      </c>
      <c r="D16" s="2">
        <v>56</v>
      </c>
      <c r="E16" s="2">
        <v>4</v>
      </c>
      <c r="F16" s="2" t="s">
        <v>81</v>
      </c>
      <c r="G16" s="2">
        <f>6*500</f>
        <v>3000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>(H16*H12+I16*I12+J16*J12+K16*K12+L16*L12+M16*M12+N16*N12+O16*O12+P16*P12+Q16*Q12+R16*R12)/E16</f>
        <v>0</v>
      </c>
      <c r="T16" s="2">
        <f t="shared" si="5"/>
        <v>3000</v>
      </c>
      <c r="U16" s="17">
        <f t="shared" si="4"/>
        <v>6</v>
      </c>
    </row>
    <row r="17" spans="1:21" x14ac:dyDescent="0.25">
      <c r="A17" s="2" t="s">
        <v>52</v>
      </c>
      <c r="B17" s="2">
        <v>89</v>
      </c>
      <c r="C17" s="2">
        <v>34.5</v>
      </c>
      <c r="D17" s="2">
        <v>56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>(H17*H12+I17*I12+J17*J12+K17*K12+L17*L12+M17*M12+N17*N12+O17*O12+P17*P12+Q17*Q12+R17*R12)/E17</f>
        <v>0</v>
      </c>
      <c r="T17" s="2">
        <f t="shared" si="5"/>
        <v>0</v>
      </c>
      <c r="U17" s="17">
        <f t="shared" si="4"/>
        <v>0</v>
      </c>
    </row>
    <row r="18" spans="1:21" x14ac:dyDescent="0.25">
      <c r="A18" s="2" t="s">
        <v>52</v>
      </c>
      <c r="B18" s="2">
        <v>89</v>
      </c>
      <c r="C18" s="2">
        <v>34.5</v>
      </c>
      <c r="D18" s="2">
        <v>56</v>
      </c>
      <c r="E18" s="2">
        <v>4</v>
      </c>
      <c r="F18" s="2" t="s">
        <v>33</v>
      </c>
      <c r="G18" s="2"/>
      <c r="H18" s="2">
        <f>H13+H17+H16+H15+H14</f>
        <v>0</v>
      </c>
      <c r="I18" s="2">
        <f t="shared" ref="I18:R18" si="6">I13+I17+I16+I15+I14</f>
        <v>0</v>
      </c>
      <c r="J18" s="2">
        <f t="shared" si="6"/>
        <v>0</v>
      </c>
      <c r="K18" s="2">
        <f t="shared" si="6"/>
        <v>0</v>
      </c>
      <c r="L18" s="2">
        <f t="shared" si="6"/>
        <v>0</v>
      </c>
      <c r="M18" s="2">
        <f t="shared" si="6"/>
        <v>0</v>
      </c>
      <c r="N18" s="2">
        <f t="shared" si="6"/>
        <v>0</v>
      </c>
      <c r="O18" s="2">
        <f t="shared" si="6"/>
        <v>0</v>
      </c>
      <c r="P18" s="2">
        <f t="shared" si="6"/>
        <v>0</v>
      </c>
      <c r="Q18" s="2">
        <f t="shared" si="6"/>
        <v>0</v>
      </c>
      <c r="R18" s="2">
        <f t="shared" si="6"/>
        <v>0</v>
      </c>
      <c r="S18" s="19">
        <f>(H18+I18+J18+K18+L18+M18+N18+O18+P18+Q18+R18)/E18</f>
        <v>0</v>
      </c>
      <c r="T18" s="2">
        <f t="shared" si="5"/>
        <v>0</v>
      </c>
      <c r="U18" s="17">
        <f t="shared" si="4"/>
        <v>0</v>
      </c>
    </row>
    <row r="19" spans="1:21" x14ac:dyDescent="0.25">
      <c r="A19" s="2" t="s">
        <v>52</v>
      </c>
      <c r="B19" s="2">
        <v>89</v>
      </c>
      <c r="C19" s="2">
        <v>34.5</v>
      </c>
      <c r="D19" s="2">
        <v>56</v>
      </c>
      <c r="E19" s="2">
        <v>4</v>
      </c>
      <c r="F19" s="2" t="s">
        <v>40</v>
      </c>
      <c r="G19" s="2">
        <f>27*500</f>
        <v>13500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>(H19*H12+I19*I12+J19*J12+K19*K12+L19*L12+M19*M12+N19*N12+O19*O12+P19*P12+Q19*Q12+R19*R12/E19)</f>
        <v>0</v>
      </c>
      <c r="T19" s="2">
        <f t="shared" ref="T19:T20" si="7">+G19-S19</f>
        <v>13500</v>
      </c>
      <c r="U19" s="17">
        <f t="shared" ref="U19" si="8">+T19/500</f>
        <v>27</v>
      </c>
    </row>
    <row r="20" spans="1:21" x14ac:dyDescent="0.25">
      <c r="A20" s="2" t="s">
        <v>52</v>
      </c>
      <c r="B20" s="2">
        <v>89</v>
      </c>
      <c r="C20" s="2">
        <v>34.5</v>
      </c>
      <c r="D20" s="2">
        <v>56</v>
      </c>
      <c r="E20" s="2">
        <v>4</v>
      </c>
      <c r="F20" s="2" t="s">
        <v>56</v>
      </c>
      <c r="G20" s="2"/>
      <c r="H20" s="19">
        <f>+H19</f>
        <v>0</v>
      </c>
      <c r="I20" s="19">
        <f t="shared" ref="I20" si="9">+I19</f>
        <v>0</v>
      </c>
      <c r="J20" s="19">
        <f t="shared" ref="J20" si="10">+J19</f>
        <v>0</v>
      </c>
      <c r="K20" s="19">
        <f t="shared" ref="K20" si="11">+K19</f>
        <v>0</v>
      </c>
      <c r="L20" s="19">
        <f t="shared" ref="L20" si="12">+L19</f>
        <v>0</v>
      </c>
      <c r="M20" s="19">
        <f t="shared" ref="M20" si="13">+M19</f>
        <v>0</v>
      </c>
      <c r="N20" s="19">
        <f t="shared" ref="N20" si="14">+N19</f>
        <v>0</v>
      </c>
      <c r="O20" s="19">
        <f t="shared" ref="O20" si="15">+O19</f>
        <v>0</v>
      </c>
      <c r="P20" s="19">
        <f t="shared" ref="P20" si="16">+P19</f>
        <v>0</v>
      </c>
      <c r="Q20" s="19">
        <f t="shared" ref="Q20" si="17">+Q19</f>
        <v>0</v>
      </c>
      <c r="R20" s="19">
        <f t="shared" ref="R20" si="18">+R19</f>
        <v>0</v>
      </c>
      <c r="S20" s="19">
        <f>(H20+I20+J20+K20+L20+M20+N20+O20+P20+Q20+R20)/E20</f>
        <v>0</v>
      </c>
      <c r="T20" s="2">
        <f t="shared" si="7"/>
        <v>0</v>
      </c>
      <c r="U20" s="17">
        <f t="shared" si="4"/>
        <v>0</v>
      </c>
    </row>
    <row r="22" spans="1:21" x14ac:dyDescent="0.25">
      <c r="A22" s="4" t="s">
        <v>58</v>
      </c>
      <c r="B22" s="4" t="s">
        <v>2</v>
      </c>
      <c r="C22" s="4" t="s">
        <v>19</v>
      </c>
      <c r="D22" s="4" t="s">
        <v>8</v>
      </c>
      <c r="E22" s="4" t="s">
        <v>21</v>
      </c>
      <c r="F22" s="4" t="s">
        <v>32</v>
      </c>
      <c r="G22" s="4" t="s">
        <v>20</v>
      </c>
      <c r="H22" s="16">
        <v>9</v>
      </c>
      <c r="I22" s="16">
        <v>3</v>
      </c>
      <c r="J22" s="16">
        <v>6</v>
      </c>
      <c r="K22" s="16">
        <v>28</v>
      </c>
      <c r="L22" s="16">
        <v>19</v>
      </c>
      <c r="M22" s="16">
        <v>9</v>
      </c>
      <c r="N22" s="4">
        <v>8.5</v>
      </c>
      <c r="O22" s="4">
        <v>260</v>
      </c>
      <c r="P22" s="4">
        <v>292</v>
      </c>
      <c r="Q22" s="4">
        <v>324</v>
      </c>
      <c r="R22" s="4">
        <v>20</v>
      </c>
      <c r="S22" s="4" t="s">
        <v>22</v>
      </c>
      <c r="T22" s="4" t="s">
        <v>10</v>
      </c>
      <c r="U22" s="4" t="s">
        <v>54</v>
      </c>
    </row>
    <row r="23" spans="1:21" x14ac:dyDescent="0.25">
      <c r="A23" s="2" t="s">
        <v>68</v>
      </c>
      <c r="B23" s="2">
        <v>89</v>
      </c>
      <c r="C23" s="2">
        <v>34.5</v>
      </c>
      <c r="D23" s="2">
        <v>50</v>
      </c>
      <c r="E23" s="2">
        <v>4</v>
      </c>
      <c r="F23" s="2" t="s">
        <v>27</v>
      </c>
      <c r="G23" s="2">
        <f>520*500</f>
        <v>260000</v>
      </c>
      <c r="H23" s="2">
        <v>24695</v>
      </c>
      <c r="I23" s="2"/>
      <c r="J23" s="2"/>
      <c r="K23" s="2">
        <v>23940</v>
      </c>
      <c r="L23" s="2"/>
      <c r="M23" s="2"/>
      <c r="N23" s="2"/>
      <c r="O23" s="2"/>
      <c r="P23" s="2"/>
      <c r="Q23" s="2"/>
      <c r="R23" s="2"/>
      <c r="S23" s="2">
        <f>(H23*H22+I23*I22+J23*J22+K23*K22+L23*L22+M23*M22+N23*N22+O23*O22+P23*P22+Q23*Q22+R23*R22)/E23</f>
        <v>223143.75</v>
      </c>
      <c r="T23" s="2">
        <f>+G23-S23</f>
        <v>36856.25</v>
      </c>
      <c r="U23" s="17">
        <f t="shared" ref="U23:U30" si="19">+T23/500</f>
        <v>73.712500000000006</v>
      </c>
    </row>
    <row r="24" spans="1:21" x14ac:dyDescent="0.25">
      <c r="A24" s="2" t="s">
        <v>68</v>
      </c>
      <c r="B24" s="2">
        <v>89</v>
      </c>
      <c r="C24" s="2">
        <v>34.5</v>
      </c>
      <c r="D24" s="2">
        <v>50</v>
      </c>
      <c r="E24" s="2">
        <v>4</v>
      </c>
      <c r="F24" s="2" t="s">
        <v>39</v>
      </c>
      <c r="G24" s="2">
        <f>180*500</f>
        <v>90000</v>
      </c>
      <c r="H24" s="2">
        <v>4591</v>
      </c>
      <c r="I24" s="2">
        <v>4909</v>
      </c>
      <c r="J24" s="2"/>
      <c r="K24" s="2">
        <v>7999</v>
      </c>
      <c r="L24" s="2"/>
      <c r="M24" s="2">
        <v>3804</v>
      </c>
      <c r="N24" s="2"/>
      <c r="O24" s="2"/>
      <c r="P24" s="2"/>
      <c r="Q24" s="2"/>
      <c r="R24" s="2"/>
      <c r="S24" s="2">
        <f>(H24*H22+I24*I22+J24*J22+K24*K22+L24*L22+M24*M22+N24*N22+O24*O22+P24*P22+Q24*Q22+R24*R22)/E24</f>
        <v>78563.5</v>
      </c>
      <c r="T24" s="2">
        <f t="shared" ref="T24:T30" si="20">+G24-S24</f>
        <v>11436.5</v>
      </c>
      <c r="U24" s="17">
        <f t="shared" si="19"/>
        <v>22.873000000000001</v>
      </c>
    </row>
    <row r="25" spans="1:21" x14ac:dyDescent="0.25">
      <c r="A25" s="2" t="s">
        <v>68</v>
      </c>
      <c r="B25" s="2">
        <v>89</v>
      </c>
      <c r="C25" s="2">
        <v>34.5</v>
      </c>
      <c r="D25" s="2">
        <v>50</v>
      </c>
      <c r="E25" s="2">
        <v>4</v>
      </c>
      <c r="F25" s="2" t="s">
        <v>47</v>
      </c>
      <c r="G25" s="2">
        <f>30*500</f>
        <v>15000</v>
      </c>
      <c r="H25" s="2">
        <v>4990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>(H25*H22+I25*I22+J25*J22+K25*K22+L25*L22+M25*M22+N25*N22+O25*O22+P25*P22+Q25*Q22+R25*R22)/E25</f>
        <v>11227.5</v>
      </c>
      <c r="T25" s="2">
        <f t="shared" si="20"/>
        <v>3772.5</v>
      </c>
      <c r="U25" s="17">
        <f t="shared" si="19"/>
        <v>7.5449999999999999</v>
      </c>
    </row>
    <row r="26" spans="1:21" x14ac:dyDescent="0.25">
      <c r="A26" s="2" t="s">
        <v>68</v>
      </c>
      <c r="B26" s="2">
        <v>89</v>
      </c>
      <c r="C26" s="2">
        <v>34.5</v>
      </c>
      <c r="D26" s="2">
        <v>50</v>
      </c>
      <c r="E26" s="2">
        <v>4</v>
      </c>
      <c r="F26" s="2" t="s">
        <v>81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>(H26*H22+I26*I22+J26*J22+K26*K22+L26*L22+M26*M22+N26*N22+O26*O22+P26*P22+Q26*Q22+R26*R22)/E26</f>
        <v>0</v>
      </c>
      <c r="T26" s="2">
        <f t="shared" si="20"/>
        <v>0</v>
      </c>
      <c r="U26" s="17">
        <f t="shared" si="19"/>
        <v>0</v>
      </c>
    </row>
    <row r="27" spans="1:21" x14ac:dyDescent="0.25">
      <c r="A27" s="2" t="s">
        <v>68</v>
      </c>
      <c r="B27" s="2">
        <v>89</v>
      </c>
      <c r="C27" s="2">
        <v>34.5</v>
      </c>
      <c r="D27" s="2">
        <v>50</v>
      </c>
      <c r="E27" s="2">
        <v>4</v>
      </c>
      <c r="F27" s="2" t="s">
        <v>80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>(H27*H22+I27*I22+J27*J22+K27*K22+L27*L22+M27*M22+N27*N22+O27*O22+P27*P22+Q27*Q22+R27*R22)/E27</f>
        <v>0</v>
      </c>
      <c r="T27" s="2">
        <f t="shared" si="20"/>
        <v>0</v>
      </c>
      <c r="U27" s="17">
        <f t="shared" si="19"/>
        <v>0</v>
      </c>
    </row>
    <row r="28" spans="1:21" x14ac:dyDescent="0.25">
      <c r="A28" s="2" t="s">
        <v>68</v>
      </c>
      <c r="B28" s="2">
        <v>89</v>
      </c>
      <c r="C28" s="2">
        <v>34.5</v>
      </c>
      <c r="D28" s="2">
        <v>50</v>
      </c>
      <c r="E28" s="2">
        <v>4</v>
      </c>
      <c r="F28" s="2" t="s">
        <v>33</v>
      </c>
      <c r="G28" s="2"/>
      <c r="H28" s="2">
        <f>H23+H27+H26+H25+H24</f>
        <v>34276</v>
      </c>
      <c r="I28" s="2">
        <f t="shared" ref="I28:R28" si="21">I23+I27+I26+I25+I24</f>
        <v>4909</v>
      </c>
      <c r="J28" s="2">
        <f t="shared" si="21"/>
        <v>0</v>
      </c>
      <c r="K28" s="2">
        <f t="shared" si="21"/>
        <v>31939</v>
      </c>
      <c r="L28" s="2">
        <f t="shared" si="21"/>
        <v>0</v>
      </c>
      <c r="M28" s="2">
        <f t="shared" si="21"/>
        <v>3804</v>
      </c>
      <c r="N28" s="2">
        <f t="shared" si="21"/>
        <v>0</v>
      </c>
      <c r="O28" s="2">
        <f t="shared" si="21"/>
        <v>0</v>
      </c>
      <c r="P28" s="2">
        <f t="shared" si="21"/>
        <v>0</v>
      </c>
      <c r="Q28" s="2">
        <f t="shared" si="21"/>
        <v>0</v>
      </c>
      <c r="R28" s="2">
        <f t="shared" si="21"/>
        <v>0</v>
      </c>
      <c r="S28" s="19">
        <f>(H28+I28+J28+K28+L28+M28+N28+O28+P28+Q28+R28)/E28</f>
        <v>18732</v>
      </c>
      <c r="T28" s="2">
        <f t="shared" si="20"/>
        <v>-18732</v>
      </c>
      <c r="U28" s="17">
        <f t="shared" si="19"/>
        <v>-37.463999999999999</v>
      </c>
    </row>
    <row r="29" spans="1:21" x14ac:dyDescent="0.25">
      <c r="A29" s="2" t="s">
        <v>68</v>
      </c>
      <c r="B29" s="2">
        <v>89</v>
      </c>
      <c r="C29" s="2">
        <v>34.5</v>
      </c>
      <c r="D29" s="2">
        <v>50</v>
      </c>
      <c r="E29" s="2">
        <v>4</v>
      </c>
      <c r="F29" s="2" t="s">
        <v>40</v>
      </c>
      <c r="G29" s="2">
        <f>60*500</f>
        <v>30000</v>
      </c>
      <c r="H29" s="2"/>
      <c r="I29" s="2"/>
      <c r="J29" s="2">
        <v>4909</v>
      </c>
      <c r="K29" s="2"/>
      <c r="L29" s="2">
        <v>3804</v>
      </c>
      <c r="M29" s="2"/>
      <c r="N29" s="2"/>
      <c r="O29" s="2"/>
      <c r="P29" s="2"/>
      <c r="Q29" s="2"/>
      <c r="R29" s="2"/>
      <c r="S29" s="2">
        <f>(H29*H22+I29*I22+J29*J22+K29*K22+L29*L22+M29*M22+N29*N22+O29*O22+P29*P22+Q29*Q22+R29*R22/E29)</f>
        <v>101730</v>
      </c>
      <c r="T29" s="2">
        <f t="shared" si="20"/>
        <v>-71730</v>
      </c>
      <c r="U29" s="17">
        <f t="shared" si="19"/>
        <v>-143.46</v>
      </c>
    </row>
    <row r="30" spans="1:21" x14ac:dyDescent="0.25">
      <c r="A30" s="2" t="s">
        <v>68</v>
      </c>
      <c r="B30" s="2">
        <v>89</v>
      </c>
      <c r="C30" s="2">
        <v>34.5</v>
      </c>
      <c r="D30" s="2">
        <v>50</v>
      </c>
      <c r="E30" s="2">
        <v>4</v>
      </c>
      <c r="F30" s="2" t="s">
        <v>56</v>
      </c>
      <c r="G30" s="2"/>
      <c r="H30" s="19">
        <f>+H29</f>
        <v>0</v>
      </c>
      <c r="I30" s="19">
        <f t="shared" ref="I30:R30" si="22">+I29</f>
        <v>0</v>
      </c>
      <c r="J30" s="19">
        <f t="shared" si="22"/>
        <v>4909</v>
      </c>
      <c r="K30" s="19">
        <f t="shared" si="22"/>
        <v>0</v>
      </c>
      <c r="L30" s="19">
        <f t="shared" si="22"/>
        <v>3804</v>
      </c>
      <c r="M30" s="19">
        <f t="shared" si="22"/>
        <v>0</v>
      </c>
      <c r="N30" s="19">
        <f t="shared" si="22"/>
        <v>0</v>
      </c>
      <c r="O30" s="19">
        <f t="shared" si="22"/>
        <v>0</v>
      </c>
      <c r="P30" s="19">
        <f t="shared" si="22"/>
        <v>0</v>
      </c>
      <c r="Q30" s="19">
        <f t="shared" si="22"/>
        <v>0</v>
      </c>
      <c r="R30" s="19">
        <f t="shared" si="22"/>
        <v>0</v>
      </c>
      <c r="S30" s="19">
        <f>(H30+I30+J30+K30+L30+M30+N30+O30+P30+Q30+R30)/E30</f>
        <v>2178.25</v>
      </c>
      <c r="T30" s="2">
        <f t="shared" si="20"/>
        <v>-2178.25</v>
      </c>
      <c r="U30" s="17">
        <f t="shared" si="19"/>
        <v>-4.3564999999999996</v>
      </c>
    </row>
  </sheetData>
  <pageMargins left="0.39370078740157483" right="0.39370078740157483" top="0.74803149606299213" bottom="0.74803149606299213" header="0.31496062992125984" footer="0.31496062992125984"/>
  <pageSetup scale="9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18"/>
  <sheetViews>
    <sheetView workbookViewId="0">
      <selection activeCell="G8" sqref="G8"/>
    </sheetView>
  </sheetViews>
  <sheetFormatPr defaultRowHeight="15" x14ac:dyDescent="0.25"/>
  <cols>
    <col min="1" max="1" width="17.28515625" customWidth="1"/>
    <col min="6" max="6" width="11.85546875" bestFit="1" customWidth="1"/>
    <col min="8" max="18" width="9.140625" customWidth="1"/>
    <col min="19" max="19" width="9.85546875" customWidth="1"/>
  </cols>
  <sheetData>
    <row r="2" spans="1:21" x14ac:dyDescent="0.25">
      <c r="A2" s="4" t="s">
        <v>58</v>
      </c>
      <c r="B2" s="4" t="s">
        <v>2</v>
      </c>
      <c r="C2" s="4" t="s">
        <v>19</v>
      </c>
      <c r="D2" s="4" t="s">
        <v>8</v>
      </c>
      <c r="E2" s="4" t="s">
        <v>21</v>
      </c>
      <c r="F2" s="4" t="s">
        <v>32</v>
      </c>
      <c r="G2" s="4" t="s">
        <v>20</v>
      </c>
      <c r="H2" s="16">
        <v>27</v>
      </c>
      <c r="I2" s="16">
        <v>37</v>
      </c>
      <c r="J2" s="16">
        <v>46</v>
      </c>
      <c r="K2" s="16">
        <v>19</v>
      </c>
      <c r="L2" s="4">
        <v>43</v>
      </c>
      <c r="M2" s="4">
        <v>224</v>
      </c>
      <c r="N2" s="4">
        <v>8.5</v>
      </c>
      <c r="O2" s="4">
        <v>260</v>
      </c>
      <c r="P2" s="4">
        <v>292</v>
      </c>
      <c r="Q2" s="4">
        <v>324</v>
      </c>
      <c r="R2" s="4">
        <v>20</v>
      </c>
      <c r="S2" s="4" t="s">
        <v>22</v>
      </c>
      <c r="T2" s="4" t="s">
        <v>10</v>
      </c>
      <c r="U2" s="4" t="s">
        <v>54</v>
      </c>
    </row>
    <row r="3" spans="1:21" x14ac:dyDescent="0.25">
      <c r="A3" s="2" t="s">
        <v>31</v>
      </c>
      <c r="B3" s="2">
        <v>88</v>
      </c>
      <c r="C3" s="2">
        <v>42</v>
      </c>
      <c r="D3" s="2">
        <v>64</v>
      </c>
      <c r="E3" s="2">
        <v>3</v>
      </c>
      <c r="F3" s="2" t="s">
        <v>27</v>
      </c>
      <c r="G3" s="2">
        <f>155000+174346+195647+182699+341685</f>
        <v>1049377</v>
      </c>
      <c r="H3" s="2">
        <f>1015+1099+8096</f>
        <v>10210</v>
      </c>
      <c r="I3" s="2">
        <f>1534+585+1428+2003</f>
        <v>5550</v>
      </c>
      <c r="J3" s="2">
        <f>808+400+1536</f>
        <v>2744</v>
      </c>
      <c r="K3" s="2">
        <v>975</v>
      </c>
      <c r="L3" s="2">
        <v>1501</v>
      </c>
      <c r="M3" s="2"/>
      <c r="N3" s="2"/>
      <c r="O3" s="2"/>
      <c r="P3" s="2"/>
      <c r="Q3" s="2"/>
      <c r="R3" s="2"/>
      <c r="S3" s="2">
        <f>(H3*H2+I3*I2+J3*J2+K3*K2+L3*L2+M3*M2+N3*N2+O3*O2+P3*P2+Q3*Q2+R3*R2)/E3</f>
        <v>230104</v>
      </c>
      <c r="T3" s="2">
        <f t="shared" ref="T3:T8" si="0">+G3-S3</f>
        <v>819273</v>
      </c>
      <c r="U3" s="17">
        <f t="shared" ref="U3:U8" si="1">+T3/500</f>
        <v>1638.546</v>
      </c>
    </row>
    <row r="4" spans="1:21" x14ac:dyDescent="0.25">
      <c r="A4" s="2" t="s">
        <v>31</v>
      </c>
      <c r="B4" s="2">
        <v>88</v>
      </c>
      <c r="C4" s="2">
        <v>42</v>
      </c>
      <c r="D4" s="2">
        <v>64</v>
      </c>
      <c r="E4" s="2">
        <v>3</v>
      </c>
      <c r="F4" s="2" t="s">
        <v>88</v>
      </c>
      <c r="G4" s="2">
        <f>50000+44838</f>
        <v>94838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>(H4*H2+I4*I2+J4*J2+K4*K2+L4*L2+M4*M2+N4*N2+O4*O2+P4*P2+Q4*Q2+R4*R2)/E4</f>
        <v>0</v>
      </c>
      <c r="T4" s="2">
        <f t="shared" si="0"/>
        <v>94838</v>
      </c>
      <c r="U4" s="17">
        <f t="shared" si="1"/>
        <v>189.67599999999999</v>
      </c>
    </row>
    <row r="5" spans="1:21" x14ac:dyDescent="0.25">
      <c r="A5" s="2" t="s">
        <v>31</v>
      </c>
      <c r="B5" s="2">
        <v>88</v>
      </c>
      <c r="C5" s="2">
        <v>42</v>
      </c>
      <c r="D5" s="2">
        <v>64</v>
      </c>
      <c r="E5" s="2">
        <v>3</v>
      </c>
      <c r="F5" s="2" t="s">
        <v>79</v>
      </c>
      <c r="G5" s="2">
        <f>42500+65812</f>
        <v>108312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>(H5*H2+I5*I2+J5*J2+K5*K2+L5*L2+M5*M2+N5*N2+O5*O2+P5*P2+Q5*Q2+R5*R2)/E5</f>
        <v>0</v>
      </c>
      <c r="T5" s="2">
        <f t="shared" si="0"/>
        <v>108312</v>
      </c>
      <c r="U5" s="17">
        <f t="shared" si="1"/>
        <v>216.624</v>
      </c>
    </row>
    <row r="6" spans="1:21" x14ac:dyDescent="0.25">
      <c r="A6" s="2" t="s">
        <v>31</v>
      </c>
      <c r="B6" s="2">
        <v>88</v>
      </c>
      <c r="C6" s="2">
        <v>42</v>
      </c>
      <c r="D6" s="2">
        <v>64</v>
      </c>
      <c r="E6" s="2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>(H6*H2+I6*I2+J6*J2+K6*K2+L6*L2+M6*M2+N6*N2+O6*O2+P6*P2+Q6*Q2+R6*R2)/E6</f>
        <v>0</v>
      </c>
      <c r="T6" s="2">
        <f t="shared" si="0"/>
        <v>0</v>
      </c>
      <c r="U6" s="17">
        <f t="shared" si="1"/>
        <v>0</v>
      </c>
    </row>
    <row r="7" spans="1:21" x14ac:dyDescent="0.25">
      <c r="A7" s="2" t="s">
        <v>31</v>
      </c>
      <c r="B7" s="2">
        <v>88</v>
      </c>
      <c r="C7" s="2">
        <v>42</v>
      </c>
      <c r="D7" s="2">
        <v>64</v>
      </c>
      <c r="E7" s="2">
        <v>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>(H7*H2+I7*I2+J7*J2+K7*K2+L7*L2+M7*M2+N7*N2+O7*O2+P7*P2+Q7*Q2+R7*R2)/E7</f>
        <v>0</v>
      </c>
      <c r="T7" s="2">
        <f t="shared" si="0"/>
        <v>0</v>
      </c>
      <c r="U7" s="17">
        <f t="shared" si="1"/>
        <v>0</v>
      </c>
    </row>
    <row r="8" spans="1:21" x14ac:dyDescent="0.25">
      <c r="A8" s="2" t="s">
        <v>31</v>
      </c>
      <c r="B8" s="2">
        <v>88</v>
      </c>
      <c r="C8" s="2">
        <v>42</v>
      </c>
      <c r="D8" s="2">
        <v>64</v>
      </c>
      <c r="E8" s="2">
        <v>3</v>
      </c>
      <c r="F8" s="2" t="s">
        <v>64</v>
      </c>
      <c r="G8" s="2">
        <v>66485</v>
      </c>
      <c r="H8" s="2">
        <f>+H7+H6+H5+H4+H3</f>
        <v>10210</v>
      </c>
      <c r="I8" s="2">
        <f t="shared" ref="I8:R8" si="2">+I7+I6+I5+I4+I3</f>
        <v>5550</v>
      </c>
      <c r="J8" s="2">
        <f t="shared" si="2"/>
        <v>2744</v>
      </c>
      <c r="K8" s="2">
        <f t="shared" si="2"/>
        <v>975</v>
      </c>
      <c r="L8" s="2">
        <f t="shared" si="2"/>
        <v>1501</v>
      </c>
      <c r="M8" s="2">
        <f t="shared" si="2"/>
        <v>0</v>
      </c>
      <c r="N8" s="2">
        <f t="shared" si="2"/>
        <v>0</v>
      </c>
      <c r="O8" s="2">
        <f t="shared" si="2"/>
        <v>0</v>
      </c>
      <c r="P8" s="2">
        <f t="shared" si="2"/>
        <v>0</v>
      </c>
      <c r="Q8" s="2">
        <f t="shared" si="2"/>
        <v>0</v>
      </c>
      <c r="R8" s="2">
        <f t="shared" si="2"/>
        <v>0</v>
      </c>
      <c r="S8" s="2">
        <f>(H8+I8+J8+K8+L8+M8+N8+O8+P8+Q8+R8)/E8</f>
        <v>6993.333333333333</v>
      </c>
      <c r="T8" s="2">
        <f t="shared" si="0"/>
        <v>59491.666666666664</v>
      </c>
      <c r="U8" s="17">
        <f t="shared" si="1"/>
        <v>118.98333333333333</v>
      </c>
    </row>
    <row r="10" spans="1:21" x14ac:dyDescent="0.25">
      <c r="A10" s="4" t="s">
        <v>58</v>
      </c>
      <c r="B10" s="4" t="s">
        <v>2</v>
      </c>
      <c r="C10" s="4" t="s">
        <v>19</v>
      </c>
      <c r="D10" s="4" t="s">
        <v>8</v>
      </c>
      <c r="E10" s="4" t="s">
        <v>21</v>
      </c>
      <c r="F10" s="4" t="s">
        <v>32</v>
      </c>
      <c r="G10" s="4" t="s">
        <v>20</v>
      </c>
      <c r="H10" s="4">
        <v>30</v>
      </c>
      <c r="I10" s="4">
        <v>21</v>
      </c>
      <c r="J10" s="4">
        <v>28</v>
      </c>
      <c r="K10" s="4">
        <v>29</v>
      </c>
      <c r="L10" s="4">
        <v>40</v>
      </c>
      <c r="M10" s="4">
        <v>224</v>
      </c>
      <c r="N10" s="4">
        <v>8.5</v>
      </c>
      <c r="O10" s="4">
        <v>260</v>
      </c>
      <c r="P10" s="4">
        <v>292</v>
      </c>
      <c r="Q10" s="4">
        <v>324</v>
      </c>
      <c r="R10" s="4">
        <v>20</v>
      </c>
      <c r="S10" s="4" t="s">
        <v>22</v>
      </c>
      <c r="T10" s="4" t="s">
        <v>10</v>
      </c>
      <c r="U10" s="4" t="s">
        <v>54</v>
      </c>
    </row>
    <row r="11" spans="1:21" x14ac:dyDescent="0.25">
      <c r="A11" s="2" t="s">
        <v>34</v>
      </c>
      <c r="B11" s="2">
        <v>88</v>
      </c>
      <c r="C11" s="2">
        <v>42</v>
      </c>
      <c r="D11" s="2">
        <v>54</v>
      </c>
      <c r="E11" s="2">
        <v>3</v>
      </c>
      <c r="F11" s="2" t="s">
        <v>27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>(H11*H10+I11*I10+J11*J10+K11*K10+L11*L10+M11*M10+N11*N10+O11*O10+P11*P10+Q11*Q10+R11*R10)/E11</f>
        <v>0</v>
      </c>
      <c r="T11" s="2">
        <f>+G11-S11</f>
        <v>0</v>
      </c>
      <c r="U11" s="17">
        <f t="shared" ref="U11:U18" si="3">+T11/500</f>
        <v>0</v>
      </c>
    </row>
    <row r="12" spans="1:21" x14ac:dyDescent="0.25">
      <c r="A12" s="2" t="s">
        <v>34</v>
      </c>
      <c r="B12" s="2">
        <v>88</v>
      </c>
      <c r="C12" s="2">
        <v>42</v>
      </c>
      <c r="D12" s="2">
        <v>54</v>
      </c>
      <c r="E12" s="2">
        <v>3</v>
      </c>
      <c r="F12" s="2" t="s">
        <v>39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>(H12*H10+I12*I10+J12*J10+K12*K10+L12*L10+M12*M10+N12*N10+O12*O10+P12*P10+Q12*Q10+R12*R10)/E12</f>
        <v>0</v>
      </c>
      <c r="T12" s="2">
        <f t="shared" ref="T12:T18" si="4">+G12-S12</f>
        <v>0</v>
      </c>
      <c r="U12" s="17">
        <f t="shared" si="3"/>
        <v>0</v>
      </c>
    </row>
    <row r="13" spans="1:21" x14ac:dyDescent="0.25">
      <c r="A13" s="2" t="s">
        <v>34</v>
      </c>
      <c r="B13" s="2">
        <v>88</v>
      </c>
      <c r="C13" s="2">
        <v>42</v>
      </c>
      <c r="D13" s="2">
        <v>54</v>
      </c>
      <c r="E13" s="2">
        <v>3</v>
      </c>
      <c r="F13" s="2" t="s">
        <v>47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>(H13*H10+I13*I10+J13*J10+K13*K10+L13*L10+M13*M10+N13*N10+O13*O10+P13*P10+Q13*Q10+R13*R10)/E13</f>
        <v>0</v>
      </c>
      <c r="T13" s="2">
        <f t="shared" si="4"/>
        <v>0</v>
      </c>
      <c r="U13" s="17">
        <f t="shared" si="3"/>
        <v>0</v>
      </c>
    </row>
    <row r="14" spans="1:21" x14ac:dyDescent="0.25">
      <c r="A14" s="2" t="s">
        <v>34</v>
      </c>
      <c r="B14" s="2">
        <v>88</v>
      </c>
      <c r="C14" s="2">
        <v>42</v>
      </c>
      <c r="D14" s="2">
        <v>54</v>
      </c>
      <c r="E14" s="2">
        <v>3</v>
      </c>
      <c r="F14" s="2" t="s">
        <v>40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>(H14*H10+I14*I10+J14*J10+K14*K10+L14*L10+M14*M10+N14*N10+O14*O10+P14*P10+Q14*Q10+R14*R10)/E14</f>
        <v>0</v>
      </c>
      <c r="T14" s="2">
        <f t="shared" si="4"/>
        <v>0</v>
      </c>
      <c r="U14" s="17">
        <f t="shared" si="3"/>
        <v>0</v>
      </c>
    </row>
    <row r="15" spans="1:21" x14ac:dyDescent="0.25">
      <c r="A15" s="2" t="s">
        <v>34</v>
      </c>
      <c r="B15" s="2">
        <v>88</v>
      </c>
      <c r="C15" s="2">
        <v>42</v>
      </c>
      <c r="D15" s="2">
        <v>54</v>
      </c>
      <c r="E15" s="2">
        <v>3</v>
      </c>
      <c r="F15" s="2" t="s">
        <v>79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>(H15*H10+I15*I10+J15*J10+K15*K10+L15*L10+M15*M10+N15*N10+O15*O10+P15*P10+Q15*Q10+R15*R10)/E15</f>
        <v>0</v>
      </c>
      <c r="T15" s="2">
        <f t="shared" si="4"/>
        <v>0</v>
      </c>
      <c r="U15" s="17">
        <f t="shared" si="3"/>
        <v>0</v>
      </c>
    </row>
    <row r="16" spans="1:21" x14ac:dyDescent="0.25">
      <c r="A16" s="2" t="s">
        <v>34</v>
      </c>
      <c r="B16" s="2">
        <v>88</v>
      </c>
      <c r="C16" s="2">
        <v>42</v>
      </c>
      <c r="D16" s="2">
        <v>54</v>
      </c>
      <c r="E16" s="2">
        <v>3</v>
      </c>
      <c r="F16" s="2" t="s">
        <v>80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>(H16*H10+I16*I10+J16*J10+K16*K10+L16*L10+M16*M10+N16*N10+O16*O10+P16*P10+Q16*Q10+R16*R10)/E16</f>
        <v>0</v>
      </c>
      <c r="T16" s="2">
        <f t="shared" si="4"/>
        <v>0</v>
      </c>
      <c r="U16" s="17">
        <f t="shared" si="3"/>
        <v>0</v>
      </c>
    </row>
    <row r="17" spans="1:21" x14ac:dyDescent="0.25">
      <c r="A17" s="2" t="s">
        <v>34</v>
      </c>
      <c r="B17" s="2">
        <v>88</v>
      </c>
      <c r="C17" s="2">
        <v>42</v>
      </c>
      <c r="D17" s="2">
        <v>54</v>
      </c>
      <c r="E17" s="2">
        <v>3</v>
      </c>
      <c r="F17" s="2" t="s">
        <v>33</v>
      </c>
      <c r="G17" s="2"/>
      <c r="H17" s="2">
        <f>+H16+H15+H14+H13+H12+H11</f>
        <v>0</v>
      </c>
      <c r="I17" s="2">
        <f t="shared" ref="I17" si="5">+I16+I15+I14+I13+I12+I11</f>
        <v>0</v>
      </c>
      <c r="J17" s="2">
        <f t="shared" ref="J17" si="6">+J16+J15+J14+J13+J12+J11</f>
        <v>0</v>
      </c>
      <c r="K17" s="2">
        <f t="shared" ref="K17" si="7">+K16+K15+K14+K13+K12+K11</f>
        <v>0</v>
      </c>
      <c r="L17" s="2">
        <f t="shared" ref="L17" si="8">+L16+L15+L14+L13+L12+L11</f>
        <v>0</v>
      </c>
      <c r="M17" s="2">
        <f t="shared" ref="M17" si="9">+M16+M15+M14+M13+M12+M11</f>
        <v>0</v>
      </c>
      <c r="N17" s="2">
        <f t="shared" ref="N17" si="10">+N16+N15+N14+N13+N12+N11</f>
        <v>0</v>
      </c>
      <c r="O17" s="2">
        <f t="shared" ref="O17" si="11">+O16+O15+O14+O13+O12+O11</f>
        <v>0</v>
      </c>
      <c r="P17" s="2">
        <f t="shared" ref="P17" si="12">+P16+P15+P14+P13+P12+P11</f>
        <v>0</v>
      </c>
      <c r="Q17" s="2">
        <f t="shared" ref="Q17" si="13">+Q16+Q15+Q14+Q13+Q12+Q11</f>
        <v>0</v>
      </c>
      <c r="R17" s="2">
        <f t="shared" ref="R17" si="14">+R16+R15+R14+R13+R12+R11</f>
        <v>0</v>
      </c>
      <c r="S17" s="2">
        <f>(H17+I17+J17+K17+L17+M17+N17+O17+P17+Q17+R17)/E17</f>
        <v>0</v>
      </c>
      <c r="T17" s="2">
        <f t="shared" si="4"/>
        <v>0</v>
      </c>
      <c r="U17" s="17">
        <f t="shared" si="3"/>
        <v>0</v>
      </c>
    </row>
    <row r="18" spans="1:21" x14ac:dyDescent="0.25">
      <c r="A18" s="2" t="s">
        <v>34</v>
      </c>
      <c r="B18" s="2">
        <v>88</v>
      </c>
      <c r="C18" s="2">
        <v>42</v>
      </c>
      <c r="D18" s="2">
        <v>54</v>
      </c>
      <c r="E18" s="2">
        <v>3</v>
      </c>
      <c r="F18" s="2" t="s">
        <v>56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>(H18*H11+I18*I11+J18*J11+K18*K11+L18*L11+M18*M11+N18*N11+O18*O11+P18*P11+Q18*Q11+R18*R11)/E18</f>
        <v>0</v>
      </c>
      <c r="T18" s="2">
        <f t="shared" si="4"/>
        <v>0</v>
      </c>
      <c r="U18" s="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Thabba</vt:lpstr>
      <vt:lpstr>Sheet1</vt:lpstr>
      <vt:lpstr>RM Paper</vt:lpstr>
      <vt:lpstr>Paper WIP sheets</vt:lpstr>
      <vt:lpstr>98 X 64</vt:lpstr>
      <vt:lpstr>96 X 36.5</vt:lpstr>
      <vt:lpstr>94 X 34.5</vt:lpstr>
      <vt:lpstr>89 x 34.5</vt:lpstr>
      <vt:lpstr>88 X 42</vt:lpstr>
      <vt:lpstr>86 X 42</vt:lpstr>
      <vt:lpstr>84 X 67</vt:lpstr>
      <vt:lpstr>80 X 34.5</vt:lpstr>
      <vt:lpstr>59 X 42</vt:lpstr>
      <vt:lpstr>54 X 44</vt:lpstr>
      <vt:lpstr>48 X 38.5</vt:lpstr>
      <vt:lpstr>45 X 55</vt:lpstr>
      <vt:lpstr>59 x42</vt:lpstr>
      <vt:lpstr>Pages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cp:lastPrinted>2023-05-19T08:46:57Z</cp:lastPrinted>
  <dcterms:created xsi:type="dcterms:W3CDTF">2023-05-05T12:27:11Z</dcterms:created>
  <dcterms:modified xsi:type="dcterms:W3CDTF">2023-07-04T18:58:12Z</dcterms:modified>
</cp:coreProperties>
</file>