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1" documentId="11_E1195F5E112A19D4E314EAF15BB674F54C180891" xr6:coauthVersionLast="47" xr6:coauthVersionMax="47" xr10:uidLastSave="{10736968-1A72-40C8-BA76-D6EC8704874C}"/>
  <bookViews>
    <workbookView xWindow="-120" yWindow="-120" windowWidth="20730" windowHeight="11760" activeTab="4" xr2:uid="{00000000-000D-0000-FFFF-FFFF00000000}"/>
  </bookViews>
  <sheets>
    <sheet name="OP" sheetId="1" r:id="rId1"/>
    <sheet name="Issue" sheetId="2" r:id="rId2"/>
    <sheet name="Balance" sheetId="3" r:id="rId3"/>
    <sheet name="print order 1" sheetId="4" r:id="rId4"/>
    <sheet name="Print Order 2" sheetId="5" r:id="rId5"/>
  </sheets>
  <definedNames>
    <definedName name="_xlnm._FilterDatabase" localSheetId="2" hidden="1">Balance!$A$2:$H$28</definedName>
    <definedName name="_xlnm._FilterDatabase" localSheetId="1" hidden="1">Issue!$A$2:$S$29</definedName>
    <definedName name="_xlnm._FilterDatabase" localSheetId="0" hidden="1">OP!$A$2:$T$28</definedName>
    <definedName name="_xlnm._FilterDatabase" localSheetId="3" hidden="1">'print order 1'!$A$2:$S$52</definedName>
    <definedName name="_xlnm._FilterDatabase" localSheetId="4" hidden="1">'Print Order 2'!$A$2:$T$2</definedName>
  </definedNames>
  <calcPr calcId="181029"/>
</workbook>
</file>

<file path=xl/calcChain.xml><?xml version="1.0" encoding="utf-8"?>
<calcChain xmlns="http://schemas.openxmlformats.org/spreadsheetml/2006/main">
  <c r="P67" i="5" l="1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46" i="5"/>
  <c r="L40" i="5" l="1"/>
  <c r="O46" i="4"/>
  <c r="N33" i="4" l="1"/>
  <c r="N32" i="4" l="1"/>
  <c r="J33" i="4"/>
  <c r="J32" i="4"/>
  <c r="O32" i="4" l="1"/>
  <c r="E61" i="4" l="1"/>
  <c r="E62" i="4"/>
  <c r="N30" i="4" l="1"/>
  <c r="O30" i="4" s="1"/>
  <c r="N50" i="4" l="1"/>
  <c r="O49" i="4" l="1"/>
  <c r="O45" i="4"/>
  <c r="O44" i="4"/>
  <c r="O38" i="4"/>
  <c r="O37" i="4"/>
  <c r="J52" i="5" l="1"/>
  <c r="N29" i="4" l="1"/>
  <c r="N25" i="4"/>
  <c r="Q28" i="2" l="1"/>
  <c r="S28" i="1"/>
  <c r="N28" i="1"/>
  <c r="N13" i="1"/>
  <c r="N4" i="1"/>
  <c r="U39" i="3"/>
  <c r="U40" i="3" s="1"/>
  <c r="O35" i="3"/>
  <c r="O36" i="3"/>
  <c r="O37" i="3" s="1"/>
  <c r="O38" i="3" s="1"/>
  <c r="H21" i="2" l="1"/>
  <c r="N18" i="4"/>
  <c r="J67" i="5"/>
  <c r="J66" i="5"/>
  <c r="J65" i="5"/>
  <c r="J64" i="5"/>
  <c r="J63" i="5"/>
  <c r="J55" i="5"/>
  <c r="J54" i="5"/>
  <c r="J51" i="5"/>
  <c r="J45" i="5"/>
  <c r="J37" i="5"/>
  <c r="J35" i="5" l="1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6" i="5"/>
  <c r="J15" i="5"/>
  <c r="J12" i="5"/>
  <c r="J9" i="5"/>
  <c r="J5" i="5"/>
  <c r="J3" i="5"/>
  <c r="J1" i="5" l="1"/>
  <c r="J52" i="4" l="1"/>
  <c r="N52" i="4"/>
  <c r="H24" i="3" l="1"/>
  <c r="T24" i="3"/>
  <c r="R24" i="3"/>
  <c r="Q24" i="3"/>
  <c r="U23" i="3"/>
  <c r="U22" i="3"/>
  <c r="U21" i="3"/>
  <c r="U20" i="3"/>
  <c r="U19" i="3"/>
  <c r="T18" i="3"/>
  <c r="U18" i="3" s="1"/>
  <c r="U17" i="3"/>
  <c r="U16" i="3"/>
  <c r="U15" i="3"/>
  <c r="U14" i="3"/>
  <c r="U13" i="3"/>
  <c r="U12" i="3"/>
  <c r="T12" i="3"/>
  <c r="S12" i="3"/>
  <c r="S24" i="3" s="1"/>
  <c r="U11" i="3"/>
  <c r="U10" i="3"/>
  <c r="U9" i="3"/>
  <c r="U8" i="3"/>
  <c r="U7" i="3"/>
  <c r="U6" i="3"/>
  <c r="U5" i="3"/>
  <c r="U24" i="3" l="1"/>
  <c r="O25" i="4" l="1"/>
  <c r="N13" i="4" l="1"/>
  <c r="O13" i="4" s="1"/>
  <c r="N14" i="4" l="1"/>
  <c r="O29" i="4" l="1"/>
  <c r="O28" i="4" l="1"/>
  <c r="O27" i="4"/>
  <c r="O26" i="4"/>
  <c r="O24" i="4"/>
  <c r="O23" i="4"/>
  <c r="O22" i="4"/>
  <c r="O21" i="4"/>
  <c r="O20" i="4"/>
  <c r="O19" i="4"/>
  <c r="O18" i="4"/>
  <c r="O17" i="4"/>
  <c r="O16" i="4"/>
  <c r="O15" i="4"/>
  <c r="O14" i="4"/>
  <c r="O12" i="4"/>
  <c r="O11" i="4"/>
  <c r="O10" i="4"/>
  <c r="O9" i="4"/>
  <c r="O7" i="4"/>
  <c r="O6" i="4"/>
  <c r="O5" i="4"/>
  <c r="O4" i="4"/>
  <c r="O3" i="4"/>
  <c r="I44" i="4" l="1"/>
  <c r="K44" i="4" s="1"/>
  <c r="N8" i="4" l="1"/>
  <c r="O8" i="4" s="1"/>
  <c r="K31" i="4" l="1"/>
  <c r="K30" i="4"/>
  <c r="K29" i="4"/>
  <c r="P1" i="2" l="1"/>
  <c r="O1" i="2"/>
  <c r="N1" i="2"/>
  <c r="M1" i="2"/>
  <c r="L1" i="2"/>
  <c r="K1" i="2"/>
  <c r="J1" i="2"/>
  <c r="I1" i="2"/>
  <c r="H1" i="2"/>
  <c r="G1" i="2"/>
  <c r="Q29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I52" i="4"/>
  <c r="I51" i="4"/>
  <c r="J51" i="4" s="1"/>
  <c r="I50" i="4"/>
  <c r="J50" i="4" s="1"/>
  <c r="I49" i="4"/>
  <c r="I48" i="4"/>
  <c r="I47" i="4"/>
  <c r="I46" i="4"/>
  <c r="I45" i="4"/>
  <c r="I43" i="4"/>
  <c r="I42" i="4"/>
  <c r="I41" i="4"/>
  <c r="I40" i="4"/>
  <c r="I39" i="4"/>
  <c r="K39" i="4" s="1"/>
  <c r="I38" i="4"/>
  <c r="K38" i="4" s="1"/>
  <c r="I37" i="4"/>
  <c r="K37" i="4" s="1"/>
  <c r="I36" i="4"/>
  <c r="K36" i="4" s="1"/>
  <c r="I35" i="4"/>
  <c r="K35" i="4" s="1"/>
  <c r="I34" i="4"/>
  <c r="J34" i="4" s="1"/>
  <c r="K34" i="4" s="1"/>
  <c r="I33" i="4"/>
  <c r="K33" i="4" s="1"/>
  <c r="I32" i="4"/>
  <c r="K32" i="4" s="1"/>
  <c r="I27" i="4"/>
  <c r="I24" i="4"/>
  <c r="I16" i="4"/>
  <c r="I15" i="4"/>
  <c r="I14" i="4"/>
  <c r="I13" i="4"/>
  <c r="I12" i="4"/>
  <c r="I11" i="4"/>
  <c r="I10" i="4"/>
  <c r="I1" i="4" l="1"/>
  <c r="Q1" i="2"/>
  <c r="L4" i="1"/>
  <c r="T29" i="1" l="1"/>
  <c r="T28" i="1"/>
  <c r="G28" i="3" s="1"/>
  <c r="T22" i="1"/>
  <c r="T19" i="1"/>
  <c r="T18" i="1"/>
  <c r="T16" i="1"/>
  <c r="T14" i="1"/>
  <c r="T11" i="1"/>
  <c r="T9" i="1"/>
  <c r="T4" i="1"/>
  <c r="S29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J26" i="1"/>
  <c r="J15" i="1"/>
  <c r="J13" i="1"/>
  <c r="J7" i="1"/>
  <c r="J5" i="1"/>
  <c r="H27" i="1"/>
  <c r="T27" i="1" s="1"/>
  <c r="H26" i="1"/>
  <c r="H25" i="1"/>
  <c r="T25" i="1" s="1"/>
  <c r="H24" i="1"/>
  <c r="T24" i="1" s="1"/>
  <c r="H23" i="1"/>
  <c r="T23" i="1" s="1"/>
  <c r="H21" i="1"/>
  <c r="T21" i="1" s="1"/>
  <c r="H20" i="1"/>
  <c r="T20" i="1" s="1"/>
  <c r="H17" i="1"/>
  <c r="T17" i="1" s="1"/>
  <c r="H15" i="1"/>
  <c r="T15" i="1" s="1"/>
  <c r="H13" i="1"/>
  <c r="T13" i="1" s="1"/>
  <c r="H12" i="1"/>
  <c r="T12" i="1" s="1"/>
  <c r="H10" i="1"/>
  <c r="T10" i="1" s="1"/>
  <c r="H8" i="1"/>
  <c r="T8" i="1" s="1"/>
  <c r="H7" i="1"/>
  <c r="H6" i="1"/>
  <c r="T6" i="1" s="1"/>
  <c r="H5" i="1"/>
  <c r="T5" i="1" s="1"/>
  <c r="H3" i="1"/>
  <c r="T3" i="1" s="1"/>
  <c r="G11" i="3" l="1"/>
  <c r="I11" i="3" s="1"/>
  <c r="G19" i="3"/>
  <c r="I19" i="3" s="1"/>
  <c r="G5" i="3"/>
  <c r="I5" i="3" s="1"/>
  <c r="G17" i="3"/>
  <c r="I17" i="3" s="1"/>
  <c r="G25" i="3"/>
  <c r="I25" i="3" s="1"/>
  <c r="G13" i="3"/>
  <c r="G21" i="3"/>
  <c r="I21" i="3" s="1"/>
  <c r="G18" i="3"/>
  <c r="I18" i="3" s="1"/>
  <c r="T7" i="1"/>
  <c r="G7" i="3" s="1"/>
  <c r="I7" i="3" s="1"/>
  <c r="T26" i="1"/>
  <c r="G26" i="3" s="1"/>
  <c r="I26" i="3" s="1"/>
  <c r="G12" i="3"/>
  <c r="I12" i="3" s="1"/>
  <c r="G24" i="3"/>
  <c r="I24" i="3" s="1"/>
  <c r="G4" i="3"/>
  <c r="I4" i="3" s="1"/>
  <c r="G6" i="3"/>
  <c r="I6" i="3" s="1"/>
  <c r="G10" i="3"/>
  <c r="I10" i="3" s="1"/>
  <c r="G16" i="3"/>
  <c r="I16" i="3" s="1"/>
  <c r="G20" i="3"/>
  <c r="I20" i="3" s="1"/>
  <c r="G3" i="3"/>
  <c r="G8" i="3"/>
  <c r="I8" i="3" s="1"/>
  <c r="G15" i="3"/>
  <c r="I15" i="3" s="1"/>
  <c r="G23" i="3"/>
  <c r="I23" i="3" s="1"/>
  <c r="G27" i="3"/>
  <c r="G14" i="3"/>
  <c r="I14" i="3" s="1"/>
  <c r="G22" i="3"/>
  <c r="I22" i="3" s="1"/>
  <c r="G9" i="3"/>
  <c r="I9" i="3" s="1"/>
  <c r="I13" i="3" l="1"/>
  <c r="J31" i="3"/>
  <c r="T1" i="1"/>
  <c r="G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1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19 may</t>
        </r>
      </text>
    </comment>
    <comment ref="P2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5040 sheets on 23 may</t>
        </r>
      </text>
    </comment>
    <comment ref="P32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428 ON 31 MAY 
Qty 6400 </t>
        </r>
      </text>
    </comment>
    <comment ref="P4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 may</t>
        </r>
      </text>
    </comment>
    <comment ref="P52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 may</t>
        </r>
      </text>
    </comment>
  </commentList>
</comments>
</file>

<file path=xl/sharedStrings.xml><?xml version="1.0" encoding="utf-8"?>
<sst xmlns="http://schemas.openxmlformats.org/spreadsheetml/2006/main" count="1059" uniqueCount="200">
  <si>
    <t>S No</t>
  </si>
  <si>
    <t>Printing press</t>
  </si>
  <si>
    <t>Board size</t>
  </si>
  <si>
    <t>Gsm</t>
  </si>
  <si>
    <t>Print Man offset</t>
  </si>
  <si>
    <t>CWB</t>
  </si>
  <si>
    <t>Gruss</t>
  </si>
  <si>
    <t>Sheets</t>
  </si>
  <si>
    <t>CGB</t>
  </si>
  <si>
    <t>SBS</t>
  </si>
  <si>
    <t>Mahaveer Printers</t>
  </si>
  <si>
    <t>Maplitho</t>
  </si>
  <si>
    <t>A.D. Printers</t>
  </si>
  <si>
    <t>Cromo Paper</t>
  </si>
  <si>
    <t>TOTAL Gruss</t>
  </si>
  <si>
    <t>Printer</t>
  </si>
  <si>
    <t>Quality</t>
  </si>
  <si>
    <t>printing spaction</t>
  </si>
  <si>
    <t>Qty</t>
  </si>
  <si>
    <t>Lamination</t>
  </si>
  <si>
    <t xml:space="preserve">Plate </t>
  </si>
  <si>
    <t>Printman Offset</t>
  </si>
  <si>
    <t>WB</t>
  </si>
  <si>
    <t>880 x86.2</t>
  </si>
  <si>
    <t>Old Job</t>
  </si>
  <si>
    <t>4+1</t>
  </si>
  <si>
    <t>Pawan Hartline Mrp 52</t>
  </si>
  <si>
    <t>Pawan Hartline Mrp 85</t>
  </si>
  <si>
    <t>Pawan Hartline Mrp 110</t>
  </si>
  <si>
    <t>Pawan Hartline Mrp 70</t>
  </si>
  <si>
    <t>Writer Premium A4 Mrp 66</t>
  </si>
  <si>
    <t>Writer Premium A4 Mrp 84</t>
  </si>
  <si>
    <t>Writer Premium A4 Mrp 104</t>
  </si>
  <si>
    <t>GSM</t>
  </si>
  <si>
    <t>Date</t>
  </si>
  <si>
    <t>Printing Section</t>
  </si>
  <si>
    <t>Lamination Section</t>
  </si>
  <si>
    <t>Recived Qty</t>
  </si>
  <si>
    <t>Balance</t>
  </si>
  <si>
    <t>Pawan Long Book Mrp 25</t>
  </si>
  <si>
    <t>GB</t>
  </si>
  <si>
    <t>4+0</t>
  </si>
  <si>
    <t>Pawan Long Book Mrp 42</t>
  </si>
  <si>
    <t>Pawan Long Book Mrp 52</t>
  </si>
  <si>
    <t>Khushi Sport Mrp 16,24,32,50</t>
  </si>
  <si>
    <t>Black Plate Change</t>
  </si>
  <si>
    <t>Writer Long Book Mrp 32</t>
  </si>
  <si>
    <t>Half</t>
  </si>
  <si>
    <t>Writer Long Book Mrp 24/50</t>
  </si>
  <si>
    <t>Writer Long Book Mrp 66/84</t>
  </si>
  <si>
    <t>Pages</t>
  </si>
  <si>
    <t>Pawan Hart Line Mrp 48</t>
  </si>
  <si>
    <t>960 x73.5</t>
  </si>
  <si>
    <t>4+2</t>
  </si>
  <si>
    <t>Full</t>
  </si>
  <si>
    <t>Writer Convent Mrp 48</t>
  </si>
  <si>
    <t>Writer Convent Mrp 65</t>
  </si>
  <si>
    <t>Collage Mate Mrp 32</t>
  </si>
  <si>
    <t>Collage Mate Mrp 48</t>
  </si>
  <si>
    <t>Pawan Star Mrp 32</t>
  </si>
  <si>
    <t>Pawan Star Mrp 48</t>
  </si>
  <si>
    <t>Writer Convent Mrp 16,24,32</t>
  </si>
  <si>
    <t>Writer Convent Mrp 48,65</t>
  </si>
  <si>
    <t>khushi Brown Mrp 32</t>
  </si>
  <si>
    <t>khushi Brown Mrp 48</t>
  </si>
  <si>
    <t>Writer Classic A4 Mrp 104</t>
  </si>
  <si>
    <t>Writer Classic A4 Mrp 124</t>
  </si>
  <si>
    <t>Pawan Kifayati Mrp 104</t>
  </si>
  <si>
    <t>Writer Drowing A4 Mrp 32,50</t>
  </si>
  <si>
    <t>Writer Drowing Small Mrp No</t>
  </si>
  <si>
    <t>540 x 870</t>
  </si>
  <si>
    <t>600 x 900</t>
  </si>
  <si>
    <t>600 x 860</t>
  </si>
  <si>
    <t>Writer Geiographic Copy</t>
  </si>
  <si>
    <t>480 x 775</t>
  </si>
  <si>
    <t>Writer Classic Spiral Mrp 104</t>
  </si>
  <si>
    <t>Writer Classic Spiral Mrp 124</t>
  </si>
  <si>
    <t>Writer Premium Spiral Mrp 160</t>
  </si>
  <si>
    <t>Writer Premium Spiral Mrp 200</t>
  </si>
  <si>
    <t>Writer Premium Spiral Mrp 124</t>
  </si>
  <si>
    <t>Mahaveer Printer</t>
  </si>
  <si>
    <t>Pawan Kifayati Mrp 50</t>
  </si>
  <si>
    <t>865 x 850</t>
  </si>
  <si>
    <t>Pawan Kifayati Mrp 66</t>
  </si>
  <si>
    <t>Pawan Kifayati Mrp 84</t>
  </si>
  <si>
    <t>Writer Classic Convent Mrp 12,24,32</t>
  </si>
  <si>
    <t>900 x 702</t>
  </si>
  <si>
    <t>Without Lamination</t>
  </si>
  <si>
    <t>Nandani Convent Mrp 12</t>
  </si>
  <si>
    <t>Nandani Convent Mrp 25</t>
  </si>
  <si>
    <t>Khushi Brown Mrp 14,24</t>
  </si>
  <si>
    <t>Writer Classic A4 Mrp 50</t>
  </si>
  <si>
    <t xml:space="preserve">New </t>
  </si>
  <si>
    <t>Writer Classic A4 Mrp 66</t>
  </si>
  <si>
    <t>Writer ClassicConvent Mrp 12,24,32</t>
  </si>
  <si>
    <t>l</t>
  </si>
  <si>
    <t>w</t>
  </si>
  <si>
    <t>805 x700</t>
  </si>
  <si>
    <t>L</t>
  </si>
  <si>
    <t>W</t>
  </si>
  <si>
    <t>Aydee Offset</t>
  </si>
  <si>
    <t>Rec</t>
  </si>
  <si>
    <t>Bal</t>
  </si>
  <si>
    <t>Challan No</t>
  </si>
  <si>
    <t>Board detail</t>
  </si>
  <si>
    <t>Ups</t>
  </si>
  <si>
    <t>Total</t>
  </si>
  <si>
    <t>Cromo</t>
  </si>
  <si>
    <t>480 x 630</t>
  </si>
  <si>
    <t>480 x 770</t>
  </si>
  <si>
    <t>585 x 910</t>
  </si>
  <si>
    <t>805 x 700</t>
  </si>
  <si>
    <t>843 x 680</t>
  </si>
  <si>
    <t>880 x 860</t>
  </si>
  <si>
    <t>960 x 735</t>
  </si>
  <si>
    <t>980 x 661</t>
  </si>
  <si>
    <t>Job  name</t>
  </si>
  <si>
    <t>865 X 850</t>
  </si>
  <si>
    <t>Writer Classic A4 Mrp 32</t>
  </si>
  <si>
    <t>Vaishali A4 Mrp50,66,84</t>
  </si>
  <si>
    <t>New Job</t>
  </si>
  <si>
    <t xml:space="preserve"> "</t>
  </si>
  <si>
    <t>Rai A4 Classic Mrp 50</t>
  </si>
  <si>
    <t>Rai A4 Classic Mrp 66</t>
  </si>
  <si>
    <t>Rai A4 Classic Mrp 84</t>
  </si>
  <si>
    <t xml:space="preserve">Black Plate Change </t>
  </si>
  <si>
    <t>Paras Classic A4 MRP 66,84</t>
  </si>
  <si>
    <t>Sri Mata Classic A4 Mrp 50</t>
  </si>
  <si>
    <t>Writer Classic A4 Mrp 84</t>
  </si>
  <si>
    <t>Sarthak Convent Mrp 14</t>
  </si>
  <si>
    <t>90 X 70.2</t>
  </si>
  <si>
    <t>No lamination</t>
  </si>
  <si>
    <t>Srimata convent Mrp 24</t>
  </si>
  <si>
    <t>Srimata Long Book Mrp 24,42,52</t>
  </si>
  <si>
    <t>80 X 700</t>
  </si>
  <si>
    <t>Sarthak Long Book Mrp 32</t>
  </si>
  <si>
    <t>B.H.U. Long Book Mrp 32</t>
  </si>
  <si>
    <t>B.H.U. Long Book Mrp 50</t>
  </si>
  <si>
    <t>Rai Long Book Mrp 22,37</t>
  </si>
  <si>
    <t>Rai Long Book Mrp 29,45</t>
  </si>
  <si>
    <t>Kishan Green Long Book Mrp 16,24,32,50</t>
  </si>
  <si>
    <t>Kishan Red Long Book Mrp 16,24,32,50</t>
  </si>
  <si>
    <t>Sammar Long Book Mrp 29,45</t>
  </si>
  <si>
    <t>80 X 730</t>
  </si>
  <si>
    <t>Writer Long Mrp 24,50</t>
  </si>
  <si>
    <t>Writer Long Mrp 66,84</t>
  </si>
  <si>
    <t>Srimata Star Mrp 24</t>
  </si>
  <si>
    <t>96 X 735</t>
  </si>
  <si>
    <t>Srimata Star Mrp 42</t>
  </si>
  <si>
    <t>Sarthak Convent Star Mrp 16</t>
  </si>
  <si>
    <t>Rai Convent Mrp 13,22</t>
  </si>
  <si>
    <t>Old Job/1black new</t>
  </si>
  <si>
    <t>Sarthak Convent Star Mrp 32</t>
  </si>
  <si>
    <t>Writer Convent Premium Mrp 32</t>
  </si>
  <si>
    <t>1 Black Old Plate</t>
  </si>
  <si>
    <t>Writer Convent Premium Mrp 44</t>
  </si>
  <si>
    <t>Writer Convent Premium Mrp 48</t>
  </si>
  <si>
    <t>paras Premium Mrp 32</t>
  </si>
  <si>
    <t>paras Premium Mrp 48</t>
  </si>
  <si>
    <t>1 Black Old Job</t>
  </si>
  <si>
    <t>Writer Classic Convent 16,24,32</t>
  </si>
  <si>
    <t>Old job</t>
  </si>
  <si>
    <t>Writer Classic Convent 48,65</t>
  </si>
  <si>
    <t>Kishan star Borwn Mrp 32</t>
  </si>
  <si>
    <t>Rai Convent Star Mrp 29</t>
  </si>
  <si>
    <t>Sarthak Convent premium mrp 32</t>
  </si>
  <si>
    <t>Paras Classic Mrp 16</t>
  </si>
  <si>
    <t>Paras Classic Mrp 32</t>
  </si>
  <si>
    <t>Srimata A4 Premium Mrp 50,66,84,104</t>
  </si>
  <si>
    <t>88 X 860</t>
  </si>
  <si>
    <t>Writer long premium Mrp 33</t>
  </si>
  <si>
    <t>Writer long premium Mrp 50</t>
  </si>
  <si>
    <t>Writer long premium Mrp 66</t>
  </si>
  <si>
    <t>A.D.printers</t>
  </si>
  <si>
    <t>Writer Classic A4 Mrp 104 No 500</t>
  </si>
  <si>
    <t>60 X 90</t>
  </si>
  <si>
    <t>1 Black  New Plate</t>
  </si>
  <si>
    <t xml:space="preserve">Writer Classic A4 Mrp 104 </t>
  </si>
  <si>
    <t>1 Black  old Plate</t>
  </si>
  <si>
    <t>Writer Classic A4 Mrp 124 No 600</t>
  </si>
  <si>
    <t xml:space="preserve">Writer Classic A4 Mrp 124 </t>
  </si>
  <si>
    <t>Writer Premium Mrp 124</t>
  </si>
  <si>
    <t>Writer Premium Mrp 200</t>
  </si>
  <si>
    <t>Student Brawn Convent</t>
  </si>
  <si>
    <t>45 X 55</t>
  </si>
  <si>
    <t>2+2</t>
  </si>
  <si>
    <t>Sai Index P 1</t>
  </si>
  <si>
    <t>Sai Index P 2</t>
  </si>
  <si>
    <t>Sai Index P 3</t>
  </si>
  <si>
    <t>Sai Index P 4</t>
  </si>
  <si>
    <t>Sri Mata Mrp 66</t>
  </si>
  <si>
    <t>Sri Mata Mrp 84</t>
  </si>
  <si>
    <t>Old Job/1black old</t>
  </si>
  <si>
    <t>Sarthak Convent Star Mrp 48</t>
  </si>
  <si>
    <t>Jyoti  Long book Mrp 32</t>
  </si>
  <si>
    <t>Sarthak A4 Mrp 50</t>
  </si>
  <si>
    <t>Sarthak  Mrp 66</t>
  </si>
  <si>
    <t>Sarthak   Mrp 84</t>
  </si>
  <si>
    <t>MPP/23-24/266</t>
  </si>
  <si>
    <t>30,31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</si>
</sst>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/>
    <xf numFmtId="16" fontId="1" fillId="0" borderId="1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3" fillId="0" borderId="11" xfId="1" applyNumberFormat="1" applyFont="1" applyFill="1" applyBorder="1" applyAlignment="1">
      <alignment horizontal="center" vertical="center"/>
    </xf>
    <xf numFmtId="0" fontId="1" fillId="0" borderId="10" xfId="0" applyFont="1" applyBorder="1"/>
    <xf numFmtId="1" fontId="3" fillId="0" borderId="12" xfId="1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1" fontId="3" fillId="0" borderId="1" xfId="1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" fontId="0" fillId="5" borderId="1" xfId="0" applyNumberFormat="1" applyFill="1" applyBorder="1" applyAlignment="1">
      <alignment horizontal="center"/>
    </xf>
    <xf numFmtId="1" fontId="3" fillId="0" borderId="0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7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1" fontId="0" fillId="7" borderId="1" xfId="0" applyNumberFormat="1" applyFill="1" applyBorder="1"/>
    <xf numFmtId="3" fontId="0" fillId="5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" fontId="1" fillId="3" borderId="13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16" fontId="1" fillId="0" borderId="0" xfId="0" applyNumberFormat="1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9" borderId="17" xfId="0" applyFont="1" applyFill="1" applyBorder="1" applyAlignment="1">
      <alignment horizontal="center" vertical="center"/>
    </xf>
    <xf numFmtId="16" fontId="0" fillId="9" borderId="1" xfId="0" applyNumberForma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" fontId="1" fillId="0" borderId="4" xfId="0" applyNumberFormat="1" applyFont="1" applyBorder="1" applyAlignment="1">
      <alignment horizontal="center" vertical="center"/>
    </xf>
    <xf numFmtId="16" fontId="1" fillId="0" borderId="5" xfId="0" applyNumberFormat="1" applyFont="1" applyBorder="1" applyAlignment="1">
      <alignment horizontal="center" vertical="center"/>
    </xf>
    <xf numFmtId="16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omma 2 2" xfId="1" xr:uid="{00000000-0005-0000-0000-000000000000}"/>
    <cellStyle name="Normal" xfId="0" builtinId="0"/>
  </cellStyles>
  <dxfs count="0"/>
  <tableStyles count="0" defaultTableStyle="TableStyleMedium2" defaultPivotStyle="PivotStyleMedium9"/>
  <colors>
    <mruColors>
      <color rgb="FF00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"/>
  <sheetViews>
    <sheetView workbookViewId="0">
      <pane ySplit="2" topLeftCell="A3" activePane="bottomLeft" state="frozen"/>
      <selection activeCell="C1" sqref="C1"/>
      <selection pane="bottomLeft" activeCell="E2" sqref="E2"/>
    </sheetView>
  </sheetViews>
  <sheetFormatPr defaultRowHeight="15" x14ac:dyDescent="0.25"/>
  <cols>
    <col min="1" max="1" width="5.7109375" style="1" customWidth="1"/>
    <col min="2" max="2" width="19.42578125" style="1" customWidth="1"/>
    <col min="3" max="3" width="12.42578125" style="1" bestFit="1" customWidth="1"/>
    <col min="4" max="18" width="9.140625" style="1"/>
    <col min="19" max="19" width="11.85546875" style="1" bestFit="1" customWidth="1"/>
    <col min="20" max="16384" width="9.140625" style="1"/>
  </cols>
  <sheetData>
    <row r="1" spans="1:20" ht="15.75" thickBot="1" x14ac:dyDescent="0.3">
      <c r="T1" s="28">
        <f>SUBTOTAL(9,T3:T41)</f>
        <v>775573</v>
      </c>
    </row>
    <row r="2" spans="1:20" s="12" customFormat="1" ht="26.25" customHeight="1" thickBot="1" x14ac:dyDescent="0.3">
      <c r="A2" s="8" t="s">
        <v>0</v>
      </c>
      <c r="B2" s="8" t="s">
        <v>1</v>
      </c>
      <c r="C2" s="19" t="s">
        <v>2</v>
      </c>
      <c r="D2" s="20"/>
      <c r="E2" s="21"/>
      <c r="F2" s="11" t="s">
        <v>3</v>
      </c>
      <c r="G2" s="13" t="s">
        <v>6</v>
      </c>
      <c r="H2" s="15" t="s">
        <v>7</v>
      </c>
      <c r="I2" s="69">
        <v>45051</v>
      </c>
      <c r="J2" s="70"/>
      <c r="K2" s="71">
        <v>45053</v>
      </c>
      <c r="L2" s="72"/>
      <c r="M2" s="71">
        <v>45069</v>
      </c>
      <c r="N2" s="68"/>
      <c r="O2" s="67"/>
      <c r="P2" s="68"/>
      <c r="Q2" s="67"/>
      <c r="R2" s="68"/>
      <c r="S2" s="14" t="s">
        <v>14</v>
      </c>
      <c r="T2" s="16" t="s">
        <v>7</v>
      </c>
    </row>
    <row r="3" spans="1:20" x14ac:dyDescent="0.25">
      <c r="A3" s="7">
        <v>1</v>
      </c>
      <c r="B3" s="17" t="s">
        <v>4</v>
      </c>
      <c r="C3" s="7" t="s">
        <v>5</v>
      </c>
      <c r="D3" s="7">
        <v>60</v>
      </c>
      <c r="E3" s="7">
        <v>86</v>
      </c>
      <c r="F3" s="7">
        <v>260</v>
      </c>
      <c r="G3" s="10">
        <v>4.5</v>
      </c>
      <c r="H3" s="9">
        <f>+G3*144</f>
        <v>648</v>
      </c>
      <c r="I3" s="10"/>
      <c r="J3" s="9"/>
      <c r="K3" s="10"/>
      <c r="L3" s="9"/>
      <c r="M3" s="10"/>
      <c r="N3" s="9"/>
      <c r="O3" s="10"/>
      <c r="P3" s="9"/>
      <c r="Q3" s="10"/>
      <c r="R3" s="9"/>
      <c r="S3" s="10">
        <f>+G3+I3+K3+M3+O3+Q3</f>
        <v>4.5</v>
      </c>
      <c r="T3" s="9">
        <f>H3+J3+L3+N3+P3+R3</f>
        <v>648</v>
      </c>
    </row>
    <row r="4" spans="1:20" x14ac:dyDescent="0.25">
      <c r="A4" s="4"/>
      <c r="B4" s="17" t="s">
        <v>4</v>
      </c>
      <c r="C4" s="4" t="s">
        <v>5</v>
      </c>
      <c r="D4" s="4">
        <v>96</v>
      </c>
      <c r="E4" s="4">
        <v>73.5</v>
      </c>
      <c r="F4" s="4">
        <v>260</v>
      </c>
      <c r="G4" s="5"/>
      <c r="H4" s="6">
        <v>10786</v>
      </c>
      <c r="I4" s="5"/>
      <c r="J4" s="6"/>
      <c r="K4" s="5"/>
      <c r="L4" s="6">
        <f>120400+16500</f>
        <v>136900</v>
      </c>
      <c r="M4" s="5"/>
      <c r="N4" s="6">
        <f>94*144</f>
        <v>13536</v>
      </c>
      <c r="O4" s="5"/>
      <c r="P4" s="6"/>
      <c r="Q4" s="5"/>
      <c r="R4" s="6"/>
      <c r="S4" s="10">
        <f t="shared" ref="S4:S29" si="0">+G4+I4+K4+M4+O4+Q4</f>
        <v>0</v>
      </c>
      <c r="T4" s="9">
        <f t="shared" ref="T4:T29" si="1">H4+J4+L4+N4+P4+R4</f>
        <v>161222</v>
      </c>
    </row>
    <row r="5" spans="1:20" x14ac:dyDescent="0.25">
      <c r="A5" s="4"/>
      <c r="B5" s="17" t="s">
        <v>4</v>
      </c>
      <c r="C5" s="4" t="s">
        <v>8</v>
      </c>
      <c r="D5" s="4">
        <v>96</v>
      </c>
      <c r="E5" s="4">
        <v>73.5</v>
      </c>
      <c r="F5" s="4">
        <v>263</v>
      </c>
      <c r="G5" s="5">
        <v>150.5</v>
      </c>
      <c r="H5" s="6">
        <f>+G5*144</f>
        <v>21672</v>
      </c>
      <c r="I5" s="5">
        <v>219</v>
      </c>
      <c r="J5" s="6">
        <f>+I5*144</f>
        <v>31536</v>
      </c>
      <c r="K5" s="5"/>
      <c r="L5" s="6"/>
      <c r="M5" s="5"/>
      <c r="N5" s="6"/>
      <c r="O5" s="5"/>
      <c r="P5" s="6"/>
      <c r="Q5" s="5"/>
      <c r="R5" s="6"/>
      <c r="S5" s="10">
        <f t="shared" si="0"/>
        <v>369.5</v>
      </c>
      <c r="T5" s="9">
        <f t="shared" si="1"/>
        <v>53208</v>
      </c>
    </row>
    <row r="6" spans="1:20" x14ac:dyDescent="0.25">
      <c r="A6" s="4"/>
      <c r="B6" s="17" t="s">
        <v>4</v>
      </c>
      <c r="C6" s="4" t="s">
        <v>8</v>
      </c>
      <c r="D6" s="4">
        <v>98</v>
      </c>
      <c r="E6" s="4">
        <v>66.099999999999994</v>
      </c>
      <c r="F6" s="4">
        <v>250</v>
      </c>
      <c r="G6" s="5">
        <v>91</v>
      </c>
      <c r="H6" s="6">
        <f>+G6*144</f>
        <v>13104</v>
      </c>
      <c r="I6" s="5"/>
      <c r="J6" s="6"/>
      <c r="K6" s="5"/>
      <c r="L6" s="6"/>
      <c r="M6" s="5"/>
      <c r="N6" s="6"/>
      <c r="O6" s="5"/>
      <c r="P6" s="6"/>
      <c r="Q6" s="5"/>
      <c r="R6" s="6"/>
      <c r="S6" s="10">
        <f t="shared" si="0"/>
        <v>91</v>
      </c>
      <c r="T6" s="9">
        <f t="shared" si="1"/>
        <v>13104</v>
      </c>
    </row>
    <row r="7" spans="1:20" x14ac:dyDescent="0.25">
      <c r="A7" s="4"/>
      <c r="B7" s="17" t="s">
        <v>4</v>
      </c>
      <c r="C7" s="4" t="s">
        <v>8</v>
      </c>
      <c r="D7" s="4">
        <v>80.5</v>
      </c>
      <c r="E7" s="4">
        <v>70</v>
      </c>
      <c r="F7" s="4">
        <v>263</v>
      </c>
      <c r="G7" s="5">
        <v>64.5</v>
      </c>
      <c r="H7" s="6">
        <f>+G7*144</f>
        <v>9288</v>
      </c>
      <c r="I7" s="5">
        <v>307</v>
      </c>
      <c r="J7" s="6">
        <f>+I7*144</f>
        <v>44208</v>
      </c>
      <c r="K7" s="5"/>
      <c r="L7" s="6"/>
      <c r="M7" s="5"/>
      <c r="N7" s="6"/>
      <c r="O7" s="5"/>
      <c r="P7" s="6"/>
      <c r="Q7" s="5"/>
      <c r="R7" s="6"/>
      <c r="S7" s="10">
        <f t="shared" si="0"/>
        <v>371.5</v>
      </c>
      <c r="T7" s="9">
        <f t="shared" si="1"/>
        <v>53496</v>
      </c>
    </row>
    <row r="8" spans="1:20" x14ac:dyDescent="0.25">
      <c r="A8" s="4"/>
      <c r="B8" s="17" t="s">
        <v>4</v>
      </c>
      <c r="C8" s="4" t="s">
        <v>5</v>
      </c>
      <c r="D8" s="4">
        <v>80</v>
      </c>
      <c r="E8" s="4">
        <v>70.2</v>
      </c>
      <c r="F8" s="4">
        <v>250</v>
      </c>
      <c r="G8" s="5">
        <v>35.5</v>
      </c>
      <c r="H8" s="6">
        <f>+G8*144</f>
        <v>5112</v>
      </c>
      <c r="I8" s="5"/>
      <c r="J8" s="6"/>
      <c r="K8" s="5"/>
      <c r="L8" s="6"/>
      <c r="M8" s="5"/>
      <c r="N8" s="6"/>
      <c r="O8" s="5"/>
      <c r="P8" s="6"/>
      <c r="Q8" s="5"/>
      <c r="R8" s="6"/>
      <c r="S8" s="10">
        <f t="shared" si="0"/>
        <v>35.5</v>
      </c>
      <c r="T8" s="9">
        <f t="shared" si="1"/>
        <v>5112</v>
      </c>
    </row>
    <row r="9" spans="1:20" x14ac:dyDescent="0.25">
      <c r="A9" s="4"/>
      <c r="B9" s="17" t="s">
        <v>4</v>
      </c>
      <c r="C9" s="4" t="s">
        <v>9</v>
      </c>
      <c r="D9" s="4">
        <v>80</v>
      </c>
      <c r="E9" s="4">
        <v>70.2</v>
      </c>
      <c r="F9" s="4">
        <v>200</v>
      </c>
      <c r="G9" s="5"/>
      <c r="H9" s="6">
        <v>1200</v>
      </c>
      <c r="I9" s="5"/>
      <c r="J9" s="6"/>
      <c r="K9" s="5"/>
      <c r="L9" s="6"/>
      <c r="M9" s="5"/>
      <c r="N9" s="6"/>
      <c r="O9" s="5"/>
      <c r="P9" s="6"/>
      <c r="Q9" s="5"/>
      <c r="R9" s="6"/>
      <c r="S9" s="10">
        <f t="shared" si="0"/>
        <v>0</v>
      </c>
      <c r="T9" s="9">
        <f t="shared" si="1"/>
        <v>1200</v>
      </c>
    </row>
    <row r="10" spans="1:20" x14ac:dyDescent="0.25">
      <c r="A10" s="4"/>
      <c r="B10" s="17" t="s">
        <v>4</v>
      </c>
      <c r="C10" s="4" t="s">
        <v>8</v>
      </c>
      <c r="D10" s="4">
        <v>80</v>
      </c>
      <c r="E10" s="4">
        <v>73</v>
      </c>
      <c r="F10" s="4">
        <v>263</v>
      </c>
      <c r="G10" s="5">
        <v>118</v>
      </c>
      <c r="H10" s="6">
        <f>+G10*144</f>
        <v>16992</v>
      </c>
      <c r="I10" s="5"/>
      <c r="J10" s="6"/>
      <c r="K10" s="5"/>
      <c r="L10" s="6"/>
      <c r="M10" s="5"/>
      <c r="N10" s="6"/>
      <c r="O10" s="5"/>
      <c r="P10" s="6"/>
      <c r="Q10" s="5"/>
      <c r="R10" s="6"/>
      <c r="S10" s="10">
        <f t="shared" si="0"/>
        <v>118</v>
      </c>
      <c r="T10" s="9">
        <f t="shared" si="1"/>
        <v>16992</v>
      </c>
    </row>
    <row r="11" spans="1:20" x14ac:dyDescent="0.25">
      <c r="A11" s="4"/>
      <c r="B11" s="17" t="s">
        <v>4</v>
      </c>
      <c r="C11" s="4" t="s">
        <v>5</v>
      </c>
      <c r="D11" s="4">
        <v>88</v>
      </c>
      <c r="E11" s="4">
        <v>86</v>
      </c>
      <c r="F11" s="4">
        <v>280</v>
      </c>
      <c r="G11" s="5"/>
      <c r="H11" s="6">
        <v>8960</v>
      </c>
      <c r="I11" s="5"/>
      <c r="J11" s="6"/>
      <c r="K11" s="5"/>
      <c r="L11" s="6">
        <v>13700</v>
      </c>
      <c r="M11" s="5"/>
      <c r="N11" s="6"/>
      <c r="O11" s="5"/>
      <c r="P11" s="6"/>
      <c r="Q11" s="5"/>
      <c r="R11" s="6"/>
      <c r="S11" s="10">
        <f t="shared" si="0"/>
        <v>0</v>
      </c>
      <c r="T11" s="9">
        <f t="shared" si="1"/>
        <v>22660</v>
      </c>
    </row>
    <row r="12" spans="1:20" x14ac:dyDescent="0.25">
      <c r="A12" s="4"/>
      <c r="B12" s="17" t="s">
        <v>4</v>
      </c>
      <c r="C12" s="4" t="s">
        <v>8</v>
      </c>
      <c r="D12" s="4">
        <v>84.3</v>
      </c>
      <c r="E12" s="4">
        <v>68</v>
      </c>
      <c r="F12" s="4">
        <v>250</v>
      </c>
      <c r="G12" s="5">
        <v>53</v>
      </c>
      <c r="H12" s="6">
        <f>+G12*144</f>
        <v>7632</v>
      </c>
      <c r="I12" s="5"/>
      <c r="J12" s="6"/>
      <c r="K12" s="5"/>
      <c r="L12" s="6"/>
      <c r="M12" s="5"/>
      <c r="N12" s="6"/>
      <c r="O12" s="5"/>
      <c r="P12" s="6"/>
      <c r="Q12" s="5"/>
      <c r="R12" s="6"/>
      <c r="S12" s="10">
        <f t="shared" si="0"/>
        <v>53</v>
      </c>
      <c r="T12" s="9">
        <f t="shared" si="1"/>
        <v>7632</v>
      </c>
    </row>
    <row r="13" spans="1:20" x14ac:dyDescent="0.25">
      <c r="A13" s="4">
        <v>2</v>
      </c>
      <c r="B13" s="3" t="s">
        <v>10</v>
      </c>
      <c r="C13" s="4" t="s">
        <v>8</v>
      </c>
      <c r="D13" s="4">
        <v>90</v>
      </c>
      <c r="E13" s="4">
        <v>70.2</v>
      </c>
      <c r="F13" s="4">
        <v>250</v>
      </c>
      <c r="G13" s="5">
        <v>234</v>
      </c>
      <c r="H13" s="6">
        <f>+G13*144</f>
        <v>33696</v>
      </c>
      <c r="I13" s="5">
        <v>247</v>
      </c>
      <c r="J13" s="6">
        <f>+I13*144</f>
        <v>35568</v>
      </c>
      <c r="K13" s="5"/>
      <c r="L13" s="6"/>
      <c r="M13" s="5"/>
      <c r="N13" s="6">
        <f>132*144</f>
        <v>19008</v>
      </c>
      <c r="O13" s="5"/>
      <c r="P13" s="6"/>
      <c r="Q13" s="5"/>
      <c r="R13" s="6"/>
      <c r="S13" s="10">
        <f t="shared" si="0"/>
        <v>481</v>
      </c>
      <c r="T13" s="9">
        <f t="shared" si="1"/>
        <v>88272</v>
      </c>
    </row>
    <row r="14" spans="1:20" x14ac:dyDescent="0.25">
      <c r="A14" s="4"/>
      <c r="B14" s="3" t="s">
        <v>10</v>
      </c>
      <c r="C14" s="4" t="s">
        <v>5</v>
      </c>
      <c r="D14" s="4">
        <v>86.5</v>
      </c>
      <c r="E14" s="4">
        <v>85</v>
      </c>
      <c r="F14" s="4">
        <v>260</v>
      </c>
      <c r="G14" s="5"/>
      <c r="H14" s="6">
        <v>14348</v>
      </c>
      <c r="I14" s="5"/>
      <c r="J14" s="6"/>
      <c r="K14" s="5"/>
      <c r="L14" s="6">
        <v>16600</v>
      </c>
      <c r="M14" s="5"/>
      <c r="N14" s="6"/>
      <c r="O14" s="5"/>
      <c r="P14" s="6"/>
      <c r="Q14" s="5"/>
      <c r="R14" s="6"/>
      <c r="S14" s="10">
        <f t="shared" si="0"/>
        <v>0</v>
      </c>
      <c r="T14" s="9">
        <f t="shared" si="1"/>
        <v>30948</v>
      </c>
    </row>
    <row r="15" spans="1:20" x14ac:dyDescent="0.25">
      <c r="A15" s="4"/>
      <c r="B15" s="3" t="s">
        <v>10</v>
      </c>
      <c r="C15" s="4" t="s">
        <v>8</v>
      </c>
      <c r="D15" s="4">
        <v>86.5</v>
      </c>
      <c r="E15" s="4">
        <v>85</v>
      </c>
      <c r="F15" s="4">
        <v>263</v>
      </c>
      <c r="G15" s="5">
        <v>68.5</v>
      </c>
      <c r="H15" s="6">
        <f>+G15*144</f>
        <v>9864</v>
      </c>
      <c r="I15" s="5">
        <v>100</v>
      </c>
      <c r="J15" s="6">
        <f>+I15*144</f>
        <v>14400</v>
      </c>
      <c r="K15" s="5"/>
      <c r="L15" s="6"/>
      <c r="M15" s="5"/>
      <c r="N15" s="6"/>
      <c r="O15" s="5"/>
      <c r="P15" s="6"/>
      <c r="Q15" s="5"/>
      <c r="R15" s="6"/>
      <c r="S15" s="10">
        <f t="shared" si="0"/>
        <v>168.5</v>
      </c>
      <c r="T15" s="9">
        <f t="shared" si="1"/>
        <v>24264</v>
      </c>
    </row>
    <row r="16" spans="1:20" x14ac:dyDescent="0.25">
      <c r="A16" s="4"/>
      <c r="B16" s="3" t="s">
        <v>10</v>
      </c>
      <c r="C16" s="4" t="s">
        <v>5</v>
      </c>
      <c r="D16" s="4">
        <v>96</v>
      </c>
      <c r="E16" s="4">
        <v>73.5</v>
      </c>
      <c r="F16" s="4">
        <v>260</v>
      </c>
      <c r="G16" s="5"/>
      <c r="H16" s="6">
        <v>820</v>
      </c>
      <c r="I16" s="5"/>
      <c r="J16" s="6"/>
      <c r="K16" s="5"/>
      <c r="L16" s="6"/>
      <c r="M16" s="5"/>
      <c r="N16" s="6"/>
      <c r="O16" s="5"/>
      <c r="P16" s="6"/>
      <c r="Q16" s="5"/>
      <c r="R16" s="6"/>
      <c r="S16" s="10">
        <f t="shared" si="0"/>
        <v>0</v>
      </c>
      <c r="T16" s="9">
        <f t="shared" si="1"/>
        <v>820</v>
      </c>
    </row>
    <row r="17" spans="1:20" x14ac:dyDescent="0.25">
      <c r="A17" s="4">
        <v>3</v>
      </c>
      <c r="B17" s="3" t="s">
        <v>12</v>
      </c>
      <c r="C17" s="4" t="s">
        <v>5</v>
      </c>
      <c r="D17" s="4">
        <v>60</v>
      </c>
      <c r="E17" s="4">
        <v>86</v>
      </c>
      <c r="F17" s="4">
        <v>260</v>
      </c>
      <c r="G17" s="5">
        <v>187</v>
      </c>
      <c r="H17" s="6">
        <f>+G17*144</f>
        <v>26928</v>
      </c>
      <c r="I17" s="5"/>
      <c r="J17" s="6"/>
      <c r="K17" s="5"/>
      <c r="L17" s="6"/>
      <c r="M17" s="5"/>
      <c r="N17" s="6"/>
      <c r="O17" s="5"/>
      <c r="P17" s="6"/>
      <c r="Q17" s="5"/>
      <c r="R17" s="6"/>
      <c r="S17" s="10">
        <f t="shared" si="0"/>
        <v>187</v>
      </c>
      <c r="T17" s="9">
        <f t="shared" si="1"/>
        <v>26928</v>
      </c>
    </row>
    <row r="18" spans="1:20" x14ac:dyDescent="0.25">
      <c r="A18" s="4"/>
      <c r="B18" s="3" t="s">
        <v>12</v>
      </c>
      <c r="C18" s="4" t="s">
        <v>9</v>
      </c>
      <c r="D18" s="4">
        <v>60</v>
      </c>
      <c r="E18" s="4">
        <v>86</v>
      </c>
      <c r="F18" s="4">
        <v>200</v>
      </c>
      <c r="G18" s="5"/>
      <c r="H18" s="6">
        <v>4235</v>
      </c>
      <c r="I18" s="5"/>
      <c r="J18" s="6"/>
      <c r="K18" s="5"/>
      <c r="L18" s="6"/>
      <c r="M18" s="5"/>
      <c r="N18" s="6"/>
      <c r="O18" s="5"/>
      <c r="P18" s="6"/>
      <c r="Q18" s="5"/>
      <c r="R18" s="6"/>
      <c r="S18" s="10">
        <f t="shared" si="0"/>
        <v>0</v>
      </c>
      <c r="T18" s="9">
        <f t="shared" si="1"/>
        <v>4235</v>
      </c>
    </row>
    <row r="19" spans="1:20" x14ac:dyDescent="0.25">
      <c r="A19" s="4"/>
      <c r="B19" s="3" t="s">
        <v>12</v>
      </c>
      <c r="C19" s="4" t="s">
        <v>5</v>
      </c>
      <c r="D19" s="4">
        <v>60</v>
      </c>
      <c r="E19" s="4">
        <v>90</v>
      </c>
      <c r="F19" s="4">
        <v>280</v>
      </c>
      <c r="G19" s="5"/>
      <c r="H19" s="6">
        <v>2424</v>
      </c>
      <c r="I19" s="5"/>
      <c r="J19" s="6"/>
      <c r="K19" s="5"/>
      <c r="L19" s="6">
        <v>21600</v>
      </c>
      <c r="M19" s="5"/>
      <c r="N19" s="6"/>
      <c r="O19" s="5"/>
      <c r="P19" s="6"/>
      <c r="Q19" s="5"/>
      <c r="R19" s="6"/>
      <c r="S19" s="10">
        <f t="shared" si="0"/>
        <v>0</v>
      </c>
      <c r="T19" s="9">
        <f t="shared" si="1"/>
        <v>24024</v>
      </c>
    </row>
    <row r="20" spans="1:20" x14ac:dyDescent="0.25">
      <c r="A20" s="4"/>
      <c r="B20" s="3" t="s">
        <v>12</v>
      </c>
      <c r="C20" s="4" t="s">
        <v>8</v>
      </c>
      <c r="D20" s="4">
        <v>58.5</v>
      </c>
      <c r="E20" s="4">
        <v>91</v>
      </c>
      <c r="F20" s="4">
        <v>250</v>
      </c>
      <c r="G20" s="5">
        <v>8</v>
      </c>
      <c r="H20" s="6">
        <f>+G20*144</f>
        <v>1152</v>
      </c>
      <c r="I20" s="5"/>
      <c r="J20" s="6"/>
      <c r="K20" s="5"/>
      <c r="L20" s="6"/>
      <c r="M20" s="5"/>
      <c r="N20" s="6"/>
      <c r="O20" s="5"/>
      <c r="P20" s="6"/>
      <c r="Q20" s="5"/>
      <c r="R20" s="6"/>
      <c r="S20" s="10">
        <f t="shared" si="0"/>
        <v>8</v>
      </c>
      <c r="T20" s="9">
        <f t="shared" si="1"/>
        <v>1152</v>
      </c>
    </row>
    <row r="21" spans="1:20" x14ac:dyDescent="0.25">
      <c r="A21" s="4"/>
      <c r="B21" s="3" t="s">
        <v>12</v>
      </c>
      <c r="C21" s="4" t="s">
        <v>11</v>
      </c>
      <c r="D21" s="4">
        <v>45.5</v>
      </c>
      <c r="E21" s="4">
        <v>55</v>
      </c>
      <c r="F21" s="4">
        <v>52</v>
      </c>
      <c r="G21" s="5">
        <v>388</v>
      </c>
      <c r="H21" s="6">
        <f>+G21*500</f>
        <v>194000</v>
      </c>
      <c r="I21" s="5"/>
      <c r="J21" s="6"/>
      <c r="K21" s="5"/>
      <c r="L21" s="6"/>
      <c r="M21" s="5"/>
      <c r="N21" s="6"/>
      <c r="O21" s="5"/>
      <c r="P21" s="6"/>
      <c r="Q21" s="5"/>
      <c r="R21" s="6"/>
      <c r="S21" s="10">
        <f t="shared" si="0"/>
        <v>388</v>
      </c>
      <c r="T21" s="9">
        <f t="shared" si="1"/>
        <v>194000</v>
      </c>
    </row>
    <row r="22" spans="1:20" x14ac:dyDescent="0.25">
      <c r="A22" s="4"/>
      <c r="B22" s="3" t="s">
        <v>12</v>
      </c>
      <c r="C22" s="4" t="s">
        <v>8</v>
      </c>
      <c r="D22" s="4">
        <v>58</v>
      </c>
      <c r="E22" s="4">
        <v>85</v>
      </c>
      <c r="F22" s="4">
        <v>250</v>
      </c>
      <c r="G22" s="5"/>
      <c r="H22" s="6">
        <v>1100</v>
      </c>
      <c r="I22" s="5"/>
      <c r="J22" s="6"/>
      <c r="K22" s="5"/>
      <c r="L22" s="6"/>
      <c r="M22" s="5"/>
      <c r="N22" s="6"/>
      <c r="O22" s="5"/>
      <c r="P22" s="6"/>
      <c r="Q22" s="5"/>
      <c r="R22" s="6"/>
      <c r="S22" s="10">
        <f t="shared" si="0"/>
        <v>0</v>
      </c>
      <c r="T22" s="9">
        <f t="shared" si="1"/>
        <v>1100</v>
      </c>
    </row>
    <row r="23" spans="1:20" x14ac:dyDescent="0.25">
      <c r="A23" s="4"/>
      <c r="B23" s="3" t="s">
        <v>12</v>
      </c>
      <c r="C23" s="4" t="s">
        <v>8</v>
      </c>
      <c r="D23" s="4">
        <v>63.5</v>
      </c>
      <c r="E23" s="4">
        <v>76.2</v>
      </c>
      <c r="F23" s="4">
        <v>180</v>
      </c>
      <c r="G23" s="5">
        <v>30</v>
      </c>
      <c r="H23" s="6">
        <f>+G23*144</f>
        <v>4320</v>
      </c>
      <c r="I23" s="5"/>
      <c r="J23" s="6"/>
      <c r="K23" s="5"/>
      <c r="L23" s="6"/>
      <c r="M23" s="5"/>
      <c r="N23" s="6"/>
      <c r="O23" s="5"/>
      <c r="P23" s="6"/>
      <c r="Q23" s="5"/>
      <c r="R23" s="6"/>
      <c r="S23" s="10">
        <f t="shared" si="0"/>
        <v>30</v>
      </c>
      <c r="T23" s="9">
        <f t="shared" si="1"/>
        <v>4320</v>
      </c>
    </row>
    <row r="24" spans="1:20" x14ac:dyDescent="0.25">
      <c r="A24" s="4"/>
      <c r="B24" s="3" t="s">
        <v>12</v>
      </c>
      <c r="C24" s="4" t="s">
        <v>5</v>
      </c>
      <c r="D24" s="4">
        <v>48</v>
      </c>
      <c r="E24" s="4">
        <v>77.5</v>
      </c>
      <c r="F24" s="4">
        <v>250</v>
      </c>
      <c r="G24" s="5">
        <v>58</v>
      </c>
      <c r="H24" s="6">
        <f>+G24*144</f>
        <v>8352</v>
      </c>
      <c r="I24" s="5"/>
      <c r="J24" s="6"/>
      <c r="K24" s="5"/>
      <c r="L24" s="6"/>
      <c r="M24" s="5"/>
      <c r="N24" s="6"/>
      <c r="O24" s="5"/>
      <c r="P24" s="6"/>
      <c r="Q24" s="5"/>
      <c r="R24" s="6"/>
      <c r="S24" s="10">
        <f t="shared" si="0"/>
        <v>58</v>
      </c>
      <c r="T24" s="9">
        <f t="shared" si="1"/>
        <v>8352</v>
      </c>
    </row>
    <row r="25" spans="1:20" x14ac:dyDescent="0.25">
      <c r="A25" s="4"/>
      <c r="B25" s="3" t="s">
        <v>12</v>
      </c>
      <c r="C25" s="4" t="s">
        <v>13</v>
      </c>
      <c r="D25" s="4">
        <v>58.5</v>
      </c>
      <c r="E25" s="4">
        <v>91</v>
      </c>
      <c r="F25" s="4">
        <v>90</v>
      </c>
      <c r="G25" s="5">
        <v>3</v>
      </c>
      <c r="H25" s="6">
        <f>+G25*500</f>
        <v>1500</v>
      </c>
      <c r="I25" s="5"/>
      <c r="J25" s="6"/>
      <c r="K25" s="5"/>
      <c r="L25" s="6"/>
      <c r="M25" s="5"/>
      <c r="N25" s="6"/>
      <c r="O25" s="5"/>
      <c r="P25" s="6"/>
      <c r="Q25" s="5"/>
      <c r="R25" s="6"/>
      <c r="S25" s="10">
        <f t="shared" si="0"/>
        <v>3</v>
      </c>
      <c r="T25" s="9">
        <f t="shared" si="1"/>
        <v>1500</v>
      </c>
    </row>
    <row r="26" spans="1:20" x14ac:dyDescent="0.25">
      <c r="A26" s="4"/>
      <c r="B26" s="3" t="s">
        <v>12</v>
      </c>
      <c r="C26" s="4" t="s">
        <v>8</v>
      </c>
      <c r="D26" s="4">
        <v>54</v>
      </c>
      <c r="E26" s="4">
        <v>87</v>
      </c>
      <c r="F26" s="4">
        <v>250</v>
      </c>
      <c r="G26" s="5">
        <v>51</v>
      </c>
      <c r="H26" s="6">
        <f>+G26*144</f>
        <v>7344</v>
      </c>
      <c r="I26" s="5">
        <v>66</v>
      </c>
      <c r="J26" s="6">
        <f>+I26*144</f>
        <v>9504</v>
      </c>
      <c r="K26" s="5"/>
      <c r="L26" s="6"/>
      <c r="M26" s="5"/>
      <c r="N26" s="6"/>
      <c r="O26" s="5"/>
      <c r="P26" s="6"/>
      <c r="Q26" s="5"/>
      <c r="R26" s="6"/>
      <c r="S26" s="10">
        <f t="shared" si="0"/>
        <v>117</v>
      </c>
      <c r="T26" s="9">
        <f t="shared" si="1"/>
        <v>16848</v>
      </c>
    </row>
    <row r="27" spans="1:20" x14ac:dyDescent="0.25">
      <c r="A27" s="4"/>
      <c r="B27" s="3" t="s">
        <v>12</v>
      </c>
      <c r="C27" s="4" t="s">
        <v>8</v>
      </c>
      <c r="D27" s="4">
        <v>54</v>
      </c>
      <c r="E27" s="4">
        <v>81</v>
      </c>
      <c r="F27" s="4">
        <v>250</v>
      </c>
      <c r="G27" s="5">
        <v>72</v>
      </c>
      <c r="H27" s="6">
        <f>+G27*144</f>
        <v>10368</v>
      </c>
      <c r="I27" s="5"/>
      <c r="J27" s="6"/>
      <c r="K27" s="5"/>
      <c r="L27" s="6"/>
      <c r="M27" s="5"/>
      <c r="N27" s="6"/>
      <c r="O27" s="5"/>
      <c r="P27" s="6"/>
      <c r="Q27" s="5"/>
      <c r="R27" s="6"/>
      <c r="S27" s="10">
        <f t="shared" si="0"/>
        <v>72</v>
      </c>
      <c r="T27" s="9">
        <f t="shared" si="1"/>
        <v>10368</v>
      </c>
    </row>
    <row r="28" spans="1:20" x14ac:dyDescent="0.25">
      <c r="A28" s="4"/>
      <c r="B28" s="3" t="s">
        <v>12</v>
      </c>
      <c r="C28" s="4" t="s">
        <v>22</v>
      </c>
      <c r="D28" s="4">
        <v>96</v>
      </c>
      <c r="E28" s="4">
        <v>73.5</v>
      </c>
      <c r="F28" s="4">
        <v>260</v>
      </c>
      <c r="G28" s="5"/>
      <c r="H28" s="6"/>
      <c r="I28" s="5"/>
      <c r="J28" s="6"/>
      <c r="K28" s="5"/>
      <c r="L28" s="6"/>
      <c r="M28" s="5"/>
      <c r="N28" s="6">
        <f>22*144</f>
        <v>3168</v>
      </c>
      <c r="O28" s="5"/>
      <c r="P28" s="6"/>
      <c r="Q28" s="5"/>
      <c r="R28" s="6"/>
      <c r="S28" s="10">
        <f t="shared" si="0"/>
        <v>0</v>
      </c>
      <c r="T28" s="9">
        <f t="shared" si="1"/>
        <v>3168</v>
      </c>
    </row>
    <row r="29" spans="1:20" x14ac:dyDescent="0.25">
      <c r="A29" s="4"/>
      <c r="B29" s="4"/>
      <c r="C29" s="4"/>
      <c r="D29" s="4"/>
      <c r="E29" s="4"/>
      <c r="F29" s="4"/>
      <c r="G29" s="5"/>
      <c r="H29" s="6"/>
      <c r="I29" s="5"/>
      <c r="J29" s="6"/>
      <c r="K29" s="5"/>
      <c r="L29" s="6"/>
      <c r="M29" s="5"/>
      <c r="N29" s="6"/>
      <c r="O29" s="5"/>
      <c r="P29" s="6"/>
      <c r="Q29" s="5"/>
      <c r="R29" s="6"/>
      <c r="S29" s="10">
        <f t="shared" si="0"/>
        <v>0</v>
      </c>
      <c r="T29" s="9">
        <f t="shared" si="1"/>
        <v>0</v>
      </c>
    </row>
  </sheetData>
  <autoFilter ref="A2:T28" xr:uid="{00000000-0009-0000-0000-000000000000}">
    <filterColumn colId="8" showButton="0"/>
    <filterColumn colId="10" showButton="0"/>
    <filterColumn colId="12" showButton="0"/>
    <filterColumn colId="14" showButton="0"/>
    <filterColumn colId="16" showButton="0"/>
  </autoFilter>
  <mergeCells count="5">
    <mergeCell ref="Q2:R2"/>
    <mergeCell ref="I2:J2"/>
    <mergeCell ref="K2:L2"/>
    <mergeCell ref="M2:N2"/>
    <mergeCell ref="O2:P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9"/>
  <sheetViews>
    <sheetView zoomScaleNormal="100" workbookViewId="0">
      <pane ySplit="2" topLeftCell="A3" activePane="bottomLeft" state="frozen"/>
      <selection pane="bottomLeft" activeCell="C20" sqref="C20"/>
    </sheetView>
  </sheetViews>
  <sheetFormatPr defaultRowHeight="15" x14ac:dyDescent="0.25"/>
  <cols>
    <col min="1" max="1" width="5.7109375" style="2" customWidth="1"/>
    <col min="2" max="2" width="19.42578125" style="1" customWidth="1"/>
    <col min="3" max="3" width="12.42578125" style="1" bestFit="1" customWidth="1"/>
    <col min="4" max="7" width="9.140625" style="1"/>
    <col min="8" max="8" width="10.140625" style="1" customWidth="1"/>
    <col min="9" max="16384" width="9.140625" style="1"/>
  </cols>
  <sheetData>
    <row r="1" spans="1:17" ht="15.75" thickBot="1" x14ac:dyDescent="0.3">
      <c r="G1" s="30">
        <f t="shared" ref="G1:P1" si="0">SUBTOTAL(9,G3:G41)</f>
        <v>221078</v>
      </c>
      <c r="H1" s="30">
        <f t="shared" si="0"/>
        <v>280838</v>
      </c>
      <c r="I1" s="30">
        <f t="shared" si="0"/>
        <v>0</v>
      </c>
      <c r="J1" s="30">
        <f t="shared" si="0"/>
        <v>0</v>
      </c>
      <c r="K1" s="30">
        <f t="shared" si="0"/>
        <v>0</v>
      </c>
      <c r="L1" s="30">
        <f t="shared" si="0"/>
        <v>0</v>
      </c>
      <c r="M1" s="30">
        <f t="shared" si="0"/>
        <v>0</v>
      </c>
      <c r="N1" s="30">
        <f t="shared" si="0"/>
        <v>0</v>
      </c>
      <c r="O1" s="30">
        <f t="shared" si="0"/>
        <v>0</v>
      </c>
      <c r="P1" s="30">
        <f t="shared" si="0"/>
        <v>0</v>
      </c>
      <c r="Q1" s="28">
        <f>SUBTOTAL(9,Q3:Q41)</f>
        <v>501916</v>
      </c>
    </row>
    <row r="2" spans="1:17" s="12" customFormat="1" ht="26.25" customHeight="1" thickBot="1" x14ac:dyDescent="0.3">
      <c r="A2" s="3" t="s">
        <v>0</v>
      </c>
      <c r="B2" s="3" t="s">
        <v>1</v>
      </c>
      <c r="C2" s="19" t="s">
        <v>2</v>
      </c>
      <c r="D2" s="20" t="s">
        <v>95</v>
      </c>
      <c r="E2" s="21" t="s">
        <v>96</v>
      </c>
      <c r="F2" s="11" t="s">
        <v>3</v>
      </c>
      <c r="G2" s="29" t="s">
        <v>7</v>
      </c>
      <c r="H2" s="52">
        <v>45070</v>
      </c>
      <c r="I2" s="29" t="s">
        <v>7</v>
      </c>
      <c r="J2" s="29" t="s">
        <v>7</v>
      </c>
      <c r="K2" s="29" t="s">
        <v>7</v>
      </c>
      <c r="L2" s="29" t="s">
        <v>7</v>
      </c>
      <c r="M2" s="29" t="s">
        <v>7</v>
      </c>
      <c r="N2" s="29" t="s">
        <v>7</v>
      </c>
      <c r="O2" s="29" t="s">
        <v>7</v>
      </c>
      <c r="P2" s="29" t="s">
        <v>7</v>
      </c>
      <c r="Q2" s="16" t="s">
        <v>7</v>
      </c>
    </row>
    <row r="3" spans="1:17" x14ac:dyDescent="0.25">
      <c r="A3" s="3">
        <v>1</v>
      </c>
      <c r="B3" s="3" t="s">
        <v>4</v>
      </c>
      <c r="C3" s="7" t="s">
        <v>5</v>
      </c>
      <c r="D3" s="7">
        <v>60</v>
      </c>
      <c r="E3" s="7">
        <v>86</v>
      </c>
      <c r="F3" s="7">
        <v>260</v>
      </c>
      <c r="G3" s="7"/>
      <c r="H3" s="7"/>
      <c r="I3" s="7"/>
      <c r="J3" s="7"/>
      <c r="K3" s="7"/>
      <c r="L3" s="7"/>
      <c r="M3" s="7"/>
      <c r="N3" s="7"/>
      <c r="O3" s="7"/>
      <c r="P3" s="7"/>
      <c r="Q3" s="9">
        <f>+G3+H3+I3+J3+K3+L3+M3+N3+O3+P3</f>
        <v>0</v>
      </c>
    </row>
    <row r="4" spans="1:17" x14ac:dyDescent="0.25">
      <c r="A4" s="3"/>
      <c r="B4" s="3" t="s">
        <v>4</v>
      </c>
      <c r="C4" s="4" t="s">
        <v>5</v>
      </c>
      <c r="D4" s="4">
        <v>96</v>
      </c>
      <c r="E4" s="4">
        <v>73.5</v>
      </c>
      <c r="F4" s="4">
        <v>260</v>
      </c>
      <c r="G4" s="4">
        <v>49250</v>
      </c>
      <c r="H4" s="4">
        <v>77600</v>
      </c>
      <c r="I4" s="4"/>
      <c r="J4" s="4"/>
      <c r="K4" s="4"/>
      <c r="L4" s="4"/>
      <c r="M4" s="4"/>
      <c r="N4" s="4"/>
      <c r="O4" s="4"/>
      <c r="P4" s="4"/>
      <c r="Q4" s="9">
        <f t="shared" ref="Q4:Q29" si="1">+G4+H4+I4+J4+K4+L4+M4+N4+O4+P4</f>
        <v>126850</v>
      </c>
    </row>
    <row r="5" spans="1:17" x14ac:dyDescent="0.25">
      <c r="A5" s="3"/>
      <c r="B5" s="3" t="s">
        <v>4</v>
      </c>
      <c r="C5" s="4" t="s">
        <v>8</v>
      </c>
      <c r="D5" s="4">
        <v>96</v>
      </c>
      <c r="E5" s="4">
        <v>73.5</v>
      </c>
      <c r="F5" s="4">
        <v>263</v>
      </c>
      <c r="G5" s="4">
        <v>10944</v>
      </c>
      <c r="H5" s="4">
        <v>50400</v>
      </c>
      <c r="I5" s="4"/>
      <c r="J5" s="4"/>
      <c r="K5" s="4"/>
      <c r="L5" s="4"/>
      <c r="M5" s="4"/>
      <c r="N5" s="4"/>
      <c r="O5" s="4"/>
      <c r="P5" s="4"/>
      <c r="Q5" s="9">
        <f t="shared" si="1"/>
        <v>61344</v>
      </c>
    </row>
    <row r="6" spans="1:17" x14ac:dyDescent="0.25">
      <c r="A6" s="3"/>
      <c r="B6" s="3" t="s">
        <v>4</v>
      </c>
      <c r="C6" s="4" t="s">
        <v>8</v>
      </c>
      <c r="D6" s="4">
        <v>98</v>
      </c>
      <c r="E6" s="4">
        <v>66.099999999999994</v>
      </c>
      <c r="F6" s="4">
        <v>250</v>
      </c>
      <c r="G6" s="4"/>
      <c r="H6" s="4"/>
      <c r="I6" s="4"/>
      <c r="J6" s="4"/>
      <c r="K6" s="4"/>
      <c r="L6" s="4"/>
      <c r="M6" s="4"/>
      <c r="N6" s="4"/>
      <c r="O6" s="4"/>
      <c r="P6" s="4"/>
      <c r="Q6" s="9">
        <f t="shared" si="1"/>
        <v>0</v>
      </c>
    </row>
    <row r="7" spans="1:17" x14ac:dyDescent="0.25">
      <c r="A7" s="3"/>
      <c r="B7" s="3" t="s">
        <v>4</v>
      </c>
      <c r="C7" s="4" t="s">
        <v>8</v>
      </c>
      <c r="D7" s="4">
        <v>80.5</v>
      </c>
      <c r="E7" s="4">
        <v>70</v>
      </c>
      <c r="F7" s="4">
        <v>263</v>
      </c>
      <c r="G7" s="4">
        <v>29880</v>
      </c>
      <c r="H7" s="4">
        <v>58896</v>
      </c>
      <c r="I7" s="4"/>
      <c r="J7" s="4"/>
      <c r="K7" s="4"/>
      <c r="L7" s="4"/>
      <c r="M7" s="4"/>
      <c r="N7" s="4"/>
      <c r="O7" s="4"/>
      <c r="P7" s="4"/>
      <c r="Q7" s="9">
        <f t="shared" si="1"/>
        <v>88776</v>
      </c>
    </row>
    <row r="8" spans="1:17" x14ac:dyDescent="0.25">
      <c r="A8" s="3"/>
      <c r="B8" s="3" t="s">
        <v>4</v>
      </c>
      <c r="C8" s="4" t="s">
        <v>5</v>
      </c>
      <c r="D8" s="4">
        <v>80</v>
      </c>
      <c r="E8" s="4">
        <v>70.2</v>
      </c>
      <c r="F8" s="4">
        <v>250</v>
      </c>
      <c r="G8" s="4"/>
      <c r="H8" s="4">
        <v>3736</v>
      </c>
      <c r="I8" s="4"/>
      <c r="J8" s="4"/>
      <c r="K8" s="4"/>
      <c r="L8" s="4"/>
      <c r="M8" s="4"/>
      <c r="N8" s="4"/>
      <c r="O8" s="4"/>
      <c r="P8" s="4"/>
      <c r="Q8" s="9">
        <f t="shared" si="1"/>
        <v>3736</v>
      </c>
    </row>
    <row r="9" spans="1:17" x14ac:dyDescent="0.25">
      <c r="A9" s="3"/>
      <c r="B9" s="3" t="s">
        <v>4</v>
      </c>
      <c r="C9" s="4" t="s">
        <v>9</v>
      </c>
      <c r="D9" s="4">
        <v>80</v>
      </c>
      <c r="E9" s="4">
        <v>70.2</v>
      </c>
      <c r="F9" s="4">
        <v>200</v>
      </c>
      <c r="G9" s="4"/>
      <c r="H9" s="4"/>
      <c r="I9" s="4"/>
      <c r="J9" s="4"/>
      <c r="K9" s="4"/>
      <c r="L9" s="4"/>
      <c r="M9" s="4"/>
      <c r="N9" s="4"/>
      <c r="O9" s="4"/>
      <c r="P9" s="4"/>
      <c r="Q9" s="9">
        <f t="shared" si="1"/>
        <v>0</v>
      </c>
    </row>
    <row r="10" spans="1:17" x14ac:dyDescent="0.25">
      <c r="A10" s="3"/>
      <c r="B10" s="3" t="s">
        <v>4</v>
      </c>
      <c r="C10" s="4" t="s">
        <v>8</v>
      </c>
      <c r="D10" s="4">
        <v>80</v>
      </c>
      <c r="E10" s="4">
        <v>73</v>
      </c>
      <c r="F10" s="4">
        <v>263</v>
      </c>
      <c r="G10" s="4"/>
      <c r="H10" s="4">
        <v>4032</v>
      </c>
      <c r="I10" s="4"/>
      <c r="J10" s="4"/>
      <c r="K10" s="4"/>
      <c r="L10" s="4"/>
      <c r="M10" s="4"/>
      <c r="N10" s="4"/>
      <c r="O10" s="4"/>
      <c r="P10" s="4"/>
      <c r="Q10" s="9">
        <f t="shared" si="1"/>
        <v>4032</v>
      </c>
    </row>
    <row r="11" spans="1:17" x14ac:dyDescent="0.25">
      <c r="A11" s="3"/>
      <c r="B11" s="3" t="s">
        <v>4</v>
      </c>
      <c r="C11" s="4" t="s">
        <v>5</v>
      </c>
      <c r="D11" s="4">
        <v>88</v>
      </c>
      <c r="E11" s="4">
        <v>86</v>
      </c>
      <c r="F11" s="4">
        <v>280</v>
      </c>
      <c r="G11" s="4">
        <v>18200</v>
      </c>
      <c r="H11" s="4">
        <v>2500</v>
      </c>
      <c r="I11" s="4"/>
      <c r="J11" s="4"/>
      <c r="K11" s="4"/>
      <c r="L11" s="4"/>
      <c r="M11" s="4"/>
      <c r="N11" s="4"/>
      <c r="O11" s="4"/>
      <c r="P11" s="4"/>
      <c r="Q11" s="9">
        <f t="shared" si="1"/>
        <v>20700</v>
      </c>
    </row>
    <row r="12" spans="1:17" x14ac:dyDescent="0.25">
      <c r="A12" s="3"/>
      <c r="B12" s="3" t="s">
        <v>4</v>
      </c>
      <c r="C12" s="4" t="s">
        <v>8</v>
      </c>
      <c r="D12" s="4">
        <v>84.3</v>
      </c>
      <c r="E12" s="4">
        <v>68</v>
      </c>
      <c r="F12" s="4">
        <v>250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9">
        <f t="shared" si="1"/>
        <v>0</v>
      </c>
    </row>
    <row r="13" spans="1:17" x14ac:dyDescent="0.25">
      <c r="A13" s="3">
        <v>2</v>
      </c>
      <c r="B13" s="3" t="s">
        <v>10</v>
      </c>
      <c r="C13" s="4" t="s">
        <v>8</v>
      </c>
      <c r="D13" s="4">
        <v>90</v>
      </c>
      <c r="E13" s="4">
        <v>70.2</v>
      </c>
      <c r="F13" s="4">
        <v>250</v>
      </c>
      <c r="G13" s="4">
        <v>40104</v>
      </c>
      <c r="H13" s="4">
        <v>40608</v>
      </c>
      <c r="I13" s="4"/>
      <c r="J13" s="4"/>
      <c r="K13" s="4"/>
      <c r="L13" s="4"/>
      <c r="M13" s="4"/>
      <c r="N13" s="4"/>
      <c r="O13" s="4"/>
      <c r="P13" s="4"/>
      <c r="Q13" s="9">
        <f t="shared" si="1"/>
        <v>80712</v>
      </c>
    </row>
    <row r="14" spans="1:17" x14ac:dyDescent="0.25">
      <c r="A14" s="3"/>
      <c r="B14" s="3" t="s">
        <v>10</v>
      </c>
      <c r="C14" s="4" t="s">
        <v>5</v>
      </c>
      <c r="D14" s="4">
        <v>86.5</v>
      </c>
      <c r="E14" s="4">
        <v>85</v>
      </c>
      <c r="F14" s="4">
        <v>260</v>
      </c>
      <c r="G14" s="4">
        <v>11520</v>
      </c>
      <c r="H14" s="4">
        <v>19430</v>
      </c>
      <c r="I14" s="4"/>
      <c r="J14" s="4"/>
      <c r="K14" s="4"/>
      <c r="L14" s="4"/>
      <c r="M14" s="4"/>
      <c r="N14" s="4"/>
      <c r="O14" s="4"/>
      <c r="P14" s="4"/>
      <c r="Q14" s="9">
        <f t="shared" si="1"/>
        <v>30950</v>
      </c>
    </row>
    <row r="15" spans="1:17" x14ac:dyDescent="0.25">
      <c r="A15" s="3"/>
      <c r="B15" s="3" t="s">
        <v>10</v>
      </c>
      <c r="C15" s="4" t="s">
        <v>8</v>
      </c>
      <c r="D15" s="4">
        <v>86.5</v>
      </c>
      <c r="E15" s="4">
        <v>85</v>
      </c>
      <c r="F15" s="4">
        <v>263</v>
      </c>
      <c r="G15" s="4">
        <v>10872</v>
      </c>
      <c r="H15" s="4">
        <v>12888</v>
      </c>
      <c r="I15" s="4"/>
      <c r="J15" s="4"/>
      <c r="K15" s="4"/>
      <c r="L15" s="4"/>
      <c r="M15" s="4"/>
      <c r="N15" s="4"/>
      <c r="O15" s="4"/>
      <c r="P15" s="4"/>
      <c r="Q15" s="9">
        <f t="shared" si="1"/>
        <v>23760</v>
      </c>
    </row>
    <row r="16" spans="1:17" x14ac:dyDescent="0.25">
      <c r="A16" s="3"/>
      <c r="B16" s="3" t="s">
        <v>10</v>
      </c>
      <c r="C16" s="4" t="s">
        <v>5</v>
      </c>
      <c r="D16" s="4">
        <v>96</v>
      </c>
      <c r="E16" s="4">
        <v>73.5</v>
      </c>
      <c r="F16" s="4">
        <v>260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9">
        <f t="shared" si="1"/>
        <v>0</v>
      </c>
    </row>
    <row r="17" spans="1:17" x14ac:dyDescent="0.25">
      <c r="A17" s="3">
        <v>3</v>
      </c>
      <c r="B17" s="3" t="s">
        <v>12</v>
      </c>
      <c r="C17" s="4" t="s">
        <v>5</v>
      </c>
      <c r="D17" s="4">
        <v>60</v>
      </c>
      <c r="E17" s="4">
        <v>86</v>
      </c>
      <c r="F17" s="4">
        <v>260</v>
      </c>
      <c r="G17" s="4">
        <v>18360</v>
      </c>
      <c r="H17" s="4"/>
      <c r="I17" s="4"/>
      <c r="J17" s="4"/>
      <c r="K17" s="4"/>
      <c r="L17" s="4"/>
      <c r="M17" s="4"/>
      <c r="N17" s="4"/>
      <c r="O17" s="4"/>
      <c r="P17" s="4"/>
      <c r="Q17" s="9">
        <f t="shared" si="1"/>
        <v>18360</v>
      </c>
    </row>
    <row r="18" spans="1:17" x14ac:dyDescent="0.25">
      <c r="A18" s="3"/>
      <c r="B18" s="3" t="s">
        <v>12</v>
      </c>
      <c r="C18" s="4" t="s">
        <v>9</v>
      </c>
      <c r="D18" s="4">
        <v>60</v>
      </c>
      <c r="E18" s="4">
        <v>86</v>
      </c>
      <c r="F18" s="4">
        <v>200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9">
        <f t="shared" si="1"/>
        <v>0</v>
      </c>
    </row>
    <row r="19" spans="1:17" x14ac:dyDescent="0.25">
      <c r="A19" s="3"/>
      <c r="B19" s="3" t="s">
        <v>12</v>
      </c>
      <c r="C19" s="4" t="s">
        <v>5</v>
      </c>
      <c r="D19" s="4">
        <v>60</v>
      </c>
      <c r="E19" s="4">
        <v>90</v>
      </c>
      <c r="F19" s="4">
        <v>280</v>
      </c>
      <c r="G19" s="4">
        <v>11500</v>
      </c>
      <c r="H19" s="4">
        <v>7500</v>
      </c>
      <c r="I19" s="4"/>
      <c r="J19" s="4"/>
      <c r="K19" s="4"/>
      <c r="L19" s="4"/>
      <c r="M19" s="4"/>
      <c r="N19" s="4"/>
      <c r="O19" s="4"/>
      <c r="P19" s="4"/>
      <c r="Q19" s="9">
        <f t="shared" si="1"/>
        <v>19000</v>
      </c>
    </row>
    <row r="20" spans="1:17" x14ac:dyDescent="0.25">
      <c r="A20" s="3"/>
      <c r="B20" s="3" t="s">
        <v>12</v>
      </c>
      <c r="C20" s="4" t="s">
        <v>8</v>
      </c>
      <c r="D20" s="4">
        <v>58.5</v>
      </c>
      <c r="E20" s="4">
        <v>91</v>
      </c>
      <c r="F20" s="4">
        <v>250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9">
        <f t="shared" si="1"/>
        <v>0</v>
      </c>
    </row>
    <row r="21" spans="1:17" x14ac:dyDescent="0.25">
      <c r="A21" s="3"/>
      <c r="B21" s="3" t="s">
        <v>12</v>
      </c>
      <c r="C21" s="4" t="s">
        <v>11</v>
      </c>
      <c r="D21" s="4">
        <v>45.5</v>
      </c>
      <c r="E21" s="4">
        <v>55</v>
      </c>
      <c r="F21" s="4">
        <v>52</v>
      </c>
      <c r="G21" s="4"/>
      <c r="H21" s="4">
        <f>40000/500</f>
        <v>80</v>
      </c>
      <c r="I21" s="4"/>
      <c r="J21" s="4"/>
      <c r="K21" s="4"/>
      <c r="L21" s="4"/>
      <c r="M21" s="4"/>
      <c r="N21" s="4"/>
      <c r="O21" s="4"/>
      <c r="P21" s="4"/>
      <c r="Q21" s="9">
        <f t="shared" si="1"/>
        <v>80</v>
      </c>
    </row>
    <row r="22" spans="1:17" x14ac:dyDescent="0.25">
      <c r="A22" s="3"/>
      <c r="B22" s="3" t="s">
        <v>12</v>
      </c>
      <c r="C22" s="4" t="s">
        <v>8</v>
      </c>
      <c r="D22" s="4">
        <v>58</v>
      </c>
      <c r="E22" s="4">
        <v>85</v>
      </c>
      <c r="F22" s="4">
        <v>250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9">
        <f t="shared" si="1"/>
        <v>0</v>
      </c>
    </row>
    <row r="23" spans="1:17" x14ac:dyDescent="0.25">
      <c r="A23" s="3"/>
      <c r="B23" s="3" t="s">
        <v>12</v>
      </c>
      <c r="C23" s="4" t="s">
        <v>8</v>
      </c>
      <c r="D23" s="4">
        <v>63.5</v>
      </c>
      <c r="E23" s="4">
        <v>76.2</v>
      </c>
      <c r="F23" s="4">
        <v>180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9">
        <f t="shared" si="1"/>
        <v>0</v>
      </c>
    </row>
    <row r="24" spans="1:17" x14ac:dyDescent="0.25">
      <c r="A24" s="3"/>
      <c r="B24" s="3" t="s">
        <v>12</v>
      </c>
      <c r="C24" s="4" t="s">
        <v>5</v>
      </c>
      <c r="D24" s="4">
        <v>48</v>
      </c>
      <c r="E24" s="4">
        <v>77.5</v>
      </c>
      <c r="F24" s="4">
        <v>250</v>
      </c>
      <c r="G24" s="4">
        <v>3600</v>
      </c>
      <c r="H24" s="4"/>
      <c r="I24" s="4"/>
      <c r="J24" s="4"/>
      <c r="K24" s="4"/>
      <c r="L24" s="4"/>
      <c r="M24" s="4"/>
      <c r="N24" s="4"/>
      <c r="O24" s="4"/>
      <c r="P24" s="4"/>
      <c r="Q24" s="9">
        <f t="shared" si="1"/>
        <v>3600</v>
      </c>
    </row>
    <row r="25" spans="1:17" x14ac:dyDescent="0.25">
      <c r="A25" s="3"/>
      <c r="B25" s="3" t="s">
        <v>12</v>
      </c>
      <c r="C25" s="4" t="s">
        <v>13</v>
      </c>
      <c r="D25" s="4">
        <v>58.5</v>
      </c>
      <c r="E25" s="4">
        <v>91</v>
      </c>
      <c r="F25" s="4">
        <v>90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9">
        <f t="shared" si="1"/>
        <v>0</v>
      </c>
    </row>
    <row r="26" spans="1:17" x14ac:dyDescent="0.25">
      <c r="A26" s="3"/>
      <c r="B26" s="3" t="s">
        <v>12</v>
      </c>
      <c r="C26" s="4" t="s">
        <v>8</v>
      </c>
      <c r="D26" s="4">
        <v>54</v>
      </c>
      <c r="E26" s="4">
        <v>87</v>
      </c>
      <c r="F26" s="4">
        <v>250</v>
      </c>
      <c r="G26" s="4">
        <v>16848</v>
      </c>
      <c r="H26" s="4"/>
      <c r="I26" s="4"/>
      <c r="J26" s="4"/>
      <c r="K26" s="4"/>
      <c r="L26" s="4"/>
      <c r="M26" s="4"/>
      <c r="N26" s="4"/>
      <c r="O26" s="4"/>
      <c r="P26" s="4"/>
      <c r="Q26" s="9">
        <f t="shared" si="1"/>
        <v>16848</v>
      </c>
    </row>
    <row r="27" spans="1:17" x14ac:dyDescent="0.25">
      <c r="A27" s="3"/>
      <c r="B27" s="3" t="s">
        <v>12</v>
      </c>
      <c r="C27" s="4" t="s">
        <v>8</v>
      </c>
      <c r="D27" s="4">
        <v>54</v>
      </c>
      <c r="E27" s="4">
        <v>81</v>
      </c>
      <c r="F27" s="4">
        <v>250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9">
        <f t="shared" si="1"/>
        <v>0</v>
      </c>
    </row>
    <row r="28" spans="1:17" x14ac:dyDescent="0.25">
      <c r="A28" s="4"/>
      <c r="B28" s="3" t="s">
        <v>12</v>
      </c>
      <c r="C28" s="4" t="s">
        <v>22</v>
      </c>
      <c r="D28" s="4">
        <v>96</v>
      </c>
      <c r="E28" s="4">
        <v>73.5</v>
      </c>
      <c r="F28" s="4">
        <v>260</v>
      </c>
      <c r="G28" s="4"/>
      <c r="H28" s="4">
        <v>3168</v>
      </c>
      <c r="I28" s="4"/>
      <c r="J28" s="4"/>
      <c r="K28" s="4"/>
      <c r="L28" s="4"/>
      <c r="M28" s="4"/>
      <c r="N28" s="4"/>
      <c r="O28" s="4"/>
      <c r="P28" s="4"/>
      <c r="Q28" s="9">
        <f t="shared" si="1"/>
        <v>3168</v>
      </c>
    </row>
    <row r="29" spans="1:17" x14ac:dyDescent="0.25">
      <c r="A29" s="3"/>
      <c r="B29" s="3" t="s">
        <v>12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9">
        <f t="shared" si="1"/>
        <v>0</v>
      </c>
    </row>
  </sheetData>
  <autoFilter ref="A2:S2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0"/>
  <sheetViews>
    <sheetView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5.7109375" style="2" customWidth="1"/>
    <col min="2" max="2" width="19.42578125" style="1" customWidth="1"/>
    <col min="3" max="3" width="12.42578125" style="1" bestFit="1" customWidth="1"/>
    <col min="4" max="11" width="9.140625" style="1"/>
    <col min="12" max="22" width="0" style="1" hidden="1" customWidth="1"/>
    <col min="23" max="16384" width="9.140625" style="1"/>
  </cols>
  <sheetData>
    <row r="1" spans="1:21" ht="15.75" thickBot="1" x14ac:dyDescent="0.3">
      <c r="G1" s="26">
        <f>SUBTOTAL(9,G3:G41)</f>
        <v>273657</v>
      </c>
    </row>
    <row r="2" spans="1:21" s="12" customFormat="1" ht="26.25" customHeight="1" thickBot="1" x14ac:dyDescent="0.3">
      <c r="A2" s="8" t="s">
        <v>0</v>
      </c>
      <c r="B2" s="8" t="s">
        <v>1</v>
      </c>
      <c r="C2" s="19" t="s">
        <v>2</v>
      </c>
      <c r="D2" s="11" t="s">
        <v>98</v>
      </c>
      <c r="E2" s="31" t="s">
        <v>99</v>
      </c>
      <c r="F2" s="11" t="s">
        <v>3</v>
      </c>
      <c r="G2" s="11" t="s">
        <v>7</v>
      </c>
    </row>
    <row r="3" spans="1:21" x14ac:dyDescent="0.25">
      <c r="A3" s="17">
        <v>1</v>
      </c>
      <c r="B3" s="17" t="s">
        <v>4</v>
      </c>
      <c r="C3" s="7" t="s">
        <v>5</v>
      </c>
      <c r="D3" s="7">
        <v>60</v>
      </c>
      <c r="E3" s="7">
        <v>86</v>
      </c>
      <c r="F3" s="7">
        <v>260</v>
      </c>
      <c r="G3" s="7">
        <f>+OP!T3-Issue!Q3</f>
        <v>648</v>
      </c>
    </row>
    <row r="4" spans="1:21" x14ac:dyDescent="0.25">
      <c r="A4" s="3"/>
      <c r="B4" s="17" t="s">
        <v>4</v>
      </c>
      <c r="C4" s="4" t="s">
        <v>5</v>
      </c>
      <c r="D4" s="4">
        <v>96</v>
      </c>
      <c r="E4" s="4">
        <v>73.5</v>
      </c>
      <c r="F4" s="4">
        <v>260</v>
      </c>
      <c r="G4" s="7">
        <f>+OP!T4-Issue!Q4</f>
        <v>34372</v>
      </c>
      <c r="H4" s="1">
        <v>123428</v>
      </c>
      <c r="I4" s="1">
        <f>+G4-H4</f>
        <v>-89056</v>
      </c>
      <c r="M4" s="73" t="s">
        <v>104</v>
      </c>
      <c r="N4" s="74"/>
      <c r="O4" s="75"/>
      <c r="P4" s="3" t="s">
        <v>105</v>
      </c>
      <c r="Q4" s="3">
        <v>1</v>
      </c>
      <c r="R4" s="3">
        <v>2</v>
      </c>
      <c r="S4" s="3">
        <v>3</v>
      </c>
      <c r="T4" s="3">
        <v>4</v>
      </c>
      <c r="U4" s="3" t="s">
        <v>106</v>
      </c>
    </row>
    <row r="5" spans="1:21" x14ac:dyDescent="0.25">
      <c r="A5" s="3"/>
      <c r="B5" s="17" t="s">
        <v>4</v>
      </c>
      <c r="C5" s="4" t="s">
        <v>8</v>
      </c>
      <c r="D5" s="4">
        <v>96</v>
      </c>
      <c r="E5" s="4">
        <v>73.5</v>
      </c>
      <c r="F5" s="4">
        <v>263</v>
      </c>
      <c r="G5" s="60">
        <f>+OP!T5-Issue!Q5</f>
        <v>-8136</v>
      </c>
      <c r="H5" s="1">
        <v>83438</v>
      </c>
      <c r="I5" s="1">
        <f t="shared" ref="I5:I26" si="0">+G5-H5</f>
        <v>-91574</v>
      </c>
      <c r="M5" s="40" t="s">
        <v>107</v>
      </c>
      <c r="N5" s="41">
        <v>90</v>
      </c>
      <c r="O5" s="40" t="s">
        <v>108</v>
      </c>
      <c r="P5" s="42">
        <v>2</v>
      </c>
      <c r="Q5" s="43"/>
      <c r="R5" s="43"/>
      <c r="S5" s="4">
        <v>100</v>
      </c>
      <c r="T5" s="43"/>
      <c r="U5" s="44">
        <f t="shared" ref="U5" si="1">+T5+S5+R5+Q5</f>
        <v>100</v>
      </c>
    </row>
    <row r="6" spans="1:21" x14ac:dyDescent="0.25">
      <c r="A6" s="3"/>
      <c r="B6" s="17" t="s">
        <v>4</v>
      </c>
      <c r="C6" s="4" t="s">
        <v>8</v>
      </c>
      <c r="D6" s="4">
        <v>98</v>
      </c>
      <c r="E6" s="4">
        <v>66.099999999999994</v>
      </c>
      <c r="F6" s="4">
        <v>250</v>
      </c>
      <c r="G6" s="7">
        <f>+OP!T6-Issue!Q6</f>
        <v>13104</v>
      </c>
      <c r="H6" s="1">
        <v>8175</v>
      </c>
      <c r="I6" s="1">
        <f t="shared" si="0"/>
        <v>4929</v>
      </c>
      <c r="M6" s="41" t="s">
        <v>22</v>
      </c>
      <c r="N6" s="41">
        <v>260</v>
      </c>
      <c r="O6" s="40" t="s">
        <v>109</v>
      </c>
      <c r="P6" s="42">
        <v>4</v>
      </c>
      <c r="Q6" s="45">
        <v>375</v>
      </c>
      <c r="R6" s="43">
        <v>1250</v>
      </c>
      <c r="S6" s="43"/>
      <c r="T6" s="42">
        <v>7500</v>
      </c>
      <c r="U6" s="49">
        <f>+T6+S6+R6+Q6</f>
        <v>9125</v>
      </c>
    </row>
    <row r="7" spans="1:21" x14ac:dyDescent="0.25">
      <c r="A7" s="3"/>
      <c r="B7" s="17" t="s">
        <v>4</v>
      </c>
      <c r="C7" s="4" t="s">
        <v>8</v>
      </c>
      <c r="D7" s="4">
        <v>80.5</v>
      </c>
      <c r="E7" s="4">
        <v>70</v>
      </c>
      <c r="F7" s="4">
        <v>263</v>
      </c>
      <c r="G7" s="60">
        <f>+OP!T7-Issue!Q7</f>
        <v>-35280</v>
      </c>
      <c r="H7" s="1">
        <v>82517</v>
      </c>
      <c r="I7" s="1">
        <f t="shared" si="0"/>
        <v>-117797</v>
      </c>
      <c r="M7" s="41" t="s">
        <v>22</v>
      </c>
      <c r="N7" s="41">
        <v>250</v>
      </c>
      <c r="O7" s="40" t="s">
        <v>74</v>
      </c>
      <c r="P7" s="42">
        <v>4</v>
      </c>
      <c r="Q7" s="4">
        <v>1500</v>
      </c>
      <c r="R7" s="43">
        <v>7500</v>
      </c>
      <c r="S7" s="43"/>
      <c r="T7" s="43"/>
      <c r="U7" s="49">
        <f t="shared" ref="U7:U24" si="2">+T7+S7+R7+Q7</f>
        <v>9000</v>
      </c>
    </row>
    <row r="8" spans="1:21" x14ac:dyDescent="0.25">
      <c r="A8" s="3"/>
      <c r="B8" s="17" t="s">
        <v>4</v>
      </c>
      <c r="C8" s="4" t="s">
        <v>5</v>
      </c>
      <c r="D8" s="4">
        <v>80</v>
      </c>
      <c r="E8" s="4">
        <v>70.2</v>
      </c>
      <c r="F8" s="4">
        <v>250</v>
      </c>
      <c r="G8" s="7">
        <f>+OP!T8-Issue!Q8</f>
        <v>1376</v>
      </c>
      <c r="H8" s="1">
        <v>5984</v>
      </c>
      <c r="I8" s="1">
        <f t="shared" si="0"/>
        <v>-4608</v>
      </c>
      <c r="M8" s="41" t="s">
        <v>40</v>
      </c>
      <c r="N8" s="41">
        <v>250</v>
      </c>
      <c r="O8" s="40" t="s">
        <v>70</v>
      </c>
      <c r="P8" s="42">
        <v>4</v>
      </c>
      <c r="Q8" s="46">
        <v>2625</v>
      </c>
      <c r="R8" s="43">
        <v>1250</v>
      </c>
      <c r="S8" s="4">
        <v>750</v>
      </c>
      <c r="T8" s="42">
        <v>5000</v>
      </c>
      <c r="U8" s="49">
        <f t="shared" si="2"/>
        <v>9625</v>
      </c>
    </row>
    <row r="9" spans="1:21" x14ac:dyDescent="0.25">
      <c r="A9" s="3"/>
      <c r="B9" s="17" t="s">
        <v>4</v>
      </c>
      <c r="C9" s="4" t="s">
        <v>9</v>
      </c>
      <c r="D9" s="4">
        <v>80</v>
      </c>
      <c r="E9" s="4">
        <v>70.2</v>
      </c>
      <c r="F9" s="4">
        <v>200</v>
      </c>
      <c r="G9" s="7">
        <f>+OP!T9-Issue!Q9</f>
        <v>1200</v>
      </c>
      <c r="I9" s="1">
        <f t="shared" si="0"/>
        <v>1200</v>
      </c>
      <c r="M9" s="41" t="s">
        <v>40</v>
      </c>
      <c r="N9" s="41">
        <v>250</v>
      </c>
      <c r="O9" s="40" t="s">
        <v>110</v>
      </c>
      <c r="P9" s="42">
        <v>4</v>
      </c>
      <c r="Q9" s="4">
        <v>500</v>
      </c>
      <c r="R9" s="43">
        <v>250</v>
      </c>
      <c r="S9" s="43"/>
      <c r="T9" s="4">
        <v>1125</v>
      </c>
      <c r="U9" s="49">
        <f t="shared" si="2"/>
        <v>1875</v>
      </c>
    </row>
    <row r="10" spans="1:21" x14ac:dyDescent="0.25">
      <c r="A10" s="3"/>
      <c r="B10" s="17" t="s">
        <v>4</v>
      </c>
      <c r="C10" s="4" t="s">
        <v>8</v>
      </c>
      <c r="D10" s="4">
        <v>80</v>
      </c>
      <c r="E10" s="4">
        <v>73</v>
      </c>
      <c r="F10" s="4">
        <v>263</v>
      </c>
      <c r="G10" s="7">
        <f>+OP!T10-Issue!Q10</f>
        <v>12960</v>
      </c>
      <c r="I10" s="1">
        <f t="shared" si="0"/>
        <v>12960</v>
      </c>
      <c r="M10" s="41" t="s">
        <v>8</v>
      </c>
      <c r="N10" s="41">
        <v>263</v>
      </c>
      <c r="O10" s="40" t="s">
        <v>71</v>
      </c>
      <c r="P10" s="42">
        <v>8</v>
      </c>
      <c r="Q10" s="4"/>
      <c r="R10" s="43"/>
      <c r="S10" s="43"/>
      <c r="T10" s="4">
        <v>1500</v>
      </c>
      <c r="U10" s="44">
        <f t="shared" si="2"/>
        <v>1500</v>
      </c>
    </row>
    <row r="11" spans="1:21" x14ac:dyDescent="0.25">
      <c r="A11" s="3"/>
      <c r="B11" s="17" t="s">
        <v>4</v>
      </c>
      <c r="C11" s="4" t="s">
        <v>5</v>
      </c>
      <c r="D11" s="4">
        <v>88</v>
      </c>
      <c r="E11" s="4">
        <v>86</v>
      </c>
      <c r="F11" s="4">
        <v>280</v>
      </c>
      <c r="G11" s="7">
        <f>+OP!T11-Issue!Q11</f>
        <v>1960</v>
      </c>
      <c r="H11" s="1">
        <v>33708</v>
      </c>
      <c r="I11" s="1">
        <f t="shared" si="0"/>
        <v>-31748</v>
      </c>
      <c r="M11" s="41" t="s">
        <v>9</v>
      </c>
      <c r="N11" s="41">
        <v>350</v>
      </c>
      <c r="O11" s="40" t="s">
        <v>110</v>
      </c>
      <c r="P11" s="42">
        <v>4</v>
      </c>
      <c r="Q11" s="4">
        <v>4300</v>
      </c>
      <c r="R11" s="43">
        <v>250</v>
      </c>
      <c r="S11" s="4">
        <v>167</v>
      </c>
      <c r="T11" s="43"/>
      <c r="U11" s="44">
        <f t="shared" si="2"/>
        <v>4717</v>
      </c>
    </row>
    <row r="12" spans="1:21" x14ac:dyDescent="0.25">
      <c r="A12" s="3"/>
      <c r="B12" s="17" t="s">
        <v>4</v>
      </c>
      <c r="C12" s="4" t="s">
        <v>8</v>
      </c>
      <c r="D12" s="4">
        <v>84.3</v>
      </c>
      <c r="E12" s="4">
        <v>68</v>
      </c>
      <c r="F12" s="4">
        <v>250</v>
      </c>
      <c r="G12" s="7">
        <f>+OP!T12-Issue!Q12</f>
        <v>7632</v>
      </c>
      <c r="H12" s="1">
        <v>5188</v>
      </c>
      <c r="I12" s="1">
        <f t="shared" si="0"/>
        <v>2444</v>
      </c>
      <c r="M12" s="41" t="s">
        <v>22</v>
      </c>
      <c r="N12" s="41">
        <v>260</v>
      </c>
      <c r="O12" s="40" t="s">
        <v>72</v>
      </c>
      <c r="P12" s="42">
        <v>4</v>
      </c>
      <c r="Q12" s="4">
        <v>11050</v>
      </c>
      <c r="R12" s="43">
        <v>4700</v>
      </c>
      <c r="S12" s="47">
        <f>2220+150</f>
        <v>2370</v>
      </c>
      <c r="T12" s="4">
        <f>5500+500</f>
        <v>6000</v>
      </c>
      <c r="U12" s="49">
        <f t="shared" si="2"/>
        <v>24120</v>
      </c>
    </row>
    <row r="13" spans="1:21" x14ac:dyDescent="0.25">
      <c r="A13" s="3">
        <v>2</v>
      </c>
      <c r="B13" s="3" t="s">
        <v>10</v>
      </c>
      <c r="C13" s="4" t="s">
        <v>8</v>
      </c>
      <c r="D13" s="4">
        <v>90</v>
      </c>
      <c r="E13" s="4">
        <v>70.2</v>
      </c>
      <c r="F13" s="4">
        <v>250</v>
      </c>
      <c r="G13" s="7">
        <f>+OP!T13-Issue!Q13</f>
        <v>7560</v>
      </c>
      <c r="H13" s="1">
        <v>77500</v>
      </c>
      <c r="I13" s="1">
        <f t="shared" si="0"/>
        <v>-69940</v>
      </c>
      <c r="M13" s="41" t="s">
        <v>22</v>
      </c>
      <c r="N13" s="41">
        <v>280</v>
      </c>
      <c r="O13" s="40" t="s">
        <v>71</v>
      </c>
      <c r="P13" s="42">
        <v>4</v>
      </c>
      <c r="Q13" s="4">
        <v>8038</v>
      </c>
      <c r="R13" s="43">
        <v>6793</v>
      </c>
      <c r="S13" s="4">
        <v>2670</v>
      </c>
      <c r="T13" s="4">
        <v>8311</v>
      </c>
      <c r="U13" s="49">
        <f t="shared" si="2"/>
        <v>25812</v>
      </c>
    </row>
    <row r="14" spans="1:21" x14ac:dyDescent="0.25">
      <c r="A14" s="3"/>
      <c r="B14" s="3" t="s">
        <v>10</v>
      </c>
      <c r="C14" s="4" t="s">
        <v>5</v>
      </c>
      <c r="D14" s="4">
        <v>86.5</v>
      </c>
      <c r="E14" s="4">
        <v>85</v>
      </c>
      <c r="F14" s="4">
        <v>260</v>
      </c>
      <c r="G14" s="7">
        <f>+OP!T14-Issue!Q14</f>
        <v>-2</v>
      </c>
      <c r="H14" s="1">
        <v>30275</v>
      </c>
      <c r="I14" s="1">
        <f t="shared" si="0"/>
        <v>-30277</v>
      </c>
      <c r="M14" s="41" t="s">
        <v>40</v>
      </c>
      <c r="N14" s="41">
        <v>263</v>
      </c>
      <c r="O14" s="40" t="s">
        <v>111</v>
      </c>
      <c r="P14" s="42">
        <v>6</v>
      </c>
      <c r="Q14" s="4">
        <v>40417</v>
      </c>
      <c r="R14" s="43">
        <v>18183</v>
      </c>
      <c r="S14" s="4">
        <v>4417</v>
      </c>
      <c r="T14" s="4">
        <v>19500</v>
      </c>
      <c r="U14" s="49">
        <f t="shared" si="2"/>
        <v>82517</v>
      </c>
    </row>
    <row r="15" spans="1:21" x14ac:dyDescent="0.25">
      <c r="A15" s="3"/>
      <c r="B15" s="3" t="s">
        <v>10</v>
      </c>
      <c r="C15" s="4" t="s">
        <v>8</v>
      </c>
      <c r="D15" s="4">
        <v>86.5</v>
      </c>
      <c r="E15" s="4">
        <v>85</v>
      </c>
      <c r="F15" s="4">
        <v>263</v>
      </c>
      <c r="G15" s="7">
        <f>+OP!T15-Issue!Q15</f>
        <v>504</v>
      </c>
      <c r="H15" s="1">
        <v>28167</v>
      </c>
      <c r="I15" s="1">
        <f t="shared" si="0"/>
        <v>-27663</v>
      </c>
      <c r="M15" s="41" t="s">
        <v>22</v>
      </c>
      <c r="N15" s="41">
        <v>250</v>
      </c>
      <c r="O15" s="40" t="s">
        <v>111</v>
      </c>
      <c r="P15" s="42">
        <v>6</v>
      </c>
      <c r="Q15" s="4">
        <v>792</v>
      </c>
      <c r="R15" s="43">
        <v>2658</v>
      </c>
      <c r="S15" s="4">
        <v>867</v>
      </c>
      <c r="T15" s="4">
        <v>1667</v>
      </c>
      <c r="U15" s="49">
        <f t="shared" si="2"/>
        <v>5984</v>
      </c>
    </row>
    <row r="16" spans="1:21" x14ac:dyDescent="0.25">
      <c r="A16" s="3"/>
      <c r="B16" s="3" t="s">
        <v>10</v>
      </c>
      <c r="C16" s="4" t="s">
        <v>5</v>
      </c>
      <c r="D16" s="4">
        <v>96</v>
      </c>
      <c r="E16" s="4">
        <v>73.5</v>
      </c>
      <c r="F16" s="4">
        <v>260</v>
      </c>
      <c r="G16" s="7">
        <f>+OP!T16-Issue!Q16</f>
        <v>820</v>
      </c>
      <c r="I16" s="1">
        <f t="shared" si="0"/>
        <v>820</v>
      </c>
      <c r="M16" s="41" t="s">
        <v>40</v>
      </c>
      <c r="N16" s="41">
        <v>250</v>
      </c>
      <c r="O16" s="40" t="s">
        <v>112</v>
      </c>
      <c r="P16" s="42">
        <v>8</v>
      </c>
      <c r="Q16" s="4">
        <v>2813</v>
      </c>
      <c r="R16" s="43">
        <v>2375</v>
      </c>
      <c r="S16" s="43"/>
      <c r="T16" s="43"/>
      <c r="U16" s="49">
        <f t="shared" si="2"/>
        <v>5188</v>
      </c>
    </row>
    <row r="17" spans="1:21" x14ac:dyDescent="0.25">
      <c r="A17" s="3">
        <v>3</v>
      </c>
      <c r="B17" s="3" t="s">
        <v>12</v>
      </c>
      <c r="C17" s="4" t="s">
        <v>5</v>
      </c>
      <c r="D17" s="4">
        <v>60</v>
      </c>
      <c r="E17" s="4">
        <v>86</v>
      </c>
      <c r="F17" s="4">
        <v>260</v>
      </c>
      <c r="G17" s="7">
        <f>+OP!T17-Issue!Q17</f>
        <v>8568</v>
      </c>
      <c r="H17" s="1">
        <v>24120</v>
      </c>
      <c r="I17" s="1">
        <f t="shared" si="0"/>
        <v>-15552</v>
      </c>
      <c r="M17" s="41" t="s">
        <v>40</v>
      </c>
      <c r="N17" s="41">
        <v>263</v>
      </c>
      <c r="O17" s="40" t="s">
        <v>82</v>
      </c>
      <c r="P17" s="42">
        <v>6</v>
      </c>
      <c r="Q17" s="4">
        <v>10800</v>
      </c>
      <c r="R17" s="43">
        <v>6500</v>
      </c>
      <c r="S17" s="4">
        <v>4367</v>
      </c>
      <c r="T17" s="4">
        <v>6500</v>
      </c>
      <c r="U17" s="49">
        <f t="shared" si="2"/>
        <v>28167</v>
      </c>
    </row>
    <row r="18" spans="1:21" x14ac:dyDescent="0.25">
      <c r="A18" s="3"/>
      <c r="B18" s="3" t="s">
        <v>12</v>
      </c>
      <c r="C18" s="4" t="s">
        <v>9</v>
      </c>
      <c r="D18" s="4">
        <v>60</v>
      </c>
      <c r="E18" s="4">
        <v>86</v>
      </c>
      <c r="F18" s="4">
        <v>200</v>
      </c>
      <c r="G18" s="7">
        <f>+OP!T18-Issue!Q18</f>
        <v>4235</v>
      </c>
      <c r="I18" s="1">
        <f t="shared" si="0"/>
        <v>4235</v>
      </c>
      <c r="M18" s="41" t="s">
        <v>22</v>
      </c>
      <c r="N18" s="41">
        <v>260</v>
      </c>
      <c r="O18" s="40" t="s">
        <v>82</v>
      </c>
      <c r="P18" s="42">
        <v>6</v>
      </c>
      <c r="Q18" s="4">
        <v>12308</v>
      </c>
      <c r="R18" s="43">
        <v>8692</v>
      </c>
      <c r="S18" s="4">
        <v>4942</v>
      </c>
      <c r="T18" s="4">
        <f>4000+333</f>
        <v>4333</v>
      </c>
      <c r="U18" s="49">
        <f t="shared" si="2"/>
        <v>30275</v>
      </c>
    </row>
    <row r="19" spans="1:21" x14ac:dyDescent="0.25">
      <c r="A19" s="3"/>
      <c r="B19" s="3" t="s">
        <v>12</v>
      </c>
      <c r="C19" s="4" t="s">
        <v>5</v>
      </c>
      <c r="D19" s="4">
        <v>60</v>
      </c>
      <c r="E19" s="4">
        <v>90</v>
      </c>
      <c r="F19" s="4">
        <v>280</v>
      </c>
      <c r="G19" s="7">
        <f>+OP!T19-Issue!Q19</f>
        <v>5024</v>
      </c>
      <c r="H19" s="1">
        <v>25812</v>
      </c>
      <c r="I19" s="1">
        <f t="shared" si="0"/>
        <v>-20788</v>
      </c>
      <c r="M19" s="41" t="s">
        <v>22</v>
      </c>
      <c r="N19" s="41">
        <v>280</v>
      </c>
      <c r="O19" s="40" t="s">
        <v>113</v>
      </c>
      <c r="P19" s="42">
        <v>6</v>
      </c>
      <c r="Q19" s="4">
        <v>11225</v>
      </c>
      <c r="R19" s="43">
        <v>8362</v>
      </c>
      <c r="S19" s="4">
        <v>3013</v>
      </c>
      <c r="T19" s="4">
        <v>11108</v>
      </c>
      <c r="U19" s="49">
        <f t="shared" si="2"/>
        <v>33708</v>
      </c>
    </row>
    <row r="20" spans="1:21" x14ac:dyDescent="0.25">
      <c r="A20" s="3"/>
      <c r="B20" s="3" t="s">
        <v>12</v>
      </c>
      <c r="C20" s="4" t="s">
        <v>8</v>
      </c>
      <c r="D20" s="4">
        <v>58.5</v>
      </c>
      <c r="E20" s="4">
        <v>91</v>
      </c>
      <c r="F20" s="4">
        <v>250</v>
      </c>
      <c r="G20" s="7">
        <f>+OP!T20-Issue!Q20</f>
        <v>1152</v>
      </c>
      <c r="H20" s="1">
        <v>1875</v>
      </c>
      <c r="I20" s="1">
        <f t="shared" si="0"/>
        <v>-723</v>
      </c>
      <c r="M20" s="41" t="s">
        <v>40</v>
      </c>
      <c r="N20" s="41">
        <v>250</v>
      </c>
      <c r="O20" s="40" t="s">
        <v>86</v>
      </c>
      <c r="P20" s="42">
        <v>8</v>
      </c>
      <c r="Q20" s="4">
        <v>38500</v>
      </c>
      <c r="R20" s="43">
        <v>10000</v>
      </c>
      <c r="S20" s="4">
        <v>1125</v>
      </c>
      <c r="T20" s="4">
        <v>27875</v>
      </c>
      <c r="U20" s="49">
        <f t="shared" si="2"/>
        <v>77500</v>
      </c>
    </row>
    <row r="21" spans="1:21" x14ac:dyDescent="0.25">
      <c r="A21" s="3"/>
      <c r="B21" s="3" t="s">
        <v>12</v>
      </c>
      <c r="C21" s="4" t="s">
        <v>11</v>
      </c>
      <c r="D21" s="4">
        <v>45.5</v>
      </c>
      <c r="E21" s="4">
        <v>55</v>
      </c>
      <c r="F21" s="4">
        <v>52</v>
      </c>
      <c r="G21" s="7">
        <f>+OP!T21-Issue!Q21</f>
        <v>193920</v>
      </c>
      <c r="H21" s="18"/>
      <c r="I21" s="1">
        <f t="shared" si="0"/>
        <v>193920</v>
      </c>
      <c r="M21" s="41" t="s">
        <v>22</v>
      </c>
      <c r="N21" s="41">
        <v>260</v>
      </c>
      <c r="O21" s="40" t="s">
        <v>114</v>
      </c>
      <c r="P21" s="42">
        <v>8</v>
      </c>
      <c r="Q21" s="4">
        <v>46575</v>
      </c>
      <c r="R21" s="43">
        <v>27747</v>
      </c>
      <c r="S21" s="4">
        <v>13856</v>
      </c>
      <c r="T21" s="4">
        <v>35250</v>
      </c>
      <c r="U21" s="49">
        <f t="shared" si="2"/>
        <v>123428</v>
      </c>
    </row>
    <row r="22" spans="1:21" x14ac:dyDescent="0.25">
      <c r="A22" s="3"/>
      <c r="B22" s="3" t="s">
        <v>12</v>
      </c>
      <c r="C22" s="4" t="s">
        <v>8</v>
      </c>
      <c r="D22" s="4">
        <v>58</v>
      </c>
      <c r="E22" s="4">
        <v>85</v>
      </c>
      <c r="F22" s="4">
        <v>250</v>
      </c>
      <c r="G22" s="7">
        <f>+OP!T22-Issue!Q22</f>
        <v>1100</v>
      </c>
      <c r="I22" s="1">
        <f t="shared" si="0"/>
        <v>1100</v>
      </c>
      <c r="M22" s="41" t="s">
        <v>40</v>
      </c>
      <c r="N22" s="41">
        <v>260</v>
      </c>
      <c r="O22" s="40" t="s">
        <v>114</v>
      </c>
      <c r="P22" s="42">
        <v>8</v>
      </c>
      <c r="Q22" s="4">
        <v>45625</v>
      </c>
      <c r="R22" s="43">
        <v>26313</v>
      </c>
      <c r="S22" s="4">
        <v>3750</v>
      </c>
      <c r="T22" s="4">
        <v>7750</v>
      </c>
      <c r="U22" s="49">
        <f t="shared" si="2"/>
        <v>83438</v>
      </c>
    </row>
    <row r="23" spans="1:21" x14ac:dyDescent="0.25">
      <c r="A23" s="3"/>
      <c r="B23" s="3" t="s">
        <v>12</v>
      </c>
      <c r="C23" s="4" t="s">
        <v>8</v>
      </c>
      <c r="D23" s="4">
        <v>63.5</v>
      </c>
      <c r="E23" s="4">
        <v>76.2</v>
      </c>
      <c r="F23" s="4">
        <v>180</v>
      </c>
      <c r="G23" s="7">
        <f>+OP!T23-Issue!Q23</f>
        <v>4320</v>
      </c>
      <c r="I23" s="1">
        <f t="shared" si="0"/>
        <v>4320</v>
      </c>
      <c r="M23" s="41" t="s">
        <v>40</v>
      </c>
      <c r="N23" s="41">
        <v>250</v>
      </c>
      <c r="O23" s="40" t="s">
        <v>115</v>
      </c>
      <c r="P23" s="42">
        <v>8</v>
      </c>
      <c r="Q23" s="46">
        <v>675</v>
      </c>
      <c r="R23" s="43">
        <v>625</v>
      </c>
      <c r="S23" s="4">
        <v>375</v>
      </c>
      <c r="T23" s="47">
        <v>3500</v>
      </c>
      <c r="U23" s="49">
        <f t="shared" si="2"/>
        <v>5175</v>
      </c>
    </row>
    <row r="24" spans="1:21" x14ac:dyDescent="0.25">
      <c r="A24" s="3"/>
      <c r="B24" s="3" t="s">
        <v>12</v>
      </c>
      <c r="C24" s="4" t="s">
        <v>5</v>
      </c>
      <c r="D24" s="4">
        <v>48</v>
      </c>
      <c r="E24" s="4">
        <v>77.5</v>
      </c>
      <c r="F24" s="4">
        <v>250</v>
      </c>
      <c r="G24" s="7">
        <f>+OP!T24-Issue!Q24</f>
        <v>4752</v>
      </c>
      <c r="H24" s="1">
        <f>9000+9625</f>
        <v>18625</v>
      </c>
      <c r="I24" s="1">
        <f t="shared" si="0"/>
        <v>-13873</v>
      </c>
      <c r="M24" s="43"/>
      <c r="N24" s="43"/>
      <c r="O24" s="43"/>
      <c r="P24" s="43"/>
      <c r="Q24" s="48">
        <f>SUBTOTAL(9,Q6:Q23)</f>
        <v>238118</v>
      </c>
      <c r="R24" s="43">
        <f>SUM(R5:R23)</f>
        <v>133448</v>
      </c>
      <c r="S24" s="43">
        <f>SUM(S5:S23)</f>
        <v>42769</v>
      </c>
      <c r="T24" s="43">
        <f>SUM(T5:T23)</f>
        <v>146919</v>
      </c>
      <c r="U24" s="44">
        <f t="shared" si="2"/>
        <v>561254</v>
      </c>
    </row>
    <row r="25" spans="1:21" x14ac:dyDescent="0.25">
      <c r="A25" s="3"/>
      <c r="B25" s="3" t="s">
        <v>12</v>
      </c>
      <c r="C25" s="4" t="s">
        <v>13</v>
      </c>
      <c r="D25" s="4">
        <v>58.5</v>
      </c>
      <c r="E25" s="4">
        <v>91</v>
      </c>
      <c r="F25" s="4">
        <v>90</v>
      </c>
      <c r="G25" s="7">
        <f>+OP!T25-Issue!Q25</f>
        <v>1500</v>
      </c>
      <c r="I25" s="1">
        <f t="shared" si="0"/>
        <v>1500</v>
      </c>
    </row>
    <row r="26" spans="1:21" x14ac:dyDescent="0.25">
      <c r="A26" s="3"/>
      <c r="B26" s="3" t="s">
        <v>12</v>
      </c>
      <c r="C26" s="4" t="s">
        <v>8</v>
      </c>
      <c r="D26" s="4">
        <v>54</v>
      </c>
      <c r="E26" s="4">
        <v>87</v>
      </c>
      <c r="F26" s="4">
        <v>250</v>
      </c>
      <c r="G26" s="7">
        <f>+OP!T26-Issue!Q26</f>
        <v>0</v>
      </c>
      <c r="H26" s="1">
        <v>9625</v>
      </c>
      <c r="I26" s="1">
        <f t="shared" si="0"/>
        <v>-9625</v>
      </c>
    </row>
    <row r="27" spans="1:21" x14ac:dyDescent="0.25">
      <c r="A27" s="3"/>
      <c r="B27" s="3" t="s">
        <v>12</v>
      </c>
      <c r="C27" s="4" t="s">
        <v>8</v>
      </c>
      <c r="D27" s="4">
        <v>54</v>
      </c>
      <c r="E27" s="4">
        <v>81</v>
      </c>
      <c r="F27" s="4">
        <v>250</v>
      </c>
      <c r="G27" s="7">
        <f>+OP!T27-Issue!Q27</f>
        <v>10368</v>
      </c>
    </row>
    <row r="28" spans="1:21" x14ac:dyDescent="0.25">
      <c r="A28" s="3"/>
      <c r="B28" s="3" t="s">
        <v>12</v>
      </c>
      <c r="C28" s="4" t="s">
        <v>22</v>
      </c>
      <c r="D28" s="4">
        <v>96</v>
      </c>
      <c r="E28" s="4">
        <v>73.5</v>
      </c>
      <c r="F28" s="4">
        <v>260</v>
      </c>
      <c r="G28" s="7">
        <f>+OP!T28-Issue!Q28</f>
        <v>0</v>
      </c>
    </row>
    <row r="29" spans="1:21" x14ac:dyDescent="0.25">
      <c r="A29" s="3"/>
      <c r="B29" s="4"/>
      <c r="C29" s="4"/>
      <c r="D29" s="4"/>
      <c r="E29" s="4"/>
      <c r="F29" s="4"/>
      <c r="G29" s="7"/>
    </row>
    <row r="30" spans="1:21" x14ac:dyDescent="0.25">
      <c r="A30" s="3"/>
      <c r="B30" s="4"/>
      <c r="C30" s="4"/>
      <c r="D30" s="4"/>
      <c r="E30" s="4"/>
      <c r="F30" s="4"/>
      <c r="G30" s="4"/>
    </row>
    <row r="31" spans="1:21" x14ac:dyDescent="0.25">
      <c r="A31" s="3"/>
      <c r="B31" s="4"/>
      <c r="C31" s="4"/>
      <c r="D31" s="4"/>
      <c r="E31" s="4"/>
      <c r="F31" s="4"/>
      <c r="G31" s="4"/>
      <c r="J31" s="1">
        <f>+G13/144</f>
        <v>52.5</v>
      </c>
    </row>
    <row r="32" spans="1:21" x14ac:dyDescent="0.25">
      <c r="A32" s="3"/>
      <c r="B32" s="4"/>
      <c r="C32" s="4"/>
      <c r="D32" s="4"/>
      <c r="E32" s="4"/>
      <c r="F32" s="4"/>
      <c r="G32" s="4"/>
    </row>
    <row r="33" spans="1:21" x14ac:dyDescent="0.25">
      <c r="A33" s="3"/>
      <c r="B33" s="4"/>
      <c r="C33" s="4"/>
      <c r="D33" s="4"/>
      <c r="E33" s="4"/>
      <c r="F33" s="4"/>
      <c r="G33" s="4"/>
    </row>
    <row r="34" spans="1:21" x14ac:dyDescent="0.25">
      <c r="A34" s="3"/>
      <c r="B34" s="4"/>
      <c r="C34" s="4"/>
      <c r="D34" s="4"/>
      <c r="E34" s="4"/>
      <c r="F34" s="4"/>
      <c r="G34" s="4"/>
    </row>
    <row r="35" spans="1:21" x14ac:dyDescent="0.25">
      <c r="A35" s="3"/>
      <c r="B35" s="4"/>
      <c r="C35" s="4"/>
      <c r="D35" s="4"/>
      <c r="E35" s="4"/>
      <c r="F35" s="4"/>
      <c r="G35" s="4"/>
      <c r="N35" s="1">
        <v>250</v>
      </c>
      <c r="O35" s="1">
        <f>+N35*100/37/43</f>
        <v>15.713387806411061</v>
      </c>
    </row>
    <row r="36" spans="1:21" x14ac:dyDescent="0.25">
      <c r="A36" s="3"/>
      <c r="B36" s="4"/>
      <c r="C36" s="4"/>
      <c r="D36" s="4"/>
      <c r="E36" s="4"/>
      <c r="F36" s="4"/>
      <c r="G36" s="4"/>
      <c r="O36" s="1">
        <f>+O35*4</f>
        <v>62.853551225644246</v>
      </c>
    </row>
    <row r="37" spans="1:21" x14ac:dyDescent="0.25">
      <c r="A37" s="3"/>
      <c r="B37" s="4"/>
      <c r="C37" s="4"/>
      <c r="D37" s="4"/>
      <c r="E37" s="4"/>
      <c r="F37" s="4"/>
      <c r="G37" s="4"/>
      <c r="O37" s="1">
        <f>+O36*60</f>
        <v>3771.213073538655</v>
      </c>
    </row>
    <row r="38" spans="1:21" x14ac:dyDescent="0.25">
      <c r="A38" s="3"/>
      <c r="B38" s="4"/>
      <c r="C38" s="4"/>
      <c r="D38" s="4"/>
      <c r="E38" s="4"/>
      <c r="F38" s="4"/>
      <c r="G38" s="4"/>
      <c r="O38" s="1">
        <f>+O37*12</f>
        <v>45254.556882463861</v>
      </c>
      <c r="U38" s="1">
        <v>60000</v>
      </c>
    </row>
    <row r="39" spans="1:21" x14ac:dyDescent="0.25">
      <c r="A39" s="3"/>
      <c r="B39" s="4"/>
      <c r="C39" s="4"/>
      <c r="D39" s="4"/>
      <c r="E39" s="4"/>
      <c r="F39" s="4"/>
      <c r="G39" s="4"/>
      <c r="U39" s="1">
        <f>172/16/20000/500*97*37*56</f>
        <v>0.21605780000000002</v>
      </c>
    </row>
    <row r="40" spans="1:21" x14ac:dyDescent="0.25">
      <c r="A40" s="3"/>
      <c r="B40" s="4"/>
      <c r="C40" s="4"/>
      <c r="D40" s="4"/>
      <c r="E40" s="4"/>
      <c r="F40" s="4"/>
      <c r="G40" s="4"/>
      <c r="U40" s="1">
        <f>+U39*U38</f>
        <v>12963.468000000001</v>
      </c>
    </row>
  </sheetData>
  <autoFilter ref="A2:H28" xr:uid="{00000000-0009-0000-0000-000002000000}"/>
  <mergeCells count="1">
    <mergeCell ref="M4:O4"/>
  </mergeCells>
  <pageMargins left="0.70866141732283472" right="0.70866141732283472" top="0.74803149606299213" bottom="0.74803149606299213" header="0.31496062992125984" footer="0.31496062992125984"/>
  <pageSetup scale="11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2"/>
  <sheetViews>
    <sheetView zoomScaleNormal="100" workbookViewId="0">
      <pane ySplit="2" topLeftCell="A27" activePane="bottomLeft" state="frozen"/>
      <selection pane="bottomLeft" activeCell="C44" sqref="C44"/>
    </sheetView>
  </sheetViews>
  <sheetFormatPr defaultRowHeight="15" x14ac:dyDescent="0.25"/>
  <cols>
    <col min="1" max="1" width="9.140625" style="1"/>
    <col min="2" max="2" width="16.5703125" style="1" bestFit="1" customWidth="1"/>
    <col min="3" max="3" width="33.140625" style="1" bestFit="1" customWidth="1"/>
    <col min="4" max="4" width="10.5703125" style="1" customWidth="1"/>
    <col min="5" max="5" width="12.140625" style="1" customWidth="1"/>
    <col min="6" max="6" width="5.28515625" style="1" bestFit="1" customWidth="1"/>
    <col min="7" max="7" width="17.5703125" style="1" customWidth="1"/>
    <col min="8" max="8" width="9.7109375" style="1" customWidth="1"/>
    <col min="9" max="11" width="8.28515625" style="1" customWidth="1"/>
    <col min="12" max="12" width="18.85546875" style="1" bestFit="1" customWidth="1"/>
    <col min="13" max="13" width="9.140625" style="1"/>
    <col min="14" max="14" width="11.5703125" style="1" bestFit="1" customWidth="1"/>
    <col min="15" max="15" width="9.140625" style="1"/>
    <col min="16" max="16" width="13.85546875" style="1" customWidth="1"/>
    <col min="17" max="16384" width="9.140625" style="1"/>
  </cols>
  <sheetData>
    <row r="1" spans="1:19" s="2" customFormat="1" x14ac:dyDescent="0.25">
      <c r="A1" s="27" t="s">
        <v>35</v>
      </c>
      <c r="B1" s="27"/>
      <c r="C1" s="27"/>
      <c r="D1" s="27"/>
      <c r="E1" s="27"/>
      <c r="F1" s="27"/>
      <c r="G1" s="27"/>
      <c r="H1" s="27"/>
      <c r="I1" s="26">
        <f>SUBTOTAL(9,I3:I499)</f>
        <v>221078</v>
      </c>
      <c r="J1" s="33"/>
      <c r="K1" s="33"/>
      <c r="L1" s="27"/>
      <c r="M1" s="76" t="s">
        <v>36</v>
      </c>
      <c r="N1" s="76"/>
      <c r="O1" s="76"/>
      <c r="P1" s="76"/>
      <c r="Q1" s="22"/>
      <c r="R1" s="22"/>
      <c r="S1" s="22"/>
    </row>
    <row r="2" spans="1:19" s="38" customFormat="1" ht="30" x14ac:dyDescent="0.25">
      <c r="A2" s="34" t="s">
        <v>34</v>
      </c>
      <c r="B2" s="34" t="s">
        <v>15</v>
      </c>
      <c r="C2" s="35" t="s">
        <v>116</v>
      </c>
      <c r="D2" s="35" t="s">
        <v>16</v>
      </c>
      <c r="E2" s="35" t="s">
        <v>2</v>
      </c>
      <c r="F2" s="35" t="s">
        <v>33</v>
      </c>
      <c r="G2" s="35" t="s">
        <v>20</v>
      </c>
      <c r="H2" s="36" t="s">
        <v>17</v>
      </c>
      <c r="I2" s="35" t="s">
        <v>18</v>
      </c>
      <c r="J2" s="35" t="s">
        <v>101</v>
      </c>
      <c r="K2" s="35" t="s">
        <v>102</v>
      </c>
      <c r="L2" s="37" t="s">
        <v>19</v>
      </c>
      <c r="M2" s="37" t="s">
        <v>34</v>
      </c>
      <c r="N2" s="37" t="s">
        <v>37</v>
      </c>
      <c r="O2" s="37" t="s">
        <v>38</v>
      </c>
      <c r="P2" s="37" t="s">
        <v>103</v>
      </c>
    </row>
    <row r="3" spans="1:19" x14ac:dyDescent="0.25">
      <c r="A3" s="23">
        <v>45055</v>
      </c>
      <c r="B3" s="3" t="s">
        <v>21</v>
      </c>
      <c r="C3" s="24" t="s">
        <v>26</v>
      </c>
      <c r="D3" s="24" t="s">
        <v>22</v>
      </c>
      <c r="E3" s="24" t="s">
        <v>23</v>
      </c>
      <c r="F3" s="24">
        <v>280</v>
      </c>
      <c r="G3" s="24" t="s">
        <v>24</v>
      </c>
      <c r="H3" s="24" t="s">
        <v>25</v>
      </c>
      <c r="I3" s="24">
        <v>850</v>
      </c>
      <c r="J3" s="24">
        <v>1700</v>
      </c>
      <c r="K3" s="24"/>
      <c r="L3" s="25" t="s">
        <v>54</v>
      </c>
      <c r="M3" s="32">
        <v>45062</v>
      </c>
      <c r="N3" s="61">
        <v>1680</v>
      </c>
      <c r="O3" s="25">
        <f>+N3-J3</f>
        <v>-20</v>
      </c>
      <c r="P3" s="25"/>
    </row>
    <row r="4" spans="1:19" x14ac:dyDescent="0.25">
      <c r="A4" s="4"/>
      <c r="B4" s="3" t="s">
        <v>21</v>
      </c>
      <c r="C4" s="24" t="s">
        <v>27</v>
      </c>
      <c r="D4" s="24" t="s">
        <v>22</v>
      </c>
      <c r="E4" s="24" t="s">
        <v>23</v>
      </c>
      <c r="F4" s="24">
        <v>280</v>
      </c>
      <c r="G4" s="24" t="s">
        <v>45</v>
      </c>
      <c r="H4" s="24" t="s">
        <v>25</v>
      </c>
      <c r="I4" s="24">
        <v>1000</v>
      </c>
      <c r="J4" s="24">
        <v>2000</v>
      </c>
      <c r="K4" s="24"/>
      <c r="L4" s="25" t="s">
        <v>54</v>
      </c>
      <c r="M4" s="32">
        <v>45063</v>
      </c>
      <c r="N4" s="61">
        <v>1990</v>
      </c>
      <c r="O4" s="25">
        <f t="shared" ref="O4:O29" si="0">+N4-J4</f>
        <v>-10</v>
      </c>
      <c r="P4" s="25"/>
    </row>
    <row r="5" spans="1:19" x14ac:dyDescent="0.25">
      <c r="A5" s="4"/>
      <c r="B5" s="3" t="s">
        <v>21</v>
      </c>
      <c r="C5" s="24" t="s">
        <v>28</v>
      </c>
      <c r="D5" s="24" t="s">
        <v>22</v>
      </c>
      <c r="E5" s="24" t="s">
        <v>23</v>
      </c>
      <c r="F5" s="24">
        <v>280</v>
      </c>
      <c r="G5" s="24" t="s">
        <v>45</v>
      </c>
      <c r="H5" s="24" t="s">
        <v>25</v>
      </c>
      <c r="I5" s="24">
        <v>850</v>
      </c>
      <c r="J5" s="24">
        <v>1700</v>
      </c>
      <c r="K5" s="24"/>
      <c r="L5" s="25" t="s">
        <v>54</v>
      </c>
      <c r="M5" s="32">
        <v>45063</v>
      </c>
      <c r="N5" s="61">
        <v>1685</v>
      </c>
      <c r="O5" s="25">
        <f t="shared" si="0"/>
        <v>-15</v>
      </c>
      <c r="P5" s="25"/>
    </row>
    <row r="6" spans="1:19" x14ac:dyDescent="0.25">
      <c r="A6" s="4"/>
      <c r="B6" s="3" t="s">
        <v>21</v>
      </c>
      <c r="C6" s="24" t="s">
        <v>29</v>
      </c>
      <c r="D6" s="24" t="s">
        <v>22</v>
      </c>
      <c r="E6" s="24" t="s">
        <v>23</v>
      </c>
      <c r="F6" s="24">
        <v>280</v>
      </c>
      <c r="G6" s="24" t="s">
        <v>24</v>
      </c>
      <c r="H6" s="24" t="s">
        <v>25</v>
      </c>
      <c r="I6" s="24">
        <v>1500</v>
      </c>
      <c r="J6" s="24">
        <v>3000</v>
      </c>
      <c r="K6" s="24"/>
      <c r="L6" s="25" t="s">
        <v>54</v>
      </c>
      <c r="M6" s="32">
        <v>45063</v>
      </c>
      <c r="N6" s="61">
        <v>2986</v>
      </c>
      <c r="O6" s="25">
        <f t="shared" si="0"/>
        <v>-14</v>
      </c>
      <c r="P6" s="25"/>
    </row>
    <row r="7" spans="1:19" x14ac:dyDescent="0.25">
      <c r="A7" s="4"/>
      <c r="B7" s="3" t="s">
        <v>21</v>
      </c>
      <c r="C7" s="24" t="s">
        <v>30</v>
      </c>
      <c r="D7" s="24" t="s">
        <v>22</v>
      </c>
      <c r="E7" s="24" t="s">
        <v>23</v>
      </c>
      <c r="F7" s="24">
        <v>280</v>
      </c>
      <c r="G7" s="24" t="s">
        <v>24</v>
      </c>
      <c r="H7" s="24" t="s">
        <v>25</v>
      </c>
      <c r="I7" s="24">
        <v>5000</v>
      </c>
      <c r="J7" s="24">
        <v>10000</v>
      </c>
      <c r="K7" s="24"/>
      <c r="L7" s="25" t="s">
        <v>54</v>
      </c>
      <c r="M7" s="32">
        <v>45062</v>
      </c>
      <c r="N7" s="61">
        <v>9930</v>
      </c>
      <c r="O7" s="25">
        <f t="shared" si="0"/>
        <v>-70</v>
      </c>
      <c r="P7" s="25"/>
    </row>
    <row r="8" spans="1:19" x14ac:dyDescent="0.25">
      <c r="A8" s="4"/>
      <c r="B8" s="3" t="s">
        <v>21</v>
      </c>
      <c r="C8" s="24" t="s">
        <v>31</v>
      </c>
      <c r="D8" s="24" t="s">
        <v>22</v>
      </c>
      <c r="E8" s="24" t="s">
        <v>23</v>
      </c>
      <c r="F8" s="24">
        <v>280</v>
      </c>
      <c r="G8" s="24" t="s">
        <v>24</v>
      </c>
      <c r="H8" s="24" t="s">
        <v>25</v>
      </c>
      <c r="I8" s="24">
        <v>5000</v>
      </c>
      <c r="J8" s="24">
        <v>10000</v>
      </c>
      <c r="K8" s="24"/>
      <c r="L8" s="25" t="s">
        <v>54</v>
      </c>
      <c r="M8" s="32">
        <v>45062</v>
      </c>
      <c r="N8" s="61">
        <f>3000+6960</f>
        <v>9960</v>
      </c>
      <c r="O8" s="25">
        <f t="shared" si="0"/>
        <v>-40</v>
      </c>
      <c r="P8" s="25"/>
    </row>
    <row r="9" spans="1:19" x14ac:dyDescent="0.25">
      <c r="A9" s="4"/>
      <c r="B9" s="3" t="s">
        <v>21</v>
      </c>
      <c r="C9" s="24" t="s">
        <v>32</v>
      </c>
      <c r="D9" s="24" t="s">
        <v>22</v>
      </c>
      <c r="E9" s="24" t="s">
        <v>23</v>
      </c>
      <c r="F9" s="24">
        <v>280</v>
      </c>
      <c r="G9" s="24" t="s">
        <v>24</v>
      </c>
      <c r="H9" s="24" t="s">
        <v>25</v>
      </c>
      <c r="I9" s="24">
        <v>4000</v>
      </c>
      <c r="J9" s="24">
        <v>8000</v>
      </c>
      <c r="K9" s="24"/>
      <c r="L9" s="25" t="s">
        <v>54</v>
      </c>
      <c r="M9" s="32">
        <v>45063</v>
      </c>
      <c r="N9" s="61">
        <v>7980</v>
      </c>
      <c r="O9" s="25">
        <f t="shared" si="0"/>
        <v>-20</v>
      </c>
      <c r="P9" s="25"/>
    </row>
    <row r="10" spans="1:19" x14ac:dyDescent="0.25">
      <c r="A10" s="4"/>
      <c r="B10" s="3" t="s">
        <v>21</v>
      </c>
      <c r="C10" s="24" t="s">
        <v>39</v>
      </c>
      <c r="D10" s="24" t="s">
        <v>40</v>
      </c>
      <c r="E10" s="24" t="s">
        <v>97</v>
      </c>
      <c r="F10" s="24">
        <v>263</v>
      </c>
      <c r="G10" s="24" t="s">
        <v>24</v>
      </c>
      <c r="H10" s="24" t="s">
        <v>41</v>
      </c>
      <c r="I10" s="24">
        <f>35*144</f>
        <v>5040</v>
      </c>
      <c r="J10" s="24">
        <v>5024</v>
      </c>
      <c r="K10" s="24"/>
      <c r="L10" s="25" t="s">
        <v>47</v>
      </c>
      <c r="M10" s="32">
        <v>45062</v>
      </c>
      <c r="N10" s="61">
        <v>5025</v>
      </c>
      <c r="O10" s="25">
        <f t="shared" si="0"/>
        <v>1</v>
      </c>
      <c r="P10" s="25"/>
    </row>
    <row r="11" spans="1:19" x14ac:dyDescent="0.25">
      <c r="A11" s="4"/>
      <c r="B11" s="3" t="s">
        <v>21</v>
      </c>
      <c r="C11" s="24" t="s">
        <v>42</v>
      </c>
      <c r="D11" s="24" t="s">
        <v>40</v>
      </c>
      <c r="E11" s="24" t="s">
        <v>97</v>
      </c>
      <c r="F11" s="24">
        <v>263</v>
      </c>
      <c r="G11" s="24" t="s">
        <v>45</v>
      </c>
      <c r="H11" s="24" t="s">
        <v>41</v>
      </c>
      <c r="I11" s="24">
        <f>11.5*144</f>
        <v>1656</v>
      </c>
      <c r="J11" s="24">
        <v>1656</v>
      </c>
      <c r="K11" s="24"/>
      <c r="L11" s="25" t="s">
        <v>47</v>
      </c>
      <c r="M11" s="32">
        <v>45062</v>
      </c>
      <c r="N11" s="61">
        <v>1657</v>
      </c>
      <c r="O11" s="25">
        <f t="shared" si="0"/>
        <v>1</v>
      </c>
      <c r="P11" s="25"/>
    </row>
    <row r="12" spans="1:19" x14ac:dyDescent="0.25">
      <c r="A12" s="4"/>
      <c r="B12" s="3" t="s">
        <v>21</v>
      </c>
      <c r="C12" s="24" t="s">
        <v>43</v>
      </c>
      <c r="D12" s="24" t="s">
        <v>40</v>
      </c>
      <c r="E12" s="24" t="s">
        <v>97</v>
      </c>
      <c r="F12" s="24">
        <v>263</v>
      </c>
      <c r="G12" s="24" t="s">
        <v>45</v>
      </c>
      <c r="H12" s="24" t="s">
        <v>41</v>
      </c>
      <c r="I12" s="24">
        <f>6*144</f>
        <v>864</v>
      </c>
      <c r="J12" s="24">
        <v>864</v>
      </c>
      <c r="K12" s="24"/>
      <c r="L12" s="25" t="s">
        <v>47</v>
      </c>
      <c r="M12" s="32">
        <v>45062</v>
      </c>
      <c r="N12" s="61">
        <v>865</v>
      </c>
      <c r="O12" s="25">
        <f t="shared" si="0"/>
        <v>1</v>
      </c>
      <c r="P12" s="25"/>
    </row>
    <row r="13" spans="1:19" x14ac:dyDescent="0.25">
      <c r="A13" s="4"/>
      <c r="B13" s="3" t="s">
        <v>21</v>
      </c>
      <c r="C13" s="24" t="s">
        <v>44</v>
      </c>
      <c r="D13" s="24" t="s">
        <v>40</v>
      </c>
      <c r="E13" s="24" t="s">
        <v>97</v>
      </c>
      <c r="F13" s="24">
        <v>263</v>
      </c>
      <c r="G13" s="24" t="s">
        <v>24</v>
      </c>
      <c r="H13" s="24" t="s">
        <v>41</v>
      </c>
      <c r="I13" s="24">
        <f>35*144</f>
        <v>5040</v>
      </c>
      <c r="J13" s="24">
        <v>5040</v>
      </c>
      <c r="K13" s="24"/>
      <c r="L13" s="25" t="s">
        <v>47</v>
      </c>
      <c r="M13" s="32">
        <v>45063</v>
      </c>
      <c r="N13" s="62">
        <f>2000+2985</f>
        <v>4985</v>
      </c>
      <c r="O13" s="25">
        <f>+N13-J13</f>
        <v>-55</v>
      </c>
      <c r="P13" s="25">
        <v>420</v>
      </c>
    </row>
    <row r="14" spans="1:19" x14ac:dyDescent="0.25">
      <c r="A14" s="4"/>
      <c r="B14" s="3" t="s">
        <v>21</v>
      </c>
      <c r="C14" s="24" t="s">
        <v>46</v>
      </c>
      <c r="D14" s="24" t="s">
        <v>40</v>
      </c>
      <c r="E14" s="24" t="s">
        <v>97</v>
      </c>
      <c r="F14" s="24">
        <v>263</v>
      </c>
      <c r="G14" s="24" t="s">
        <v>24</v>
      </c>
      <c r="H14" s="24" t="s">
        <v>41</v>
      </c>
      <c r="I14" s="24">
        <f>80*144</f>
        <v>11520</v>
      </c>
      <c r="J14" s="24">
        <v>11520</v>
      </c>
      <c r="K14" s="24"/>
      <c r="L14" s="25" t="s">
        <v>47</v>
      </c>
      <c r="M14" s="32">
        <v>45059</v>
      </c>
      <c r="N14" s="61">
        <f>4375+7000</f>
        <v>11375</v>
      </c>
      <c r="O14" s="25">
        <f t="shared" si="0"/>
        <v>-145</v>
      </c>
      <c r="P14" s="25"/>
    </row>
    <row r="15" spans="1:19" x14ac:dyDescent="0.25">
      <c r="A15" s="4"/>
      <c r="B15" s="3" t="s">
        <v>21</v>
      </c>
      <c r="C15" s="24" t="s">
        <v>48</v>
      </c>
      <c r="D15" s="24" t="s">
        <v>40</v>
      </c>
      <c r="E15" s="24" t="s">
        <v>97</v>
      </c>
      <c r="F15" s="24">
        <v>263</v>
      </c>
      <c r="G15" s="24" t="s">
        <v>45</v>
      </c>
      <c r="H15" s="24" t="s">
        <v>41</v>
      </c>
      <c r="I15" s="24">
        <f>30*144</f>
        <v>4320</v>
      </c>
      <c r="J15" s="24">
        <v>4320</v>
      </c>
      <c r="K15" s="24"/>
      <c r="L15" s="25" t="s">
        <v>47</v>
      </c>
      <c r="M15" s="32">
        <v>45059</v>
      </c>
      <c r="N15" s="61">
        <v>4320</v>
      </c>
      <c r="O15" s="25">
        <f t="shared" si="0"/>
        <v>0</v>
      </c>
      <c r="P15" s="25"/>
    </row>
    <row r="16" spans="1:19" x14ac:dyDescent="0.25">
      <c r="A16" s="4"/>
      <c r="B16" s="3" t="s">
        <v>21</v>
      </c>
      <c r="C16" s="24" t="s">
        <v>49</v>
      </c>
      <c r="D16" s="24" t="s">
        <v>40</v>
      </c>
      <c r="E16" s="24" t="s">
        <v>97</v>
      </c>
      <c r="F16" s="24">
        <v>263</v>
      </c>
      <c r="G16" s="24" t="s">
        <v>45</v>
      </c>
      <c r="H16" s="24" t="s">
        <v>41</v>
      </c>
      <c r="I16" s="24">
        <f>10*144</f>
        <v>1440</v>
      </c>
      <c r="J16" s="24">
        <v>1440</v>
      </c>
      <c r="K16" s="24"/>
      <c r="L16" s="25" t="s">
        <v>47</v>
      </c>
      <c r="M16" s="32">
        <v>45062</v>
      </c>
      <c r="N16" s="61">
        <v>1435</v>
      </c>
      <c r="O16" s="25">
        <f t="shared" si="0"/>
        <v>-5</v>
      </c>
      <c r="P16" s="25"/>
    </row>
    <row r="17" spans="1:16" x14ac:dyDescent="0.25">
      <c r="A17" s="4"/>
      <c r="B17" s="3" t="s">
        <v>21</v>
      </c>
      <c r="C17" s="24" t="s">
        <v>51</v>
      </c>
      <c r="D17" s="24" t="s">
        <v>22</v>
      </c>
      <c r="E17" s="24" t="s">
        <v>52</v>
      </c>
      <c r="F17" s="24">
        <v>260</v>
      </c>
      <c r="G17" s="24" t="s">
        <v>24</v>
      </c>
      <c r="H17" s="24" t="s">
        <v>53</v>
      </c>
      <c r="I17" s="24">
        <v>4500</v>
      </c>
      <c r="J17" s="24">
        <v>4500</v>
      </c>
      <c r="K17" s="24"/>
      <c r="L17" s="25" t="s">
        <v>54</v>
      </c>
      <c r="M17" s="32">
        <v>45077</v>
      </c>
      <c r="N17" s="25">
        <v>4460</v>
      </c>
      <c r="O17" s="25">
        <f t="shared" si="0"/>
        <v>-40</v>
      </c>
      <c r="P17" s="25">
        <v>428</v>
      </c>
    </row>
    <row r="18" spans="1:16" x14ac:dyDescent="0.25">
      <c r="A18" s="4"/>
      <c r="B18" s="3" t="s">
        <v>21</v>
      </c>
      <c r="C18" s="24" t="s">
        <v>55</v>
      </c>
      <c r="D18" s="24" t="s">
        <v>22</v>
      </c>
      <c r="E18" s="24" t="s">
        <v>52</v>
      </c>
      <c r="F18" s="24">
        <v>260</v>
      </c>
      <c r="G18" s="24" t="s">
        <v>24</v>
      </c>
      <c r="H18" s="24" t="s">
        <v>53</v>
      </c>
      <c r="I18" s="24">
        <v>10000</v>
      </c>
      <c r="J18" s="24">
        <v>10000</v>
      </c>
      <c r="K18" s="24"/>
      <c r="L18" s="25" t="s">
        <v>54</v>
      </c>
      <c r="M18" s="32">
        <v>45069</v>
      </c>
      <c r="N18" s="61">
        <f>4400+5520</f>
        <v>9920</v>
      </c>
      <c r="O18" s="25">
        <f t="shared" si="0"/>
        <v>-80</v>
      </c>
      <c r="P18" s="50">
        <v>422423</v>
      </c>
    </row>
    <row r="19" spans="1:16" x14ac:dyDescent="0.25">
      <c r="A19" s="4"/>
      <c r="B19" s="3" t="s">
        <v>21</v>
      </c>
      <c r="C19" s="24" t="s">
        <v>56</v>
      </c>
      <c r="D19" s="24" t="s">
        <v>22</v>
      </c>
      <c r="E19" s="24" t="s">
        <v>52</v>
      </c>
      <c r="F19" s="24">
        <v>260</v>
      </c>
      <c r="G19" s="24" t="s">
        <v>45</v>
      </c>
      <c r="H19" s="24" t="s">
        <v>53</v>
      </c>
      <c r="I19" s="24">
        <v>5000</v>
      </c>
      <c r="J19" s="24">
        <v>5000</v>
      </c>
      <c r="K19" s="24"/>
      <c r="L19" s="25" t="s">
        <v>54</v>
      </c>
      <c r="M19" s="32">
        <v>45069</v>
      </c>
      <c r="N19" s="61">
        <v>4980</v>
      </c>
      <c r="O19" s="25">
        <f t="shared" si="0"/>
        <v>-20</v>
      </c>
      <c r="P19" s="25">
        <v>422</v>
      </c>
    </row>
    <row r="20" spans="1:16" x14ac:dyDescent="0.25">
      <c r="A20" s="4"/>
      <c r="B20" s="3" t="s">
        <v>21</v>
      </c>
      <c r="C20" s="24" t="s">
        <v>57</v>
      </c>
      <c r="D20" s="24" t="s">
        <v>22</v>
      </c>
      <c r="E20" s="24" t="s">
        <v>52</v>
      </c>
      <c r="F20" s="24">
        <v>260</v>
      </c>
      <c r="G20" s="24" t="s">
        <v>24</v>
      </c>
      <c r="H20" s="24" t="s">
        <v>53</v>
      </c>
      <c r="I20" s="24">
        <v>1750</v>
      </c>
      <c r="J20" s="24">
        <v>1750</v>
      </c>
      <c r="K20" s="24"/>
      <c r="L20" s="25" t="s">
        <v>54</v>
      </c>
      <c r="M20" s="25"/>
      <c r="N20" s="25"/>
      <c r="O20" s="25">
        <f t="shared" si="0"/>
        <v>-1750</v>
      </c>
      <c r="P20" s="25"/>
    </row>
    <row r="21" spans="1:16" x14ac:dyDescent="0.25">
      <c r="A21" s="4"/>
      <c r="B21" s="3" t="s">
        <v>21</v>
      </c>
      <c r="C21" s="24" t="s">
        <v>58</v>
      </c>
      <c r="D21" s="24" t="s">
        <v>22</v>
      </c>
      <c r="E21" s="24" t="s">
        <v>52</v>
      </c>
      <c r="F21" s="24">
        <v>260</v>
      </c>
      <c r="G21" s="24" t="s">
        <v>45</v>
      </c>
      <c r="H21" s="24" t="s">
        <v>53</v>
      </c>
      <c r="I21" s="24">
        <v>1750</v>
      </c>
      <c r="J21" s="24">
        <v>1750</v>
      </c>
      <c r="K21" s="24"/>
      <c r="L21" s="25" t="s">
        <v>54</v>
      </c>
      <c r="M21" s="25"/>
      <c r="N21" s="25"/>
      <c r="O21" s="25">
        <f t="shared" si="0"/>
        <v>-1750</v>
      </c>
      <c r="P21" s="25"/>
    </row>
    <row r="22" spans="1:16" x14ac:dyDescent="0.25">
      <c r="A22" s="4"/>
      <c r="B22" s="3" t="s">
        <v>21</v>
      </c>
      <c r="C22" s="24" t="s">
        <v>59</v>
      </c>
      <c r="D22" s="24" t="s">
        <v>22</v>
      </c>
      <c r="E22" s="24" t="s">
        <v>52</v>
      </c>
      <c r="F22" s="24">
        <v>260</v>
      </c>
      <c r="G22" s="24" t="s">
        <v>24</v>
      </c>
      <c r="H22" s="24" t="s">
        <v>53</v>
      </c>
      <c r="I22" s="24">
        <v>6500</v>
      </c>
      <c r="J22" s="24">
        <v>6500</v>
      </c>
      <c r="K22" s="24"/>
      <c r="L22" s="25" t="s">
        <v>54</v>
      </c>
      <c r="M22" s="32">
        <v>45077</v>
      </c>
      <c r="N22" s="25">
        <v>6500</v>
      </c>
      <c r="O22" s="25">
        <f t="shared" si="0"/>
        <v>0</v>
      </c>
      <c r="P22" s="25">
        <v>428</v>
      </c>
    </row>
    <row r="23" spans="1:16" x14ac:dyDescent="0.25">
      <c r="A23" s="4"/>
      <c r="B23" s="3" t="s">
        <v>21</v>
      </c>
      <c r="C23" s="24" t="s">
        <v>60</v>
      </c>
      <c r="D23" s="24" t="s">
        <v>22</v>
      </c>
      <c r="E23" s="24" t="s">
        <v>52</v>
      </c>
      <c r="F23" s="24">
        <v>260</v>
      </c>
      <c r="G23" s="24" t="s">
        <v>45</v>
      </c>
      <c r="H23" s="24" t="s">
        <v>53</v>
      </c>
      <c r="I23" s="24">
        <v>2000</v>
      </c>
      <c r="J23" s="24">
        <v>2000</v>
      </c>
      <c r="K23" s="24"/>
      <c r="L23" s="25" t="s">
        <v>54</v>
      </c>
      <c r="M23" s="32">
        <v>45073</v>
      </c>
      <c r="N23" s="25">
        <v>1975</v>
      </c>
      <c r="O23" s="25">
        <f t="shared" si="0"/>
        <v>-25</v>
      </c>
      <c r="P23" s="25">
        <v>427</v>
      </c>
    </row>
    <row r="24" spans="1:16" x14ac:dyDescent="0.25">
      <c r="A24" s="4"/>
      <c r="B24" s="3" t="s">
        <v>21</v>
      </c>
      <c r="C24" s="24" t="s">
        <v>61</v>
      </c>
      <c r="D24" s="24" t="s">
        <v>40</v>
      </c>
      <c r="E24" s="24" t="s">
        <v>52</v>
      </c>
      <c r="F24" s="24">
        <v>263</v>
      </c>
      <c r="G24" s="24" t="s">
        <v>24</v>
      </c>
      <c r="H24" s="24" t="s">
        <v>41</v>
      </c>
      <c r="I24" s="24">
        <f>50*144</f>
        <v>7200</v>
      </c>
      <c r="J24" s="24">
        <v>7200</v>
      </c>
      <c r="K24" s="24"/>
      <c r="L24" s="25" t="s">
        <v>47</v>
      </c>
      <c r="M24" s="25"/>
      <c r="N24" s="25"/>
      <c r="O24" s="25">
        <f t="shared" si="0"/>
        <v>-7200</v>
      </c>
      <c r="P24" s="25"/>
    </row>
    <row r="25" spans="1:16" x14ac:dyDescent="0.25">
      <c r="A25" s="4"/>
      <c r="B25" s="3" t="s">
        <v>21</v>
      </c>
      <c r="C25" s="24" t="s">
        <v>61</v>
      </c>
      <c r="D25" s="24" t="s">
        <v>22</v>
      </c>
      <c r="E25" s="24" t="s">
        <v>52</v>
      </c>
      <c r="F25" s="24">
        <v>260</v>
      </c>
      <c r="G25" s="24" t="s">
        <v>24</v>
      </c>
      <c r="H25" s="24" t="s">
        <v>53</v>
      </c>
      <c r="I25" s="24">
        <v>15000</v>
      </c>
      <c r="J25" s="24">
        <v>15000</v>
      </c>
      <c r="K25" s="24"/>
      <c r="L25" s="25" t="s">
        <v>47</v>
      </c>
      <c r="M25" s="32">
        <v>45071</v>
      </c>
      <c r="N25" s="61">
        <f>6000+3200</f>
        <v>9200</v>
      </c>
      <c r="O25" s="25">
        <f>+N25-J25</f>
        <v>-5800</v>
      </c>
      <c r="P25" s="50">
        <v>423424</v>
      </c>
    </row>
    <row r="26" spans="1:16" x14ac:dyDescent="0.25">
      <c r="A26" s="4"/>
      <c r="B26" s="3" t="s">
        <v>21</v>
      </c>
      <c r="C26" s="24" t="s">
        <v>62</v>
      </c>
      <c r="D26" s="24" t="s">
        <v>22</v>
      </c>
      <c r="E26" s="24" t="s">
        <v>52</v>
      </c>
      <c r="F26" s="24">
        <v>260</v>
      </c>
      <c r="G26" s="24" t="s">
        <v>45</v>
      </c>
      <c r="H26" s="24" t="s">
        <v>53</v>
      </c>
      <c r="I26" s="24">
        <v>1000</v>
      </c>
      <c r="J26" s="24">
        <v>1000</v>
      </c>
      <c r="K26" s="24"/>
      <c r="L26" s="25" t="s">
        <v>54</v>
      </c>
      <c r="M26" s="32">
        <v>45073</v>
      </c>
      <c r="N26" s="25">
        <v>985</v>
      </c>
      <c r="O26" s="25">
        <f t="shared" si="0"/>
        <v>-15</v>
      </c>
      <c r="P26" s="25">
        <v>427</v>
      </c>
    </row>
    <row r="27" spans="1:16" x14ac:dyDescent="0.25">
      <c r="A27" s="4"/>
      <c r="B27" s="3" t="s">
        <v>21</v>
      </c>
      <c r="C27" s="24" t="s">
        <v>63</v>
      </c>
      <c r="D27" s="24" t="s">
        <v>40</v>
      </c>
      <c r="E27" s="24" t="s">
        <v>52</v>
      </c>
      <c r="F27" s="24">
        <v>263</v>
      </c>
      <c r="G27" s="24" t="s">
        <v>24</v>
      </c>
      <c r="H27" s="24" t="s">
        <v>41</v>
      </c>
      <c r="I27" s="24">
        <f>26*144</f>
        <v>3744</v>
      </c>
      <c r="J27" s="24">
        <v>3744</v>
      </c>
      <c r="K27" s="24"/>
      <c r="L27" s="25" t="s">
        <v>47</v>
      </c>
      <c r="M27" s="32">
        <v>45073</v>
      </c>
      <c r="N27" s="64">
        <v>3644</v>
      </c>
      <c r="O27" s="64">
        <f t="shared" si="0"/>
        <v>-100</v>
      </c>
      <c r="P27" s="25">
        <v>427</v>
      </c>
    </row>
    <row r="28" spans="1:16" x14ac:dyDescent="0.25">
      <c r="A28" s="4"/>
      <c r="B28" s="3" t="s">
        <v>21</v>
      </c>
      <c r="C28" s="24" t="s">
        <v>64</v>
      </c>
      <c r="D28" s="24" t="s">
        <v>22</v>
      </c>
      <c r="E28" s="24" t="s">
        <v>52</v>
      </c>
      <c r="F28" s="24">
        <v>260</v>
      </c>
      <c r="G28" s="24" t="s">
        <v>45</v>
      </c>
      <c r="H28" s="24" t="s">
        <v>53</v>
      </c>
      <c r="I28" s="24">
        <v>1750</v>
      </c>
      <c r="J28" s="24">
        <v>1750</v>
      </c>
      <c r="K28" s="24"/>
      <c r="L28" s="25" t="s">
        <v>47</v>
      </c>
      <c r="M28" s="32">
        <v>45073</v>
      </c>
      <c r="N28" s="64">
        <v>1750</v>
      </c>
      <c r="O28" s="64">
        <f t="shared" si="0"/>
        <v>0</v>
      </c>
      <c r="P28" s="25">
        <v>427</v>
      </c>
    </row>
    <row r="29" spans="1:16" x14ac:dyDescent="0.25">
      <c r="A29" s="23">
        <v>45055</v>
      </c>
      <c r="B29" s="3" t="s">
        <v>100</v>
      </c>
      <c r="C29" s="24" t="s">
        <v>65</v>
      </c>
      <c r="D29" s="24" t="s">
        <v>22</v>
      </c>
      <c r="E29" s="24" t="s">
        <v>71</v>
      </c>
      <c r="F29" s="24">
        <v>280</v>
      </c>
      <c r="G29" s="24" t="s">
        <v>24</v>
      </c>
      <c r="H29" s="24" t="s">
        <v>53</v>
      </c>
      <c r="I29" s="24">
        <v>5000</v>
      </c>
      <c r="J29" s="24">
        <v>5000</v>
      </c>
      <c r="K29" s="24">
        <f>+I29-J29</f>
        <v>0</v>
      </c>
      <c r="L29" s="25" t="s">
        <v>54</v>
      </c>
      <c r="M29" s="32">
        <v>45059</v>
      </c>
      <c r="N29" s="61">
        <f>1571+5040+5025</f>
        <v>11636</v>
      </c>
      <c r="O29" s="25">
        <f t="shared" si="0"/>
        <v>6636</v>
      </c>
      <c r="P29" s="25">
        <v>422</v>
      </c>
    </row>
    <row r="30" spans="1:16" x14ac:dyDescent="0.25">
      <c r="A30" s="4"/>
      <c r="B30" s="3" t="s">
        <v>100</v>
      </c>
      <c r="C30" s="24" t="s">
        <v>66</v>
      </c>
      <c r="D30" s="24" t="s">
        <v>22</v>
      </c>
      <c r="E30" s="24" t="s">
        <v>71</v>
      </c>
      <c r="F30" s="24">
        <v>280</v>
      </c>
      <c r="G30" s="24" t="s">
        <v>24</v>
      </c>
      <c r="H30" s="24" t="s">
        <v>53</v>
      </c>
      <c r="I30" s="24">
        <v>5000</v>
      </c>
      <c r="J30" s="24">
        <v>5000</v>
      </c>
      <c r="K30" s="24">
        <f t="shared" ref="K30:K39" si="1">+I30-J30</f>
        <v>0</v>
      </c>
      <c r="L30" s="25" t="s">
        <v>54</v>
      </c>
      <c r="M30" s="32">
        <v>45059</v>
      </c>
      <c r="N30" s="61">
        <f>6400+3440</f>
        <v>9840</v>
      </c>
      <c r="O30" s="25">
        <f>+N30-J30</f>
        <v>4840</v>
      </c>
      <c r="P30" s="25">
        <v>426</v>
      </c>
    </row>
    <row r="31" spans="1:16" x14ac:dyDescent="0.25">
      <c r="A31" s="4"/>
      <c r="B31" s="3" t="s">
        <v>100</v>
      </c>
      <c r="C31" s="24" t="s">
        <v>67</v>
      </c>
      <c r="D31" s="24" t="s">
        <v>22</v>
      </c>
      <c r="E31" s="24" t="s">
        <v>71</v>
      </c>
      <c r="F31" s="24">
        <v>280</v>
      </c>
      <c r="G31" s="24" t="s">
        <v>24</v>
      </c>
      <c r="H31" s="24" t="s">
        <v>53</v>
      </c>
      <c r="I31" s="24">
        <v>1500</v>
      </c>
      <c r="J31" s="24">
        <v>3000</v>
      </c>
      <c r="K31" s="24">
        <f t="shared" si="1"/>
        <v>-1500</v>
      </c>
      <c r="L31" s="25" t="s">
        <v>54</v>
      </c>
      <c r="M31" s="32">
        <v>45073</v>
      </c>
      <c r="N31" s="25">
        <v>2788</v>
      </c>
      <c r="O31" s="25"/>
      <c r="P31" s="25">
        <v>427</v>
      </c>
    </row>
    <row r="32" spans="1:16" x14ac:dyDescent="0.25">
      <c r="A32" s="4"/>
      <c r="B32" s="3" t="s">
        <v>100</v>
      </c>
      <c r="C32" s="24" t="s">
        <v>68</v>
      </c>
      <c r="D32" s="24" t="s">
        <v>22</v>
      </c>
      <c r="E32" s="24" t="s">
        <v>72</v>
      </c>
      <c r="F32" s="24">
        <v>260</v>
      </c>
      <c r="G32" s="24" t="s">
        <v>24</v>
      </c>
      <c r="H32" s="24" t="s">
        <v>25</v>
      </c>
      <c r="I32" s="24">
        <f>90*144</f>
        <v>12960</v>
      </c>
      <c r="J32" s="24">
        <f>6400+19350</f>
        <v>25750</v>
      </c>
      <c r="K32" s="24">
        <f>+(I32*2)-J32</f>
        <v>170</v>
      </c>
      <c r="L32" s="25" t="s">
        <v>54</v>
      </c>
      <c r="M32" s="32" t="s">
        <v>199</v>
      </c>
      <c r="N32" s="24">
        <f>6400+19350</f>
        <v>25750</v>
      </c>
      <c r="O32" s="25">
        <f>+N32-J32</f>
        <v>0</v>
      </c>
      <c r="P32" s="50">
        <v>428429</v>
      </c>
    </row>
    <row r="33" spans="1:16" x14ac:dyDescent="0.25">
      <c r="A33" s="4"/>
      <c r="B33" s="3" t="s">
        <v>100</v>
      </c>
      <c r="C33" s="24" t="s">
        <v>69</v>
      </c>
      <c r="D33" s="24" t="s">
        <v>40</v>
      </c>
      <c r="E33" s="24" t="s">
        <v>70</v>
      </c>
      <c r="F33" s="24">
        <v>250</v>
      </c>
      <c r="G33" s="24" t="s">
        <v>24</v>
      </c>
      <c r="H33" s="24" t="s">
        <v>41</v>
      </c>
      <c r="I33" s="24">
        <f>117*144</f>
        <v>16848</v>
      </c>
      <c r="J33" s="24">
        <f>12355/2</f>
        <v>6177.5</v>
      </c>
      <c r="K33" s="24">
        <f t="shared" si="1"/>
        <v>10670.5</v>
      </c>
      <c r="L33" s="25" t="s">
        <v>47</v>
      </c>
      <c r="M33" s="32">
        <v>45058</v>
      </c>
      <c r="N33" s="25">
        <f>12355+4200</f>
        <v>16555</v>
      </c>
      <c r="O33" s="25"/>
      <c r="P33" s="25">
        <v>429</v>
      </c>
    </row>
    <row r="34" spans="1:16" x14ac:dyDescent="0.25">
      <c r="A34" s="4"/>
      <c r="B34" s="3" t="s">
        <v>100</v>
      </c>
      <c r="C34" s="24" t="s">
        <v>73</v>
      </c>
      <c r="D34" s="24" t="s">
        <v>22</v>
      </c>
      <c r="E34" s="24" t="s">
        <v>74</v>
      </c>
      <c r="F34" s="24">
        <v>250</v>
      </c>
      <c r="G34" s="24" t="s">
        <v>24</v>
      </c>
      <c r="H34" s="24" t="s">
        <v>41</v>
      </c>
      <c r="I34" s="24">
        <f>25*144</f>
        <v>3600</v>
      </c>
      <c r="J34" s="24">
        <f>+I34*2</f>
        <v>7200</v>
      </c>
      <c r="K34" s="24">
        <f>+I34-J34</f>
        <v>-3600</v>
      </c>
      <c r="L34" s="25" t="s">
        <v>47</v>
      </c>
      <c r="M34" s="32">
        <v>45077</v>
      </c>
      <c r="N34" s="25">
        <v>7160</v>
      </c>
      <c r="O34" s="25"/>
      <c r="P34" s="25">
        <v>429</v>
      </c>
    </row>
    <row r="35" spans="1:16" x14ac:dyDescent="0.25">
      <c r="A35" s="4"/>
      <c r="B35" s="3" t="s">
        <v>100</v>
      </c>
      <c r="C35" s="24" t="s">
        <v>75</v>
      </c>
      <c r="D35" s="24" t="s">
        <v>22</v>
      </c>
      <c r="E35" s="24" t="s">
        <v>72</v>
      </c>
      <c r="F35" s="24">
        <v>260</v>
      </c>
      <c r="G35" s="24" t="s">
        <v>24</v>
      </c>
      <c r="H35" s="24" t="s">
        <v>53</v>
      </c>
      <c r="I35" s="24">
        <f>5.5*144</f>
        <v>792</v>
      </c>
      <c r="J35" s="24"/>
      <c r="K35" s="24">
        <f t="shared" si="1"/>
        <v>792</v>
      </c>
      <c r="L35" s="25" t="s">
        <v>54</v>
      </c>
      <c r="M35" s="25"/>
      <c r="N35" s="25"/>
      <c r="O35" s="25"/>
      <c r="P35" s="25"/>
    </row>
    <row r="36" spans="1:16" x14ac:dyDescent="0.25">
      <c r="A36" s="4"/>
      <c r="B36" s="3" t="s">
        <v>100</v>
      </c>
      <c r="C36" s="24" t="s">
        <v>76</v>
      </c>
      <c r="D36" s="24" t="s">
        <v>22</v>
      </c>
      <c r="E36" s="24" t="s">
        <v>72</v>
      </c>
      <c r="F36" s="24">
        <v>260</v>
      </c>
      <c r="G36" s="24" t="s">
        <v>45</v>
      </c>
      <c r="H36" s="24" t="s">
        <v>53</v>
      </c>
      <c r="I36" s="24">
        <f>5.5*144</f>
        <v>792</v>
      </c>
      <c r="J36" s="24">
        <v>1574</v>
      </c>
      <c r="K36" s="24">
        <f t="shared" si="1"/>
        <v>-782</v>
      </c>
      <c r="L36" s="25" t="s">
        <v>54</v>
      </c>
      <c r="M36" s="25"/>
      <c r="N36" s="25">
        <v>1574</v>
      </c>
      <c r="O36" s="25"/>
      <c r="P36" s="25"/>
    </row>
    <row r="37" spans="1:16" x14ac:dyDescent="0.25">
      <c r="A37" s="4"/>
      <c r="B37" s="3" t="s">
        <v>100</v>
      </c>
      <c r="C37" s="24" t="s">
        <v>77</v>
      </c>
      <c r="D37" s="24" t="s">
        <v>22</v>
      </c>
      <c r="E37" s="24" t="s">
        <v>72</v>
      </c>
      <c r="F37" s="24">
        <v>260</v>
      </c>
      <c r="G37" s="24" t="s">
        <v>24</v>
      </c>
      <c r="H37" s="24" t="s">
        <v>53</v>
      </c>
      <c r="I37" s="24">
        <f>10.5*144</f>
        <v>1512</v>
      </c>
      <c r="J37" s="24">
        <v>3024</v>
      </c>
      <c r="K37" s="24">
        <f t="shared" si="1"/>
        <v>-1512</v>
      </c>
      <c r="L37" s="25" t="s">
        <v>54</v>
      </c>
      <c r="M37" s="32">
        <v>45059</v>
      </c>
      <c r="N37" s="61">
        <v>2995</v>
      </c>
      <c r="O37" s="25">
        <f t="shared" ref="O37:O38" si="2">+N37-J37</f>
        <v>-29</v>
      </c>
      <c r="P37" s="25"/>
    </row>
    <row r="38" spans="1:16" x14ac:dyDescent="0.25">
      <c r="A38" s="4"/>
      <c r="B38" s="3" t="s">
        <v>100</v>
      </c>
      <c r="C38" s="24" t="s">
        <v>78</v>
      </c>
      <c r="D38" s="24" t="s">
        <v>22</v>
      </c>
      <c r="E38" s="24" t="s">
        <v>72</v>
      </c>
      <c r="F38" s="24">
        <v>260</v>
      </c>
      <c r="G38" s="24" t="s">
        <v>24</v>
      </c>
      <c r="H38" s="24" t="s">
        <v>53</v>
      </c>
      <c r="I38" s="24">
        <f>10.5*144</f>
        <v>1512</v>
      </c>
      <c r="J38" s="24">
        <v>3024</v>
      </c>
      <c r="K38" s="24">
        <f t="shared" si="1"/>
        <v>-1512</v>
      </c>
      <c r="L38" s="25" t="s">
        <v>54</v>
      </c>
      <c r="M38" s="32">
        <v>45059</v>
      </c>
      <c r="N38" s="61">
        <v>2930</v>
      </c>
      <c r="O38" s="25">
        <f t="shared" si="2"/>
        <v>-94</v>
      </c>
      <c r="P38" s="25"/>
    </row>
    <row r="39" spans="1:16" x14ac:dyDescent="0.25">
      <c r="A39" s="4"/>
      <c r="B39" s="3" t="s">
        <v>100</v>
      </c>
      <c r="C39" s="24" t="s">
        <v>79</v>
      </c>
      <c r="D39" s="24" t="s">
        <v>22</v>
      </c>
      <c r="E39" s="24" t="s">
        <v>72</v>
      </c>
      <c r="F39" s="24">
        <v>260</v>
      </c>
      <c r="G39" s="24" t="s">
        <v>45</v>
      </c>
      <c r="H39" s="24" t="s">
        <v>53</v>
      </c>
      <c r="I39" s="24">
        <f>5.5*144</f>
        <v>792</v>
      </c>
      <c r="J39" s="24">
        <v>1572</v>
      </c>
      <c r="K39" s="24">
        <f t="shared" si="1"/>
        <v>-780</v>
      </c>
      <c r="L39" s="25" t="s">
        <v>54</v>
      </c>
      <c r="M39" s="25"/>
      <c r="N39" s="25">
        <v>1572</v>
      </c>
      <c r="O39" s="25"/>
      <c r="P39" s="25"/>
    </row>
    <row r="40" spans="1:16" x14ac:dyDescent="0.25">
      <c r="A40" s="23">
        <v>45055</v>
      </c>
      <c r="B40" s="3" t="s">
        <v>80</v>
      </c>
      <c r="C40" s="24" t="s">
        <v>81</v>
      </c>
      <c r="D40" s="24" t="s">
        <v>40</v>
      </c>
      <c r="E40" s="24" t="s">
        <v>82</v>
      </c>
      <c r="F40" s="24">
        <v>263</v>
      </c>
      <c r="G40" s="24" t="s">
        <v>24</v>
      </c>
      <c r="H40" s="24" t="s">
        <v>41</v>
      </c>
      <c r="I40" s="24">
        <f>11.5*144</f>
        <v>1656</v>
      </c>
      <c r="J40" s="24"/>
      <c r="K40" s="24"/>
      <c r="L40" s="25" t="s">
        <v>47</v>
      </c>
      <c r="M40" s="25"/>
      <c r="N40" s="25"/>
      <c r="O40" s="25"/>
      <c r="P40" s="25"/>
    </row>
    <row r="41" spans="1:16" x14ac:dyDescent="0.25">
      <c r="A41" s="4"/>
      <c r="B41" s="3" t="s">
        <v>80</v>
      </c>
      <c r="C41" s="24" t="s">
        <v>83</v>
      </c>
      <c r="D41" s="24" t="s">
        <v>40</v>
      </c>
      <c r="E41" s="24" t="s">
        <v>82</v>
      </c>
      <c r="F41" s="24">
        <v>263</v>
      </c>
      <c r="G41" s="24" t="s">
        <v>45</v>
      </c>
      <c r="H41" s="24" t="s">
        <v>41</v>
      </c>
      <c r="I41" s="24">
        <f>9.5*144</f>
        <v>1368</v>
      </c>
      <c r="J41" s="24"/>
      <c r="K41" s="24"/>
      <c r="L41" s="25" t="s">
        <v>47</v>
      </c>
      <c r="M41" s="25"/>
      <c r="N41" s="25"/>
      <c r="O41" s="25"/>
      <c r="P41" s="25"/>
    </row>
    <row r="42" spans="1:16" x14ac:dyDescent="0.25">
      <c r="A42" s="4"/>
      <c r="B42" s="3" t="s">
        <v>80</v>
      </c>
      <c r="C42" s="24" t="s">
        <v>84</v>
      </c>
      <c r="D42" s="24" t="s">
        <v>40</v>
      </c>
      <c r="E42" s="24" t="s">
        <v>82</v>
      </c>
      <c r="F42" s="24">
        <v>263</v>
      </c>
      <c r="G42" s="24" t="s">
        <v>45</v>
      </c>
      <c r="H42" s="24" t="s">
        <v>41</v>
      </c>
      <c r="I42" s="24">
        <f>9.5*144</f>
        <v>1368</v>
      </c>
      <c r="J42" s="24"/>
      <c r="K42" s="24"/>
      <c r="L42" s="25" t="s">
        <v>47</v>
      </c>
      <c r="M42" s="25"/>
      <c r="N42" s="25"/>
      <c r="O42" s="25"/>
      <c r="P42" s="25"/>
    </row>
    <row r="43" spans="1:16" x14ac:dyDescent="0.25">
      <c r="A43" s="4"/>
      <c r="B43" s="3" t="s">
        <v>80</v>
      </c>
      <c r="C43" s="24" t="s">
        <v>85</v>
      </c>
      <c r="D43" s="24" t="s">
        <v>40</v>
      </c>
      <c r="E43" s="24" t="s">
        <v>86</v>
      </c>
      <c r="F43" s="24">
        <v>250</v>
      </c>
      <c r="G43" s="24" t="s">
        <v>24</v>
      </c>
      <c r="H43" s="24" t="s">
        <v>41</v>
      </c>
      <c r="I43" s="24">
        <f>44*144</f>
        <v>6336</v>
      </c>
      <c r="J43" s="24">
        <v>6336</v>
      </c>
      <c r="K43" s="24"/>
      <c r="L43" s="25" t="s">
        <v>87</v>
      </c>
      <c r="M43" s="25"/>
      <c r="N43" s="25"/>
      <c r="O43" s="25"/>
      <c r="P43" s="63" t="s">
        <v>198</v>
      </c>
    </row>
    <row r="44" spans="1:16" x14ac:dyDescent="0.25">
      <c r="A44" s="4"/>
      <c r="B44" s="3" t="s">
        <v>80</v>
      </c>
      <c r="C44" s="24" t="s">
        <v>85</v>
      </c>
      <c r="D44" s="24" t="s">
        <v>40</v>
      </c>
      <c r="E44" s="24" t="s">
        <v>86</v>
      </c>
      <c r="F44" s="24">
        <v>250</v>
      </c>
      <c r="G44" s="24"/>
      <c r="H44" s="24" t="s">
        <v>41</v>
      </c>
      <c r="I44" s="51">
        <f>50*144</f>
        <v>7200</v>
      </c>
      <c r="J44" s="24">
        <v>7000</v>
      </c>
      <c r="K44" s="24">
        <f>+I44-J44</f>
        <v>200</v>
      </c>
      <c r="L44" s="25" t="s">
        <v>47</v>
      </c>
      <c r="M44" s="32">
        <v>45063</v>
      </c>
      <c r="N44" s="61">
        <v>7000</v>
      </c>
      <c r="O44" s="25">
        <f t="shared" ref="O44:O46" si="3">+N44-J44</f>
        <v>0</v>
      </c>
      <c r="P44" s="25">
        <v>420</v>
      </c>
    </row>
    <row r="45" spans="1:16" x14ac:dyDescent="0.25">
      <c r="A45" s="4"/>
      <c r="B45" s="3" t="s">
        <v>80</v>
      </c>
      <c r="C45" s="24" t="s">
        <v>88</v>
      </c>
      <c r="D45" s="24" t="s">
        <v>40</v>
      </c>
      <c r="E45" s="24" t="s">
        <v>86</v>
      </c>
      <c r="F45" s="24">
        <v>250</v>
      </c>
      <c r="G45" s="24" t="s">
        <v>24</v>
      </c>
      <c r="H45" s="24" t="s">
        <v>41</v>
      </c>
      <c r="I45" s="24">
        <f>44*144</f>
        <v>6336</v>
      </c>
      <c r="J45" s="24">
        <v>6336</v>
      </c>
      <c r="K45" s="24"/>
      <c r="L45" s="25" t="s">
        <v>47</v>
      </c>
      <c r="M45" s="32">
        <v>45071</v>
      </c>
      <c r="N45" s="61">
        <v>6335</v>
      </c>
      <c r="O45" s="25">
        <f t="shared" si="3"/>
        <v>-1</v>
      </c>
      <c r="P45" s="25">
        <v>424</v>
      </c>
    </row>
    <row r="46" spans="1:16" x14ac:dyDescent="0.25">
      <c r="A46" s="4"/>
      <c r="B46" s="3" t="s">
        <v>80</v>
      </c>
      <c r="C46" s="24" t="s">
        <v>89</v>
      </c>
      <c r="D46" s="24" t="s">
        <v>40</v>
      </c>
      <c r="E46" s="24" t="s">
        <v>86</v>
      </c>
      <c r="F46" s="24">
        <v>250</v>
      </c>
      <c r="G46" s="24" t="s">
        <v>45</v>
      </c>
      <c r="H46" s="24" t="s">
        <v>41</v>
      </c>
      <c r="I46" s="24">
        <f>36*144</f>
        <v>5184</v>
      </c>
      <c r="J46" s="24">
        <v>5145</v>
      </c>
      <c r="K46" s="24"/>
      <c r="L46" s="25" t="s">
        <v>47</v>
      </c>
      <c r="M46" s="32">
        <v>45066</v>
      </c>
      <c r="N46" s="61">
        <v>5145</v>
      </c>
      <c r="O46" s="25">
        <f t="shared" si="3"/>
        <v>0</v>
      </c>
      <c r="P46" s="25">
        <v>421</v>
      </c>
    </row>
    <row r="47" spans="1:16" x14ac:dyDescent="0.25">
      <c r="A47" s="4"/>
      <c r="B47" s="3" t="s">
        <v>80</v>
      </c>
      <c r="C47" s="24" t="s">
        <v>90</v>
      </c>
      <c r="D47" s="24" t="s">
        <v>40</v>
      </c>
      <c r="E47" s="24" t="s">
        <v>86</v>
      </c>
      <c r="F47" s="24">
        <v>250</v>
      </c>
      <c r="G47" s="24" t="s">
        <v>24</v>
      </c>
      <c r="H47" s="24" t="s">
        <v>41</v>
      </c>
      <c r="I47" s="24">
        <f>17.5*144</f>
        <v>2520</v>
      </c>
      <c r="J47" s="24"/>
      <c r="K47" s="24"/>
      <c r="L47" s="25" t="s">
        <v>87</v>
      </c>
      <c r="M47" s="25"/>
      <c r="N47" s="25"/>
      <c r="O47" s="25"/>
      <c r="P47" s="25"/>
    </row>
    <row r="48" spans="1:16" x14ac:dyDescent="0.25">
      <c r="A48" s="4"/>
      <c r="B48" s="3" t="s">
        <v>80</v>
      </c>
      <c r="C48" s="24"/>
      <c r="D48" s="24"/>
      <c r="E48" s="24" t="s">
        <v>86</v>
      </c>
      <c r="F48" s="24"/>
      <c r="G48" s="24"/>
      <c r="H48" s="24" t="s">
        <v>41</v>
      </c>
      <c r="I48" s="24">
        <f>7*144</f>
        <v>1008</v>
      </c>
      <c r="J48" s="24"/>
      <c r="K48" s="24"/>
      <c r="L48" s="25" t="s">
        <v>47</v>
      </c>
      <c r="M48" s="25"/>
      <c r="N48" s="25"/>
      <c r="O48" s="25"/>
      <c r="P48" s="25"/>
    </row>
    <row r="49" spans="1:16" x14ac:dyDescent="0.25">
      <c r="A49" s="4"/>
      <c r="B49" s="3" t="s">
        <v>80</v>
      </c>
      <c r="C49" s="24" t="s">
        <v>91</v>
      </c>
      <c r="D49" s="24" t="s">
        <v>40</v>
      </c>
      <c r="E49" s="24" t="s">
        <v>82</v>
      </c>
      <c r="F49" s="24">
        <v>263</v>
      </c>
      <c r="G49" s="24" t="s">
        <v>92</v>
      </c>
      <c r="H49" s="24" t="s">
        <v>25</v>
      </c>
      <c r="I49" s="24">
        <f>45*144</f>
        <v>6480</v>
      </c>
      <c r="J49" s="24">
        <v>12860</v>
      </c>
      <c r="K49" s="24"/>
      <c r="L49" s="25" t="s">
        <v>47</v>
      </c>
      <c r="M49" s="32">
        <v>45071</v>
      </c>
      <c r="N49" s="61">
        <v>12860</v>
      </c>
      <c r="O49" s="25">
        <f t="shared" ref="O49" si="4">+N49-J49</f>
        <v>0</v>
      </c>
      <c r="P49" s="25">
        <v>425</v>
      </c>
    </row>
    <row r="50" spans="1:16" x14ac:dyDescent="0.25">
      <c r="A50" s="59"/>
      <c r="B50" s="3" t="s">
        <v>80</v>
      </c>
      <c r="C50" s="24" t="s">
        <v>93</v>
      </c>
      <c r="D50" s="24" t="s">
        <v>22</v>
      </c>
      <c r="E50" s="24" t="s">
        <v>82</v>
      </c>
      <c r="F50" s="24">
        <v>260</v>
      </c>
      <c r="G50" s="24" t="s">
        <v>92</v>
      </c>
      <c r="H50" s="24" t="s">
        <v>25</v>
      </c>
      <c r="I50" s="24">
        <f>40*144</f>
        <v>5760</v>
      </c>
      <c r="J50" s="24">
        <f>+I50*2</f>
        <v>11520</v>
      </c>
      <c r="K50" s="24"/>
      <c r="L50" s="25" t="s">
        <v>47</v>
      </c>
      <c r="M50" s="32">
        <v>45071</v>
      </c>
      <c r="N50" s="61">
        <f>6600+4840+4840</f>
        <v>16280</v>
      </c>
      <c r="O50" s="25"/>
      <c r="P50" s="50">
        <v>425426</v>
      </c>
    </row>
    <row r="51" spans="1:16" x14ac:dyDescent="0.25">
      <c r="A51" s="4"/>
      <c r="B51" s="3" t="s">
        <v>80</v>
      </c>
      <c r="C51" s="24" t="s">
        <v>128</v>
      </c>
      <c r="D51" s="24" t="s">
        <v>22</v>
      </c>
      <c r="E51" s="24" t="s">
        <v>82</v>
      </c>
      <c r="F51" s="24">
        <v>260</v>
      </c>
      <c r="G51" s="24" t="s">
        <v>92</v>
      </c>
      <c r="H51" s="24" t="s">
        <v>25</v>
      </c>
      <c r="I51" s="24">
        <f>40*144</f>
        <v>5760</v>
      </c>
      <c r="J51" s="24">
        <f>+I51*2</f>
        <v>11520</v>
      </c>
      <c r="K51" s="24"/>
      <c r="L51" s="25" t="s">
        <v>47</v>
      </c>
      <c r="M51" s="32">
        <v>45072</v>
      </c>
      <c r="N51" s="25">
        <v>11380</v>
      </c>
      <c r="O51" s="25"/>
      <c r="P51" s="25">
        <v>426</v>
      </c>
    </row>
    <row r="52" spans="1:16" x14ac:dyDescent="0.25">
      <c r="B52" s="3" t="s">
        <v>80</v>
      </c>
      <c r="C52" s="24" t="s">
        <v>94</v>
      </c>
      <c r="D52" s="24" t="s">
        <v>40</v>
      </c>
      <c r="E52" s="24" t="s">
        <v>86</v>
      </c>
      <c r="F52" s="24">
        <v>250</v>
      </c>
      <c r="G52" s="24" t="s">
        <v>24</v>
      </c>
      <c r="H52" s="24" t="s">
        <v>41</v>
      </c>
      <c r="I52" s="51">
        <f>80*144</f>
        <v>11520</v>
      </c>
      <c r="J52" s="24">
        <f>9500</f>
        <v>9500</v>
      </c>
      <c r="K52" s="24"/>
      <c r="L52" s="25" t="s">
        <v>47</v>
      </c>
      <c r="M52" s="32">
        <v>45066</v>
      </c>
      <c r="N52" s="61">
        <f>9500</f>
        <v>9500</v>
      </c>
      <c r="O52" s="25"/>
      <c r="P52" s="50">
        <v>421</v>
      </c>
    </row>
    <row r="61" spans="1:16" x14ac:dyDescent="0.25">
      <c r="E61" s="1">
        <f>60/2.54</f>
        <v>23.622047244094489</v>
      </c>
    </row>
    <row r="62" spans="1:16" x14ac:dyDescent="0.25">
      <c r="E62" s="1">
        <f>87/2.54</f>
        <v>34.251968503937007</v>
      </c>
    </row>
  </sheetData>
  <autoFilter ref="A2:S52" xr:uid="{00000000-0009-0000-0000-000003000000}"/>
  <mergeCells count="1">
    <mergeCell ref="M1:P1"/>
  </mergeCells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8"/>
  <sheetViews>
    <sheetView tabSelected="1" topLeftCell="C1" zoomScaleNormal="100" workbookViewId="0">
      <pane ySplit="2" topLeftCell="A42" activePane="bottomLeft" state="frozen"/>
      <selection pane="bottomLeft" activeCell="H63" sqref="H63"/>
    </sheetView>
  </sheetViews>
  <sheetFormatPr defaultRowHeight="15" x14ac:dyDescent="0.25"/>
  <cols>
    <col min="1" max="1" width="9.140625" style="1"/>
    <col min="2" max="2" width="16.7109375" style="1" bestFit="1" customWidth="1"/>
    <col min="3" max="3" width="35.140625" style="1" customWidth="1"/>
    <col min="4" max="5" width="9.140625" style="1"/>
    <col min="6" max="6" width="10" style="1" bestFit="1" customWidth="1"/>
    <col min="7" max="7" width="9.140625" style="1"/>
    <col min="8" max="8" width="18.28515625" style="1" bestFit="1" customWidth="1"/>
    <col min="9" max="10" width="9.140625" style="1"/>
    <col min="11" max="11" width="16.28515625" style="1" customWidth="1"/>
    <col min="12" max="12" width="9.140625" style="1"/>
    <col min="13" max="13" width="14.85546875" style="1" customWidth="1"/>
    <col min="14" max="16384" width="9.140625" style="1"/>
  </cols>
  <sheetData>
    <row r="1" spans="1:20" s="2" customFormat="1" x14ac:dyDescent="0.25">
      <c r="A1" s="53" t="s">
        <v>35</v>
      </c>
      <c r="B1" s="53"/>
      <c r="C1" s="53"/>
      <c r="D1" s="53"/>
      <c r="E1" s="53"/>
      <c r="F1" s="53"/>
      <c r="G1" s="53"/>
      <c r="H1" s="53"/>
      <c r="I1" s="53"/>
      <c r="J1" s="26">
        <f>SUBTOTAL(9,J3:J494)</f>
        <v>320758</v>
      </c>
      <c r="K1" s="33"/>
      <c r="L1" s="33"/>
      <c r="M1" s="53"/>
      <c r="N1" s="76" t="s">
        <v>36</v>
      </c>
      <c r="O1" s="76"/>
      <c r="P1" s="76"/>
      <c r="Q1" s="76"/>
    </row>
    <row r="2" spans="1:20" s="38" customFormat="1" ht="30" x14ac:dyDescent="0.25">
      <c r="A2" s="54" t="s">
        <v>34</v>
      </c>
      <c r="B2" s="55" t="s">
        <v>15</v>
      </c>
      <c r="C2" s="56" t="s">
        <v>116</v>
      </c>
      <c r="D2" s="56" t="s">
        <v>50</v>
      </c>
      <c r="E2" s="56" t="s">
        <v>16</v>
      </c>
      <c r="F2" s="56" t="s">
        <v>2</v>
      </c>
      <c r="G2" s="56" t="s">
        <v>33</v>
      </c>
      <c r="H2" s="56" t="s">
        <v>20</v>
      </c>
      <c r="I2" s="57" t="s">
        <v>17</v>
      </c>
      <c r="J2" s="56" t="s">
        <v>18</v>
      </c>
      <c r="K2" s="56" t="s">
        <v>101</v>
      </c>
      <c r="L2" s="56" t="s">
        <v>102</v>
      </c>
      <c r="M2" s="65" t="s">
        <v>19</v>
      </c>
      <c r="N2" s="65" t="s">
        <v>34</v>
      </c>
      <c r="O2" s="65" t="s">
        <v>37</v>
      </c>
      <c r="P2" s="65" t="s">
        <v>38</v>
      </c>
      <c r="Q2" s="65" t="s">
        <v>103</v>
      </c>
    </row>
    <row r="3" spans="1:20" x14ac:dyDescent="0.25">
      <c r="A3" s="58">
        <v>45070</v>
      </c>
      <c r="B3" s="3" t="s">
        <v>80</v>
      </c>
      <c r="C3" s="59" t="s">
        <v>119</v>
      </c>
      <c r="D3" s="4"/>
      <c r="E3" s="4" t="s">
        <v>40</v>
      </c>
      <c r="F3" s="4" t="s">
        <v>117</v>
      </c>
      <c r="G3" s="4">
        <v>263</v>
      </c>
      <c r="H3" s="4" t="s">
        <v>120</v>
      </c>
      <c r="I3" s="4" t="s">
        <v>41</v>
      </c>
      <c r="J3" s="59">
        <f>10.5*144</f>
        <v>1512</v>
      </c>
      <c r="K3" s="4"/>
      <c r="L3" s="4"/>
      <c r="M3" s="61" t="s">
        <v>47</v>
      </c>
      <c r="N3" s="61"/>
      <c r="O3" s="61"/>
      <c r="P3" s="61">
        <f t="shared" ref="P3:P45" si="0">+K3-O3</f>
        <v>0</v>
      </c>
      <c r="Q3" s="61"/>
      <c r="R3" s="4"/>
      <c r="S3" s="4"/>
      <c r="T3" s="4"/>
    </row>
    <row r="4" spans="1:20" x14ac:dyDescent="0.25">
      <c r="A4" s="58">
        <v>45070</v>
      </c>
      <c r="B4" s="3" t="s">
        <v>80</v>
      </c>
      <c r="C4" s="4" t="s">
        <v>121</v>
      </c>
      <c r="D4" s="4"/>
      <c r="E4" s="4" t="s">
        <v>22</v>
      </c>
      <c r="F4" s="4" t="s">
        <v>117</v>
      </c>
      <c r="G4" s="4">
        <v>260</v>
      </c>
      <c r="H4" s="4"/>
      <c r="I4" s="4" t="s">
        <v>41</v>
      </c>
      <c r="J4" s="59">
        <v>1000</v>
      </c>
      <c r="K4" s="4"/>
      <c r="L4" s="4"/>
      <c r="M4" s="61" t="s">
        <v>47</v>
      </c>
      <c r="N4" s="61"/>
      <c r="O4" s="61"/>
      <c r="P4" s="61">
        <f t="shared" si="0"/>
        <v>0</v>
      </c>
      <c r="Q4" s="61"/>
      <c r="R4" s="4"/>
      <c r="S4" s="4"/>
      <c r="T4" s="4"/>
    </row>
    <row r="5" spans="1:20" x14ac:dyDescent="0.25">
      <c r="A5" s="58">
        <v>45070</v>
      </c>
      <c r="B5" s="3" t="s">
        <v>80</v>
      </c>
      <c r="C5" s="4" t="s">
        <v>122</v>
      </c>
      <c r="D5" s="4"/>
      <c r="E5" s="4" t="s">
        <v>40</v>
      </c>
      <c r="F5" s="4" t="s">
        <v>117</v>
      </c>
      <c r="G5" s="4">
        <v>263</v>
      </c>
      <c r="H5" s="4" t="s">
        <v>120</v>
      </c>
      <c r="I5" s="4" t="s">
        <v>41</v>
      </c>
      <c r="J5" s="59">
        <f>17.5*144</f>
        <v>2520</v>
      </c>
      <c r="K5" s="4"/>
      <c r="L5" s="4"/>
      <c r="M5" s="61" t="s">
        <v>47</v>
      </c>
      <c r="N5" s="61"/>
      <c r="O5" s="61"/>
      <c r="P5" s="61">
        <f t="shared" si="0"/>
        <v>0</v>
      </c>
      <c r="Q5" s="61"/>
      <c r="R5" s="4"/>
      <c r="S5" s="4"/>
      <c r="T5" s="4"/>
    </row>
    <row r="6" spans="1:20" x14ac:dyDescent="0.25">
      <c r="A6" s="58">
        <v>45070</v>
      </c>
      <c r="B6" s="3" t="s">
        <v>80</v>
      </c>
      <c r="C6" s="4" t="s">
        <v>123</v>
      </c>
      <c r="D6" s="4"/>
      <c r="E6" s="4" t="s">
        <v>22</v>
      </c>
      <c r="F6" s="4" t="s">
        <v>117</v>
      </c>
      <c r="G6" s="4">
        <v>260</v>
      </c>
      <c r="H6" s="4" t="s">
        <v>125</v>
      </c>
      <c r="I6" s="4" t="s">
        <v>41</v>
      </c>
      <c r="J6" s="59">
        <v>2000</v>
      </c>
      <c r="K6" s="4"/>
      <c r="L6" s="4"/>
      <c r="M6" s="61" t="s">
        <v>47</v>
      </c>
      <c r="N6" s="61"/>
      <c r="O6" s="61"/>
      <c r="P6" s="61">
        <f t="shared" si="0"/>
        <v>0</v>
      </c>
      <c r="Q6" s="61"/>
      <c r="R6" s="4"/>
      <c r="S6" s="4"/>
      <c r="T6" s="4"/>
    </row>
    <row r="7" spans="1:20" x14ac:dyDescent="0.25">
      <c r="A7" s="58">
        <v>45070</v>
      </c>
      <c r="B7" s="3" t="s">
        <v>80</v>
      </c>
      <c r="C7" s="4" t="s">
        <v>124</v>
      </c>
      <c r="D7" s="4"/>
      <c r="E7" s="4" t="s">
        <v>22</v>
      </c>
      <c r="F7" s="4" t="s">
        <v>117</v>
      </c>
      <c r="G7" s="4">
        <v>260</v>
      </c>
      <c r="H7" s="4" t="s">
        <v>125</v>
      </c>
      <c r="I7" s="4" t="s">
        <v>41</v>
      </c>
      <c r="J7" s="59">
        <v>2100</v>
      </c>
      <c r="K7" s="4"/>
      <c r="L7" s="4"/>
      <c r="M7" s="61" t="s">
        <v>47</v>
      </c>
      <c r="N7" s="61"/>
      <c r="O7" s="61"/>
      <c r="P7" s="61">
        <f t="shared" si="0"/>
        <v>0</v>
      </c>
      <c r="Q7" s="61"/>
      <c r="R7" s="4"/>
      <c r="S7" s="4"/>
      <c r="T7" s="4"/>
    </row>
    <row r="8" spans="1:20" x14ac:dyDescent="0.25">
      <c r="A8" s="58">
        <v>45070</v>
      </c>
      <c r="B8" s="3" t="s">
        <v>80</v>
      </c>
      <c r="C8" s="4" t="s">
        <v>126</v>
      </c>
      <c r="D8" s="4"/>
      <c r="E8" s="4" t="s">
        <v>22</v>
      </c>
      <c r="F8" s="4" t="s">
        <v>117</v>
      </c>
      <c r="G8" s="4">
        <v>260</v>
      </c>
      <c r="H8" s="4" t="s">
        <v>24</v>
      </c>
      <c r="I8" s="4" t="s">
        <v>41</v>
      </c>
      <c r="J8" s="59">
        <v>2700</v>
      </c>
      <c r="K8" s="4"/>
      <c r="L8" s="4"/>
      <c r="M8" s="61" t="s">
        <v>47</v>
      </c>
      <c r="N8" s="61"/>
      <c r="O8" s="61"/>
      <c r="P8" s="61">
        <f t="shared" si="0"/>
        <v>0</v>
      </c>
      <c r="Q8" s="61"/>
      <c r="R8" s="4"/>
      <c r="S8" s="4"/>
      <c r="T8" s="4"/>
    </row>
    <row r="9" spans="1:20" x14ac:dyDescent="0.25">
      <c r="A9" s="58">
        <v>45070</v>
      </c>
      <c r="B9" s="3" t="s">
        <v>80</v>
      </c>
      <c r="C9" s="4" t="s">
        <v>195</v>
      </c>
      <c r="D9" s="4"/>
      <c r="E9" s="4" t="s">
        <v>40</v>
      </c>
      <c r="F9" s="4" t="s">
        <v>117</v>
      </c>
      <c r="G9" s="4">
        <v>263</v>
      </c>
      <c r="H9" s="4" t="s">
        <v>120</v>
      </c>
      <c r="I9" s="4" t="s">
        <v>41</v>
      </c>
      <c r="J9" s="59">
        <f>11.5*144</f>
        <v>1656</v>
      </c>
      <c r="K9" s="4"/>
      <c r="L9" s="4"/>
      <c r="M9" s="61" t="s">
        <v>47</v>
      </c>
      <c r="N9" s="61"/>
      <c r="O9" s="61"/>
      <c r="P9" s="61">
        <f t="shared" si="0"/>
        <v>0</v>
      </c>
      <c r="Q9" s="61"/>
      <c r="R9" s="4"/>
      <c r="S9" s="4"/>
      <c r="T9" s="4"/>
    </row>
    <row r="10" spans="1:20" x14ac:dyDescent="0.25">
      <c r="A10" s="58">
        <v>45070</v>
      </c>
      <c r="B10" s="3" t="s">
        <v>80</v>
      </c>
      <c r="C10" s="4" t="s">
        <v>196</v>
      </c>
      <c r="D10" s="4"/>
      <c r="E10" s="4" t="s">
        <v>22</v>
      </c>
      <c r="F10" s="4" t="s">
        <v>117</v>
      </c>
      <c r="G10" s="4">
        <v>260</v>
      </c>
      <c r="H10" s="4" t="s">
        <v>125</v>
      </c>
      <c r="I10" s="4" t="s">
        <v>41</v>
      </c>
      <c r="J10" s="59">
        <v>1700</v>
      </c>
      <c r="K10" s="4"/>
      <c r="L10" s="4"/>
      <c r="M10" s="61" t="s">
        <v>47</v>
      </c>
      <c r="N10" s="61"/>
      <c r="O10" s="61"/>
      <c r="P10" s="61">
        <f t="shared" si="0"/>
        <v>0</v>
      </c>
      <c r="Q10" s="61"/>
      <c r="R10" s="4"/>
      <c r="S10" s="4"/>
      <c r="T10" s="4"/>
    </row>
    <row r="11" spans="1:20" x14ac:dyDescent="0.25">
      <c r="A11" s="58">
        <v>45070</v>
      </c>
      <c r="B11" s="3" t="s">
        <v>80</v>
      </c>
      <c r="C11" s="4" t="s">
        <v>197</v>
      </c>
      <c r="D11" s="4"/>
      <c r="E11" s="4" t="s">
        <v>22</v>
      </c>
      <c r="F11" s="4" t="s">
        <v>117</v>
      </c>
      <c r="G11" s="4">
        <v>260</v>
      </c>
      <c r="H11" s="4" t="s">
        <v>125</v>
      </c>
      <c r="I11" s="4" t="s">
        <v>41</v>
      </c>
      <c r="J11" s="59">
        <v>1700</v>
      </c>
      <c r="K11" s="4"/>
      <c r="L11" s="4"/>
      <c r="M11" s="61" t="s">
        <v>47</v>
      </c>
      <c r="N11" s="61"/>
      <c r="O11" s="61"/>
      <c r="P11" s="61">
        <f t="shared" si="0"/>
        <v>0</v>
      </c>
      <c r="Q11" s="61"/>
      <c r="R11" s="4"/>
      <c r="S11" s="4"/>
      <c r="T11" s="4"/>
    </row>
    <row r="12" spans="1:20" x14ac:dyDescent="0.25">
      <c r="A12" s="58">
        <v>45070</v>
      </c>
      <c r="B12" s="3" t="s">
        <v>80</v>
      </c>
      <c r="C12" s="4" t="s">
        <v>127</v>
      </c>
      <c r="D12" s="4"/>
      <c r="E12" s="4" t="s">
        <v>40</v>
      </c>
      <c r="F12" s="4" t="s">
        <v>117</v>
      </c>
      <c r="G12" s="4">
        <v>263</v>
      </c>
      <c r="H12" s="4" t="s">
        <v>120</v>
      </c>
      <c r="I12" s="4" t="s">
        <v>41</v>
      </c>
      <c r="J12" s="59">
        <f>14*144</f>
        <v>2016</v>
      </c>
      <c r="K12" s="4"/>
      <c r="L12" s="4"/>
      <c r="M12" s="61" t="s">
        <v>47</v>
      </c>
      <c r="N12" s="61"/>
      <c r="O12" s="61"/>
      <c r="P12" s="61">
        <f t="shared" si="0"/>
        <v>0</v>
      </c>
      <c r="Q12" s="61"/>
      <c r="R12" s="4"/>
      <c r="S12" s="4"/>
      <c r="T12" s="4"/>
    </row>
    <row r="13" spans="1:20" x14ac:dyDescent="0.25">
      <c r="A13" s="58">
        <v>45070</v>
      </c>
      <c r="B13" s="3" t="s">
        <v>80</v>
      </c>
      <c r="C13" s="4" t="s">
        <v>190</v>
      </c>
      <c r="D13" s="4"/>
      <c r="E13" s="4" t="s">
        <v>22</v>
      </c>
      <c r="F13" s="4" t="s">
        <v>117</v>
      </c>
      <c r="G13" s="4">
        <v>260</v>
      </c>
      <c r="H13" s="4" t="s">
        <v>125</v>
      </c>
      <c r="I13" s="4" t="s">
        <v>41</v>
      </c>
      <c r="J13" s="59">
        <v>1000</v>
      </c>
      <c r="K13" s="4"/>
      <c r="L13" s="4"/>
      <c r="M13" s="61" t="s">
        <v>47</v>
      </c>
      <c r="N13" s="61"/>
      <c r="O13" s="61"/>
      <c r="P13" s="61">
        <f t="shared" si="0"/>
        <v>0</v>
      </c>
      <c r="Q13" s="61"/>
      <c r="R13" s="4"/>
      <c r="S13" s="4"/>
      <c r="T13" s="4"/>
    </row>
    <row r="14" spans="1:20" x14ac:dyDescent="0.25">
      <c r="A14" s="58">
        <v>45070</v>
      </c>
      <c r="B14" s="3" t="s">
        <v>80</v>
      </c>
      <c r="C14" s="4" t="s">
        <v>191</v>
      </c>
      <c r="D14" s="4"/>
      <c r="E14" s="4" t="s">
        <v>22</v>
      </c>
      <c r="F14" s="4" t="s">
        <v>117</v>
      </c>
      <c r="G14" s="4">
        <v>260</v>
      </c>
      <c r="H14" s="4" t="s">
        <v>125</v>
      </c>
      <c r="I14" s="4" t="s">
        <v>41</v>
      </c>
      <c r="J14" s="59">
        <v>850</v>
      </c>
      <c r="K14" s="4"/>
      <c r="L14" s="4"/>
      <c r="M14" s="61" t="s">
        <v>47</v>
      </c>
      <c r="N14" s="61"/>
      <c r="O14" s="61"/>
      <c r="P14" s="61">
        <f t="shared" si="0"/>
        <v>0</v>
      </c>
      <c r="Q14" s="61"/>
      <c r="R14" s="4"/>
      <c r="S14" s="4"/>
      <c r="T14" s="4"/>
    </row>
    <row r="15" spans="1:20" x14ac:dyDescent="0.25">
      <c r="A15" s="58">
        <v>45070</v>
      </c>
      <c r="B15" s="3" t="s">
        <v>80</v>
      </c>
      <c r="C15" s="4" t="s">
        <v>118</v>
      </c>
      <c r="D15" s="4"/>
      <c r="E15" s="4" t="s">
        <v>40</v>
      </c>
      <c r="F15" s="4" t="s">
        <v>117</v>
      </c>
      <c r="G15" s="4">
        <v>263</v>
      </c>
      <c r="H15" s="4" t="s">
        <v>24</v>
      </c>
      <c r="I15" s="4" t="s">
        <v>41</v>
      </c>
      <c r="J15" s="59">
        <f>18*144</f>
        <v>2592</v>
      </c>
      <c r="K15" s="39">
        <v>1333</v>
      </c>
      <c r="L15" s="4"/>
      <c r="M15" s="61" t="s">
        <v>47</v>
      </c>
      <c r="N15" s="61"/>
      <c r="O15" s="61"/>
      <c r="P15" s="61">
        <f t="shared" si="0"/>
        <v>1333</v>
      </c>
      <c r="Q15" s="61"/>
      <c r="R15" s="4"/>
      <c r="S15" s="4"/>
      <c r="T15" s="4"/>
    </row>
    <row r="16" spans="1:20" x14ac:dyDescent="0.25">
      <c r="A16" s="58">
        <v>45070</v>
      </c>
      <c r="B16" s="3" t="s">
        <v>80</v>
      </c>
      <c r="C16" s="4" t="s">
        <v>91</v>
      </c>
      <c r="D16" s="4"/>
      <c r="E16" s="4" t="s">
        <v>40</v>
      </c>
      <c r="F16" s="4" t="s">
        <v>117</v>
      </c>
      <c r="G16" s="4">
        <v>263</v>
      </c>
      <c r="H16" s="4" t="s">
        <v>125</v>
      </c>
      <c r="I16" s="4" t="s">
        <v>41</v>
      </c>
      <c r="J16" s="59">
        <f>18*144</f>
        <v>2592</v>
      </c>
      <c r="K16" s="39">
        <v>3133</v>
      </c>
      <c r="L16" s="4"/>
      <c r="M16" s="61" t="s">
        <v>47</v>
      </c>
      <c r="N16" s="61"/>
      <c r="O16" s="61"/>
      <c r="P16" s="61">
        <f t="shared" si="0"/>
        <v>3133</v>
      </c>
      <c r="Q16" s="61"/>
      <c r="R16" s="4"/>
      <c r="S16" s="4"/>
      <c r="T16" s="4"/>
    </row>
    <row r="17" spans="1:20" x14ac:dyDescent="0.25">
      <c r="A17" s="58">
        <v>45070</v>
      </c>
      <c r="B17" s="3" t="s">
        <v>80</v>
      </c>
      <c r="C17" s="4" t="s">
        <v>93</v>
      </c>
      <c r="D17" s="4"/>
      <c r="E17" s="4" t="s">
        <v>22</v>
      </c>
      <c r="F17" s="4" t="s">
        <v>117</v>
      </c>
      <c r="G17" s="4">
        <v>263</v>
      </c>
      <c r="H17" s="4" t="s">
        <v>125</v>
      </c>
      <c r="I17" s="4" t="s">
        <v>41</v>
      </c>
      <c r="J17" s="59">
        <v>3190</v>
      </c>
      <c r="K17" s="4">
        <v>2433</v>
      </c>
      <c r="L17" s="4"/>
      <c r="M17" s="61" t="s">
        <v>47</v>
      </c>
      <c r="N17" s="61"/>
      <c r="O17" s="61"/>
      <c r="P17" s="61">
        <f t="shared" si="0"/>
        <v>2433</v>
      </c>
      <c r="Q17" s="61"/>
      <c r="R17" s="4"/>
      <c r="S17" s="4"/>
      <c r="T17" s="4"/>
    </row>
    <row r="18" spans="1:20" x14ac:dyDescent="0.25">
      <c r="A18" s="58">
        <v>45070</v>
      </c>
      <c r="B18" s="3" t="s">
        <v>80</v>
      </c>
      <c r="C18" s="4" t="s">
        <v>128</v>
      </c>
      <c r="D18" s="4"/>
      <c r="E18" s="4" t="s">
        <v>22</v>
      </c>
      <c r="F18" s="4" t="s">
        <v>117</v>
      </c>
      <c r="G18" s="4">
        <v>263</v>
      </c>
      <c r="H18" s="4" t="s">
        <v>125</v>
      </c>
      <c r="I18" s="4" t="s">
        <v>41</v>
      </c>
      <c r="J18" s="59">
        <v>3190</v>
      </c>
      <c r="K18" s="4">
        <v>3125</v>
      </c>
      <c r="L18" s="4"/>
      <c r="M18" s="61" t="s">
        <v>47</v>
      </c>
      <c r="N18" s="61"/>
      <c r="O18" s="61"/>
      <c r="P18" s="61">
        <f t="shared" si="0"/>
        <v>3125</v>
      </c>
      <c r="Q18" s="61"/>
      <c r="R18" s="4"/>
      <c r="S18" s="4"/>
      <c r="T18" s="4"/>
    </row>
    <row r="19" spans="1:20" x14ac:dyDescent="0.25">
      <c r="A19" s="58">
        <v>45070</v>
      </c>
      <c r="B19" s="3" t="s">
        <v>80</v>
      </c>
      <c r="C19" s="4" t="s">
        <v>129</v>
      </c>
      <c r="D19" s="4"/>
      <c r="E19" s="4" t="s">
        <v>40</v>
      </c>
      <c r="F19" s="4" t="s">
        <v>130</v>
      </c>
      <c r="G19" s="4">
        <v>250</v>
      </c>
      <c r="H19" s="4" t="s">
        <v>120</v>
      </c>
      <c r="I19" s="4" t="s">
        <v>41</v>
      </c>
      <c r="J19" s="59">
        <f>130*144</f>
        <v>18720</v>
      </c>
      <c r="K19" s="4">
        <v>13750</v>
      </c>
      <c r="L19" s="4"/>
      <c r="M19" s="61" t="s">
        <v>131</v>
      </c>
      <c r="N19" s="61"/>
      <c r="O19" s="61"/>
      <c r="P19" s="61">
        <f t="shared" si="0"/>
        <v>13750</v>
      </c>
      <c r="Q19" s="61"/>
      <c r="R19" s="4"/>
      <c r="S19" s="4"/>
      <c r="T19" s="4"/>
    </row>
    <row r="20" spans="1:20" x14ac:dyDescent="0.25">
      <c r="A20" s="58">
        <v>45070</v>
      </c>
      <c r="B20" s="3" t="s">
        <v>80</v>
      </c>
      <c r="C20" s="4" t="s">
        <v>150</v>
      </c>
      <c r="D20" s="4"/>
      <c r="E20" s="4" t="s">
        <v>40</v>
      </c>
      <c r="F20" s="4" t="s">
        <v>130</v>
      </c>
      <c r="G20" s="4">
        <v>250</v>
      </c>
      <c r="H20" s="4" t="s">
        <v>24</v>
      </c>
      <c r="I20" s="4" t="s">
        <v>41</v>
      </c>
      <c r="J20" s="59">
        <f>104*144</f>
        <v>14976</v>
      </c>
      <c r="K20" s="4"/>
      <c r="L20" s="4"/>
      <c r="M20" s="61" t="s">
        <v>131</v>
      </c>
      <c r="N20" s="61"/>
      <c r="O20" s="61"/>
      <c r="P20" s="61">
        <f t="shared" si="0"/>
        <v>0</v>
      </c>
      <c r="Q20" s="61"/>
      <c r="R20" s="4"/>
      <c r="S20" s="4"/>
      <c r="T20" s="4"/>
    </row>
    <row r="21" spans="1:20" x14ac:dyDescent="0.25">
      <c r="A21" s="58">
        <v>45070</v>
      </c>
      <c r="B21" s="3" t="s">
        <v>80</v>
      </c>
      <c r="C21" s="4" t="s">
        <v>132</v>
      </c>
      <c r="D21" s="4"/>
      <c r="E21" s="4" t="s">
        <v>40</v>
      </c>
      <c r="F21" s="4" t="s">
        <v>130</v>
      </c>
      <c r="G21" s="4">
        <v>250</v>
      </c>
      <c r="H21" s="4" t="s">
        <v>24</v>
      </c>
      <c r="I21" s="4" t="s">
        <v>41</v>
      </c>
      <c r="J21" s="59">
        <f>48*144</f>
        <v>6912</v>
      </c>
      <c r="K21" s="4"/>
      <c r="L21" s="4"/>
      <c r="M21" s="61" t="s">
        <v>47</v>
      </c>
      <c r="N21" s="61"/>
      <c r="O21" s="61"/>
      <c r="P21" s="61">
        <f t="shared" si="0"/>
        <v>0</v>
      </c>
      <c r="Q21" s="61"/>
      <c r="R21" s="4"/>
      <c r="S21" s="4"/>
      <c r="T21" s="4"/>
    </row>
    <row r="22" spans="1:20" x14ac:dyDescent="0.25">
      <c r="A22" s="58">
        <v>45070</v>
      </c>
      <c r="B22" s="4" t="s">
        <v>21</v>
      </c>
      <c r="C22" s="4" t="s">
        <v>133</v>
      </c>
      <c r="D22" s="4"/>
      <c r="E22" s="4" t="s">
        <v>40</v>
      </c>
      <c r="F22" s="4" t="s">
        <v>134</v>
      </c>
      <c r="G22" s="4">
        <v>263</v>
      </c>
      <c r="H22" s="4" t="s">
        <v>24</v>
      </c>
      <c r="I22" s="4" t="s">
        <v>41</v>
      </c>
      <c r="J22" s="59">
        <f>52*144</f>
        <v>7488</v>
      </c>
      <c r="K22" s="4"/>
      <c r="L22" s="4"/>
      <c r="M22" s="61" t="s">
        <v>47</v>
      </c>
      <c r="N22" s="61"/>
      <c r="O22" s="61"/>
      <c r="P22" s="61">
        <f t="shared" si="0"/>
        <v>0</v>
      </c>
      <c r="Q22" s="61"/>
      <c r="R22" s="4"/>
      <c r="S22" s="4"/>
      <c r="T22" s="4"/>
    </row>
    <row r="23" spans="1:20" x14ac:dyDescent="0.25">
      <c r="A23" s="58">
        <v>45070</v>
      </c>
      <c r="B23" s="4" t="s">
        <v>21</v>
      </c>
      <c r="C23" s="4" t="s">
        <v>135</v>
      </c>
      <c r="D23" s="4"/>
      <c r="E23" s="4" t="s">
        <v>40</v>
      </c>
      <c r="F23" s="4" t="s">
        <v>134</v>
      </c>
      <c r="G23" s="4">
        <v>263</v>
      </c>
      <c r="H23" s="4" t="s">
        <v>24</v>
      </c>
      <c r="I23" s="4" t="s">
        <v>41</v>
      </c>
      <c r="J23" s="59">
        <f>29*144</f>
        <v>4176</v>
      </c>
      <c r="K23" s="4">
        <v>4176</v>
      </c>
      <c r="L23" s="4"/>
      <c r="M23" s="61" t="s">
        <v>47</v>
      </c>
      <c r="N23" s="61"/>
      <c r="O23" s="61"/>
      <c r="P23" s="61">
        <f t="shared" si="0"/>
        <v>4176</v>
      </c>
      <c r="Q23" s="61"/>
      <c r="R23" s="4"/>
      <c r="S23" s="4"/>
      <c r="T23" s="4"/>
    </row>
    <row r="24" spans="1:20" x14ac:dyDescent="0.25">
      <c r="A24" s="58">
        <v>45070</v>
      </c>
      <c r="B24" s="4" t="s">
        <v>21</v>
      </c>
      <c r="C24" s="4" t="s">
        <v>136</v>
      </c>
      <c r="D24" s="4"/>
      <c r="E24" s="4" t="s">
        <v>40</v>
      </c>
      <c r="F24" s="4" t="s">
        <v>134</v>
      </c>
      <c r="G24" s="4">
        <v>263</v>
      </c>
      <c r="H24" s="4" t="s">
        <v>24</v>
      </c>
      <c r="I24" s="4" t="s">
        <v>41</v>
      </c>
      <c r="J24" s="59">
        <f>29*144</f>
        <v>4176</v>
      </c>
      <c r="K24" s="4"/>
      <c r="L24" s="4"/>
      <c r="M24" s="61" t="s">
        <v>47</v>
      </c>
      <c r="N24" s="61"/>
      <c r="O24" s="61"/>
      <c r="P24" s="61">
        <f t="shared" si="0"/>
        <v>0</v>
      </c>
      <c r="Q24" s="61"/>
      <c r="R24" s="4"/>
      <c r="S24" s="4"/>
      <c r="T24" s="4"/>
    </row>
    <row r="25" spans="1:20" x14ac:dyDescent="0.25">
      <c r="A25" s="58">
        <v>45070</v>
      </c>
      <c r="B25" s="4" t="s">
        <v>21</v>
      </c>
      <c r="C25" s="4" t="s">
        <v>137</v>
      </c>
      <c r="D25" s="4"/>
      <c r="E25" s="4" t="s">
        <v>40</v>
      </c>
      <c r="F25" s="4" t="s">
        <v>134</v>
      </c>
      <c r="G25" s="4">
        <v>263</v>
      </c>
      <c r="H25" s="4" t="s">
        <v>125</v>
      </c>
      <c r="I25" s="4" t="s">
        <v>41</v>
      </c>
      <c r="J25" s="59">
        <f>6*144</f>
        <v>864</v>
      </c>
      <c r="K25" s="4"/>
      <c r="L25" s="4"/>
      <c r="M25" s="61" t="s">
        <v>47</v>
      </c>
      <c r="N25" s="61"/>
      <c r="O25" s="61"/>
      <c r="P25" s="61">
        <f t="shared" si="0"/>
        <v>0</v>
      </c>
      <c r="Q25" s="61"/>
      <c r="R25" s="4"/>
      <c r="S25" s="4"/>
      <c r="T25" s="4"/>
    </row>
    <row r="26" spans="1:20" x14ac:dyDescent="0.25">
      <c r="A26" s="58">
        <v>45070</v>
      </c>
      <c r="B26" s="4" t="s">
        <v>21</v>
      </c>
      <c r="C26" s="4" t="s">
        <v>138</v>
      </c>
      <c r="D26" s="4"/>
      <c r="E26" s="4" t="s">
        <v>40</v>
      </c>
      <c r="F26" s="4" t="s">
        <v>134</v>
      </c>
      <c r="G26" s="4">
        <v>263</v>
      </c>
      <c r="H26" s="4" t="s">
        <v>24</v>
      </c>
      <c r="I26" s="4" t="s">
        <v>41</v>
      </c>
      <c r="J26" s="59">
        <f>26*144</f>
        <v>3744</v>
      </c>
      <c r="K26" s="4"/>
      <c r="L26" s="4"/>
      <c r="M26" s="61" t="s">
        <v>47</v>
      </c>
      <c r="N26" s="61"/>
      <c r="O26" s="61"/>
      <c r="P26" s="61">
        <f t="shared" si="0"/>
        <v>0</v>
      </c>
      <c r="Q26" s="61"/>
      <c r="R26" s="4"/>
      <c r="S26" s="4"/>
      <c r="T26" s="4"/>
    </row>
    <row r="27" spans="1:20" x14ac:dyDescent="0.25">
      <c r="A27" s="58">
        <v>45070</v>
      </c>
      <c r="B27" s="4" t="s">
        <v>21</v>
      </c>
      <c r="C27" s="4" t="s">
        <v>139</v>
      </c>
      <c r="D27" s="4"/>
      <c r="E27" s="4" t="s">
        <v>40</v>
      </c>
      <c r="F27" s="4" t="s">
        <v>134</v>
      </c>
      <c r="G27" s="4">
        <v>263</v>
      </c>
      <c r="H27" s="4" t="s">
        <v>125</v>
      </c>
      <c r="I27" s="4" t="s">
        <v>41</v>
      </c>
      <c r="J27" s="59">
        <f>38*144</f>
        <v>5472</v>
      </c>
      <c r="K27" s="4"/>
      <c r="L27" s="4"/>
      <c r="M27" s="61" t="s">
        <v>47</v>
      </c>
      <c r="N27" s="61"/>
      <c r="O27" s="61"/>
      <c r="P27" s="61">
        <f t="shared" si="0"/>
        <v>0</v>
      </c>
      <c r="Q27" s="61"/>
      <c r="R27" s="4"/>
      <c r="S27" s="4"/>
      <c r="T27" s="4"/>
    </row>
    <row r="28" spans="1:20" x14ac:dyDescent="0.25">
      <c r="A28" s="58">
        <v>45070</v>
      </c>
      <c r="B28" s="4" t="s">
        <v>21</v>
      </c>
      <c r="C28" s="4" t="s">
        <v>140</v>
      </c>
      <c r="D28" s="4"/>
      <c r="E28" s="4" t="s">
        <v>40</v>
      </c>
      <c r="F28" s="4" t="s">
        <v>134</v>
      </c>
      <c r="G28" s="4">
        <v>263</v>
      </c>
      <c r="H28" s="4" t="s">
        <v>24</v>
      </c>
      <c r="I28" s="4" t="s">
        <v>41</v>
      </c>
      <c r="J28" s="59">
        <f>52*144</f>
        <v>7488</v>
      </c>
      <c r="K28" s="4"/>
      <c r="L28" s="4"/>
      <c r="M28" s="61" t="s">
        <v>47</v>
      </c>
      <c r="N28" s="61"/>
      <c r="O28" s="61"/>
      <c r="P28" s="61">
        <f t="shared" si="0"/>
        <v>0</v>
      </c>
      <c r="Q28" s="61"/>
      <c r="R28" s="4"/>
      <c r="S28" s="4"/>
      <c r="T28" s="4"/>
    </row>
    <row r="29" spans="1:20" x14ac:dyDescent="0.25">
      <c r="A29" s="58">
        <v>45070</v>
      </c>
      <c r="B29" s="4" t="s">
        <v>21</v>
      </c>
      <c r="C29" s="4" t="s">
        <v>141</v>
      </c>
      <c r="D29" s="4"/>
      <c r="E29" s="4" t="s">
        <v>40</v>
      </c>
      <c r="F29" s="4" t="s">
        <v>134</v>
      </c>
      <c r="G29" s="4">
        <v>263</v>
      </c>
      <c r="H29" s="4" t="s">
        <v>120</v>
      </c>
      <c r="I29" s="4" t="s">
        <v>41</v>
      </c>
      <c r="J29" s="59">
        <f>22*144</f>
        <v>3168</v>
      </c>
      <c r="K29" s="4"/>
      <c r="L29" s="4"/>
      <c r="M29" s="61" t="s">
        <v>47</v>
      </c>
      <c r="N29" s="61"/>
      <c r="O29" s="61"/>
      <c r="P29" s="61">
        <f t="shared" si="0"/>
        <v>0</v>
      </c>
      <c r="Q29" s="61"/>
      <c r="R29" s="4"/>
      <c r="S29" s="4"/>
      <c r="T29" s="4"/>
    </row>
    <row r="30" spans="1:20" x14ac:dyDescent="0.25">
      <c r="A30" s="58">
        <v>45070</v>
      </c>
      <c r="B30" s="4" t="s">
        <v>21</v>
      </c>
      <c r="C30" s="4" t="s">
        <v>142</v>
      </c>
      <c r="D30" s="4"/>
      <c r="E30" s="4" t="s">
        <v>40</v>
      </c>
      <c r="F30" s="4" t="s">
        <v>143</v>
      </c>
      <c r="G30" s="4">
        <v>263</v>
      </c>
      <c r="H30" s="4" t="s">
        <v>120</v>
      </c>
      <c r="I30" s="4" t="s">
        <v>41</v>
      </c>
      <c r="J30" s="59">
        <f>28*144</f>
        <v>4032</v>
      </c>
      <c r="K30" s="4"/>
      <c r="L30" s="4"/>
      <c r="M30" s="61"/>
      <c r="N30" s="61"/>
      <c r="O30" s="61"/>
      <c r="P30" s="61">
        <f t="shared" si="0"/>
        <v>0</v>
      </c>
      <c r="Q30" s="61"/>
      <c r="R30" s="4"/>
      <c r="S30" s="4"/>
      <c r="T30" s="4"/>
    </row>
    <row r="31" spans="1:20" x14ac:dyDescent="0.25">
      <c r="A31" s="58">
        <v>45070</v>
      </c>
      <c r="B31" s="4" t="s">
        <v>21</v>
      </c>
      <c r="C31" s="59" t="s">
        <v>194</v>
      </c>
      <c r="D31" s="4"/>
      <c r="E31" s="4" t="s">
        <v>40</v>
      </c>
      <c r="F31" s="4" t="s">
        <v>134</v>
      </c>
      <c r="G31" s="4">
        <v>263</v>
      </c>
      <c r="H31" s="4" t="s">
        <v>24</v>
      </c>
      <c r="I31" s="4" t="s">
        <v>41</v>
      </c>
      <c r="J31" s="4">
        <f>35*144</f>
        <v>5040</v>
      </c>
      <c r="K31" s="4"/>
      <c r="L31" s="4"/>
      <c r="M31" s="61"/>
      <c r="N31" s="61"/>
      <c r="O31" s="61"/>
      <c r="P31" s="61">
        <f t="shared" si="0"/>
        <v>0</v>
      </c>
      <c r="Q31" s="61"/>
      <c r="R31" s="4"/>
      <c r="S31" s="4"/>
      <c r="T31" s="4"/>
    </row>
    <row r="32" spans="1:20" x14ac:dyDescent="0.25">
      <c r="A32" s="58">
        <v>45070</v>
      </c>
      <c r="B32" s="4" t="s">
        <v>21</v>
      </c>
      <c r="C32" s="4">
        <v>0</v>
      </c>
      <c r="D32" s="4"/>
      <c r="E32" s="4" t="s">
        <v>40</v>
      </c>
      <c r="F32" s="4" t="s">
        <v>134</v>
      </c>
      <c r="G32" s="4">
        <v>263</v>
      </c>
      <c r="H32" s="4" t="s">
        <v>24</v>
      </c>
      <c r="I32" s="4" t="s">
        <v>41</v>
      </c>
      <c r="J32" s="4">
        <f>80*144</f>
        <v>11520</v>
      </c>
      <c r="K32" s="4"/>
      <c r="L32" s="4"/>
      <c r="M32" s="61" t="s">
        <v>47</v>
      </c>
      <c r="N32" s="61"/>
      <c r="O32" s="61"/>
      <c r="P32" s="61">
        <f t="shared" si="0"/>
        <v>0</v>
      </c>
      <c r="Q32" s="61"/>
      <c r="R32" s="4"/>
      <c r="S32" s="4"/>
      <c r="T32" s="4"/>
    </row>
    <row r="33" spans="1:20" x14ac:dyDescent="0.25">
      <c r="A33" s="58">
        <v>45070</v>
      </c>
      <c r="B33" s="4" t="s">
        <v>21</v>
      </c>
      <c r="C33" s="4" t="s">
        <v>144</v>
      </c>
      <c r="D33" s="4"/>
      <c r="E33" s="4" t="s">
        <v>40</v>
      </c>
      <c r="F33" s="4" t="s">
        <v>134</v>
      </c>
      <c r="G33" s="4">
        <v>263</v>
      </c>
      <c r="H33" s="4" t="s">
        <v>125</v>
      </c>
      <c r="I33" s="4" t="s">
        <v>41</v>
      </c>
      <c r="J33" s="59">
        <f>30*144</f>
        <v>4320</v>
      </c>
      <c r="K33" s="4"/>
      <c r="L33" s="4"/>
      <c r="M33" s="61" t="s">
        <v>47</v>
      </c>
      <c r="N33" s="61"/>
      <c r="O33" s="61"/>
      <c r="P33" s="61">
        <f t="shared" si="0"/>
        <v>0</v>
      </c>
      <c r="Q33" s="61"/>
      <c r="R33" s="4"/>
      <c r="S33" s="4"/>
      <c r="T33" s="4"/>
    </row>
    <row r="34" spans="1:20" x14ac:dyDescent="0.25">
      <c r="A34" s="58">
        <v>45070</v>
      </c>
      <c r="B34" s="4" t="s">
        <v>21</v>
      </c>
      <c r="C34" s="4" t="s">
        <v>145</v>
      </c>
      <c r="D34" s="4"/>
      <c r="E34" s="4" t="s">
        <v>40</v>
      </c>
      <c r="F34" s="4" t="s">
        <v>134</v>
      </c>
      <c r="G34" s="4">
        <v>263</v>
      </c>
      <c r="H34" s="4" t="s">
        <v>125</v>
      </c>
      <c r="I34" s="4" t="s">
        <v>41</v>
      </c>
      <c r="J34" s="59">
        <f>10*144</f>
        <v>1440</v>
      </c>
      <c r="K34" s="4"/>
      <c r="L34" s="4"/>
      <c r="M34" s="61" t="s">
        <v>47</v>
      </c>
      <c r="N34" s="61"/>
      <c r="O34" s="61"/>
      <c r="P34" s="61">
        <f t="shared" si="0"/>
        <v>0</v>
      </c>
      <c r="Q34" s="61"/>
      <c r="R34" s="4"/>
      <c r="S34" s="4"/>
      <c r="T34" s="4"/>
    </row>
    <row r="35" spans="1:20" x14ac:dyDescent="0.25">
      <c r="A35" s="58">
        <v>45070</v>
      </c>
      <c r="B35" s="4" t="s">
        <v>21</v>
      </c>
      <c r="C35" s="4" t="s">
        <v>146</v>
      </c>
      <c r="D35" s="4"/>
      <c r="E35" s="4" t="s">
        <v>40</v>
      </c>
      <c r="F35" s="4" t="s">
        <v>147</v>
      </c>
      <c r="G35" s="4">
        <v>263</v>
      </c>
      <c r="H35" s="4" t="s">
        <v>24</v>
      </c>
      <c r="I35" s="4" t="s">
        <v>41</v>
      </c>
      <c r="J35" s="59">
        <f>48*144</f>
        <v>6912</v>
      </c>
      <c r="K35" s="4"/>
      <c r="L35" s="4"/>
      <c r="M35" s="61" t="s">
        <v>47</v>
      </c>
      <c r="N35" s="61"/>
      <c r="O35" s="61"/>
      <c r="P35" s="61">
        <f t="shared" si="0"/>
        <v>0</v>
      </c>
      <c r="Q35" s="61"/>
      <c r="R35" s="4"/>
      <c r="S35" s="4"/>
      <c r="T35" s="4"/>
    </row>
    <row r="36" spans="1:20" x14ac:dyDescent="0.25">
      <c r="A36" s="58">
        <v>45070</v>
      </c>
      <c r="B36" s="4" t="s">
        <v>21</v>
      </c>
      <c r="C36" s="4" t="s">
        <v>148</v>
      </c>
      <c r="D36" s="4"/>
      <c r="E36" s="4" t="s">
        <v>22</v>
      </c>
      <c r="F36" s="4" t="s">
        <v>147</v>
      </c>
      <c r="G36" s="4">
        <v>260</v>
      </c>
      <c r="H36" s="4" t="s">
        <v>125</v>
      </c>
      <c r="I36" s="4" t="s">
        <v>53</v>
      </c>
      <c r="J36" s="59">
        <v>2650</v>
      </c>
      <c r="K36" s="4"/>
      <c r="L36" s="4"/>
      <c r="M36" s="61" t="s">
        <v>47</v>
      </c>
      <c r="N36" s="61"/>
      <c r="O36" s="61"/>
      <c r="P36" s="61">
        <f t="shared" si="0"/>
        <v>0</v>
      </c>
      <c r="Q36" s="61"/>
      <c r="R36" s="4"/>
      <c r="S36" s="4"/>
      <c r="T36" s="4"/>
    </row>
    <row r="37" spans="1:20" x14ac:dyDescent="0.25">
      <c r="A37" s="58">
        <v>45070</v>
      </c>
      <c r="B37" s="4" t="s">
        <v>21</v>
      </c>
      <c r="C37" s="4" t="s">
        <v>149</v>
      </c>
      <c r="D37" s="4"/>
      <c r="E37" s="4" t="s">
        <v>40</v>
      </c>
      <c r="F37" s="4" t="s">
        <v>147</v>
      </c>
      <c r="G37" s="4">
        <v>263</v>
      </c>
      <c r="H37" s="4" t="s">
        <v>151</v>
      </c>
      <c r="I37" s="4" t="s">
        <v>41</v>
      </c>
      <c r="J37" s="59">
        <f>52*144</f>
        <v>7488</v>
      </c>
      <c r="K37" s="4">
        <v>7500</v>
      </c>
      <c r="L37" s="4"/>
      <c r="M37" s="61" t="s">
        <v>131</v>
      </c>
      <c r="N37" s="61"/>
      <c r="O37" s="61"/>
      <c r="P37" s="61">
        <f t="shared" si="0"/>
        <v>7500</v>
      </c>
      <c r="Q37" s="61"/>
      <c r="R37" s="4"/>
      <c r="S37" s="4"/>
      <c r="T37" s="4"/>
    </row>
    <row r="38" spans="1:20" x14ac:dyDescent="0.25">
      <c r="A38" s="58">
        <v>45070</v>
      </c>
      <c r="B38" s="4" t="s">
        <v>21</v>
      </c>
      <c r="C38" s="4" t="s">
        <v>152</v>
      </c>
      <c r="D38" s="4"/>
      <c r="E38" s="4" t="s">
        <v>22</v>
      </c>
      <c r="F38" s="4" t="s">
        <v>147</v>
      </c>
      <c r="G38" s="4">
        <v>260</v>
      </c>
      <c r="H38" s="4" t="s">
        <v>192</v>
      </c>
      <c r="I38" s="4" t="s">
        <v>53</v>
      </c>
      <c r="J38" s="39">
        <v>8000</v>
      </c>
      <c r="K38" s="4">
        <v>11875</v>
      </c>
      <c r="L38" s="4"/>
      <c r="M38" s="61" t="s">
        <v>47</v>
      </c>
      <c r="N38" s="61"/>
      <c r="O38" s="61"/>
      <c r="P38" s="61">
        <f t="shared" si="0"/>
        <v>11875</v>
      </c>
      <c r="Q38" s="61"/>
      <c r="R38" s="4"/>
      <c r="S38" s="4"/>
      <c r="T38" s="4"/>
    </row>
    <row r="39" spans="1:20" x14ac:dyDescent="0.25">
      <c r="A39" s="58">
        <v>45070</v>
      </c>
      <c r="B39" s="4" t="s">
        <v>21</v>
      </c>
      <c r="C39" s="4" t="s">
        <v>193</v>
      </c>
      <c r="D39" s="4"/>
      <c r="E39" s="4" t="s">
        <v>22</v>
      </c>
      <c r="F39" s="4" t="s">
        <v>147</v>
      </c>
      <c r="G39" s="4">
        <v>260</v>
      </c>
      <c r="H39" s="4" t="s">
        <v>192</v>
      </c>
      <c r="I39" s="4" t="s">
        <v>53</v>
      </c>
      <c r="J39" s="59">
        <v>5700</v>
      </c>
      <c r="K39" s="4">
        <v>5625</v>
      </c>
      <c r="L39" s="4"/>
      <c r="M39" s="61" t="s">
        <v>47</v>
      </c>
      <c r="N39" s="61"/>
      <c r="O39" s="61"/>
      <c r="P39" s="61">
        <f t="shared" si="0"/>
        <v>5625</v>
      </c>
      <c r="Q39" s="61"/>
      <c r="R39" s="4"/>
      <c r="S39" s="4"/>
      <c r="T39" s="4"/>
    </row>
    <row r="40" spans="1:20" x14ac:dyDescent="0.25">
      <c r="A40" s="58">
        <v>45070</v>
      </c>
      <c r="B40" s="4" t="s">
        <v>21</v>
      </c>
      <c r="C40" s="4" t="s">
        <v>153</v>
      </c>
      <c r="D40" s="4"/>
      <c r="E40" s="4" t="s">
        <v>22</v>
      </c>
      <c r="F40" s="4" t="s">
        <v>147</v>
      </c>
      <c r="G40" s="4">
        <v>260</v>
      </c>
      <c r="H40" s="4" t="s">
        <v>24</v>
      </c>
      <c r="I40" s="4" t="s">
        <v>53</v>
      </c>
      <c r="J40" s="59">
        <v>15000</v>
      </c>
      <c r="K40" s="4">
        <v>15000</v>
      </c>
      <c r="L40" s="4">
        <f>+J40-K40</f>
        <v>0</v>
      </c>
      <c r="M40" s="61" t="s">
        <v>47</v>
      </c>
      <c r="N40" s="66">
        <v>45078</v>
      </c>
      <c r="O40" s="61">
        <v>11200</v>
      </c>
      <c r="P40" s="61">
        <f t="shared" si="0"/>
        <v>3800</v>
      </c>
      <c r="Q40" s="61">
        <v>430</v>
      </c>
      <c r="R40" s="4"/>
      <c r="S40" s="4"/>
      <c r="T40" s="4"/>
    </row>
    <row r="41" spans="1:20" x14ac:dyDescent="0.25">
      <c r="A41" s="58">
        <v>45070</v>
      </c>
      <c r="B41" s="4" t="s">
        <v>21</v>
      </c>
      <c r="C41" s="4" t="s">
        <v>155</v>
      </c>
      <c r="D41" s="4"/>
      <c r="E41" s="4" t="s">
        <v>22</v>
      </c>
      <c r="F41" s="4" t="s">
        <v>147</v>
      </c>
      <c r="G41" s="4">
        <v>260</v>
      </c>
      <c r="H41" s="4" t="s">
        <v>154</v>
      </c>
      <c r="I41" s="4" t="s">
        <v>53</v>
      </c>
      <c r="J41" s="59">
        <v>900</v>
      </c>
      <c r="K41" s="4"/>
      <c r="L41" s="4"/>
      <c r="M41" s="61" t="s">
        <v>47</v>
      </c>
      <c r="N41" s="61"/>
      <c r="O41" s="61"/>
      <c r="P41" s="61">
        <f t="shared" si="0"/>
        <v>0</v>
      </c>
      <c r="Q41" s="61"/>
      <c r="R41" s="4"/>
      <c r="S41" s="4"/>
      <c r="T41" s="4"/>
    </row>
    <row r="42" spans="1:20" x14ac:dyDescent="0.25">
      <c r="A42" s="58">
        <v>45070</v>
      </c>
      <c r="B42" s="4" t="s">
        <v>21</v>
      </c>
      <c r="C42" s="4" t="s">
        <v>156</v>
      </c>
      <c r="D42" s="4"/>
      <c r="E42" s="4" t="s">
        <v>22</v>
      </c>
      <c r="F42" s="4" t="s">
        <v>147</v>
      </c>
      <c r="G42" s="4">
        <v>260</v>
      </c>
      <c r="H42" s="4" t="s">
        <v>154</v>
      </c>
      <c r="I42" s="4" t="s">
        <v>53</v>
      </c>
      <c r="J42" s="59">
        <v>3000</v>
      </c>
      <c r="K42" s="4"/>
      <c r="L42" s="4"/>
      <c r="M42" s="61" t="s">
        <v>54</v>
      </c>
      <c r="N42" s="61"/>
      <c r="O42" s="61"/>
      <c r="P42" s="61">
        <f t="shared" si="0"/>
        <v>0</v>
      </c>
      <c r="Q42" s="61"/>
      <c r="R42" s="4"/>
      <c r="S42" s="4"/>
      <c r="T42" s="4"/>
    </row>
    <row r="43" spans="1:20" x14ac:dyDescent="0.25">
      <c r="A43" s="58">
        <v>45070</v>
      </c>
      <c r="B43" s="4" t="s">
        <v>21</v>
      </c>
      <c r="C43" s="4" t="s">
        <v>157</v>
      </c>
      <c r="D43" s="4"/>
      <c r="E43" s="4" t="s">
        <v>22</v>
      </c>
      <c r="F43" s="4" t="s">
        <v>147</v>
      </c>
      <c r="G43" s="4">
        <v>260</v>
      </c>
      <c r="H43" s="4" t="s">
        <v>24</v>
      </c>
      <c r="I43" s="4" t="s">
        <v>53</v>
      </c>
      <c r="J43" s="59">
        <v>2500</v>
      </c>
      <c r="K43" s="4"/>
      <c r="L43" s="4"/>
      <c r="M43" s="61" t="s">
        <v>47</v>
      </c>
      <c r="N43" s="61"/>
      <c r="O43" s="61"/>
      <c r="P43" s="61">
        <f t="shared" si="0"/>
        <v>0</v>
      </c>
      <c r="Q43" s="61"/>
      <c r="R43" s="4"/>
      <c r="S43" s="4"/>
      <c r="T43" s="4"/>
    </row>
    <row r="44" spans="1:20" x14ac:dyDescent="0.25">
      <c r="A44" s="58">
        <v>45070</v>
      </c>
      <c r="B44" s="4" t="s">
        <v>21</v>
      </c>
      <c r="C44" s="4" t="s">
        <v>158</v>
      </c>
      <c r="D44" s="4"/>
      <c r="E44" s="4" t="s">
        <v>22</v>
      </c>
      <c r="F44" s="4" t="s">
        <v>147</v>
      </c>
      <c r="G44" s="4">
        <v>260</v>
      </c>
      <c r="H44" s="4" t="s">
        <v>159</v>
      </c>
      <c r="I44" s="4" t="s">
        <v>53</v>
      </c>
      <c r="J44" s="59">
        <v>1750</v>
      </c>
      <c r="K44" s="4"/>
      <c r="L44" s="4"/>
      <c r="M44" s="61" t="s">
        <v>54</v>
      </c>
      <c r="N44" s="61"/>
      <c r="O44" s="61"/>
      <c r="P44" s="61">
        <f t="shared" si="0"/>
        <v>0</v>
      </c>
      <c r="Q44" s="61"/>
      <c r="R44" s="4"/>
      <c r="S44" s="4"/>
      <c r="T44" s="4"/>
    </row>
    <row r="45" spans="1:20" x14ac:dyDescent="0.25">
      <c r="A45" s="58">
        <v>45070</v>
      </c>
      <c r="B45" s="4" t="s">
        <v>21</v>
      </c>
      <c r="C45" s="4" t="s">
        <v>160</v>
      </c>
      <c r="D45" s="4"/>
      <c r="E45" s="4" t="s">
        <v>40</v>
      </c>
      <c r="F45" s="4" t="s">
        <v>147</v>
      </c>
      <c r="G45" s="4">
        <v>263</v>
      </c>
      <c r="H45" s="4" t="s">
        <v>161</v>
      </c>
      <c r="I45" s="4" t="s">
        <v>41</v>
      </c>
      <c r="J45" s="59">
        <f>150*144</f>
        <v>21600</v>
      </c>
      <c r="K45" s="4"/>
      <c r="L45" s="4"/>
      <c r="M45" s="61" t="s">
        <v>47</v>
      </c>
      <c r="N45" s="61"/>
      <c r="O45" s="61"/>
      <c r="P45" s="61">
        <f t="shared" si="0"/>
        <v>0</v>
      </c>
      <c r="Q45" s="61"/>
      <c r="R45" s="4"/>
      <c r="S45" s="4"/>
      <c r="T45" s="4"/>
    </row>
    <row r="46" spans="1:20" x14ac:dyDescent="0.25">
      <c r="A46" s="58">
        <v>45070</v>
      </c>
      <c r="B46" s="4" t="s">
        <v>21</v>
      </c>
      <c r="C46" s="4" t="s">
        <v>160</v>
      </c>
      <c r="D46" s="4"/>
      <c r="E46" s="4" t="s">
        <v>22</v>
      </c>
      <c r="F46" s="4" t="s">
        <v>147</v>
      </c>
      <c r="G46" s="4">
        <v>260</v>
      </c>
      <c r="H46" s="4" t="s">
        <v>161</v>
      </c>
      <c r="I46" s="4" t="s">
        <v>53</v>
      </c>
      <c r="J46" s="59">
        <v>15000</v>
      </c>
      <c r="K46" s="4">
        <v>5765</v>
      </c>
      <c r="L46" s="4"/>
      <c r="M46" s="61" t="s">
        <v>47</v>
      </c>
      <c r="N46" s="66">
        <v>45077</v>
      </c>
      <c r="O46" s="61">
        <v>5765</v>
      </c>
      <c r="P46" s="61">
        <f>+K46-O46</f>
        <v>0</v>
      </c>
      <c r="Q46" s="61">
        <v>428</v>
      </c>
      <c r="R46" s="4"/>
      <c r="S46" s="4"/>
      <c r="T46" s="4"/>
    </row>
    <row r="47" spans="1:20" x14ac:dyDescent="0.25">
      <c r="A47" s="58">
        <v>45070</v>
      </c>
      <c r="B47" s="4" t="s">
        <v>21</v>
      </c>
      <c r="C47" s="4" t="s">
        <v>162</v>
      </c>
      <c r="D47" s="4"/>
      <c r="E47" s="4" t="s">
        <v>22</v>
      </c>
      <c r="F47" s="4" t="s">
        <v>147</v>
      </c>
      <c r="G47" s="4">
        <v>260</v>
      </c>
      <c r="H47" s="4" t="s">
        <v>159</v>
      </c>
      <c r="I47" s="4" t="s">
        <v>53</v>
      </c>
      <c r="J47" s="59">
        <v>5000</v>
      </c>
      <c r="K47" s="4"/>
      <c r="L47" s="4"/>
      <c r="M47" s="61" t="s">
        <v>47</v>
      </c>
      <c r="N47" s="61"/>
      <c r="O47" s="61"/>
      <c r="P47" s="61">
        <f t="shared" ref="P47:P67" si="1">+K47-O47</f>
        <v>0</v>
      </c>
      <c r="Q47" s="61"/>
      <c r="R47" s="4"/>
      <c r="S47" s="4"/>
      <c r="T47" s="4"/>
    </row>
    <row r="48" spans="1:20" x14ac:dyDescent="0.25">
      <c r="A48" s="58">
        <v>45070</v>
      </c>
      <c r="B48" s="4" t="s">
        <v>21</v>
      </c>
      <c r="C48" s="4" t="s">
        <v>163</v>
      </c>
      <c r="D48" s="4"/>
      <c r="E48" s="4" t="s">
        <v>22</v>
      </c>
      <c r="F48" s="4" t="s">
        <v>147</v>
      </c>
      <c r="G48" s="4">
        <v>260</v>
      </c>
      <c r="H48" s="4" t="s">
        <v>24</v>
      </c>
      <c r="I48" s="4" t="s">
        <v>41</v>
      </c>
      <c r="J48" s="59">
        <v>8650</v>
      </c>
      <c r="K48" s="4"/>
      <c r="L48" s="4"/>
      <c r="M48" s="61" t="s">
        <v>47</v>
      </c>
      <c r="N48" s="61"/>
      <c r="O48" s="61"/>
      <c r="P48" s="61">
        <f t="shared" si="1"/>
        <v>0</v>
      </c>
      <c r="Q48" s="61"/>
      <c r="R48" s="4"/>
      <c r="S48" s="4"/>
      <c r="T48" s="4"/>
    </row>
    <row r="49" spans="1:20" x14ac:dyDescent="0.25">
      <c r="A49" s="58">
        <v>45070</v>
      </c>
      <c r="B49" s="4" t="s">
        <v>21</v>
      </c>
      <c r="C49" s="4" t="s">
        <v>164</v>
      </c>
      <c r="D49" s="4"/>
      <c r="E49" s="4" t="s">
        <v>22</v>
      </c>
      <c r="F49" s="4" t="s">
        <v>147</v>
      </c>
      <c r="G49" s="4">
        <v>260</v>
      </c>
      <c r="H49" s="4" t="s">
        <v>24</v>
      </c>
      <c r="I49" s="4" t="s">
        <v>41</v>
      </c>
      <c r="J49" s="59">
        <v>3800</v>
      </c>
      <c r="K49" s="4"/>
      <c r="L49" s="4"/>
      <c r="M49" s="61" t="s">
        <v>47</v>
      </c>
      <c r="N49" s="61"/>
      <c r="O49" s="61"/>
      <c r="P49" s="61">
        <f t="shared" si="1"/>
        <v>0</v>
      </c>
      <c r="Q49" s="61"/>
      <c r="R49" s="4"/>
      <c r="S49" s="4"/>
      <c r="T49" s="4"/>
    </row>
    <row r="50" spans="1:20" x14ac:dyDescent="0.25">
      <c r="A50" s="58">
        <v>45070</v>
      </c>
      <c r="B50" s="4" t="s">
        <v>21</v>
      </c>
      <c r="C50" s="4" t="s">
        <v>165</v>
      </c>
      <c r="D50" s="4"/>
      <c r="E50" s="4" t="s">
        <v>22</v>
      </c>
      <c r="F50" s="4" t="s">
        <v>147</v>
      </c>
      <c r="G50" s="4">
        <v>260</v>
      </c>
      <c r="H50" s="4" t="s">
        <v>24</v>
      </c>
      <c r="I50" s="4" t="s">
        <v>53</v>
      </c>
      <c r="J50" s="59">
        <v>5650</v>
      </c>
      <c r="K50" s="4">
        <v>5625</v>
      </c>
      <c r="L50" s="4"/>
      <c r="M50" s="61" t="s">
        <v>47</v>
      </c>
      <c r="N50" s="61"/>
      <c r="O50" s="61"/>
      <c r="P50" s="61">
        <f t="shared" si="1"/>
        <v>5625</v>
      </c>
      <c r="Q50" s="61"/>
      <c r="R50" s="4"/>
      <c r="S50" s="4"/>
      <c r="T50" s="4"/>
    </row>
    <row r="51" spans="1:20" x14ac:dyDescent="0.25">
      <c r="A51" s="58">
        <v>45070</v>
      </c>
      <c r="B51" s="4" t="s">
        <v>21</v>
      </c>
      <c r="C51" s="4" t="s">
        <v>166</v>
      </c>
      <c r="D51" s="4"/>
      <c r="E51" s="4" t="s">
        <v>40</v>
      </c>
      <c r="F51" s="4" t="s">
        <v>147</v>
      </c>
      <c r="G51" s="4">
        <v>263</v>
      </c>
      <c r="H51" s="4" t="s">
        <v>161</v>
      </c>
      <c r="I51" s="4" t="s">
        <v>41</v>
      </c>
      <c r="J51" s="59">
        <f>52*144</f>
        <v>7488</v>
      </c>
      <c r="K51" s="4"/>
      <c r="L51" s="4"/>
      <c r="M51" s="61" t="s">
        <v>131</v>
      </c>
      <c r="N51" s="61"/>
      <c r="O51" s="61"/>
      <c r="P51" s="61">
        <f t="shared" si="1"/>
        <v>0</v>
      </c>
      <c r="Q51" s="61"/>
      <c r="R51" s="4"/>
      <c r="S51" s="4"/>
      <c r="T51" s="4"/>
    </row>
    <row r="52" spans="1:20" x14ac:dyDescent="0.25">
      <c r="A52" s="58">
        <v>45070</v>
      </c>
      <c r="B52" s="4" t="s">
        <v>21</v>
      </c>
      <c r="C52" s="4" t="s">
        <v>167</v>
      </c>
      <c r="D52" s="4"/>
      <c r="E52" s="4" t="s">
        <v>40</v>
      </c>
      <c r="F52" s="4" t="s">
        <v>147</v>
      </c>
      <c r="G52" s="4">
        <v>263</v>
      </c>
      <c r="H52" s="4" t="s">
        <v>161</v>
      </c>
      <c r="I52" s="4" t="s">
        <v>41</v>
      </c>
      <c r="J52" s="59">
        <f>48*144</f>
        <v>6912</v>
      </c>
      <c r="K52" s="4"/>
      <c r="L52" s="4"/>
      <c r="M52" s="61" t="s">
        <v>47</v>
      </c>
      <c r="N52" s="61"/>
      <c r="O52" s="61"/>
      <c r="P52" s="61">
        <f t="shared" si="1"/>
        <v>0</v>
      </c>
      <c r="Q52" s="61"/>
      <c r="R52" s="4"/>
      <c r="S52" s="4"/>
      <c r="T52" s="4"/>
    </row>
    <row r="53" spans="1:20" x14ac:dyDescent="0.25">
      <c r="A53" s="58">
        <v>45070</v>
      </c>
      <c r="B53" s="4" t="s">
        <v>21</v>
      </c>
      <c r="C53" s="4" t="s">
        <v>168</v>
      </c>
      <c r="D53" s="4"/>
      <c r="E53" s="4" t="s">
        <v>22</v>
      </c>
      <c r="F53" s="4" t="s">
        <v>169</v>
      </c>
      <c r="G53" s="4">
        <v>260</v>
      </c>
      <c r="H53" s="4" t="s">
        <v>161</v>
      </c>
      <c r="I53" s="4" t="s">
        <v>25</v>
      </c>
      <c r="J53" s="59">
        <v>2500</v>
      </c>
      <c r="K53" s="4"/>
      <c r="L53" s="4"/>
      <c r="M53" s="61" t="s">
        <v>54</v>
      </c>
      <c r="N53" s="61"/>
      <c r="O53" s="61"/>
      <c r="P53" s="61">
        <f t="shared" si="1"/>
        <v>0</v>
      </c>
      <c r="Q53" s="61"/>
      <c r="R53" s="4"/>
      <c r="S53" s="4"/>
      <c r="T53" s="4"/>
    </row>
    <row r="54" spans="1:20" x14ac:dyDescent="0.25">
      <c r="A54" s="58">
        <v>45070</v>
      </c>
      <c r="B54" s="4" t="s">
        <v>21</v>
      </c>
      <c r="C54" s="4" t="s">
        <v>170</v>
      </c>
      <c r="D54" s="4"/>
      <c r="E54" s="4" t="s">
        <v>22</v>
      </c>
      <c r="F54" s="4" t="s">
        <v>134</v>
      </c>
      <c r="G54" s="4">
        <v>250</v>
      </c>
      <c r="H54" s="4" t="s">
        <v>161</v>
      </c>
      <c r="I54" s="4" t="s">
        <v>25</v>
      </c>
      <c r="J54" s="59">
        <f>10*144</f>
        <v>1440</v>
      </c>
      <c r="K54" s="4"/>
      <c r="L54" s="4"/>
      <c r="M54" s="61" t="s">
        <v>54</v>
      </c>
      <c r="N54" s="61"/>
      <c r="O54" s="61"/>
      <c r="P54" s="61">
        <f t="shared" si="1"/>
        <v>0</v>
      </c>
      <c r="Q54" s="61"/>
      <c r="R54" s="4"/>
      <c r="S54" s="4"/>
      <c r="T54" s="4"/>
    </row>
    <row r="55" spans="1:20" x14ac:dyDescent="0.25">
      <c r="A55" s="58">
        <v>45070</v>
      </c>
      <c r="B55" s="4" t="s">
        <v>21</v>
      </c>
      <c r="C55" s="4" t="s">
        <v>171</v>
      </c>
      <c r="D55" s="4"/>
      <c r="E55" s="4" t="s">
        <v>22</v>
      </c>
      <c r="F55" s="4" t="s">
        <v>134</v>
      </c>
      <c r="G55" s="4">
        <v>250</v>
      </c>
      <c r="H55" s="4" t="s">
        <v>161</v>
      </c>
      <c r="I55" s="4" t="s">
        <v>25</v>
      </c>
      <c r="J55" s="59">
        <f>9*144</f>
        <v>1296</v>
      </c>
      <c r="K55" s="4"/>
      <c r="L55" s="4"/>
      <c r="M55" s="61" t="s">
        <v>54</v>
      </c>
      <c r="N55" s="61"/>
      <c r="O55" s="61"/>
      <c r="P55" s="61">
        <f t="shared" si="1"/>
        <v>0</v>
      </c>
      <c r="Q55" s="61"/>
      <c r="R55" s="4"/>
      <c r="S55" s="4"/>
      <c r="T55" s="4"/>
    </row>
    <row r="56" spans="1:20" x14ac:dyDescent="0.25">
      <c r="A56" s="58">
        <v>45070</v>
      </c>
      <c r="B56" s="4" t="s">
        <v>21</v>
      </c>
      <c r="C56" s="4" t="s">
        <v>172</v>
      </c>
      <c r="D56" s="4"/>
      <c r="E56" s="4" t="s">
        <v>22</v>
      </c>
      <c r="F56" s="4" t="s">
        <v>134</v>
      </c>
      <c r="G56" s="4">
        <v>250</v>
      </c>
      <c r="H56" s="4" t="s">
        <v>161</v>
      </c>
      <c r="I56" s="4" t="s">
        <v>25</v>
      </c>
      <c r="J56" s="59">
        <v>1000</v>
      </c>
      <c r="K56" s="4"/>
      <c r="L56" s="4"/>
      <c r="M56" s="61" t="s">
        <v>54</v>
      </c>
      <c r="N56" s="61"/>
      <c r="O56" s="61"/>
      <c r="P56" s="61">
        <f t="shared" si="1"/>
        <v>0</v>
      </c>
      <c r="Q56" s="61"/>
      <c r="R56" s="4"/>
      <c r="S56" s="4"/>
      <c r="T56" s="4"/>
    </row>
    <row r="57" spans="1:20" x14ac:dyDescent="0.25">
      <c r="A57" s="58">
        <v>45070</v>
      </c>
      <c r="B57" s="4" t="s">
        <v>173</v>
      </c>
      <c r="C57" s="4" t="s">
        <v>174</v>
      </c>
      <c r="D57" s="4"/>
      <c r="E57" s="4" t="s">
        <v>22</v>
      </c>
      <c r="F57" s="4" t="s">
        <v>175</v>
      </c>
      <c r="G57" s="4">
        <v>280</v>
      </c>
      <c r="H57" s="4" t="s">
        <v>176</v>
      </c>
      <c r="I57" s="4" t="s">
        <v>53</v>
      </c>
      <c r="J57" s="59">
        <v>750</v>
      </c>
      <c r="K57" s="4"/>
      <c r="L57" s="4"/>
      <c r="M57" s="61" t="s">
        <v>54</v>
      </c>
      <c r="N57" s="61"/>
      <c r="O57" s="61"/>
      <c r="P57" s="61">
        <f t="shared" si="1"/>
        <v>0</v>
      </c>
      <c r="Q57" s="61"/>
      <c r="R57" s="4"/>
      <c r="S57" s="4"/>
      <c r="T57" s="4"/>
    </row>
    <row r="58" spans="1:20" x14ac:dyDescent="0.25">
      <c r="A58" s="58">
        <v>45070</v>
      </c>
      <c r="B58" s="4" t="s">
        <v>173</v>
      </c>
      <c r="C58" s="4" t="s">
        <v>177</v>
      </c>
      <c r="D58" s="4"/>
      <c r="E58" s="4" t="s">
        <v>22</v>
      </c>
      <c r="F58" s="4" t="s">
        <v>175</v>
      </c>
      <c r="G58" s="4">
        <v>280</v>
      </c>
      <c r="H58" s="4" t="s">
        <v>178</v>
      </c>
      <c r="I58" s="4" t="s">
        <v>53</v>
      </c>
      <c r="J58" s="39">
        <v>750</v>
      </c>
      <c r="K58" s="39">
        <v>2725</v>
      </c>
      <c r="L58" s="4"/>
      <c r="M58" s="61" t="s">
        <v>54</v>
      </c>
      <c r="N58" s="61"/>
      <c r="O58" s="61"/>
      <c r="P58" s="61">
        <f t="shared" si="1"/>
        <v>2725</v>
      </c>
      <c r="Q58" s="61"/>
      <c r="R58" s="4"/>
      <c r="S58" s="4"/>
      <c r="T58" s="4"/>
    </row>
    <row r="59" spans="1:20" x14ac:dyDescent="0.25">
      <c r="A59" s="58">
        <v>45070</v>
      </c>
      <c r="B59" s="4" t="s">
        <v>173</v>
      </c>
      <c r="C59" s="4" t="s">
        <v>179</v>
      </c>
      <c r="D59" s="4"/>
      <c r="E59" s="4" t="s">
        <v>22</v>
      </c>
      <c r="F59" s="4" t="s">
        <v>175</v>
      </c>
      <c r="G59" s="4">
        <v>280</v>
      </c>
      <c r="H59" s="4" t="s">
        <v>176</v>
      </c>
      <c r="I59" s="4" t="s">
        <v>53</v>
      </c>
      <c r="J59" s="59">
        <v>750</v>
      </c>
      <c r="K59" s="4"/>
      <c r="L59" s="4"/>
      <c r="M59" s="61" t="s">
        <v>54</v>
      </c>
      <c r="N59" s="61"/>
      <c r="O59" s="61"/>
      <c r="P59" s="61">
        <f t="shared" si="1"/>
        <v>0</v>
      </c>
      <c r="Q59" s="61"/>
      <c r="R59" s="4"/>
      <c r="S59" s="4"/>
      <c r="T59" s="4"/>
    </row>
    <row r="60" spans="1:20" x14ac:dyDescent="0.25">
      <c r="A60" s="58">
        <v>45070</v>
      </c>
      <c r="B60" s="4" t="s">
        <v>173</v>
      </c>
      <c r="C60" s="4" t="s">
        <v>180</v>
      </c>
      <c r="D60" s="4"/>
      <c r="E60" s="4" t="s">
        <v>22</v>
      </c>
      <c r="F60" s="4" t="s">
        <v>175</v>
      </c>
      <c r="G60" s="4">
        <v>280</v>
      </c>
      <c r="H60" s="4" t="s">
        <v>178</v>
      </c>
      <c r="I60" s="4" t="s">
        <v>53</v>
      </c>
      <c r="J60" s="39">
        <v>750</v>
      </c>
      <c r="K60" s="39"/>
      <c r="L60" s="4"/>
      <c r="M60" s="61" t="s">
        <v>54</v>
      </c>
      <c r="N60" s="61"/>
      <c r="O60" s="61"/>
      <c r="P60" s="61">
        <f t="shared" si="1"/>
        <v>0</v>
      </c>
      <c r="Q60" s="61"/>
      <c r="R60" s="4"/>
      <c r="S60" s="4"/>
      <c r="T60" s="4"/>
    </row>
    <row r="61" spans="1:20" x14ac:dyDescent="0.25">
      <c r="A61" s="58">
        <v>45070</v>
      </c>
      <c r="B61" s="4" t="s">
        <v>173</v>
      </c>
      <c r="C61" s="4" t="s">
        <v>181</v>
      </c>
      <c r="D61" s="4"/>
      <c r="E61" s="4" t="s">
        <v>22</v>
      </c>
      <c r="F61" s="4" t="s">
        <v>175</v>
      </c>
      <c r="G61" s="4">
        <v>280</v>
      </c>
      <c r="H61" s="4" t="s">
        <v>24</v>
      </c>
      <c r="I61" s="4" t="s">
        <v>53</v>
      </c>
      <c r="J61" s="59">
        <v>3000</v>
      </c>
      <c r="K61" s="4"/>
      <c r="L61" s="4"/>
      <c r="M61" s="61" t="s">
        <v>54</v>
      </c>
      <c r="N61" s="61"/>
      <c r="O61" s="61"/>
      <c r="P61" s="61">
        <f t="shared" si="1"/>
        <v>0</v>
      </c>
      <c r="Q61" s="61"/>
      <c r="R61" s="4"/>
      <c r="S61" s="4"/>
      <c r="T61" s="4"/>
    </row>
    <row r="62" spans="1:20" x14ac:dyDescent="0.25">
      <c r="A62" s="58">
        <v>45070</v>
      </c>
      <c r="B62" s="4" t="s">
        <v>173</v>
      </c>
      <c r="C62" s="4" t="s">
        <v>182</v>
      </c>
      <c r="D62" s="4"/>
      <c r="E62" s="4" t="s">
        <v>22</v>
      </c>
      <c r="F62" s="4" t="s">
        <v>175</v>
      </c>
      <c r="G62" s="4">
        <v>280</v>
      </c>
      <c r="H62" s="4" t="s">
        <v>24</v>
      </c>
      <c r="I62" s="4" t="s">
        <v>53</v>
      </c>
      <c r="J62" s="59">
        <v>1500</v>
      </c>
      <c r="K62" s="4"/>
      <c r="L62" s="4"/>
      <c r="M62" s="61"/>
      <c r="N62" s="61"/>
      <c r="O62" s="61"/>
      <c r="P62" s="61">
        <f t="shared" si="1"/>
        <v>0</v>
      </c>
      <c r="Q62" s="61"/>
      <c r="R62" s="4"/>
      <c r="S62" s="4"/>
      <c r="T62" s="4"/>
    </row>
    <row r="63" spans="1:20" x14ac:dyDescent="0.25">
      <c r="A63" s="58">
        <v>45070</v>
      </c>
      <c r="B63" s="4" t="s">
        <v>173</v>
      </c>
      <c r="C63" s="4" t="s">
        <v>183</v>
      </c>
      <c r="D63" s="4"/>
      <c r="E63" s="4" t="s">
        <v>22</v>
      </c>
      <c r="F63" s="4" t="s">
        <v>147</v>
      </c>
      <c r="G63" s="4">
        <v>260</v>
      </c>
      <c r="H63" s="4" t="s">
        <v>24</v>
      </c>
      <c r="I63" s="4" t="s">
        <v>53</v>
      </c>
      <c r="J63" s="59">
        <f>22*144</f>
        <v>3168</v>
      </c>
      <c r="K63" s="4">
        <v>3080</v>
      </c>
      <c r="L63" s="4"/>
      <c r="M63" s="61"/>
      <c r="N63" s="66">
        <v>45077</v>
      </c>
      <c r="O63" s="61">
        <v>3080</v>
      </c>
      <c r="P63" s="61">
        <f t="shared" si="1"/>
        <v>0</v>
      </c>
      <c r="Q63" s="61">
        <v>428</v>
      </c>
      <c r="R63" s="4"/>
      <c r="S63" s="4"/>
      <c r="T63" s="4"/>
    </row>
    <row r="64" spans="1:20" x14ac:dyDescent="0.25">
      <c r="A64" s="58">
        <v>45070</v>
      </c>
      <c r="B64" s="4" t="s">
        <v>173</v>
      </c>
      <c r="C64" s="4" t="s">
        <v>186</v>
      </c>
      <c r="D64" s="4"/>
      <c r="E64" s="4" t="s">
        <v>11</v>
      </c>
      <c r="F64" s="4" t="s">
        <v>184</v>
      </c>
      <c r="G64" s="4">
        <v>52</v>
      </c>
      <c r="H64" s="4" t="s">
        <v>24</v>
      </c>
      <c r="I64" s="4" t="s">
        <v>185</v>
      </c>
      <c r="J64" s="4">
        <f>20*500</f>
        <v>10000</v>
      </c>
      <c r="K64" s="4"/>
      <c r="L64" s="4"/>
      <c r="M64" s="61"/>
      <c r="N64" s="61"/>
      <c r="O64" s="61"/>
      <c r="P64" s="61">
        <f t="shared" si="1"/>
        <v>0</v>
      </c>
      <c r="Q64" s="61"/>
      <c r="R64" s="4"/>
      <c r="S64" s="4"/>
      <c r="T64" s="4"/>
    </row>
    <row r="65" spans="1:20" x14ac:dyDescent="0.25">
      <c r="A65" s="58">
        <v>45070</v>
      </c>
      <c r="B65" s="4" t="s">
        <v>173</v>
      </c>
      <c r="C65" s="4" t="s">
        <v>187</v>
      </c>
      <c r="D65" s="4"/>
      <c r="E65" s="4" t="s">
        <v>11</v>
      </c>
      <c r="F65" s="4" t="s">
        <v>184</v>
      </c>
      <c r="G65" s="4">
        <v>52</v>
      </c>
      <c r="H65" s="4" t="s">
        <v>24</v>
      </c>
      <c r="I65" s="4" t="s">
        <v>185</v>
      </c>
      <c r="J65" s="4">
        <f t="shared" ref="J65:J67" si="2">20*500</f>
        <v>10000</v>
      </c>
      <c r="K65" s="4"/>
      <c r="L65" s="4"/>
      <c r="M65" s="61"/>
      <c r="N65" s="61"/>
      <c r="O65" s="61"/>
      <c r="P65" s="61">
        <f t="shared" si="1"/>
        <v>0</v>
      </c>
      <c r="Q65" s="61"/>
      <c r="R65" s="4"/>
      <c r="S65" s="4"/>
      <c r="T65" s="4"/>
    </row>
    <row r="66" spans="1:20" x14ac:dyDescent="0.25">
      <c r="A66" s="58">
        <v>45070</v>
      </c>
      <c r="B66" s="4" t="s">
        <v>173</v>
      </c>
      <c r="C66" s="4" t="s">
        <v>188</v>
      </c>
      <c r="D66" s="4"/>
      <c r="E66" s="4" t="s">
        <v>11</v>
      </c>
      <c r="F66" s="4" t="s">
        <v>184</v>
      </c>
      <c r="G66" s="4">
        <v>52</v>
      </c>
      <c r="H66" s="4" t="s">
        <v>24</v>
      </c>
      <c r="I66" s="4" t="s">
        <v>185</v>
      </c>
      <c r="J66" s="4">
        <f t="shared" si="2"/>
        <v>10000</v>
      </c>
      <c r="K66" s="4"/>
      <c r="L66" s="4"/>
      <c r="M66" s="61"/>
      <c r="N66" s="61"/>
      <c r="O66" s="61"/>
      <c r="P66" s="61">
        <f t="shared" si="1"/>
        <v>0</v>
      </c>
      <c r="Q66" s="61"/>
      <c r="R66" s="4"/>
      <c r="S66" s="4"/>
      <c r="T66" s="4"/>
    </row>
    <row r="67" spans="1:20" x14ac:dyDescent="0.25">
      <c r="A67" s="58">
        <v>45070</v>
      </c>
      <c r="B67" s="4" t="s">
        <v>173</v>
      </c>
      <c r="C67" s="4" t="s">
        <v>189</v>
      </c>
      <c r="D67" s="4"/>
      <c r="E67" s="4" t="s">
        <v>11</v>
      </c>
      <c r="F67" s="4" t="s">
        <v>184</v>
      </c>
      <c r="G67" s="4">
        <v>52</v>
      </c>
      <c r="H67" s="4" t="s">
        <v>24</v>
      </c>
      <c r="I67" s="4" t="s">
        <v>185</v>
      </c>
      <c r="J67" s="4">
        <f t="shared" si="2"/>
        <v>10000</v>
      </c>
      <c r="K67" s="4"/>
      <c r="L67" s="4"/>
      <c r="M67" s="61"/>
      <c r="N67" s="61"/>
      <c r="O67" s="61"/>
      <c r="P67" s="61">
        <f t="shared" si="1"/>
        <v>0</v>
      </c>
      <c r="Q67" s="61"/>
      <c r="R67" s="4"/>
      <c r="S67" s="4"/>
      <c r="T67" s="4"/>
    </row>
    <row r="73" spans="1:20" x14ac:dyDescent="0.25">
      <c r="C73" s="18"/>
    </row>
    <row r="74" spans="1:20" x14ac:dyDescent="0.25">
      <c r="C74" s="18"/>
    </row>
    <row r="75" spans="1:20" x14ac:dyDescent="0.25">
      <c r="C75" s="18"/>
    </row>
    <row r="76" spans="1:20" x14ac:dyDescent="0.25">
      <c r="C76" s="18"/>
    </row>
    <row r="78" spans="1:20" x14ac:dyDescent="0.25">
      <c r="C78" s="18"/>
    </row>
  </sheetData>
  <autoFilter ref="A2:T2" xr:uid="{00000000-0001-0000-0400-000000000000}"/>
  <mergeCells count="1">
    <mergeCell ref="N1:Q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</vt:lpstr>
      <vt:lpstr>Issue</vt:lpstr>
      <vt:lpstr>Balance</vt:lpstr>
      <vt:lpstr>print order 1</vt:lpstr>
      <vt:lpstr>Print Order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2023-06-04T19:57:39Z</dcterms:modified>
</cp:coreProperties>
</file>