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npreet\excel sheets\"/>
    </mc:Choice>
  </mc:AlternateContent>
  <bookViews>
    <workbookView xWindow="0" yWindow="36" windowWidth="22980" windowHeight="8784"/>
  </bookViews>
  <sheets>
    <sheet name="design" sheetId="1" r:id="rId1"/>
    <sheet name="tables" sheetId="2" r:id="rId2"/>
    <sheet name="Sheet3" sheetId="3" r:id="rId3"/>
  </sheets>
  <definedNames>
    <definedName name="FCK">design!$B$5</definedName>
  </definedNames>
  <calcPr calcId="162913"/>
</workbook>
</file>

<file path=xl/calcChain.xml><?xml version="1.0" encoding="utf-8"?>
<calcChain xmlns="http://schemas.openxmlformats.org/spreadsheetml/2006/main">
  <c r="L7" i="1" l="1"/>
  <c r="E17" i="2" l="1"/>
  <c r="L5" i="1"/>
  <c r="B25" i="2"/>
  <c r="L48" i="1" l="1"/>
  <c r="L46" i="1"/>
  <c r="L47" i="1"/>
  <c r="L16" i="1"/>
  <c r="E18" i="2"/>
  <c r="L10" i="1" l="1"/>
  <c r="L9" i="1"/>
  <c r="L11" i="1" l="1"/>
  <c r="L12" i="1" s="1"/>
  <c r="B25" i="1" l="1"/>
  <c r="L15" i="1"/>
  <c r="L32" i="1"/>
  <c r="L19" i="1" l="1"/>
  <c r="L20" i="1" s="1"/>
  <c r="F16" i="2" s="1"/>
  <c r="E19" i="2" s="1"/>
  <c r="F19" i="2" s="1"/>
  <c r="L26" i="1" s="1"/>
  <c r="L27" i="1" s="1"/>
  <c r="L17" i="1"/>
  <c r="B22" i="2" l="1"/>
  <c r="B28" i="1" s="1"/>
  <c r="L21" i="1"/>
  <c r="B29" i="1" l="1"/>
  <c r="L33" i="1"/>
  <c r="B42" i="1"/>
  <c r="L22" i="1"/>
  <c r="B23" i="1" s="1"/>
  <c r="B24" i="1"/>
  <c r="B43" i="1"/>
  <c r="B38" i="1"/>
  <c r="L31" i="1"/>
  <c r="L30" i="1" l="1"/>
  <c r="L34" i="1" s="1"/>
  <c r="L36" i="1" s="1"/>
  <c r="B27" i="1" s="1"/>
  <c r="L23" i="1"/>
  <c r="B37" i="1"/>
  <c r="L40" i="1" l="1"/>
  <c r="B41" i="1" s="1"/>
  <c r="L35" i="1"/>
  <c r="B26" i="1" s="1"/>
  <c r="A30" i="1" s="1"/>
  <c r="L42" i="1" l="1"/>
  <c r="L39" i="1"/>
  <c r="B40" i="1" s="1"/>
  <c r="A44" i="1" s="1"/>
  <c r="L41" i="1" l="1"/>
  <c r="L43" i="1" s="1"/>
  <c r="B39" i="1" s="1"/>
</calcChain>
</file>

<file path=xl/sharedStrings.xml><?xml version="1.0" encoding="utf-8"?>
<sst xmlns="http://schemas.openxmlformats.org/spreadsheetml/2006/main" count="166" uniqueCount="135">
  <si>
    <t>MIX DESIGN PROPORTION AS PER 10262:2009</t>
  </si>
  <si>
    <t>STIPULATIONS FOR PROPORTIONING</t>
  </si>
  <si>
    <t>Grade designation</t>
  </si>
  <si>
    <t>Type of cement</t>
  </si>
  <si>
    <t>Maximum nominal size of aggregate</t>
  </si>
  <si>
    <t>Minimum cement content</t>
  </si>
  <si>
    <t>Maximum water-cement ratio</t>
  </si>
  <si>
    <t>Workability</t>
  </si>
  <si>
    <t>Exposure condition</t>
  </si>
  <si>
    <t>Method of concrete placing</t>
  </si>
  <si>
    <t>Degree of supervision</t>
  </si>
  <si>
    <t>Type of aggregate</t>
  </si>
  <si>
    <t>Maximum cement content</t>
  </si>
  <si>
    <t>Chemical admixture type</t>
  </si>
  <si>
    <t xml:space="preserve">Type of mineral admixture </t>
  </si>
  <si>
    <t>OPC (33 grade)</t>
  </si>
  <si>
    <t>OPC (43 grade)</t>
  </si>
  <si>
    <t>OPC(53 grade)</t>
  </si>
  <si>
    <t>PPC</t>
  </si>
  <si>
    <t>Fly ash</t>
  </si>
  <si>
    <t>Ground granulated blast furnace slag</t>
  </si>
  <si>
    <t>Metakaoline</t>
  </si>
  <si>
    <t>Silica Fume</t>
  </si>
  <si>
    <t xml:space="preserve">Mild </t>
  </si>
  <si>
    <t>Moderate</t>
  </si>
  <si>
    <t>Severe</t>
  </si>
  <si>
    <t>Very severe</t>
  </si>
  <si>
    <t>Plain concrete</t>
  </si>
  <si>
    <t>Pumping</t>
  </si>
  <si>
    <t>Manual</t>
  </si>
  <si>
    <t>None</t>
  </si>
  <si>
    <t>Superplasticizers</t>
  </si>
  <si>
    <t>Water reducing admixtures</t>
  </si>
  <si>
    <t>Round gravel</t>
  </si>
  <si>
    <t xml:space="preserve">Gravel with crushed particles </t>
  </si>
  <si>
    <t>Sub angular aggregate</t>
  </si>
  <si>
    <t>Angular coarse aggregate</t>
  </si>
  <si>
    <t>Extreme</t>
  </si>
  <si>
    <t>Good</t>
  </si>
  <si>
    <t>TEST DATA FOR MATERIALS</t>
  </si>
  <si>
    <t>Specific gravity of cement</t>
  </si>
  <si>
    <t>Specific gravity of fine aggregate</t>
  </si>
  <si>
    <t>Specific gravity of coarse aggregate</t>
  </si>
  <si>
    <t>Water absorption coarse aggregate</t>
  </si>
  <si>
    <t>Water absorption of fine aggregate</t>
  </si>
  <si>
    <t>Free moisture of coarse aggregate</t>
  </si>
  <si>
    <t>Free moisture of fine aggregate</t>
  </si>
  <si>
    <t>INPUT DATA</t>
  </si>
  <si>
    <t>CALCULATIONS AND RESULTS</t>
  </si>
  <si>
    <t>STEP:1 TARGET MEAN STRENGTH (fck')</t>
  </si>
  <si>
    <t>Grade of concrete(N/mm2)</t>
  </si>
  <si>
    <t>Assumed standard deviation (N/mm2)</t>
  </si>
  <si>
    <t>STEP:2 WATER CEMENT RATIO</t>
  </si>
  <si>
    <t>STEPS ARE AS FOLLOWS :</t>
  </si>
  <si>
    <t>EXPOSURE</t>
  </si>
  <si>
    <t>STEP:3 SELECTION OF WATER CONTENT</t>
  </si>
  <si>
    <t>Mild</t>
  </si>
  <si>
    <t xml:space="preserve">Nominal maximum size of </t>
  </si>
  <si>
    <t>Maximum water content (kg)</t>
  </si>
  <si>
    <t>aggregate(mm)</t>
  </si>
  <si>
    <t xml:space="preserve">STEP:4 CALCULATION OF CEMENTITIOUS MATERIAL </t>
  </si>
  <si>
    <t>(a) Cementitious material content (cement + mineral admixture)</t>
  </si>
  <si>
    <t xml:space="preserve"> Minimum cement content required as per exposure conditions</t>
  </si>
  <si>
    <t>CHECK</t>
  </si>
  <si>
    <t>(b) Final cementitious content</t>
  </si>
  <si>
    <t xml:space="preserve">Amount of mineral admixture </t>
  </si>
  <si>
    <t>(c) Final water- cement ratio</t>
  </si>
  <si>
    <t>(d) Mineral admixture content</t>
  </si>
  <si>
    <t>CEMENT SAVED</t>
  </si>
  <si>
    <t>Water content reduced</t>
  </si>
  <si>
    <t>Water content after reduction due to admixture</t>
  </si>
  <si>
    <t>WHEN MINERAL ADMIXTURE IS USED</t>
  </si>
  <si>
    <t>REINFORCED CONCRETE MIX</t>
  </si>
  <si>
    <t>MIN CEMENT CONTENT</t>
  </si>
  <si>
    <t>MAX. FREE WATER/CEMENT</t>
  </si>
  <si>
    <t>MIN GRADE OF CONCRETE</t>
  </si>
  <si>
    <t>Nominal max size of aggregate</t>
  </si>
  <si>
    <t>Volume of coarse aggregate per unit volume of total Aggregate for different zones of fine aggregate</t>
  </si>
  <si>
    <t>zone 1</t>
  </si>
  <si>
    <t>zone 2</t>
  </si>
  <si>
    <t>zone 3</t>
  </si>
  <si>
    <t>mm</t>
  </si>
  <si>
    <t>Fine aggregate zone</t>
  </si>
  <si>
    <t>value wrt 0.5</t>
  </si>
  <si>
    <t>zone 4</t>
  </si>
  <si>
    <t>Volume of Coarse aggregate</t>
  </si>
  <si>
    <t>Volume of Fine aggregate</t>
  </si>
  <si>
    <t>STEP:5 PROPORTION OF VOLUME OF COARSE AGGREGATE AND FINE AGGREGATE</t>
  </si>
  <si>
    <t>(e) Cement Content</t>
  </si>
  <si>
    <t>Type of concrete</t>
  </si>
  <si>
    <t>Reinforced Cement Concrete</t>
  </si>
  <si>
    <t>Plain Concrete</t>
  </si>
  <si>
    <t xml:space="preserve"> </t>
  </si>
  <si>
    <t>calculations</t>
  </si>
  <si>
    <t>exposure</t>
  </si>
  <si>
    <t>Min cement content</t>
  </si>
  <si>
    <t>max free water cement ratio</t>
  </si>
  <si>
    <t>min grade of concrete</t>
  </si>
  <si>
    <t>-</t>
  </si>
  <si>
    <t>(a) Volume of cement</t>
  </si>
  <si>
    <t>Specific gravity of mineral admixture</t>
  </si>
  <si>
    <t>Specific gravity of chemical admixture</t>
  </si>
  <si>
    <t>(b) Volume of mineral admixture</t>
  </si>
  <si>
    <t>() Volume of water</t>
  </si>
  <si>
    <t>(d) Volume of Chemical admixture</t>
  </si>
  <si>
    <t>() Volume of all in aggregate</t>
  </si>
  <si>
    <t>(f) Mass of coarse aggregate</t>
  </si>
  <si>
    <t>(g) Mass of fine aggregate</t>
  </si>
  <si>
    <t>STEP:6 ADJUSTMENTS DUE TO WATER ABSORPTION OF AGGREGATES</t>
  </si>
  <si>
    <t>(a) Coarse aggregate (Dry)</t>
  </si>
  <si>
    <t>(b) Fine aggregate (Dry)</t>
  </si>
  <si>
    <t xml:space="preserve">Change in mass of C.A </t>
  </si>
  <si>
    <t xml:space="preserve">Change in mass of F.A </t>
  </si>
  <si>
    <t>() Water content</t>
  </si>
  <si>
    <t>STEP:7 ADJUSTMENTS DUE TO FREE WATER CONTENT</t>
  </si>
  <si>
    <t>(a) Coarse Aggregate</t>
  </si>
  <si>
    <t>(b) Fine aggregate</t>
  </si>
  <si>
    <t>() Water Content</t>
  </si>
  <si>
    <t>Dose of chemical admixture</t>
  </si>
  <si>
    <t>mass of admixture</t>
  </si>
  <si>
    <t>Cement</t>
  </si>
  <si>
    <t>Mineral admixture</t>
  </si>
  <si>
    <t>Water</t>
  </si>
  <si>
    <t>Coarse Aggregate</t>
  </si>
  <si>
    <t>Fine Aggregate</t>
  </si>
  <si>
    <t>Chemical admixture</t>
  </si>
  <si>
    <t>Water-Cement ratio</t>
  </si>
  <si>
    <t>STEP:6  MIX CALCULATIONS ( Volume= 1m3)</t>
  </si>
  <si>
    <t>vol of C.A( when fly ash ot used)</t>
  </si>
  <si>
    <t>vol of C.A( when fly ash used)</t>
  </si>
  <si>
    <t>Fair</t>
  </si>
  <si>
    <t>MIX PROPORTIONS (SSD CONDITION)</t>
  </si>
  <si>
    <t>MIX PROPORTIONS( DRY CONDITION)</t>
  </si>
  <si>
    <t>fck' when condition is fair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</si>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</sst>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0&quot;mm&quot;"/>
    <numFmt numFmtId="165" formatCode="0&quot;kg/m3&quot;"/>
    <numFmt numFmtId="166" formatCode="0&quot;mm(slump)&quot;"/>
    <numFmt numFmtId="167" formatCode="0.00&quot;%&quot;"/>
    <numFmt numFmtId="168" formatCode="0.00&quot;N/mm2&quot;"/>
    <numFmt numFmtId="169" formatCode="0&quot;L&quot;"/>
    <numFmt numFmtId="170" formatCode="0&quot;%&quot;"/>
    <numFmt numFmtId="171" formatCode="0.00&quot;L&quot;"/>
    <numFmt numFmtId="172" formatCode="0.00&quot;kg/m3&quot;"/>
    <numFmt numFmtId="173" formatCode="0.000&quot;m3&quot;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2DE8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802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8F87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Fill="1"/>
    <xf numFmtId="0" fontId="0" fillId="2" borderId="0" xfId="0" applyFill="1"/>
    <xf numFmtId="0" fontId="0" fillId="6" borderId="0" xfId="0" applyFill="1"/>
    <xf numFmtId="0" fontId="2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5" borderId="0" xfId="0" applyFill="1"/>
    <xf numFmtId="0" fontId="0" fillId="14" borderId="0" xfId="0" applyFill="1"/>
    <xf numFmtId="0" fontId="0" fillId="12" borderId="0" xfId="0" applyFill="1"/>
    <xf numFmtId="0" fontId="0" fillId="10" borderId="0" xfId="0" applyFill="1"/>
    <xf numFmtId="172" fontId="0" fillId="10" borderId="0" xfId="0" applyNumberFormat="1" applyFill="1"/>
    <xf numFmtId="0" fontId="5" fillId="0" borderId="0" xfId="0" applyFont="1"/>
    <xf numFmtId="0" fontId="0" fillId="14" borderId="0" xfId="0" applyFill="1" applyAlignment="1">
      <alignment horizontal="left"/>
    </xf>
    <xf numFmtId="0" fontId="6" fillId="8" borderId="0" xfId="0" applyFont="1" applyFill="1"/>
    <xf numFmtId="0" fontId="6" fillId="8" borderId="0" xfId="0" applyFont="1" applyFill="1" applyAlignment="1">
      <alignment horizontal="center" vertical="center"/>
    </xf>
    <xf numFmtId="0" fontId="6" fillId="8" borderId="0" xfId="0" applyFont="1" applyFill="1" applyAlignment="1">
      <alignment wrapText="1"/>
    </xf>
    <xf numFmtId="0" fontId="0" fillId="8" borderId="0" xfId="0" applyFill="1" applyAlignment="1"/>
    <xf numFmtId="0" fontId="5" fillId="8" borderId="0" xfId="0" applyFont="1" applyFill="1"/>
    <xf numFmtId="0" fontId="0" fillId="8" borderId="0" xfId="0" applyFill="1" applyAlignment="1">
      <alignment horizontal="center" vertical="center"/>
    </xf>
    <xf numFmtId="0" fontId="0" fillId="8" borderId="0" xfId="0" applyFill="1" applyAlignment="1">
      <alignment horizontal="center" vertical="center" wrapText="1"/>
    </xf>
    <xf numFmtId="0" fontId="0" fillId="8" borderId="0" xfId="0" applyFill="1" applyAlignment="1">
      <alignment wrapText="1"/>
    </xf>
    <xf numFmtId="0" fontId="0" fillId="5" borderId="0" xfId="0" applyFont="1" applyFill="1"/>
    <xf numFmtId="0" fontId="1" fillId="4" borderId="0" xfId="0" applyFont="1" applyFill="1"/>
    <xf numFmtId="0" fontId="1" fillId="5" borderId="0" xfId="0" applyFont="1" applyFill="1" applyAlignment="1" applyProtection="1">
      <alignment horizontal="center"/>
      <protection locked="0"/>
    </xf>
    <xf numFmtId="164" fontId="1" fillId="5" borderId="0" xfId="0" applyNumberFormat="1" applyFont="1" applyFill="1" applyAlignment="1" applyProtection="1">
      <alignment horizontal="center"/>
      <protection locked="0"/>
    </xf>
    <xf numFmtId="165" fontId="1" fillId="5" borderId="0" xfId="0" applyNumberFormat="1" applyFont="1" applyFill="1" applyAlignment="1" applyProtection="1">
      <alignment horizontal="center"/>
      <protection locked="0"/>
    </xf>
    <xf numFmtId="166" fontId="1" fillId="5" borderId="0" xfId="0" applyNumberFormat="1" applyFont="1" applyFill="1" applyAlignment="1" applyProtection="1">
      <alignment horizontal="center"/>
      <protection locked="0"/>
    </xf>
    <xf numFmtId="167" fontId="1" fillId="5" borderId="0" xfId="0" applyNumberFormat="1" applyFont="1" applyFill="1" applyAlignment="1" applyProtection="1">
      <alignment horizontal="center"/>
      <protection locked="0"/>
    </xf>
    <xf numFmtId="170" fontId="1" fillId="5" borderId="0" xfId="0" applyNumberFormat="1" applyFont="1" applyFill="1" applyAlignment="1" applyProtection="1">
      <alignment horizontal="center"/>
      <protection locked="0"/>
    </xf>
    <xf numFmtId="0" fontId="9" fillId="5" borderId="0" xfId="0" applyFont="1" applyFill="1" applyAlignment="1" applyProtection="1">
      <alignment horizontal="center"/>
      <protection locked="0"/>
    </xf>
    <xf numFmtId="0" fontId="1" fillId="5" borderId="0" xfId="0" applyFont="1" applyFill="1" applyProtection="1">
      <protection locked="0"/>
    </xf>
    <xf numFmtId="168" fontId="1" fillId="4" borderId="0" xfId="0" applyNumberFormat="1" applyFont="1" applyFill="1"/>
    <xf numFmtId="168" fontId="1" fillId="10" borderId="0" xfId="0" applyNumberFormat="1" applyFont="1" applyFill="1" applyAlignment="1">
      <alignment horizontal="center"/>
    </xf>
    <xf numFmtId="0" fontId="1" fillId="14" borderId="0" xfId="0" applyFont="1" applyFill="1"/>
    <xf numFmtId="0" fontId="1" fillId="10" borderId="0" xfId="0" applyFont="1" applyFill="1" applyAlignment="1">
      <alignment horizontal="center"/>
    </xf>
    <xf numFmtId="169" fontId="1" fillId="10" borderId="0" xfId="0" applyNumberFormat="1" applyFont="1" applyFill="1" applyAlignment="1">
      <alignment horizontal="center"/>
    </xf>
    <xf numFmtId="0" fontId="1" fillId="13" borderId="0" xfId="0" applyFont="1" applyFill="1"/>
    <xf numFmtId="170" fontId="1" fillId="10" borderId="0" xfId="0" applyNumberFormat="1" applyFont="1" applyFill="1" applyAlignment="1">
      <alignment horizontal="center"/>
    </xf>
    <xf numFmtId="171" fontId="1" fillId="10" borderId="0" xfId="0" applyNumberFormat="1" applyFont="1" applyFill="1" applyBorder="1" applyAlignment="1">
      <alignment horizontal="center"/>
    </xf>
    <xf numFmtId="171" fontId="1" fillId="10" borderId="1" xfId="0" applyNumberFormat="1" applyFont="1" applyFill="1" applyBorder="1" applyAlignment="1">
      <alignment horizontal="center"/>
    </xf>
    <xf numFmtId="172" fontId="1" fillId="10" borderId="0" xfId="0" applyNumberFormat="1" applyFont="1" applyFill="1" applyAlignment="1">
      <alignment horizontal="center"/>
    </xf>
    <xf numFmtId="165" fontId="1" fillId="10" borderId="0" xfId="0" applyNumberFormat="1" applyFont="1" applyFill="1" applyAlignment="1">
      <alignment horizontal="center"/>
    </xf>
    <xf numFmtId="0" fontId="10" fillId="13" borderId="0" xfId="0" applyFont="1" applyFill="1"/>
    <xf numFmtId="0" fontId="10" fillId="10" borderId="0" xfId="0" applyFont="1" applyFill="1" applyAlignment="1">
      <alignment horizontal="center"/>
    </xf>
    <xf numFmtId="0" fontId="1" fillId="10" borderId="0" xfId="0" applyFont="1" applyFill="1"/>
    <xf numFmtId="2" fontId="1" fillId="10" borderId="0" xfId="0" applyNumberFormat="1" applyFont="1" applyFill="1" applyAlignment="1">
      <alignment horizontal="center"/>
    </xf>
    <xf numFmtId="173" fontId="1" fillId="10" borderId="0" xfId="0" applyNumberFormat="1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1" fillId="11" borderId="0" xfId="0" applyFont="1" applyFill="1"/>
    <xf numFmtId="172" fontId="10" fillId="10" borderId="0" xfId="0" applyNumberFormat="1" applyFont="1" applyFill="1" applyAlignment="1">
      <alignment horizontal="center"/>
    </xf>
    <xf numFmtId="0" fontId="7" fillId="2" borderId="0" xfId="0" applyFont="1" applyFill="1"/>
    <xf numFmtId="0" fontId="7" fillId="7" borderId="0" xfId="0" applyFont="1" applyFill="1"/>
    <xf numFmtId="0" fontId="11" fillId="15" borderId="0" xfId="0" applyFont="1" applyFill="1"/>
    <xf numFmtId="172" fontId="11" fillId="15" borderId="0" xfId="0" applyNumberFormat="1" applyFont="1" applyFill="1"/>
    <xf numFmtId="2" fontId="11" fillId="15" borderId="0" xfId="0" applyNumberFormat="1" applyFont="1" applyFill="1"/>
    <xf numFmtId="2" fontId="0" fillId="0" borderId="0" xfId="0" applyNumberFormat="1"/>
    <xf numFmtId="2" fontId="1" fillId="14" borderId="0" xfId="0" applyNumberFormat="1" applyFont="1" applyFill="1"/>
    <xf numFmtId="2" fontId="0" fillId="5" borderId="0" xfId="0" applyNumberFormat="1" applyFill="1"/>
    <xf numFmtId="0" fontId="0" fillId="16" borderId="0" xfId="0" applyFill="1"/>
    <xf numFmtId="0" fontId="13" fillId="14" borderId="0" xfId="0" applyFont="1" applyFill="1" applyBorder="1" applyAlignment="1">
      <alignment horizontal="left" vertical="center"/>
    </xf>
    <xf numFmtId="0" fontId="0" fillId="14" borderId="0" xfId="0" applyFill="1" applyBorder="1" applyAlignment="1">
      <alignment horizontal="left" vertical="center"/>
    </xf>
    <xf numFmtId="12" fontId="8" fillId="8" borderId="2" xfId="0" applyNumberFormat="1" applyFont="1" applyFill="1" applyBorder="1" applyAlignment="1">
      <alignment horizontal="center" vertical="center"/>
    </xf>
    <xf numFmtId="12" fontId="8" fillId="8" borderId="3" xfId="0" applyNumberFormat="1" applyFont="1" applyFill="1" applyBorder="1" applyAlignment="1">
      <alignment horizontal="center" vertical="center"/>
    </xf>
    <xf numFmtId="12" fontId="8" fillId="8" borderId="4" xfId="0" applyNumberFormat="1" applyFont="1" applyFill="1" applyBorder="1" applyAlignment="1">
      <alignment horizontal="center" vertical="center"/>
    </xf>
    <xf numFmtId="12" fontId="8" fillId="8" borderId="5" xfId="0" applyNumberFormat="1" applyFont="1" applyFill="1" applyBorder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" fillId="14" borderId="0" xfId="0" applyFont="1" applyFill="1" applyAlignment="1">
      <alignment horizontal="center"/>
    </xf>
    <xf numFmtId="0" fontId="13" fillId="14" borderId="6" xfId="0" applyFont="1" applyFill="1" applyBorder="1" applyAlignment="1">
      <alignment horizontal="left" vertical="center"/>
    </xf>
    <xf numFmtId="0" fontId="0" fillId="14" borderId="6" xfId="0" applyFill="1" applyBorder="1" applyAlignment="1">
      <alignment horizontal="left" vertical="center"/>
    </xf>
    <xf numFmtId="0" fontId="3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6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85A"/>
      <color rgb="FFF8F87C"/>
      <color rgb="FFB2DE82"/>
      <color rgb="FFFFFF4B"/>
      <color rgb="FFF5750B"/>
      <color rgb="FFFF8029"/>
      <color rgb="FF7DFFB8"/>
      <color rgb="FFFFFFFF"/>
      <color rgb="FFFF6161"/>
      <color rgb="FFABFF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8"/>
  <sheetViews>
    <sheetView tabSelected="1" topLeftCell="A8" zoomScale="94" zoomScaleNormal="85" workbookViewId="0">
      <selection activeCell="C26" sqref="C26"/>
    </sheetView>
  </sheetViews>
  <sheetFormatPr defaultRowHeight="14.4" x14ac:dyDescent="0.3"/>
  <cols>
    <col min="1" max="1" width="30.5546875" customWidth="1"/>
    <col min="2" max="2" width="32.77734375" customWidth="1"/>
    <col min="3" max="3" width="34.6640625" customWidth="1"/>
    <col min="4" max="4" width="8.88671875" customWidth="1"/>
    <col min="5" max="5" width="1.6640625" hidden="1" customWidth="1"/>
    <col min="9" max="9" width="10.44140625" customWidth="1"/>
    <col min="10" max="10" width="11.77734375" bestFit="1" customWidth="1"/>
    <col min="11" max="11" width="15" customWidth="1"/>
    <col min="12" max="12" width="15.6640625" customWidth="1"/>
  </cols>
  <sheetData>
    <row r="1" spans="1:17" ht="36.6" x14ac:dyDescent="0.7">
      <c r="A1" s="72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</row>
    <row r="2" spans="1:17" ht="21" x14ac:dyDescent="0.4">
      <c r="A2" s="75" t="s">
        <v>47</v>
      </c>
      <c r="B2" s="76"/>
      <c r="C2" s="76"/>
      <c r="D2" s="76"/>
      <c r="E2" s="4"/>
      <c r="F2" s="75" t="s">
        <v>48</v>
      </c>
      <c r="G2" s="76"/>
      <c r="H2" s="76"/>
      <c r="I2" s="76"/>
      <c r="J2" s="76"/>
      <c r="K2" s="76"/>
      <c r="L2" s="76"/>
      <c r="M2" s="76"/>
      <c r="N2" s="76"/>
      <c r="O2" s="76"/>
      <c r="P2" s="3"/>
      <c r="Q2" s="3"/>
    </row>
    <row r="3" spans="1:17" ht="15.6" x14ac:dyDescent="0.3">
      <c r="A3" s="3"/>
      <c r="B3" s="3"/>
      <c r="C3" s="3"/>
      <c r="D3" s="3"/>
      <c r="E3" s="5"/>
      <c r="F3" s="5"/>
      <c r="G3" s="5"/>
      <c r="H3" s="5"/>
      <c r="I3" s="5"/>
      <c r="J3" s="5"/>
      <c r="K3" s="3"/>
      <c r="L3" s="3"/>
      <c r="M3" s="3"/>
      <c r="N3" s="3"/>
      <c r="O3" s="3"/>
      <c r="P3" s="3"/>
      <c r="Q3" s="3"/>
    </row>
    <row r="4" spans="1:17" ht="18" x14ac:dyDescent="0.35">
      <c r="A4" s="74" t="s">
        <v>1</v>
      </c>
      <c r="B4" s="74"/>
      <c r="C4" s="74" t="s">
        <v>39</v>
      </c>
      <c r="D4" s="74"/>
      <c r="E4" s="53"/>
      <c r="F4" s="54" t="s">
        <v>53</v>
      </c>
      <c r="G4" s="54"/>
      <c r="H4" s="54"/>
      <c r="I4" s="54"/>
      <c r="J4" s="6"/>
      <c r="K4" s="6"/>
      <c r="L4" s="6"/>
      <c r="M4" s="6"/>
      <c r="N4" s="6"/>
      <c r="O4" s="6"/>
      <c r="P4" s="6"/>
      <c r="Q4" s="6"/>
    </row>
    <row r="5" spans="1:17" ht="15.6" x14ac:dyDescent="0.3">
      <c r="A5" s="25" t="s">
        <v>2</v>
      </c>
      <c r="B5" s="26">
        <v>25</v>
      </c>
      <c r="C5" s="25" t="s">
        <v>40</v>
      </c>
      <c r="D5" s="26">
        <v>3.12</v>
      </c>
      <c r="E5" s="2"/>
      <c r="F5" s="25" t="s">
        <v>49</v>
      </c>
      <c r="G5" s="25"/>
      <c r="H5" s="25"/>
      <c r="I5" s="25"/>
      <c r="J5" s="34"/>
      <c r="K5" s="25"/>
      <c r="L5" s="35">
        <f>IF(B14="Good",(FCK+(1.65*(VLOOKUP(FCK,tables!A2:B11,2,FALSE)))),tables!B25)</f>
        <v>31.6</v>
      </c>
      <c r="M5" s="36"/>
      <c r="N5" s="36"/>
      <c r="O5" s="36"/>
      <c r="P5" s="36"/>
      <c r="Q5" s="36"/>
    </row>
    <row r="6" spans="1:17" ht="15.6" x14ac:dyDescent="0.3">
      <c r="A6" s="25" t="s">
        <v>3</v>
      </c>
      <c r="B6" s="26" t="s">
        <v>16</v>
      </c>
      <c r="C6" s="25" t="s">
        <v>42</v>
      </c>
      <c r="D6" s="26">
        <v>2.65</v>
      </c>
      <c r="E6" s="2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</row>
    <row r="7" spans="1:17" ht="15.6" x14ac:dyDescent="0.3">
      <c r="A7" s="25" t="s">
        <v>14</v>
      </c>
      <c r="B7" s="26" t="s">
        <v>19</v>
      </c>
      <c r="C7" s="25" t="s">
        <v>41</v>
      </c>
      <c r="D7" s="26">
        <v>2.65</v>
      </c>
      <c r="E7" s="2"/>
      <c r="F7" s="25" t="s">
        <v>52</v>
      </c>
      <c r="G7" s="25"/>
      <c r="H7" s="25"/>
      <c r="I7" s="25"/>
      <c r="J7" s="25"/>
      <c r="K7" s="25"/>
      <c r="L7" s="37">
        <f>IF(B18="Plain Concrete",IFERROR(VLOOKUP(B12,tables!D23:G27,3,FALSE),0.6),IFERROR(VLOOKUP(B12,tables!D3:G7,3,FALSE),0.5))</f>
        <v>0.5</v>
      </c>
      <c r="M7" s="36"/>
      <c r="N7" s="36"/>
      <c r="O7" s="36"/>
      <c r="P7" s="36"/>
      <c r="Q7" s="36"/>
    </row>
    <row r="8" spans="1:17" ht="15.6" x14ac:dyDescent="0.3">
      <c r="A8" s="25" t="s">
        <v>4</v>
      </c>
      <c r="B8" s="27">
        <v>20</v>
      </c>
      <c r="C8" s="25" t="s">
        <v>100</v>
      </c>
      <c r="D8" s="26">
        <v>2.21</v>
      </c>
      <c r="E8" s="2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</row>
    <row r="9" spans="1:17" ht="15.6" x14ac:dyDescent="0.3">
      <c r="A9" s="25" t="s">
        <v>5</v>
      </c>
      <c r="B9" s="28">
        <v>320</v>
      </c>
      <c r="C9" s="25" t="s">
        <v>101</v>
      </c>
      <c r="D9" s="26">
        <v>1.145</v>
      </c>
      <c r="E9" s="2"/>
      <c r="F9" s="25" t="s">
        <v>55</v>
      </c>
      <c r="G9" s="25"/>
      <c r="H9" s="25"/>
      <c r="I9" s="25"/>
      <c r="J9" s="25"/>
      <c r="K9" s="25"/>
      <c r="L9" s="38">
        <f>VLOOKUP(design!B8,tables!A16:B18,2,FALSE)</f>
        <v>186</v>
      </c>
      <c r="M9" s="36"/>
      <c r="N9" s="36"/>
      <c r="O9" s="36"/>
      <c r="P9" s="36"/>
      <c r="Q9" s="36"/>
    </row>
    <row r="10" spans="1:17" ht="15.6" x14ac:dyDescent="0.3">
      <c r="A10" s="25" t="s">
        <v>6</v>
      </c>
      <c r="B10" s="26">
        <v>0.5</v>
      </c>
      <c r="C10" s="25" t="s">
        <v>43</v>
      </c>
      <c r="D10" s="30">
        <v>1</v>
      </c>
      <c r="E10" s="2"/>
      <c r="F10" s="39"/>
      <c r="G10" s="39"/>
      <c r="H10" s="39"/>
      <c r="I10" s="39"/>
      <c r="J10" s="39"/>
      <c r="K10" s="39"/>
      <c r="L10" s="40">
        <f>IF(B11=50,0,IF(B11=75,3,IF(B11=100,6,IF(B11=125,9,IF(B11=150,12,IF(B11&gt;150,15))))))</f>
        <v>3</v>
      </c>
      <c r="M10" s="36"/>
      <c r="N10" s="36"/>
      <c r="O10" s="36"/>
      <c r="P10" s="36"/>
      <c r="Q10" s="36"/>
    </row>
    <row r="11" spans="1:17" ht="15.6" x14ac:dyDescent="0.3">
      <c r="A11" s="25" t="s">
        <v>7</v>
      </c>
      <c r="B11" s="29">
        <v>75</v>
      </c>
      <c r="C11" s="25" t="s">
        <v>44</v>
      </c>
      <c r="D11" s="30">
        <v>1.2</v>
      </c>
      <c r="E11" s="2"/>
      <c r="F11" s="39"/>
      <c r="G11" s="39"/>
      <c r="H11" s="39"/>
      <c r="I11" s="39"/>
      <c r="J11" s="39"/>
      <c r="K11" s="39"/>
      <c r="L11" s="41">
        <f>L9+(L10/100)*L9</f>
        <v>191.58</v>
      </c>
      <c r="M11" s="36"/>
      <c r="N11" s="36"/>
      <c r="O11" s="36"/>
      <c r="P11" s="36"/>
      <c r="Q11" s="36"/>
    </row>
    <row r="12" spans="1:17" ht="15.6" x14ac:dyDescent="0.3">
      <c r="A12" s="25" t="s">
        <v>8</v>
      </c>
      <c r="B12" s="26" t="s">
        <v>23</v>
      </c>
      <c r="C12" s="25" t="s">
        <v>45</v>
      </c>
      <c r="D12" s="30">
        <v>0</v>
      </c>
      <c r="E12" s="2"/>
      <c r="F12" s="39"/>
      <c r="G12" s="39" t="s">
        <v>70</v>
      </c>
      <c r="H12" s="39"/>
      <c r="I12" s="39"/>
      <c r="J12" s="39"/>
      <c r="K12" s="39"/>
      <c r="L12" s="42">
        <f>L11-(L11*(D15/100))</f>
        <v>191.58</v>
      </c>
      <c r="M12" s="36"/>
      <c r="N12" s="36"/>
      <c r="O12" s="36"/>
      <c r="P12" s="36"/>
      <c r="Q12" s="36"/>
    </row>
    <row r="13" spans="1:17" ht="15.6" x14ac:dyDescent="0.3">
      <c r="A13" s="25" t="s">
        <v>9</v>
      </c>
      <c r="B13" s="26" t="s">
        <v>29</v>
      </c>
      <c r="C13" s="25" t="s">
        <v>46</v>
      </c>
      <c r="D13" s="30">
        <v>0</v>
      </c>
      <c r="E13" s="2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</row>
    <row r="14" spans="1:17" ht="15.6" x14ac:dyDescent="0.3">
      <c r="A14" s="25" t="s">
        <v>10</v>
      </c>
      <c r="B14" s="26" t="s">
        <v>38</v>
      </c>
      <c r="C14" s="25" t="s">
        <v>65</v>
      </c>
      <c r="D14" s="31">
        <v>30</v>
      </c>
      <c r="E14" s="2"/>
      <c r="F14" s="25" t="s">
        <v>60</v>
      </c>
      <c r="G14" s="25"/>
      <c r="H14" s="25"/>
      <c r="I14" s="25"/>
      <c r="J14" s="25"/>
      <c r="K14" s="25"/>
      <c r="L14" s="25"/>
      <c r="M14" s="36"/>
      <c r="N14" s="36"/>
      <c r="O14" s="36"/>
      <c r="P14" s="36"/>
      <c r="Q14" s="36"/>
    </row>
    <row r="15" spans="1:17" ht="15.6" x14ac:dyDescent="0.3">
      <c r="A15" s="25" t="s">
        <v>11</v>
      </c>
      <c r="B15" s="26" t="s">
        <v>36</v>
      </c>
      <c r="C15" s="25" t="s">
        <v>69</v>
      </c>
      <c r="D15" s="31">
        <v>0</v>
      </c>
      <c r="E15" s="2"/>
      <c r="F15" s="39" t="s">
        <v>61</v>
      </c>
      <c r="G15" s="39"/>
      <c r="H15" s="39"/>
      <c r="I15" s="39"/>
      <c r="J15" s="39"/>
      <c r="K15" s="39"/>
      <c r="L15" s="43">
        <f>L12/L7</f>
        <v>383.16</v>
      </c>
      <c r="M15" s="36"/>
      <c r="N15" s="36"/>
      <c r="O15" s="36"/>
      <c r="P15" s="36"/>
      <c r="Q15" s="36"/>
    </row>
    <row r="16" spans="1:17" ht="15.6" x14ac:dyDescent="0.3">
      <c r="A16" s="25" t="s">
        <v>12</v>
      </c>
      <c r="B16" s="28">
        <v>450</v>
      </c>
      <c r="C16" s="25" t="s">
        <v>82</v>
      </c>
      <c r="D16" s="32" t="s">
        <v>79</v>
      </c>
      <c r="E16" s="2"/>
      <c r="F16" s="39" t="s">
        <v>62</v>
      </c>
      <c r="G16" s="39"/>
      <c r="H16" s="39"/>
      <c r="I16" s="39"/>
      <c r="J16" s="39"/>
      <c r="K16" s="39"/>
      <c r="L16" s="44">
        <f>IF(B18="Plain Concrete",IFERROR(VLOOKUP(B12,tables!D23:G27,2,FALSE),220),IFERROR(VLOOKUP(B12,tables!D3:G7,2,FALSE),300))</f>
        <v>300</v>
      </c>
      <c r="M16" s="36"/>
      <c r="N16" s="36"/>
      <c r="O16" s="36"/>
      <c r="P16" s="36"/>
      <c r="Q16" s="36"/>
    </row>
    <row r="17" spans="1:17" ht="15.6" x14ac:dyDescent="0.3">
      <c r="A17" s="25" t="s">
        <v>13</v>
      </c>
      <c r="B17" s="26" t="s">
        <v>30</v>
      </c>
      <c r="C17" s="25" t="s">
        <v>118</v>
      </c>
      <c r="D17" s="31">
        <v>0</v>
      </c>
      <c r="E17" s="2"/>
      <c r="F17" s="39"/>
      <c r="G17" s="39"/>
      <c r="H17" s="39"/>
      <c r="I17" s="39"/>
      <c r="J17" s="45" t="s">
        <v>63</v>
      </c>
      <c r="K17" s="39"/>
      <c r="L17" s="46" t="str">
        <f>IF(L15&gt;L16,"HENCE OK"," UNSAFE")</f>
        <v>HENCE OK</v>
      </c>
      <c r="M17" s="36"/>
      <c r="N17" s="36"/>
      <c r="O17" s="36"/>
      <c r="P17" s="36"/>
      <c r="Q17" s="36"/>
    </row>
    <row r="18" spans="1:17" ht="15.6" x14ac:dyDescent="0.3">
      <c r="A18" s="25" t="s">
        <v>89</v>
      </c>
      <c r="B18" s="26" t="s">
        <v>90</v>
      </c>
      <c r="C18" s="25"/>
      <c r="D18" s="33"/>
      <c r="E18" s="2"/>
      <c r="F18" s="39" t="s">
        <v>71</v>
      </c>
      <c r="G18" s="39"/>
      <c r="H18" s="39"/>
      <c r="I18" s="39"/>
      <c r="J18" s="39"/>
      <c r="K18" s="39"/>
      <c r="L18" s="47"/>
      <c r="M18" s="36"/>
      <c r="N18" s="36"/>
      <c r="O18" s="36"/>
      <c r="P18" s="36"/>
      <c r="Q18" s="36"/>
    </row>
    <row r="19" spans="1:17" ht="15.6" x14ac:dyDescent="0.3">
      <c r="A19" s="10"/>
      <c r="B19" s="10"/>
      <c r="C19" s="10"/>
      <c r="D19" s="10"/>
      <c r="E19" s="2"/>
      <c r="F19" s="39" t="s">
        <v>64</v>
      </c>
      <c r="G19" s="39"/>
      <c r="H19" s="39"/>
      <c r="I19" s="39"/>
      <c r="J19" s="39"/>
      <c r="K19" s="39"/>
      <c r="L19" s="43">
        <f>IF(B7="None","----",IF(B7="None",(L15*1),(L15*1.1)))</f>
        <v>421.47600000000006</v>
      </c>
      <c r="M19" s="36"/>
      <c r="N19" s="36"/>
      <c r="O19" s="36"/>
      <c r="P19" s="36"/>
      <c r="Q19" s="36"/>
    </row>
    <row r="20" spans="1:17" ht="15.6" x14ac:dyDescent="0.3">
      <c r="A20" s="10"/>
      <c r="B20" s="10"/>
      <c r="C20" s="10"/>
      <c r="D20" s="10"/>
      <c r="E20" s="2"/>
      <c r="F20" s="39" t="s">
        <v>66</v>
      </c>
      <c r="G20" s="39"/>
      <c r="H20" s="39"/>
      <c r="I20" s="39"/>
      <c r="J20" s="39"/>
      <c r="K20" s="39"/>
      <c r="L20" s="48">
        <f>IF(B7="None","----",ROUND(L12/L19,2))</f>
        <v>0.45</v>
      </c>
      <c r="M20" s="36"/>
      <c r="N20" s="59"/>
      <c r="O20" s="36"/>
      <c r="P20" s="36"/>
      <c r="Q20" s="36"/>
    </row>
    <row r="21" spans="1:17" ht="21" customHeight="1" x14ac:dyDescent="0.3">
      <c r="A21" s="68" t="s">
        <v>131</v>
      </c>
      <c r="B21" s="68"/>
      <c r="C21" s="10"/>
      <c r="D21" s="10"/>
      <c r="E21" s="2"/>
      <c r="F21" s="39" t="s">
        <v>67</v>
      </c>
      <c r="G21" s="39"/>
      <c r="H21" s="39"/>
      <c r="I21" s="39"/>
      <c r="J21" s="39"/>
      <c r="K21" s="39"/>
      <c r="L21" s="43">
        <f>IF(B7="None","----",(L19*(D14/100)))</f>
        <v>126.44280000000001</v>
      </c>
      <c r="M21" s="36"/>
      <c r="N21" s="36"/>
      <c r="O21" s="36"/>
      <c r="P21" s="36"/>
      <c r="Q21" s="36"/>
    </row>
    <row r="22" spans="1:17" ht="21" customHeight="1" x14ac:dyDescent="0.3">
      <c r="A22" s="68"/>
      <c r="B22" s="68"/>
      <c r="C22" s="10"/>
      <c r="D22" s="15"/>
      <c r="E22" s="2"/>
      <c r="F22" s="39" t="s">
        <v>88</v>
      </c>
      <c r="G22" s="39"/>
      <c r="H22" s="39"/>
      <c r="I22" s="39"/>
      <c r="J22" s="39"/>
      <c r="K22" s="39"/>
      <c r="L22" s="43">
        <f>IF(B7="None","----",L19-L21)</f>
        <v>295.03320000000008</v>
      </c>
      <c r="M22" s="36"/>
      <c r="N22" s="36"/>
      <c r="O22" s="36"/>
      <c r="P22" s="36"/>
      <c r="Q22" s="36"/>
    </row>
    <row r="23" spans="1:17" ht="21" x14ac:dyDescent="0.4">
      <c r="A23" s="55" t="s">
        <v>120</v>
      </c>
      <c r="B23" s="56">
        <f>IF(B7="None",L15,L22)</f>
        <v>295.03320000000008</v>
      </c>
      <c r="C23" s="10"/>
      <c r="D23" s="10"/>
      <c r="E23" s="2"/>
      <c r="F23" s="39"/>
      <c r="G23" s="39"/>
      <c r="H23" s="39"/>
      <c r="I23" s="39"/>
      <c r="J23" s="39" t="s">
        <v>68</v>
      </c>
      <c r="K23" s="39"/>
      <c r="L23" s="43">
        <f>IF(B7="None","----",L15-L22)</f>
        <v>88.126799999999946</v>
      </c>
      <c r="M23" s="36"/>
      <c r="N23" s="36"/>
      <c r="O23" s="36"/>
      <c r="P23" s="36"/>
      <c r="Q23" s="36"/>
    </row>
    <row r="24" spans="1:17" ht="15.6" customHeight="1" x14ac:dyDescent="0.4">
      <c r="A24" s="55" t="s">
        <v>121</v>
      </c>
      <c r="B24" s="56">
        <f>IF(B7="None",0,L21)</f>
        <v>126.44280000000001</v>
      </c>
      <c r="C24" s="10"/>
      <c r="D24" s="10"/>
      <c r="E24" s="2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</row>
    <row r="25" spans="1:17" ht="15.6" customHeight="1" x14ac:dyDescent="0.4">
      <c r="A25" s="55" t="s">
        <v>122</v>
      </c>
      <c r="B25" s="56">
        <f>L12</f>
        <v>191.58</v>
      </c>
      <c r="C25" s="10"/>
      <c r="D25" s="10"/>
      <c r="E25" s="2"/>
      <c r="F25" s="25" t="s">
        <v>87</v>
      </c>
      <c r="G25" s="25"/>
      <c r="H25" s="25"/>
      <c r="I25" s="25"/>
      <c r="J25" s="25"/>
      <c r="K25" s="25"/>
      <c r="L25" s="25"/>
      <c r="M25" s="36"/>
      <c r="N25" s="36"/>
      <c r="O25" s="36"/>
      <c r="P25" s="36"/>
      <c r="Q25" s="36"/>
    </row>
    <row r="26" spans="1:17" ht="21" x14ac:dyDescent="0.4">
      <c r="A26" s="55" t="s">
        <v>123</v>
      </c>
      <c r="B26" s="56">
        <f>L35</f>
        <v>1096.2673921832579</v>
      </c>
      <c r="C26" s="10"/>
      <c r="D26" s="10"/>
      <c r="E26" s="2"/>
      <c r="F26" s="39" t="s">
        <v>85</v>
      </c>
      <c r="G26" s="39"/>
      <c r="H26" s="39"/>
      <c r="I26" s="39"/>
      <c r="J26" s="39"/>
      <c r="K26" s="39"/>
      <c r="L26" s="49">
        <f>IF(B13="Pumping",tables!F19*0.9,tables!F19)</f>
        <v>0.63</v>
      </c>
      <c r="M26" s="36"/>
      <c r="N26" s="36"/>
      <c r="O26" s="36"/>
      <c r="P26" s="36"/>
      <c r="Q26" s="36"/>
    </row>
    <row r="27" spans="1:17" ht="21" x14ac:dyDescent="0.4">
      <c r="A27" s="55" t="s">
        <v>124</v>
      </c>
      <c r="B27" s="56">
        <f>L36</f>
        <v>643.83957953619904</v>
      </c>
      <c r="C27" s="10"/>
      <c r="D27" s="10"/>
      <c r="E27" s="2"/>
      <c r="F27" s="39" t="s">
        <v>86</v>
      </c>
      <c r="G27" s="39"/>
      <c r="H27" s="39"/>
      <c r="I27" s="39"/>
      <c r="J27" s="39"/>
      <c r="K27" s="39"/>
      <c r="L27" s="49">
        <f>1-L26</f>
        <v>0.37</v>
      </c>
      <c r="M27" s="36"/>
      <c r="N27" s="36"/>
      <c r="O27" s="36"/>
      <c r="P27" s="36"/>
      <c r="Q27" s="36"/>
    </row>
    <row r="28" spans="1:17" ht="21" x14ac:dyDescent="0.4">
      <c r="A28" s="55" t="s">
        <v>125</v>
      </c>
      <c r="B28" s="56">
        <f>IF(B17="None",0,tables!B22)</f>
        <v>0</v>
      </c>
      <c r="C28" s="10"/>
      <c r="D28" s="10"/>
      <c r="E28" s="2"/>
      <c r="F28" s="36"/>
      <c r="G28" s="36"/>
      <c r="H28" s="36"/>
      <c r="I28" s="36"/>
      <c r="J28" s="36"/>
      <c r="K28" s="36"/>
      <c r="L28" s="50"/>
      <c r="M28" s="36"/>
      <c r="N28" s="36"/>
      <c r="O28" s="36"/>
      <c r="P28" s="36"/>
      <c r="Q28" s="36"/>
    </row>
    <row r="29" spans="1:17" ht="21.6" thickBot="1" x14ac:dyDescent="0.45">
      <c r="A29" s="55" t="s">
        <v>126</v>
      </c>
      <c r="B29" s="57">
        <f>IF(B7="None",L7,L20)</f>
        <v>0.45</v>
      </c>
      <c r="C29" s="10"/>
      <c r="D29" s="10"/>
      <c r="E29" s="2"/>
      <c r="F29" s="51" t="s">
        <v>127</v>
      </c>
      <c r="G29" s="51"/>
      <c r="H29" s="51"/>
      <c r="I29" s="51"/>
      <c r="J29" s="51"/>
      <c r="K29" s="51"/>
      <c r="L29" s="37"/>
      <c r="M29" s="36"/>
      <c r="N29" s="36"/>
      <c r="O29" s="36"/>
      <c r="P29" s="36"/>
      <c r="Q29" s="36"/>
    </row>
    <row r="30" spans="1:17" ht="15.6" customHeight="1" x14ac:dyDescent="0.3">
      <c r="A30" s="64" t="str">
        <f>1&amp;":"&amp;ROUND(B27/(B23+B24),2)&amp;":"&amp;ROUND(B26/(B23+B24),2)</f>
        <v>1:1.53:2.6</v>
      </c>
      <c r="B30" s="65"/>
      <c r="C30" s="70"/>
      <c r="D30" s="10"/>
      <c r="E30" s="2"/>
      <c r="F30" s="39" t="s">
        <v>99</v>
      </c>
      <c r="G30" s="39"/>
      <c r="H30" s="39"/>
      <c r="I30" s="39"/>
      <c r="J30" s="39"/>
      <c r="K30" s="39"/>
      <c r="L30" s="49">
        <f>IF(B7="None",(L15/D5)*(1/1000),(L22/D5)*(1/1000))</f>
        <v>9.4561923076923099E-2</v>
      </c>
      <c r="M30" s="36"/>
      <c r="N30" s="36"/>
      <c r="O30" s="36"/>
      <c r="P30" s="36"/>
      <c r="Q30" s="36"/>
    </row>
    <row r="31" spans="1:17" ht="16.2" customHeight="1" thickBot="1" x14ac:dyDescent="0.35">
      <c r="A31" s="66"/>
      <c r="B31" s="67"/>
      <c r="C31" s="71"/>
      <c r="D31" s="10"/>
      <c r="E31" s="2"/>
      <c r="F31" s="39" t="s">
        <v>102</v>
      </c>
      <c r="G31" s="39"/>
      <c r="H31" s="39"/>
      <c r="I31" s="39"/>
      <c r="J31" s="39"/>
      <c r="K31" s="39"/>
      <c r="L31" s="49">
        <f>IF(B7="None",0,(L21/D8)*(1/1000))</f>
        <v>5.7213936651583717E-2</v>
      </c>
      <c r="M31" s="36"/>
      <c r="N31" s="36"/>
      <c r="O31" s="36"/>
      <c r="P31" s="36"/>
      <c r="Q31" s="36"/>
    </row>
    <row r="32" spans="1:17" ht="15.6" x14ac:dyDescent="0.3">
      <c r="A32" s="10"/>
      <c r="B32" s="10"/>
      <c r="C32" s="10"/>
      <c r="D32" s="10"/>
      <c r="E32" s="2"/>
      <c r="F32" s="39" t="s">
        <v>103</v>
      </c>
      <c r="G32" s="39"/>
      <c r="H32" s="39"/>
      <c r="I32" s="39"/>
      <c r="J32" s="39"/>
      <c r="K32" s="39"/>
      <c r="L32" s="49">
        <f>L12/1000</f>
        <v>0.19158</v>
      </c>
      <c r="M32" s="36"/>
      <c r="N32" s="36"/>
      <c r="O32" s="36"/>
      <c r="P32" s="36"/>
      <c r="Q32" s="36"/>
    </row>
    <row r="33" spans="1:17" ht="15.6" x14ac:dyDescent="0.3">
      <c r="A33" s="10"/>
      <c r="B33" s="10"/>
      <c r="C33" s="62"/>
      <c r="D33" s="10"/>
      <c r="E33" s="2"/>
      <c r="F33" s="39" t="s">
        <v>104</v>
      </c>
      <c r="G33" s="39"/>
      <c r="H33" s="39"/>
      <c r="I33" s="39"/>
      <c r="J33" s="39"/>
      <c r="K33" s="39"/>
      <c r="L33" s="49">
        <f>(tables!B22/design!D9)*(1/1000)</f>
        <v>0</v>
      </c>
      <c r="M33" s="36"/>
      <c r="N33" s="36"/>
      <c r="O33" s="36"/>
      <c r="P33" s="36"/>
      <c r="Q33" s="36"/>
    </row>
    <row r="34" spans="1:17" ht="15.6" x14ac:dyDescent="0.3">
      <c r="A34" s="10"/>
      <c r="B34" s="10"/>
      <c r="C34" s="63"/>
      <c r="D34" s="10"/>
      <c r="E34" s="2"/>
      <c r="F34" s="39" t="s">
        <v>105</v>
      </c>
      <c r="G34" s="39"/>
      <c r="H34" s="39"/>
      <c r="I34" s="39"/>
      <c r="J34" s="39"/>
      <c r="K34" s="39"/>
      <c r="L34" s="49">
        <f>(1-(L30+L31+L32+L33))</f>
        <v>0.6566441402714932</v>
      </c>
      <c r="M34" s="36"/>
      <c r="N34" s="36"/>
      <c r="O34" s="36"/>
      <c r="P34" s="36"/>
      <c r="Q34" s="36"/>
    </row>
    <row r="35" spans="1:17" ht="15.6" customHeight="1" x14ac:dyDescent="0.3">
      <c r="A35" s="68" t="s">
        <v>132</v>
      </c>
      <c r="B35" s="68"/>
      <c r="C35" s="10"/>
      <c r="D35" s="10"/>
      <c r="E35" s="2"/>
      <c r="F35" s="39" t="s">
        <v>106</v>
      </c>
      <c r="G35" s="39"/>
      <c r="H35" s="39"/>
      <c r="I35" s="39"/>
      <c r="J35" s="39"/>
      <c r="K35" s="39"/>
      <c r="L35" s="43">
        <f>L34*L26*D6*1000</f>
        <v>1096.2673921832579</v>
      </c>
      <c r="M35" s="36"/>
      <c r="N35" s="36"/>
      <c r="O35" s="36"/>
      <c r="P35" s="36"/>
      <c r="Q35" s="36"/>
    </row>
    <row r="36" spans="1:17" ht="15.6" customHeight="1" x14ac:dyDescent="0.3">
      <c r="A36" s="68"/>
      <c r="B36" s="68"/>
      <c r="C36" s="10"/>
      <c r="D36" s="10"/>
      <c r="E36" s="2"/>
      <c r="F36" s="39" t="s">
        <v>107</v>
      </c>
      <c r="G36" s="39"/>
      <c r="H36" s="39"/>
      <c r="I36" s="39"/>
      <c r="J36" s="39"/>
      <c r="K36" s="39"/>
      <c r="L36" s="43">
        <f>L34*L27*D7*1000</f>
        <v>643.83957953619904</v>
      </c>
      <c r="M36" s="36"/>
      <c r="N36" s="36"/>
      <c r="O36" s="36"/>
      <c r="P36" s="36"/>
      <c r="Q36" s="36"/>
    </row>
    <row r="37" spans="1:17" ht="21" x14ac:dyDescent="0.4">
      <c r="A37" s="55" t="s">
        <v>120</v>
      </c>
      <c r="B37" s="56">
        <f>IF(B7="None",L15,L22)</f>
        <v>295.03320000000008</v>
      </c>
      <c r="C37" s="10"/>
      <c r="D37" s="10"/>
      <c r="E37" s="2"/>
      <c r="F37" s="36"/>
      <c r="G37" s="36"/>
      <c r="H37" s="36"/>
      <c r="I37" s="36"/>
      <c r="J37" s="36"/>
      <c r="K37" s="36"/>
      <c r="L37" s="50"/>
      <c r="M37" s="36"/>
      <c r="N37" s="36"/>
      <c r="O37" s="36"/>
      <c r="P37" s="36"/>
      <c r="Q37" s="36"/>
    </row>
    <row r="38" spans="1:17" ht="21" x14ac:dyDescent="0.4">
      <c r="A38" s="55" t="s">
        <v>121</v>
      </c>
      <c r="B38" s="56">
        <f>IF(B7="None",0,L21)</f>
        <v>126.44280000000001</v>
      </c>
      <c r="C38" s="10"/>
      <c r="D38" s="10"/>
      <c r="E38" s="2"/>
      <c r="F38" s="51" t="s">
        <v>108</v>
      </c>
      <c r="G38" s="51"/>
      <c r="H38" s="51"/>
      <c r="I38" s="51"/>
      <c r="J38" s="51"/>
      <c r="K38" s="51"/>
      <c r="L38" s="37"/>
      <c r="M38" s="36"/>
      <c r="N38" s="36"/>
      <c r="O38" s="36"/>
      <c r="P38" s="36"/>
      <c r="Q38" s="36"/>
    </row>
    <row r="39" spans="1:17" ht="21" x14ac:dyDescent="0.4">
      <c r="A39" s="55" t="s">
        <v>122</v>
      </c>
      <c r="B39" s="56">
        <f>IF(D12=0,L43,L48)</f>
        <v>210.06859401329913</v>
      </c>
      <c r="C39" s="10"/>
      <c r="D39" s="10"/>
      <c r="E39" s="2"/>
      <c r="F39" s="39" t="s">
        <v>109</v>
      </c>
      <c r="G39" s="39"/>
      <c r="H39" s="39"/>
      <c r="I39" s="39"/>
      <c r="J39" s="39"/>
      <c r="K39" s="39"/>
      <c r="L39" s="43">
        <f>L35/(1+(D10/100))</f>
        <v>1085.4132595873841</v>
      </c>
      <c r="M39" s="36"/>
      <c r="N39" s="36"/>
      <c r="O39" s="36"/>
      <c r="P39" s="36"/>
      <c r="Q39" s="36"/>
    </row>
    <row r="40" spans="1:17" ht="21" x14ac:dyDescent="0.4">
      <c r="A40" s="55" t="s">
        <v>123</v>
      </c>
      <c r="B40" s="56">
        <f>IF(D12=0,L39,L46)</f>
        <v>1085.4132595873841</v>
      </c>
      <c r="C40" s="10"/>
      <c r="D40" s="10"/>
      <c r="E40" s="2"/>
      <c r="F40" s="39" t="s">
        <v>110</v>
      </c>
      <c r="G40" s="39"/>
      <c r="H40" s="39"/>
      <c r="I40" s="39"/>
      <c r="J40" s="39"/>
      <c r="K40" s="39"/>
      <c r="L40" s="43">
        <f>L36/(1+(D11/100))</f>
        <v>636.20511811877373</v>
      </c>
      <c r="M40" s="36"/>
      <c r="N40" s="36"/>
      <c r="O40" s="36"/>
      <c r="P40" s="36"/>
      <c r="Q40" s="36"/>
    </row>
    <row r="41" spans="1:17" ht="21" x14ac:dyDescent="0.4">
      <c r="A41" s="55" t="s">
        <v>124</v>
      </c>
      <c r="B41" s="56">
        <f>IF(D13=0,L40,L47)</f>
        <v>636.20511811877373</v>
      </c>
      <c r="C41" s="10"/>
      <c r="D41" s="10"/>
      <c r="E41" s="2"/>
      <c r="F41" s="39"/>
      <c r="G41" s="39"/>
      <c r="H41" s="39"/>
      <c r="I41" s="39"/>
      <c r="J41" s="45" t="s">
        <v>111</v>
      </c>
      <c r="K41" s="45"/>
      <c r="L41" s="52">
        <f>L35-L39</f>
        <v>10.854132595873807</v>
      </c>
      <c r="M41" s="36"/>
      <c r="N41" s="36"/>
      <c r="O41" s="36"/>
      <c r="P41" s="36"/>
      <c r="Q41" s="36"/>
    </row>
    <row r="42" spans="1:17" ht="21" x14ac:dyDescent="0.4">
      <c r="A42" s="55" t="s">
        <v>125</v>
      </c>
      <c r="B42" s="56">
        <f>IF(B17="None",0,tables!B22)</f>
        <v>0</v>
      </c>
      <c r="C42" s="10"/>
      <c r="D42" s="10"/>
      <c r="E42" s="2"/>
      <c r="F42" s="39"/>
      <c r="G42" s="39"/>
      <c r="H42" s="39"/>
      <c r="I42" s="39"/>
      <c r="J42" s="45" t="s">
        <v>112</v>
      </c>
      <c r="K42" s="45"/>
      <c r="L42" s="52">
        <f>L36-L40</f>
        <v>7.6344614174253138</v>
      </c>
      <c r="M42" s="36"/>
      <c r="N42" s="36"/>
      <c r="O42" s="36"/>
      <c r="P42" s="36"/>
      <c r="Q42" s="36"/>
    </row>
    <row r="43" spans="1:17" ht="21.6" thickBot="1" x14ac:dyDescent="0.45">
      <c r="A43" s="55" t="s">
        <v>126</v>
      </c>
      <c r="B43" s="57">
        <f>IF(B7="None",L7,L20)</f>
        <v>0.45</v>
      </c>
      <c r="C43" s="10"/>
      <c r="D43" s="10"/>
      <c r="E43" s="2"/>
      <c r="F43" s="39" t="s">
        <v>113</v>
      </c>
      <c r="G43" s="39"/>
      <c r="H43" s="39"/>
      <c r="I43" s="39"/>
      <c r="J43" s="39"/>
      <c r="K43" s="39"/>
      <c r="L43" s="43">
        <f>L12+L41+L42</f>
        <v>210.06859401329913</v>
      </c>
      <c r="M43" s="36"/>
      <c r="N43" s="36"/>
      <c r="O43" s="36"/>
      <c r="P43" s="36"/>
      <c r="Q43" s="36"/>
    </row>
    <row r="44" spans="1:17" ht="15.6" customHeight="1" x14ac:dyDescent="0.3">
      <c r="A44" s="64" t="str">
        <f>1&amp;":"&amp;ROUND(B41/(B37+B38),2)&amp;":"&amp;ROUND(B40/(B37+B38),2)</f>
        <v>1:1.51:2.58</v>
      </c>
      <c r="B44" s="65"/>
      <c r="C44" s="10"/>
      <c r="D44" s="10"/>
      <c r="E44" s="2"/>
      <c r="F44" s="36"/>
      <c r="G44" s="36"/>
      <c r="H44" s="36"/>
      <c r="I44" s="36"/>
      <c r="J44" s="36"/>
      <c r="K44" s="36"/>
      <c r="L44" s="50"/>
      <c r="M44" s="36"/>
      <c r="N44" s="36"/>
      <c r="O44" s="36"/>
      <c r="P44" s="36"/>
      <c r="Q44" s="36"/>
    </row>
    <row r="45" spans="1:17" ht="16.2" customHeight="1" thickBot="1" x14ac:dyDescent="0.35">
      <c r="A45" s="66"/>
      <c r="B45" s="67"/>
      <c r="C45" s="10"/>
      <c r="D45" s="10"/>
      <c r="E45" s="2"/>
      <c r="F45" s="51" t="s">
        <v>114</v>
      </c>
      <c r="G45" s="51"/>
      <c r="H45" s="51"/>
      <c r="I45" s="51"/>
      <c r="J45" s="51"/>
      <c r="K45" s="51"/>
      <c r="L45" s="37"/>
      <c r="M45" s="36"/>
      <c r="N45" s="36"/>
      <c r="O45" s="36"/>
      <c r="P45" s="36"/>
      <c r="Q45" s="36"/>
    </row>
    <row r="46" spans="1:17" ht="15.6" x14ac:dyDescent="0.3">
      <c r="A46" s="10" t="s">
        <v>134</v>
      </c>
      <c r="B46" s="10"/>
      <c r="C46" s="10"/>
      <c r="D46" s="10"/>
      <c r="E46" s="2"/>
      <c r="F46" s="39" t="s">
        <v>115</v>
      </c>
      <c r="G46" s="39"/>
      <c r="H46" s="39"/>
      <c r="I46" s="39"/>
      <c r="J46" s="39"/>
      <c r="K46" s="39"/>
      <c r="L46" s="43">
        <f>IF(D12=0,0,L39*(((D12-D10)/100)*L39))</f>
        <v>0</v>
      </c>
      <c r="M46" s="36"/>
      <c r="N46" s="36"/>
      <c r="O46" s="36"/>
      <c r="P46" s="36"/>
      <c r="Q46" s="36"/>
    </row>
    <row r="47" spans="1:17" ht="15.6" x14ac:dyDescent="0.3">
      <c r="A47" s="10"/>
      <c r="B47" s="10"/>
      <c r="C47" s="10"/>
      <c r="D47" s="10"/>
      <c r="E47" s="2"/>
      <c r="F47" s="39" t="s">
        <v>116</v>
      </c>
      <c r="G47" s="39"/>
      <c r="H47" s="39"/>
      <c r="I47" s="39"/>
      <c r="J47" s="39"/>
      <c r="K47" s="39"/>
      <c r="L47" s="43">
        <f>IF(D13=0,0,L40*(((D13-D11)/100)*L40))</f>
        <v>0</v>
      </c>
      <c r="M47" s="36"/>
      <c r="N47" s="36"/>
      <c r="O47" s="36"/>
      <c r="P47" s="36"/>
      <c r="Q47" s="36"/>
    </row>
    <row r="48" spans="1:17" ht="15.6" x14ac:dyDescent="0.3">
      <c r="A48" s="10"/>
      <c r="B48" s="10"/>
      <c r="C48" s="10"/>
      <c r="D48" s="10"/>
      <c r="F48" s="39" t="s">
        <v>117</v>
      </c>
      <c r="G48" s="39"/>
      <c r="H48" s="39"/>
      <c r="I48" s="39"/>
      <c r="J48" s="39"/>
      <c r="K48" s="39"/>
      <c r="L48" s="43">
        <f>IF(D12=0,0,L43-(((D12-D10)/100)*L39)-(((D13-D11)/100)*L40))</f>
        <v>0</v>
      </c>
      <c r="M48" s="36"/>
      <c r="N48" s="36"/>
      <c r="O48" s="36"/>
      <c r="P48" s="36"/>
      <c r="Q48" s="36"/>
    </row>
    <row r="49" spans="1:17" x14ac:dyDescent="0.3">
      <c r="A49" s="10"/>
      <c r="B49" s="10"/>
      <c r="C49" s="10"/>
      <c r="D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</row>
    <row r="50" spans="1:17" x14ac:dyDescent="0.3">
      <c r="A50" s="10"/>
      <c r="B50" s="10"/>
      <c r="C50" s="10"/>
      <c r="D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</row>
    <row r="51" spans="1:17" x14ac:dyDescent="0.3">
      <c r="A51" s="10"/>
      <c r="B51" s="10"/>
      <c r="C51" s="10"/>
      <c r="D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</row>
    <row r="52" spans="1:17" x14ac:dyDescent="0.3">
      <c r="A52" s="10"/>
      <c r="B52" s="10"/>
      <c r="C52" s="10"/>
      <c r="D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</row>
    <row r="53" spans="1:17" x14ac:dyDescent="0.3">
      <c r="A53" s="10"/>
      <c r="B53" s="10"/>
      <c r="C53" s="10"/>
      <c r="D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</row>
    <row r="54" spans="1:17" x14ac:dyDescent="0.3">
      <c r="A54" s="10"/>
      <c r="B54" s="10"/>
      <c r="C54" s="10"/>
      <c r="D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</row>
    <row r="55" spans="1:17" x14ac:dyDescent="0.3">
      <c r="A55" s="10"/>
      <c r="B55" s="10"/>
      <c r="C55" s="10"/>
      <c r="D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</row>
    <row r="56" spans="1:17" x14ac:dyDescent="0.3">
      <c r="A56" s="10"/>
      <c r="B56" s="10"/>
      <c r="C56" s="10"/>
      <c r="D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</row>
    <row r="57" spans="1:17" x14ac:dyDescent="0.3">
      <c r="A57" s="10"/>
      <c r="B57" s="10"/>
      <c r="C57" s="10"/>
      <c r="D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</row>
    <row r="58" spans="1:17" x14ac:dyDescent="0.3">
      <c r="A58" s="10"/>
      <c r="B58" s="10"/>
      <c r="C58" s="10"/>
      <c r="D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</row>
    <row r="59" spans="1:17" x14ac:dyDescent="0.3">
      <c r="A59" s="10"/>
      <c r="B59" s="10"/>
      <c r="C59" s="10"/>
      <c r="D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</row>
    <row r="60" spans="1:17" x14ac:dyDescent="0.3">
      <c r="A60" s="10"/>
      <c r="B60" s="10"/>
      <c r="C60" s="10"/>
      <c r="D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</row>
    <row r="61" spans="1:17" x14ac:dyDescent="0.3">
      <c r="A61" s="10"/>
      <c r="B61" s="10"/>
      <c r="C61" s="10"/>
      <c r="D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</row>
    <row r="123" spans="1:14" x14ac:dyDescent="0.3">
      <c r="A123" t="s">
        <v>30</v>
      </c>
    </row>
    <row r="124" spans="1:14" x14ac:dyDescent="0.3">
      <c r="A124" t="s">
        <v>19</v>
      </c>
      <c r="B124" t="s">
        <v>15</v>
      </c>
      <c r="I124" t="s">
        <v>23</v>
      </c>
      <c r="N124" t="s">
        <v>28</v>
      </c>
    </row>
    <row r="125" spans="1:14" x14ac:dyDescent="0.3">
      <c r="A125" t="s">
        <v>20</v>
      </c>
      <c r="B125" t="s">
        <v>16</v>
      </c>
      <c r="C125" t="s">
        <v>90</v>
      </c>
      <c r="I125" t="s">
        <v>24</v>
      </c>
      <c r="N125" t="s">
        <v>29</v>
      </c>
    </row>
    <row r="126" spans="1:14" x14ac:dyDescent="0.3">
      <c r="A126" t="s">
        <v>21</v>
      </c>
      <c r="B126" t="s">
        <v>17</v>
      </c>
      <c r="C126" t="s">
        <v>91</v>
      </c>
      <c r="I126" t="s">
        <v>25</v>
      </c>
    </row>
    <row r="127" spans="1:14" x14ac:dyDescent="0.3">
      <c r="A127" t="s">
        <v>22</v>
      </c>
      <c r="B127" t="s">
        <v>18</v>
      </c>
      <c r="I127" t="s">
        <v>26</v>
      </c>
    </row>
    <row r="128" spans="1:14" x14ac:dyDescent="0.3">
      <c r="I128" t="s">
        <v>37</v>
      </c>
    </row>
    <row r="129" spans="1:3" x14ac:dyDescent="0.3">
      <c r="C129" s="14" t="s">
        <v>78</v>
      </c>
    </row>
    <row r="130" spans="1:3" x14ac:dyDescent="0.3">
      <c r="C130" s="14" t="s">
        <v>79</v>
      </c>
    </row>
    <row r="131" spans="1:3" x14ac:dyDescent="0.3">
      <c r="B131" t="s">
        <v>92</v>
      </c>
      <c r="C131" s="14" t="s">
        <v>80</v>
      </c>
    </row>
    <row r="132" spans="1:3" x14ac:dyDescent="0.3">
      <c r="A132" t="s">
        <v>33</v>
      </c>
      <c r="B132" t="s">
        <v>27</v>
      </c>
      <c r="C132" s="14" t="s">
        <v>84</v>
      </c>
    </row>
    <row r="133" spans="1:3" x14ac:dyDescent="0.3">
      <c r="A133" t="s">
        <v>34</v>
      </c>
    </row>
    <row r="134" spans="1:3" x14ac:dyDescent="0.3">
      <c r="A134" t="s">
        <v>35</v>
      </c>
    </row>
    <row r="135" spans="1:3" x14ac:dyDescent="0.3">
      <c r="A135" t="s">
        <v>36</v>
      </c>
    </row>
    <row r="136" spans="1:3" x14ac:dyDescent="0.3">
      <c r="B136" t="s">
        <v>30</v>
      </c>
    </row>
    <row r="137" spans="1:3" x14ac:dyDescent="0.3">
      <c r="B137" t="s">
        <v>31</v>
      </c>
    </row>
    <row r="138" spans="1:3" x14ac:dyDescent="0.3">
      <c r="B138" t="s">
        <v>32</v>
      </c>
    </row>
  </sheetData>
  <mergeCells count="15">
    <mergeCell ref="A1:Q1"/>
    <mergeCell ref="A4:B4"/>
    <mergeCell ref="C4:D4"/>
    <mergeCell ref="A2:D2"/>
    <mergeCell ref="F2:O2"/>
    <mergeCell ref="C33:C34"/>
    <mergeCell ref="A30:B31"/>
    <mergeCell ref="A21:B22"/>
    <mergeCell ref="A44:B45"/>
    <mergeCell ref="F6:Q6"/>
    <mergeCell ref="F8:Q8"/>
    <mergeCell ref="F13:Q13"/>
    <mergeCell ref="F24:Q24"/>
    <mergeCell ref="A35:B36"/>
    <mergeCell ref="C30:C31"/>
  </mergeCells>
  <dataValidations count="8">
    <dataValidation type="list" allowBlank="1" showInputMessage="1" showErrorMessage="1" sqref="B6">
      <formula1>$B$124:$B$127</formula1>
    </dataValidation>
    <dataValidation type="list" allowBlank="1" showInputMessage="1" showErrorMessage="1" sqref="B7">
      <formula1>$A$123:$A$127</formula1>
    </dataValidation>
    <dataValidation type="list" allowBlank="1" showInputMessage="1" showErrorMessage="1" sqref="B12">
      <formula1>$I$124:$I$128</formula1>
    </dataValidation>
    <dataValidation type="list" allowBlank="1" showInputMessage="1" showErrorMessage="1" sqref="B13">
      <formula1>$N$124:$N$125</formula1>
    </dataValidation>
    <dataValidation type="list" allowBlank="1" showInputMessage="1" showErrorMessage="1" sqref="B15">
      <formula1>$A$132:$A$135</formula1>
    </dataValidation>
    <dataValidation type="list" allowBlank="1" showInputMessage="1" showErrorMessage="1" sqref="B17">
      <formula1>$B$136:$B$138</formula1>
    </dataValidation>
    <dataValidation type="list" allowBlank="1" showInputMessage="1" showErrorMessage="1" sqref="D16">
      <formula1>$C$129:$C$132</formula1>
    </dataValidation>
    <dataValidation type="list" allowBlank="1" showInputMessage="1" showErrorMessage="1" sqref="B18">
      <formula1>$C$125:$C$126</formula1>
    </dataValidation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tables!$A$25:$A$26</xm:f>
          </x14:formula1>
          <xm:sqref>B14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zoomScale="79" workbookViewId="0">
      <selection activeCell="D31" sqref="D31"/>
    </sheetView>
  </sheetViews>
  <sheetFormatPr defaultRowHeight="14.4" x14ac:dyDescent="0.3"/>
  <cols>
    <col min="1" max="1" width="24.44140625" customWidth="1"/>
    <col min="2" max="2" width="32.6640625" customWidth="1"/>
    <col min="4" max="4" width="29.77734375" customWidth="1"/>
    <col min="5" max="5" width="37.77734375" customWidth="1"/>
    <col min="6" max="6" width="23.33203125" customWidth="1"/>
    <col min="7" max="7" width="14.6640625" customWidth="1"/>
  </cols>
  <sheetData>
    <row r="1" spans="1:10" x14ac:dyDescent="0.3">
      <c r="A1" s="7" t="s">
        <v>50</v>
      </c>
      <c r="B1" s="7" t="s">
        <v>51</v>
      </c>
      <c r="D1" s="16"/>
      <c r="E1" s="77" t="s">
        <v>72</v>
      </c>
      <c r="F1" s="77"/>
      <c r="G1" s="77"/>
    </row>
    <row r="2" spans="1:10" ht="28.8" x14ac:dyDescent="0.3">
      <c r="A2" s="8">
        <v>10</v>
      </c>
      <c r="B2" s="9">
        <v>3.5</v>
      </c>
      <c r="D2" s="17" t="s">
        <v>54</v>
      </c>
      <c r="E2" s="17" t="s">
        <v>73</v>
      </c>
      <c r="F2" s="17" t="s">
        <v>74</v>
      </c>
      <c r="G2" s="18" t="s">
        <v>75</v>
      </c>
    </row>
    <row r="3" spans="1:10" x14ac:dyDescent="0.3">
      <c r="A3" s="8">
        <v>15</v>
      </c>
      <c r="B3" s="9">
        <v>3.5</v>
      </c>
      <c r="D3" s="11" t="s">
        <v>56</v>
      </c>
      <c r="E3" s="9">
        <v>300</v>
      </c>
      <c r="F3" s="9">
        <v>0.55000000000000004</v>
      </c>
      <c r="G3" s="9">
        <v>20</v>
      </c>
    </row>
    <row r="4" spans="1:10" x14ac:dyDescent="0.3">
      <c r="A4" s="8">
        <v>20</v>
      </c>
      <c r="B4" s="9">
        <v>4</v>
      </c>
      <c r="D4" s="11" t="s">
        <v>24</v>
      </c>
      <c r="E4" s="9">
        <v>300</v>
      </c>
      <c r="F4" s="9">
        <v>0.5</v>
      </c>
      <c r="G4" s="9">
        <v>25</v>
      </c>
    </row>
    <row r="5" spans="1:10" x14ac:dyDescent="0.3">
      <c r="A5" s="8">
        <v>25</v>
      </c>
      <c r="B5" s="9">
        <v>4</v>
      </c>
      <c r="D5" s="11" t="s">
        <v>25</v>
      </c>
      <c r="E5" s="9">
        <v>320</v>
      </c>
      <c r="F5" s="9">
        <v>0.45</v>
      </c>
      <c r="G5" s="9">
        <v>30</v>
      </c>
    </row>
    <row r="6" spans="1:10" x14ac:dyDescent="0.3">
      <c r="A6" s="8">
        <v>30</v>
      </c>
      <c r="B6" s="9">
        <v>5</v>
      </c>
      <c r="D6" s="11" t="s">
        <v>26</v>
      </c>
      <c r="E6" s="9">
        <v>340</v>
      </c>
      <c r="F6" s="9">
        <v>0.45</v>
      </c>
      <c r="G6" s="9">
        <v>35</v>
      </c>
    </row>
    <row r="7" spans="1:10" x14ac:dyDescent="0.3">
      <c r="A7" s="8">
        <v>35</v>
      </c>
      <c r="B7" s="9">
        <v>5</v>
      </c>
      <c r="D7" s="11" t="s">
        <v>37</v>
      </c>
      <c r="E7" s="9">
        <v>360</v>
      </c>
      <c r="F7" s="9">
        <v>0.4</v>
      </c>
      <c r="G7" s="9">
        <v>40</v>
      </c>
    </row>
    <row r="8" spans="1:10" x14ac:dyDescent="0.3">
      <c r="A8" s="8">
        <v>40</v>
      </c>
      <c r="B8" s="9">
        <v>5</v>
      </c>
      <c r="D8" s="11"/>
      <c r="E8" s="9"/>
      <c r="F8" s="9"/>
      <c r="G8" s="9"/>
    </row>
    <row r="9" spans="1:10" x14ac:dyDescent="0.3">
      <c r="A9" s="8">
        <v>45</v>
      </c>
      <c r="B9" s="9">
        <v>5</v>
      </c>
    </row>
    <row r="10" spans="1:10" x14ac:dyDescent="0.3">
      <c r="A10" s="8">
        <v>50</v>
      </c>
      <c r="B10" s="9">
        <v>5</v>
      </c>
      <c r="D10" s="7" t="s">
        <v>76</v>
      </c>
      <c r="E10" s="19" t="s">
        <v>77</v>
      </c>
      <c r="F10" s="19"/>
      <c r="G10" s="19"/>
      <c r="H10" s="7"/>
    </row>
    <row r="11" spans="1:10" x14ac:dyDescent="0.3">
      <c r="A11" s="8">
        <v>55</v>
      </c>
      <c r="B11" s="9">
        <v>5</v>
      </c>
      <c r="D11" s="7" t="s">
        <v>81</v>
      </c>
      <c r="E11" s="20" t="s">
        <v>84</v>
      </c>
      <c r="F11" s="20" t="s">
        <v>80</v>
      </c>
      <c r="G11" s="20" t="s">
        <v>79</v>
      </c>
      <c r="H11" s="20" t="s">
        <v>78</v>
      </c>
    </row>
    <row r="12" spans="1:10" x14ac:dyDescent="0.3">
      <c r="D12" s="11">
        <v>10</v>
      </c>
      <c r="E12" s="24">
        <v>0.55000000000000004</v>
      </c>
      <c r="F12" s="9">
        <v>0.48</v>
      </c>
      <c r="G12" s="9">
        <v>0.46</v>
      </c>
      <c r="H12" s="9">
        <v>0.44</v>
      </c>
    </row>
    <row r="13" spans="1:10" x14ac:dyDescent="0.3">
      <c r="D13" s="11">
        <v>20</v>
      </c>
      <c r="E13" s="9">
        <v>0.66</v>
      </c>
      <c r="F13" s="9">
        <v>0.64</v>
      </c>
      <c r="G13" s="9">
        <v>0.62</v>
      </c>
      <c r="H13" s="9">
        <v>0.6</v>
      </c>
      <c r="J13" s="1"/>
    </row>
    <row r="14" spans="1:10" x14ac:dyDescent="0.3">
      <c r="A14" s="16" t="s">
        <v>57</v>
      </c>
      <c r="B14" s="7" t="s">
        <v>58</v>
      </c>
      <c r="D14" s="11">
        <v>40</v>
      </c>
      <c r="E14" s="9">
        <v>0.75</v>
      </c>
      <c r="F14" s="9">
        <v>0.73</v>
      </c>
      <c r="G14" s="9">
        <v>0.71</v>
      </c>
      <c r="H14" s="9">
        <v>0.69</v>
      </c>
    </row>
    <row r="15" spans="1:10" x14ac:dyDescent="0.3">
      <c r="A15" s="7" t="s">
        <v>59</v>
      </c>
      <c r="B15" s="7"/>
    </row>
    <row r="16" spans="1:10" x14ac:dyDescent="0.3">
      <c r="A16" s="11">
        <v>10</v>
      </c>
      <c r="B16" s="9">
        <v>208</v>
      </c>
      <c r="D16" s="12" t="s">
        <v>93</v>
      </c>
      <c r="E16" s="12"/>
      <c r="F16" s="58">
        <f>design!L20</f>
        <v>0.45</v>
      </c>
      <c r="G16" s="58"/>
    </row>
    <row r="17" spans="1:7" x14ac:dyDescent="0.3">
      <c r="A17" s="11">
        <v>20</v>
      </c>
      <c r="B17" s="9">
        <v>186</v>
      </c>
      <c r="D17" s="12" t="s">
        <v>83</v>
      </c>
      <c r="E17" s="12">
        <f>VLOOKUP(design!B8,tables!D11:H14,MATCH(design!D16,tables!D11:H11,0),FALSE)</f>
        <v>0.62</v>
      </c>
      <c r="G17" s="60"/>
    </row>
    <row r="18" spans="1:7" x14ac:dyDescent="0.3">
      <c r="A18" s="11">
        <v>40</v>
      </c>
      <c r="B18" s="9">
        <v>165</v>
      </c>
      <c r="D18" s="12" t="s">
        <v>128</v>
      </c>
      <c r="E18" s="12">
        <f>IF(design!L7=0.5,tables!E17,IF(design!L7=(0.45),tables!E17+0.01,IF(design!L7=(0.55),tables!E17-0.01,IF(design!L7=(0.4),tables!E17+0.02,IF(design!L7=(0.6),tables!E17-0.02)))))</f>
        <v>0.62</v>
      </c>
    </row>
    <row r="19" spans="1:7" x14ac:dyDescent="0.3">
      <c r="D19" s="12" t="s">
        <v>129</v>
      </c>
      <c r="E19" s="12">
        <f>IF(F16=0.5,tables!E17,IF(F16&lt;=0.45,E17+0.01,IF(F16&lt;=0.45,E17+0.02,IF(F16&gt;=0.55,E17-0.01,IF(F16&gt;=0.6,E17-0.02)))))</f>
        <v>0.63</v>
      </c>
      <c r="F19" s="61">
        <f>IF(design!B7="None",tables!E18,tables!E19)</f>
        <v>0.63</v>
      </c>
    </row>
    <row r="21" spans="1:7" x14ac:dyDescent="0.3">
      <c r="D21" s="78" t="s">
        <v>27</v>
      </c>
      <c r="E21" s="78"/>
      <c r="F21" s="78"/>
      <c r="G21" s="78"/>
    </row>
    <row r="22" spans="1:7" ht="28.8" x14ac:dyDescent="0.3">
      <c r="A22" s="12" t="s">
        <v>119</v>
      </c>
      <c r="B22" s="13">
        <f>IF(design!B7="None",(design!D17/100)*design!L15,(design!D17/100)*design!L19)</f>
        <v>0</v>
      </c>
      <c r="D22" s="21" t="s">
        <v>94</v>
      </c>
      <c r="E22" s="22" t="s">
        <v>95</v>
      </c>
      <c r="F22" s="23" t="s">
        <v>96</v>
      </c>
      <c r="G22" s="23" t="s">
        <v>97</v>
      </c>
    </row>
    <row r="23" spans="1:7" x14ac:dyDescent="0.3">
      <c r="D23" s="11" t="s">
        <v>56</v>
      </c>
      <c r="E23" s="9">
        <v>220</v>
      </c>
      <c r="F23" s="9">
        <v>0.6</v>
      </c>
      <c r="G23" s="9" t="s">
        <v>98</v>
      </c>
    </row>
    <row r="24" spans="1:7" x14ac:dyDescent="0.3">
      <c r="B24" s="2" t="s">
        <v>133</v>
      </c>
      <c r="D24" s="11" t="s">
        <v>24</v>
      </c>
      <c r="E24" s="9">
        <v>240</v>
      </c>
      <c r="F24" s="9">
        <v>0.6</v>
      </c>
      <c r="G24" s="9">
        <v>15</v>
      </c>
    </row>
    <row r="25" spans="1:7" x14ac:dyDescent="0.3">
      <c r="A25" t="s">
        <v>38</v>
      </c>
      <c r="B25" s="2">
        <f>(FCK+(1.65*((VLOOKUP(FCK,tables!A2:B11,2,FALSE))+1)))</f>
        <v>33.25</v>
      </c>
      <c r="D25" s="11" t="s">
        <v>25</v>
      </c>
      <c r="E25" s="9">
        <v>250</v>
      </c>
      <c r="F25" s="9">
        <v>0.5</v>
      </c>
      <c r="G25" s="9">
        <v>20</v>
      </c>
    </row>
    <row r="26" spans="1:7" x14ac:dyDescent="0.3">
      <c r="A26" t="s">
        <v>130</v>
      </c>
      <c r="D26" s="11" t="s">
        <v>26</v>
      </c>
      <c r="E26" s="9">
        <v>260</v>
      </c>
      <c r="F26" s="9">
        <v>0.45</v>
      </c>
      <c r="G26" s="9">
        <v>20</v>
      </c>
    </row>
    <row r="27" spans="1:7" x14ac:dyDescent="0.3">
      <c r="D27" s="11" t="s">
        <v>37</v>
      </c>
      <c r="E27" s="9">
        <v>280</v>
      </c>
      <c r="F27" s="9">
        <v>0.4</v>
      </c>
      <c r="G27" s="9">
        <v>25</v>
      </c>
    </row>
  </sheetData>
  <sheetProtection algorithmName="SHA-512" hashValue="eBVFHKDi4gk8oLx3iSJx18NYdocMBjH7RDsKBVPw3FXbHgW5CJK6s5gfuV9hRJkumDNUBvHLeQWC5/lUmP8aJA==" saltValue="ZCQike5Uj7kXfIrwixx+9A==" spinCount="100000" sheet="1" objects="1" scenarios="1"/>
  <mergeCells count="2">
    <mergeCell ref="E1:G1"/>
    <mergeCell ref="D21:G21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design</vt:lpstr>
      <vt:lpstr>tables</vt:lpstr>
      <vt:lpstr>Sheet3</vt:lpstr>
      <vt:lpstr>FCK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2019-08-28T17:34:09Z</dcterms:created>
  <dcterms:modified xsi:type="dcterms:W3CDTF">2019-10-10T21:35:09Z</dcterms:modified>
</cp:coreProperties>
</file>