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preet\excel sheets\"/>
    </mc:Choice>
  </mc:AlternateContent>
  <bookViews>
    <workbookView xWindow="0" yWindow="36" windowWidth="22980" windowHeight="9552" activeTab="3"/>
  </bookViews>
  <sheets>
    <sheet name="two way slab" sheetId="1" r:id="rId1"/>
    <sheet name="data" sheetId="2" r:id="rId2"/>
    <sheet name="0ne way" sheetId="5" r:id="rId3"/>
    <sheet name="tables" sheetId="4" r:id="rId4"/>
  </sheets>
  <definedNames>
    <definedName name="b">#REF!</definedName>
    <definedName name="BM">#REF!</definedName>
    <definedName name="d">#REF!</definedName>
    <definedName name="deff">'two way slab'!$B$7</definedName>
    <definedName name="DL">'two way slab'!$B$8</definedName>
    <definedName name="fck">#REF!</definedName>
    <definedName name="FL">'two way slab'!$B$10</definedName>
    <definedName name="fy">#REF!</definedName>
    <definedName name="LL">'two way slab'!$B$9</definedName>
    <definedName name="lx">'two way slab'!$B$3</definedName>
    <definedName name="ly">'two way slab'!$B$4</definedName>
    <definedName name="Q">tables!$B$2</definedName>
    <definedName name="x">data!$K$8</definedName>
  </definedNames>
  <calcPr calcId="162913"/>
</workbook>
</file>

<file path=xl/calcChain.xml><?xml version="1.0" encoding="utf-8"?>
<calcChain xmlns="http://schemas.openxmlformats.org/spreadsheetml/2006/main">
  <c r="K8" i="2" l="1"/>
  <c r="K14" i="4"/>
  <c r="G31" i="2"/>
  <c r="I20" i="4"/>
  <c r="G30" i="2"/>
  <c r="N22" i="5" l="1"/>
  <c r="D15" i="5" l="1"/>
  <c r="I42" i="4"/>
  <c r="P22" i="4" l="1"/>
  <c r="P23" i="4"/>
  <c r="P24" i="4"/>
  <c r="P25" i="4"/>
  <c r="I23" i="5"/>
  <c r="I22" i="5"/>
  <c r="I21" i="4" s="1"/>
  <c r="G23" i="5"/>
  <c r="G22" i="5"/>
  <c r="D17" i="5"/>
  <c r="G6" i="1"/>
  <c r="A23" i="5"/>
  <c r="A22" i="5"/>
  <c r="D16" i="5"/>
  <c r="E28" i="5"/>
  <c r="D7" i="5"/>
  <c r="B15" i="5"/>
  <c r="D8" i="5"/>
  <c r="D5" i="5"/>
  <c r="D6" i="5" s="1"/>
  <c r="D18" i="5" l="1"/>
  <c r="E30" i="5"/>
  <c r="D11" i="5"/>
  <c r="L37" i="4"/>
  <c r="M37" i="4" s="1"/>
  <c r="E32" i="5" s="1"/>
  <c r="E29" i="5"/>
  <c r="J22" i="5"/>
  <c r="K22" i="5" s="1"/>
  <c r="D12" i="5"/>
  <c r="D14" i="5" s="1"/>
  <c r="P19" i="1"/>
  <c r="P17" i="1"/>
  <c r="P20" i="1"/>
  <c r="P18" i="1"/>
  <c r="D13" i="5" l="1"/>
  <c r="E11" i="1"/>
  <c r="I10" i="2" s="1"/>
  <c r="B22" i="5" l="1"/>
  <c r="E22" i="5" s="1"/>
  <c r="F22" i="5" s="1"/>
  <c r="I17" i="4"/>
  <c r="I44" i="4"/>
  <c r="B23" i="5"/>
  <c r="B6" i="1"/>
  <c r="E23" i="5" l="1"/>
  <c r="C22" i="5"/>
  <c r="D22" i="5" s="1"/>
  <c r="H43" i="4"/>
  <c r="I43" i="4" s="1"/>
  <c r="J43" i="4" s="1"/>
  <c r="H45" i="4"/>
  <c r="I45" i="4" s="1"/>
  <c r="J45" i="4" s="1"/>
  <c r="B2" i="4"/>
  <c r="F23" i="5" l="1"/>
  <c r="J44" i="4"/>
  <c r="E31" i="5" s="1"/>
  <c r="E33" i="5" s="1"/>
  <c r="E34" i="5" s="1"/>
  <c r="B3" i="4"/>
  <c r="B4" i="4"/>
  <c r="B5" i="4"/>
  <c r="G3" i="1"/>
  <c r="J14" i="2" s="1"/>
  <c r="L14" i="2" l="1"/>
  <c r="H18" i="4"/>
  <c r="I18" i="4" s="1"/>
  <c r="H16" i="4"/>
  <c r="I16" i="4" s="1"/>
  <c r="L14" i="4"/>
  <c r="J14" i="4"/>
  <c r="E4" i="1"/>
  <c r="I26" i="2" s="1"/>
  <c r="I24" i="2" s="1"/>
  <c r="J24" i="2" l="1"/>
  <c r="I27" i="2" s="1"/>
  <c r="I25" i="2"/>
  <c r="I16" i="2"/>
  <c r="I15" i="2" s="1"/>
  <c r="J15" i="2" s="1"/>
  <c r="K16" i="2"/>
  <c r="L19" i="2"/>
  <c r="L20" i="2" s="1"/>
  <c r="J19" i="2"/>
  <c r="J20" i="2" s="1"/>
  <c r="D19" i="1" s="1"/>
  <c r="L16" i="4"/>
  <c r="J16" i="4"/>
  <c r="L18" i="4"/>
  <c r="J18" i="4"/>
  <c r="F20" i="1"/>
  <c r="F19" i="1"/>
  <c r="F17" i="1"/>
  <c r="F18" i="1"/>
  <c r="E9" i="1"/>
  <c r="G4" i="1" s="1"/>
  <c r="H20" i="1"/>
  <c r="H19" i="1"/>
  <c r="H18" i="1"/>
  <c r="H17" i="1"/>
  <c r="G5" i="1" l="1"/>
  <c r="M17" i="1"/>
  <c r="M18" i="1"/>
  <c r="L25" i="2"/>
  <c r="J25" i="2"/>
  <c r="L27" i="2"/>
  <c r="J27" i="2"/>
  <c r="K14" i="2"/>
  <c r="K17" i="2" s="1"/>
  <c r="K15" i="2"/>
  <c r="L15" i="2" s="1"/>
  <c r="I14" i="2"/>
  <c r="I17" i="2" s="1"/>
  <c r="K17" i="4"/>
  <c r="I9" i="2"/>
  <c r="I8" i="2"/>
  <c r="I11" i="2" s="1"/>
  <c r="B11" i="1"/>
  <c r="B12" i="1" s="1"/>
  <c r="B19" i="1" s="1"/>
  <c r="E19" i="1" s="1"/>
  <c r="G19" i="1" s="1"/>
  <c r="B27" i="5" l="1"/>
  <c r="B28" i="5" s="1"/>
  <c r="B29" i="5" s="1"/>
  <c r="J19" i="1"/>
  <c r="O19" i="1" s="1"/>
  <c r="M20" i="1"/>
  <c r="M19" i="1"/>
  <c r="L26" i="2"/>
  <c r="J26" i="2"/>
  <c r="D20" i="1" s="1"/>
  <c r="B20" i="1" s="1"/>
  <c r="E20" i="1" s="1"/>
  <c r="J17" i="2"/>
  <c r="J16" i="2" s="1"/>
  <c r="D17" i="1" s="1"/>
  <c r="B17" i="1" s="1"/>
  <c r="L17" i="2"/>
  <c r="L16" i="2" s="1"/>
  <c r="K17" i="1"/>
  <c r="K18" i="1"/>
  <c r="K20" i="1"/>
  <c r="K19" i="1"/>
  <c r="L19" i="1" l="1"/>
  <c r="D18" i="1"/>
  <c r="B18" i="1" s="1"/>
  <c r="E18" i="1" s="1"/>
  <c r="G18" i="1" s="1"/>
  <c r="E17" i="1"/>
  <c r="G17" i="1" s="1"/>
  <c r="J17" i="1"/>
  <c r="O17" i="1" s="1"/>
  <c r="G20" i="1"/>
  <c r="J20" i="1"/>
  <c r="O20" i="1" s="1"/>
  <c r="J18" i="1" l="1"/>
  <c r="O18" i="1" s="1"/>
  <c r="J8" i="2" s="1"/>
  <c r="L17" i="1"/>
  <c r="L20" i="1"/>
  <c r="L18" i="1" l="1"/>
  <c r="L8" i="2"/>
  <c r="J9" i="2"/>
  <c r="J11" i="2"/>
  <c r="L11" i="2" l="1"/>
  <c r="L9" i="2"/>
  <c r="K10" i="2" s="1"/>
  <c r="E12" i="1" s="1"/>
  <c r="B23" i="1" l="1"/>
  <c r="B24" i="1" s="1"/>
</calcChain>
</file>

<file path=xl/sharedStrings.xml><?xml version="1.0" encoding="utf-8"?>
<sst xmlns="http://schemas.openxmlformats.org/spreadsheetml/2006/main" count="214" uniqueCount="160">
  <si>
    <t>TWO WAY SLAB DESIGN</t>
  </si>
  <si>
    <t>lx</t>
  </si>
  <si>
    <t>ly</t>
  </si>
  <si>
    <t>slab type</t>
  </si>
  <si>
    <t>CALCULATIONS</t>
  </si>
  <si>
    <t>ratio ly/lx</t>
  </si>
  <si>
    <t>Cantilever</t>
  </si>
  <si>
    <t>Continuous</t>
  </si>
  <si>
    <t>A Value</t>
  </si>
  <si>
    <t>Simply Supported</t>
  </si>
  <si>
    <t>select</t>
  </si>
  <si>
    <t>Dead load</t>
  </si>
  <si>
    <t>Live load</t>
  </si>
  <si>
    <t>Finish load</t>
  </si>
  <si>
    <t>Total load</t>
  </si>
  <si>
    <t>factored load</t>
  </si>
  <si>
    <t>PANEL TYPE</t>
  </si>
  <si>
    <t>Mux(-ve)</t>
  </si>
  <si>
    <t>Mux(+ve)</t>
  </si>
  <si>
    <t>Muy(-ve)</t>
  </si>
  <si>
    <t>Muy(+ve)</t>
  </si>
  <si>
    <t>Moment Coeff.</t>
  </si>
  <si>
    <r>
      <t>a</t>
    </r>
    <r>
      <rPr>
        <sz val="11"/>
        <color theme="1"/>
        <rFont val="Calibri"/>
        <family val="2"/>
        <scheme val="minor"/>
      </rPr>
      <t>x(+ve)</t>
    </r>
  </si>
  <si>
    <r>
      <t>a</t>
    </r>
    <r>
      <rPr>
        <sz val="11"/>
        <color theme="1"/>
        <rFont val="Calibri"/>
        <family val="2"/>
        <scheme val="minor"/>
      </rPr>
      <t>y(+ve)</t>
    </r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</si>
  <si>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y(-ve)</t>
    </r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</si>
  <si>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x(-ve)</t>
    </r>
  </si>
  <si>
    <t>Check</t>
  </si>
  <si>
    <t>Dia of bar</t>
  </si>
  <si>
    <t>Ast(+ve)</t>
  </si>
  <si>
    <t>Ast(-ve)</t>
  </si>
  <si>
    <t>fck</t>
  </si>
  <si>
    <t>fy</t>
  </si>
  <si>
    <t>width</t>
  </si>
  <si>
    <t>MF</t>
  </si>
  <si>
    <t>Depth</t>
  </si>
  <si>
    <t>Result</t>
  </si>
  <si>
    <t>MODIFICATION FACTOR(% tension r/f)</t>
  </si>
  <si>
    <t>Modification factor for different values of Pt</t>
  </si>
  <si>
    <t>pt=100*Ast/bd</t>
  </si>
  <si>
    <r>
      <t>FOR K</t>
    </r>
    <r>
      <rPr>
        <b/>
        <vertAlign val="subscript"/>
        <sz val="12"/>
        <rFont val="Times New Roman"/>
        <family val="1"/>
      </rPr>
      <t>t</t>
    </r>
  </si>
  <si>
    <t>For Kc</t>
  </si>
  <si>
    <t>fst(Mpa)</t>
  </si>
  <si>
    <t>Spacing calculated</t>
  </si>
  <si>
    <t>Spacing provided</t>
  </si>
  <si>
    <t>Ast rqd</t>
  </si>
  <si>
    <t>Ast provided</t>
  </si>
  <si>
    <t>pt%</t>
  </si>
  <si>
    <t>TABLE NO. 26, IS 456:2000</t>
  </si>
  <si>
    <t>Bending Moment Cofficients for Rectangular Panels Supported on Four sides with</t>
  </si>
  <si>
    <t>Provision for Torsion at Corners</t>
  </si>
  <si>
    <t>Negative moment at continuous edge  αx</t>
  </si>
  <si>
    <t>ly / lx</t>
  </si>
  <si>
    <t>Positive moment at mid-span αx</t>
  </si>
  <si>
    <t>Negative moment at continuous edge  αy</t>
  </si>
  <si>
    <t>Positive moment at mid-span αy</t>
  </si>
  <si>
    <t>Design case</t>
  </si>
  <si>
    <t>CALCULATIONS of MF</t>
  </si>
  <si>
    <t>Internal Panel</t>
  </si>
  <si>
    <t>1 Short Edge Discontinuous</t>
  </si>
  <si>
    <t>1 Long edge Discontinuous</t>
  </si>
  <si>
    <t>2 Short Edges Discontinuous</t>
  </si>
  <si>
    <t>2 Long Edges Discontinuous</t>
  </si>
  <si>
    <t>2 Adjacent Edges Discontinuous</t>
  </si>
  <si>
    <t>3 Edges Discontinuous( 1 short edge con.)</t>
  </si>
  <si>
    <t>3 Edges Discontinuous( 1 long edge con.)</t>
  </si>
  <si>
    <t>4 Edges Discontinuous</t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</si>
  <si>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x(+ve)</t>
    </r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</si>
  <si>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y(+ve)</t>
    </r>
  </si>
  <si>
    <t>ONE WAY SLAB</t>
  </si>
  <si>
    <t>Total depth</t>
  </si>
  <si>
    <t>Factored load</t>
  </si>
  <si>
    <t>Slab type</t>
  </si>
  <si>
    <t>A value</t>
  </si>
  <si>
    <t>Q</t>
  </si>
  <si>
    <t>fe 250</t>
  </si>
  <si>
    <t>fe 415</t>
  </si>
  <si>
    <t>fe 500</t>
  </si>
  <si>
    <t>CALCULATIONS OF MF</t>
  </si>
  <si>
    <t>Moments(KNm)</t>
  </si>
  <si>
    <t>Depth calculated(mm)</t>
  </si>
  <si>
    <t>Eff. Depth(mm)</t>
  </si>
  <si>
    <t>Dia of bar(mm)</t>
  </si>
  <si>
    <t>Ast calculated(mm2)</t>
  </si>
  <si>
    <t>Ast min.(mm2)</t>
  </si>
  <si>
    <t>Check for Deflection(mm)</t>
  </si>
  <si>
    <t>Clear Cover</t>
  </si>
  <si>
    <t>Eff. Depth in X dir</t>
  </si>
  <si>
    <t>Eff. Depth in Y dir</t>
  </si>
  <si>
    <t>ly/lx</t>
  </si>
  <si>
    <t>ax</t>
  </si>
  <si>
    <t>ay</t>
  </si>
  <si>
    <t xml:space="preserve">Bending Moment coefficients for slabs spanning </t>
  </si>
  <si>
    <t xml:space="preserve">                    in two directions at right angles,</t>
  </si>
  <si>
    <t xml:space="preserve">                    simply supported on two sides</t>
  </si>
  <si>
    <t xml:space="preserve">select </t>
  </si>
  <si>
    <t>Bending Moment Coefficients for Rectangular panels Supported on Four sides with provision for torsion at corners</t>
  </si>
  <si>
    <t xml:space="preserve">Bending Moment Coefficients for slabs spanning in two directions at right angles, simply supported on four sides   </t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</si>
  <si>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y</t>
    </r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</si>
  <si>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x</t>
    </r>
  </si>
  <si>
    <t xml:space="preserve">Bending Moment </t>
  </si>
  <si>
    <t>Spacing limit</t>
  </si>
  <si>
    <t>Ratio</t>
  </si>
  <si>
    <t>Dia of bars in x dir</t>
  </si>
  <si>
    <t>Dia of bars in y dir</t>
  </si>
  <si>
    <t>Eff. Depth in x dir</t>
  </si>
  <si>
    <t>Clear cover</t>
  </si>
  <si>
    <t>Eff. Depth in y dir</t>
  </si>
  <si>
    <t>Lx eff</t>
  </si>
  <si>
    <t>Ly eff</t>
  </si>
  <si>
    <t>width of support</t>
  </si>
  <si>
    <t>Interior</t>
  </si>
  <si>
    <t>Span Type ( for continuous only)</t>
  </si>
  <si>
    <t>None</t>
  </si>
  <si>
    <t>Fixed</t>
  </si>
  <si>
    <t>Not Fixed</t>
  </si>
  <si>
    <t>------</t>
  </si>
  <si>
    <t>End</t>
  </si>
  <si>
    <t>Span</t>
  </si>
  <si>
    <t>Support</t>
  </si>
  <si>
    <t>Factored dead load</t>
  </si>
  <si>
    <t>factored live load</t>
  </si>
  <si>
    <t>For Continuous only</t>
  </si>
  <si>
    <t>Coeff. For moments</t>
  </si>
  <si>
    <t>K4(support moment for LL)</t>
  </si>
  <si>
    <t>K3(support moment for DL)</t>
  </si>
  <si>
    <t>DL</t>
  </si>
  <si>
    <t>LL</t>
  </si>
  <si>
    <t>K2(mid span moment for LL)</t>
  </si>
  <si>
    <t>K1(mid span moment for DL)</t>
  </si>
  <si>
    <t>Moments</t>
  </si>
  <si>
    <t>Q value</t>
  </si>
  <si>
    <t>Depth calculated</t>
  </si>
  <si>
    <t>Spacing Calculated</t>
  </si>
  <si>
    <t>Max spacing</t>
  </si>
  <si>
    <t>Spacing Provided</t>
  </si>
  <si>
    <t>%p</t>
  </si>
  <si>
    <t>CHECK FOR DEFLECTION</t>
  </si>
  <si>
    <t>Ast(x) Calculated</t>
  </si>
  <si>
    <t>Ast  Provided</t>
  </si>
  <si>
    <t>CHECK FOR SHEAR</t>
  </si>
  <si>
    <t>Outer side of end</t>
  </si>
  <si>
    <t>Inner side of end</t>
  </si>
  <si>
    <t xml:space="preserve">Interior </t>
  </si>
  <si>
    <t>Shear at Support next to End</t>
  </si>
  <si>
    <t>Vu1</t>
  </si>
  <si>
    <t>Tv</t>
  </si>
  <si>
    <t>% steel(-x)</t>
  </si>
  <si>
    <t>Tc</t>
  </si>
  <si>
    <t>k</t>
  </si>
  <si>
    <t>Tcmax</t>
  </si>
  <si>
    <t>Grade</t>
  </si>
  <si>
    <t>tcmax</t>
  </si>
  <si>
    <t>40 &amp; above</t>
  </si>
  <si>
    <t>40&amp; above</t>
  </si>
  <si>
    <t>D</t>
  </si>
  <si>
    <t>&lt;=150</t>
  </si>
  <si>
    <t>&gt;=300</t>
  </si>
  <si>
    <t xml:space="preserve">Distribution steel </t>
  </si>
  <si>
    <t>fs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</si>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</sst>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0.00&quot;m&quot;"/>
    <numFmt numFmtId="165" formatCode="000&quot;mm&quot;"/>
    <numFmt numFmtId="166" formatCode="00&quot;N/mm2&quot;"/>
    <numFmt numFmtId="167" formatCode="000&quot;N/mm2&quot;"/>
    <numFmt numFmtId="168" formatCode="0&quot;mm&quot;"/>
    <numFmt numFmtId="169" formatCode="0.000"/>
    <numFmt numFmtId="170" formatCode="0.00&quot;KN/m2&quot;"/>
    <numFmt numFmtId="171" formatCode="0&quot;N/mm2&quot;"/>
    <numFmt numFmtId="172" formatCode="0.00&quot;%&quot;"/>
    <numFmt numFmtId="173" formatCode="0.00&quot;mm&quot;"/>
    <numFmt numFmtId="174" formatCode="0.00&quot;KN&quot;"/>
    <numFmt numFmtId="175" formatCode="0.00&quot;N/mm2&quot;"/>
    <numFmt numFmtId="176" formatCode="0.00&quot;mm2&quot;"/>
    <numFmt numFmtId="177" formatCode="0.00&quot;KNm&quot;"/>
  </numFmts>
  <fonts count="1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rgb="FFFA7D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b/>
      <vertAlign val="subscript"/>
      <sz val="12"/>
      <name val="Times New Roman"/>
      <family val="1"/>
    </font>
    <font>
      <sz val="12"/>
      <name val="Times New Roman"/>
      <family val="1"/>
    </font>
    <font>
      <b/>
      <sz val="16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A3EFB0"/>
        <bgColor indexed="64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6ECB6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86EA97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7" borderId="1" applyNumberFormat="0" applyAlignment="0" applyProtection="0"/>
  </cellStyleXfs>
  <cellXfs count="211">
    <xf numFmtId="0" fontId="0" fillId="0" borderId="0" xfId="0"/>
    <xf numFmtId="0" fontId="0" fillId="11" borderId="0" xfId="0" applyFill="1"/>
    <xf numFmtId="0" fontId="7" fillId="2" borderId="5" xfId="0" applyFont="1" applyFill="1" applyBorder="1" applyAlignment="1">
      <alignment vertical="center"/>
    </xf>
    <xf numFmtId="0" fontId="7" fillId="2" borderId="20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8" fillId="4" borderId="13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/>
    </xf>
    <xf numFmtId="0" fontId="6" fillId="13" borderId="14" xfId="0" applyFont="1" applyFill="1" applyBorder="1" applyAlignment="1">
      <alignment horizontal="center"/>
    </xf>
    <xf numFmtId="0" fontId="6" fillId="13" borderId="16" xfId="0" applyFont="1" applyFill="1" applyBorder="1" applyAlignment="1">
      <alignment horizontal="center"/>
    </xf>
    <xf numFmtId="0" fontId="6" fillId="13" borderId="17" xfId="0" applyFont="1" applyFill="1" applyBorder="1" applyAlignment="1">
      <alignment horizontal="center"/>
    </xf>
    <xf numFmtId="0" fontId="0" fillId="6" borderId="0" xfId="0" applyFont="1" applyFill="1"/>
    <xf numFmtId="0" fontId="11" fillId="6" borderId="1" xfId="2" applyFont="1" applyFill="1"/>
    <xf numFmtId="0" fontId="0" fillId="1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10" borderId="2" xfId="0" applyFill="1" applyBorder="1"/>
    <xf numFmtId="0" fontId="0" fillId="14" borderId="2" xfId="0" applyFill="1" applyBorder="1"/>
    <xf numFmtId="0" fontId="0" fillId="13" borderId="21" xfId="0" applyFill="1" applyBorder="1"/>
    <xf numFmtId="0" fontId="0" fillId="13" borderId="22" xfId="0" applyFill="1" applyBorder="1"/>
    <xf numFmtId="0" fontId="0" fillId="13" borderId="23" xfId="0" applyFill="1" applyBorder="1"/>
    <xf numFmtId="0" fontId="0" fillId="13" borderId="13" xfId="0" applyFill="1" applyBorder="1"/>
    <xf numFmtId="0" fontId="0" fillId="10" borderId="14" xfId="0" applyFill="1" applyBorder="1"/>
    <xf numFmtId="0" fontId="0" fillId="13" borderId="15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3" fillId="6" borderId="13" xfId="0" applyFont="1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9" xfId="0" applyFill="1" applyBorder="1"/>
    <xf numFmtId="0" fontId="0" fillId="6" borderId="26" xfId="0" applyFill="1" applyBorder="1"/>
    <xf numFmtId="0" fontId="0" fillId="6" borderId="10" xfId="0" applyFill="1" applyBorder="1"/>
    <xf numFmtId="0" fontId="13" fillId="4" borderId="2" xfId="0" applyFont="1" applyFill="1" applyBorder="1"/>
    <xf numFmtId="0" fontId="12" fillId="4" borderId="2" xfId="0" applyFont="1" applyFill="1" applyBorder="1" applyAlignment="1">
      <alignment horizontal="center" vertical="center"/>
    </xf>
    <xf numFmtId="0" fontId="12" fillId="8" borderId="2" xfId="0" applyFont="1" applyFill="1" applyBorder="1"/>
    <xf numFmtId="0" fontId="14" fillId="13" borderId="2" xfId="0" applyFont="1" applyFill="1" applyBorder="1"/>
    <xf numFmtId="0" fontId="12" fillId="4" borderId="2" xfId="0" applyFont="1" applyFill="1" applyBorder="1" applyAlignment="1">
      <alignment horizontal="center"/>
    </xf>
    <xf numFmtId="0" fontId="13" fillId="13" borderId="2" xfId="0" applyFont="1" applyFill="1" applyBorder="1" applyAlignment="1">
      <alignment horizontal="center" vertical="center"/>
    </xf>
    <xf numFmtId="0" fontId="6" fillId="6" borderId="2" xfId="0" applyFont="1" applyFill="1" applyBorder="1"/>
    <xf numFmtId="0" fontId="13" fillId="6" borderId="2" xfId="0" applyFont="1" applyFill="1" applyBorder="1" applyAlignment="1">
      <alignment horizontal="center" vertical="center"/>
    </xf>
    <xf numFmtId="0" fontId="14" fillId="6" borderId="2" xfId="0" applyFont="1" applyFill="1" applyBorder="1"/>
    <xf numFmtId="0" fontId="13" fillId="6" borderId="2" xfId="0" applyFont="1" applyFill="1" applyBorder="1" applyAlignment="1">
      <alignment horizontal="center"/>
    </xf>
    <xf numFmtId="0" fontId="0" fillId="12" borderId="3" xfId="0" applyFont="1" applyFill="1" applyBorder="1"/>
    <xf numFmtId="0" fontId="0" fillId="12" borderId="18" xfId="0" applyFont="1" applyFill="1" applyBorder="1"/>
    <xf numFmtId="0" fontId="0" fillId="15" borderId="18" xfId="0" applyFont="1" applyFill="1" applyBorder="1"/>
    <xf numFmtId="0" fontId="0" fillId="15" borderId="3" xfId="0" applyFont="1" applyFill="1" applyBorder="1"/>
    <xf numFmtId="0" fontId="12" fillId="6" borderId="18" xfId="0" applyFont="1" applyFill="1" applyBorder="1"/>
    <xf numFmtId="0" fontId="0" fillId="15" borderId="4" xfId="0" applyFont="1" applyFill="1" applyBorder="1"/>
    <xf numFmtId="0" fontId="0" fillId="12" borderId="4" xfId="0" applyFont="1" applyFill="1" applyBorder="1"/>
    <xf numFmtId="0" fontId="14" fillId="12" borderId="18" xfId="0" applyFont="1" applyFill="1" applyBorder="1"/>
    <xf numFmtId="0" fontId="14" fillId="12" borderId="4" xfId="0" applyFont="1" applyFill="1" applyBorder="1"/>
    <xf numFmtId="0" fontId="14" fillId="12" borderId="3" xfId="0" applyFont="1" applyFill="1" applyBorder="1"/>
    <xf numFmtId="0" fontId="0" fillId="11" borderId="2" xfId="0" applyFill="1" applyBorder="1"/>
    <xf numFmtId="0" fontId="0" fillId="0" borderId="0" xfId="0" applyFill="1"/>
    <xf numFmtId="0" fontId="6" fillId="13" borderId="18" xfId="0" applyFont="1" applyFill="1" applyBorder="1" applyAlignment="1">
      <alignment horizontal="center"/>
    </xf>
    <xf numFmtId="0" fontId="0" fillId="13" borderId="2" xfId="0" applyFill="1" applyBorder="1"/>
    <xf numFmtId="0" fontId="0" fillId="5" borderId="2" xfId="0" applyFill="1" applyBorder="1"/>
    <xf numFmtId="0" fontId="0" fillId="3" borderId="13" xfId="0" applyFill="1" applyBorder="1"/>
    <xf numFmtId="0" fontId="0" fillId="13" borderId="14" xfId="0" applyFill="1" applyBorder="1"/>
    <xf numFmtId="0" fontId="0" fillId="3" borderId="15" xfId="0" applyFill="1" applyBorder="1"/>
    <xf numFmtId="0" fontId="0" fillId="13" borderId="16" xfId="0" applyFill="1" applyBorder="1"/>
    <xf numFmtId="0" fontId="0" fillId="4" borderId="2" xfId="0" applyFill="1" applyBorder="1"/>
    <xf numFmtId="0" fontId="0" fillId="6" borderId="2" xfId="0" applyFill="1" applyBorder="1"/>
    <xf numFmtId="9" fontId="0" fillId="4" borderId="2" xfId="1" applyFont="1" applyFill="1" applyBorder="1"/>
    <xf numFmtId="169" fontId="0" fillId="6" borderId="2" xfId="0" applyNumberFormat="1" applyFill="1" applyBorder="1"/>
    <xf numFmtId="2" fontId="0" fillId="6" borderId="2" xfId="0" applyNumberFormat="1" applyFill="1" applyBorder="1"/>
    <xf numFmtId="9" fontId="3" fillId="4" borderId="2" xfId="1" applyFont="1" applyFill="1" applyBorder="1"/>
    <xf numFmtId="2" fontId="0" fillId="9" borderId="22" xfId="0" applyNumberFormat="1" applyFill="1" applyBorder="1"/>
    <xf numFmtId="2" fontId="0" fillId="14" borderId="2" xfId="0" applyNumberFormat="1" applyFill="1" applyBorder="1"/>
    <xf numFmtId="2" fontId="0" fillId="9" borderId="13" xfId="0" applyNumberFormat="1" applyFill="1" applyBorder="1"/>
    <xf numFmtId="169" fontId="0" fillId="14" borderId="18" xfId="0" applyNumberFormat="1" applyFill="1" applyBorder="1"/>
    <xf numFmtId="169" fontId="0" fillId="14" borderId="14" xfId="0" applyNumberFormat="1" applyFill="1" applyBorder="1"/>
    <xf numFmtId="169" fontId="0" fillId="14" borderId="25" xfId="0" applyNumberFormat="1" applyFill="1" applyBorder="1"/>
    <xf numFmtId="169" fontId="0" fillId="14" borderId="17" xfId="0" applyNumberFormat="1" applyFill="1" applyBorder="1"/>
    <xf numFmtId="0" fontId="0" fillId="13" borderId="2" xfId="0" applyFill="1" applyBorder="1" applyAlignment="1">
      <alignment horizont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3" xfId="0" applyFill="1" applyBorder="1"/>
    <xf numFmtId="0" fontId="0" fillId="2" borderId="14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3" borderId="16" xfId="0" applyFill="1" applyBorder="1" applyAlignment="1">
      <alignment horizontal="center"/>
    </xf>
    <xf numFmtId="0" fontId="0" fillId="10" borderId="30" xfId="0" applyFill="1" applyBorder="1"/>
    <xf numFmtId="0" fontId="0" fillId="4" borderId="13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9" borderId="11" xfId="0" applyFill="1" applyBorder="1"/>
    <xf numFmtId="0" fontId="0" fillId="9" borderId="31" xfId="0" applyFill="1" applyBorder="1"/>
    <xf numFmtId="0" fontId="0" fillId="9" borderId="12" xfId="0" applyFill="1" applyBorder="1"/>
    <xf numFmtId="0" fontId="0" fillId="8" borderId="2" xfId="0" applyFill="1" applyBorder="1"/>
    <xf numFmtId="0" fontId="0" fillId="3" borderId="2" xfId="0" applyFill="1" applyBorder="1"/>
    <xf numFmtId="0" fontId="0" fillId="8" borderId="3" xfId="0" applyFill="1" applyBorder="1"/>
    <xf numFmtId="0" fontId="0" fillId="8" borderId="3" xfId="0" applyFill="1" applyBorder="1" applyAlignment="1">
      <alignment horizontal="center"/>
    </xf>
    <xf numFmtId="0" fontId="0" fillId="5" borderId="2" xfId="0" applyFont="1" applyFill="1" applyBorder="1" applyAlignment="1"/>
    <xf numFmtId="0" fontId="0" fillId="2" borderId="2" xfId="0" applyFont="1" applyFill="1" applyBorder="1" applyAlignment="1"/>
    <xf numFmtId="2" fontId="0" fillId="6" borderId="13" xfId="0" applyNumberFormat="1" applyFill="1" applyBorder="1"/>
    <xf numFmtId="2" fontId="0" fillId="17" borderId="13" xfId="0" applyNumberFormat="1" applyFill="1" applyBorder="1"/>
    <xf numFmtId="0" fontId="0" fillId="6" borderId="16" xfId="0" applyFill="1" applyBorder="1"/>
    <xf numFmtId="0" fontId="0" fillId="6" borderId="17" xfId="0" applyFill="1" applyBorder="1"/>
    <xf numFmtId="169" fontId="0" fillId="14" borderId="2" xfId="0" applyNumberFormat="1" applyFill="1" applyBorder="1"/>
    <xf numFmtId="0" fontId="0" fillId="0" borderId="0" xfId="0"/>
    <xf numFmtId="164" fontId="0" fillId="3" borderId="2" xfId="0" applyNumberFormat="1" applyFill="1" applyBorder="1" applyProtection="1">
      <protection locked="0"/>
    </xf>
    <xf numFmtId="0" fontId="0" fillId="3" borderId="2" xfId="0" applyFill="1" applyBorder="1" applyProtection="1">
      <protection locked="0"/>
    </xf>
    <xf numFmtId="165" fontId="0" fillId="3" borderId="2" xfId="0" applyNumberFormat="1" applyFill="1" applyBorder="1" applyProtection="1">
      <protection locked="0"/>
    </xf>
    <xf numFmtId="170" fontId="0" fillId="3" borderId="2" xfId="0" applyNumberFormat="1" applyFill="1" applyBorder="1" applyProtection="1">
      <protection locked="0"/>
    </xf>
    <xf numFmtId="2" fontId="0" fillId="3" borderId="2" xfId="0" applyNumberFormat="1" applyFill="1" applyBorder="1" applyProtection="1">
      <protection locked="0"/>
    </xf>
    <xf numFmtId="166" fontId="0" fillId="3" borderId="2" xfId="0" applyNumberFormat="1" applyFill="1" applyBorder="1" applyProtection="1">
      <protection locked="0"/>
    </xf>
    <xf numFmtId="167" fontId="0" fillId="3" borderId="2" xfId="0" applyNumberFormat="1" applyFill="1" applyBorder="1" applyProtection="1">
      <protection locked="0"/>
    </xf>
    <xf numFmtId="168" fontId="0" fillId="3" borderId="2" xfId="0" applyNumberFormat="1" applyFill="1" applyBorder="1" applyProtection="1">
      <protection locked="0"/>
    </xf>
    <xf numFmtId="0" fontId="0" fillId="10" borderId="2" xfId="0" applyFill="1" applyBorder="1" applyProtection="1">
      <protection locked="0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2" fontId="0" fillId="13" borderId="2" xfId="0" applyNumberFormat="1" applyFill="1" applyBorder="1"/>
    <xf numFmtId="169" fontId="0" fillId="13" borderId="2" xfId="0" applyNumberFormat="1" applyFill="1" applyBorder="1"/>
    <xf numFmtId="0" fontId="0" fillId="8" borderId="2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16" borderId="0" xfId="0" applyFill="1" applyAlignment="1">
      <alignment wrapText="1"/>
    </xf>
    <xf numFmtId="0" fontId="0" fillId="16" borderId="0" xfId="0" applyFill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0" fillId="19" borderId="2" xfId="0" applyFill="1" applyBorder="1"/>
    <xf numFmtId="0" fontId="0" fillId="18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164" fontId="0" fillId="18" borderId="2" xfId="0" applyNumberFormat="1" applyFill="1" applyBorder="1" applyAlignment="1">
      <alignment horizontal="center"/>
    </xf>
    <xf numFmtId="168" fontId="0" fillId="18" borderId="2" xfId="0" applyNumberFormat="1" applyFill="1" applyBorder="1" applyAlignment="1">
      <alignment horizontal="center"/>
    </xf>
    <xf numFmtId="167" fontId="0" fillId="18" borderId="2" xfId="0" applyNumberFormat="1" applyFill="1" applyBorder="1" applyAlignment="1">
      <alignment horizontal="center"/>
    </xf>
    <xf numFmtId="171" fontId="0" fillId="18" borderId="2" xfId="0" applyNumberFormat="1" applyFill="1" applyBorder="1" applyAlignment="1">
      <alignment horizontal="center"/>
    </xf>
    <xf numFmtId="170" fontId="0" fillId="18" borderId="2" xfId="0" applyNumberFormat="1" applyFill="1" applyBorder="1" applyAlignment="1">
      <alignment horizontal="center"/>
    </xf>
    <xf numFmtId="170" fontId="0" fillId="14" borderId="2" xfId="0" applyNumberFormat="1" applyFill="1" applyBorder="1" applyAlignment="1">
      <alignment horizontal="center"/>
    </xf>
    <xf numFmtId="168" fontId="0" fillId="14" borderId="2" xfId="0" applyNumberForma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72" fontId="0" fillId="14" borderId="2" xfId="0" applyNumberFormat="1" applyFill="1" applyBorder="1" applyAlignment="1">
      <alignment horizontal="center"/>
    </xf>
    <xf numFmtId="2" fontId="0" fillId="16" borderId="0" xfId="0" applyNumberFormat="1" applyFill="1"/>
    <xf numFmtId="173" fontId="0" fillId="14" borderId="2" xfId="0" applyNumberFormat="1" applyFill="1" applyBorder="1" applyAlignment="1">
      <alignment horizontal="center"/>
    </xf>
    <xf numFmtId="0" fontId="16" fillId="14" borderId="2" xfId="0" applyFont="1" applyFill="1" applyBorder="1" applyAlignment="1">
      <alignment horizontal="center"/>
    </xf>
    <xf numFmtId="174" fontId="0" fillId="14" borderId="2" xfId="0" applyNumberFormat="1" applyFill="1" applyBorder="1" applyAlignment="1">
      <alignment horizontal="center"/>
    </xf>
    <xf numFmtId="175" fontId="0" fillId="14" borderId="2" xfId="0" applyNumberFormat="1" applyFill="1" applyBorder="1" applyAlignment="1">
      <alignment horizontal="center"/>
    </xf>
    <xf numFmtId="176" fontId="0" fillId="14" borderId="2" xfId="0" applyNumberFormat="1" applyFill="1" applyBorder="1" applyAlignment="1">
      <alignment horizontal="center"/>
    </xf>
    <xf numFmtId="173" fontId="0" fillId="18" borderId="2" xfId="0" applyNumberFormat="1" applyFill="1" applyBorder="1" applyAlignment="1">
      <alignment horizontal="center"/>
    </xf>
    <xf numFmtId="177" fontId="0" fillId="14" borderId="2" xfId="0" applyNumberFormat="1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6" borderId="0" xfId="0" applyFont="1" applyFill="1" applyBorder="1" applyAlignment="1"/>
    <xf numFmtId="0" fontId="0" fillId="16" borderId="0" xfId="0" applyFill="1" applyBorder="1"/>
    <xf numFmtId="170" fontId="0" fillId="16" borderId="0" xfId="0" applyNumberFormat="1" applyFill="1" applyBorder="1"/>
    <xf numFmtId="2" fontId="0" fillId="16" borderId="0" xfId="0" applyNumberFormat="1" applyFill="1" applyBorder="1"/>
    <xf numFmtId="2" fontId="0" fillId="11" borderId="0" xfId="0" applyNumberFormat="1" applyFill="1"/>
    <xf numFmtId="2" fontId="0" fillId="5" borderId="2" xfId="0" applyNumberFormat="1" applyFill="1" applyBorder="1"/>
    <xf numFmtId="0" fontId="0" fillId="0" borderId="0" xfId="0"/>
    <xf numFmtId="0" fontId="0" fillId="3" borderId="2" xfId="0" applyFill="1" applyBorder="1" applyAlignment="1" applyProtection="1">
      <alignment horizontal="center" wrapText="1"/>
      <protection locked="0"/>
    </xf>
    <xf numFmtId="0" fontId="0" fillId="2" borderId="2" xfId="0" applyFill="1" applyBorder="1" applyAlignment="1">
      <alignment horizontal="center"/>
    </xf>
    <xf numFmtId="0" fontId="8" fillId="5" borderId="9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10" borderId="18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8" fillId="10" borderId="3" xfId="0" applyFont="1" applyFill="1" applyBorder="1" applyAlignment="1">
      <alignment horizontal="center"/>
    </xf>
    <xf numFmtId="0" fontId="8" fillId="10" borderId="10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0" fillId="12" borderId="18" xfId="0" applyFont="1" applyFill="1" applyBorder="1" applyAlignment="1">
      <alignment horizontal="center"/>
    </xf>
    <xf numFmtId="0" fontId="0" fillId="12" borderId="4" xfId="0" applyFont="1" applyFill="1" applyBorder="1" applyAlignment="1">
      <alignment horizontal="center"/>
    </xf>
    <xf numFmtId="0" fontId="0" fillId="12" borderId="3" xfId="0" applyFont="1" applyFill="1" applyBorder="1" applyAlignment="1">
      <alignment horizontal="center"/>
    </xf>
    <xf numFmtId="0" fontId="12" fillId="12" borderId="2" xfId="0" applyFont="1" applyFill="1" applyBorder="1" applyAlignment="1">
      <alignment horizontal="center"/>
    </xf>
    <xf numFmtId="0" fontId="12" fillId="12" borderId="3" xfId="0" applyFont="1" applyFill="1" applyBorder="1" applyAlignment="1">
      <alignment horizontal="center"/>
    </xf>
    <xf numFmtId="0" fontId="12" fillId="12" borderId="18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0" fontId="12" fillId="6" borderId="18" xfId="0" applyFont="1" applyFill="1" applyBorder="1" applyAlignment="1">
      <alignment horizontal="center"/>
    </xf>
    <xf numFmtId="0" fontId="12" fillId="15" borderId="2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14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/>
    </xf>
    <xf numFmtId="0" fontId="16" fillId="14" borderId="2" xfId="0" applyFont="1" applyFill="1" applyBorder="1" applyAlignment="1">
      <alignment horizontal="center" vertical="center"/>
    </xf>
    <xf numFmtId="173" fontId="0" fillId="14" borderId="2" xfId="0" applyNumberFormat="1" applyFill="1" applyBorder="1" applyAlignment="1">
      <alignment horizontal="center" vertical="center"/>
    </xf>
    <xf numFmtId="176" fontId="0" fillId="14" borderId="2" xfId="0" applyNumberForma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left" vertical="center" wrapText="1"/>
    </xf>
    <xf numFmtId="0" fontId="0" fillId="18" borderId="2" xfId="0" applyFill="1" applyBorder="1" applyAlignment="1">
      <alignment horizontal="center" vertical="center" wrapText="1"/>
    </xf>
    <xf numFmtId="173" fontId="0" fillId="18" borderId="2" xfId="0" applyNumberFormat="1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9" borderId="2" xfId="0" applyFill="1" applyBorder="1" applyAlignment="1">
      <alignment horizontal="center"/>
    </xf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9F"/>
      <color rgb="FF86EA97"/>
      <color rgb="FFB6ECB6"/>
      <color rgb="FFA3EFB0"/>
      <color rgb="FFF4B2F1"/>
      <color rgb="FFF09AEC"/>
      <color rgb="FFFFFF66"/>
      <color rgb="FF79DD79"/>
      <color rgb="FF33CC33"/>
      <color rgb="FF5FD7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7"/>
  <sheetViews>
    <sheetView topLeftCell="D1" zoomScale="95" zoomScaleNormal="95" workbookViewId="0">
      <selection activeCell="G14" sqref="G14"/>
    </sheetView>
  </sheetViews>
  <sheetFormatPr defaultRowHeight="14.4" x14ac:dyDescent="0.3"/>
  <cols>
    <col min="1" max="1" width="14.109375" customWidth="1"/>
    <col min="2" max="2" width="13.77734375" customWidth="1"/>
    <col min="4" max="4" width="14" customWidth="1"/>
    <col min="5" max="5" width="14.33203125" customWidth="1"/>
    <col min="6" max="6" width="16.109375" customWidth="1"/>
    <col min="7" max="7" width="9.6640625" bestFit="1" customWidth="1"/>
    <col min="8" max="8" width="13.6640625" customWidth="1"/>
    <col min="11" max="11" width="13.33203125" customWidth="1"/>
    <col min="12" max="12" width="16.21875" customWidth="1"/>
    <col min="13" max="13" width="16.21875" style="117" customWidth="1"/>
    <col min="14" max="14" width="15.21875" customWidth="1"/>
    <col min="16" max="16" width="10.77734375" customWidth="1"/>
  </cols>
  <sheetData>
    <row r="1" spans="1:30" ht="23.4" x14ac:dyDescent="0.45">
      <c r="A1" s="36" t="s">
        <v>0</v>
      </c>
      <c r="B1" s="37"/>
      <c r="C1" s="36"/>
      <c r="D1" s="35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 x14ac:dyDescent="0.3">
      <c r="A3" s="70" t="s">
        <v>1</v>
      </c>
      <c r="B3" s="118">
        <v>3.58</v>
      </c>
      <c r="C3" s="107"/>
      <c r="D3" s="70" t="s">
        <v>16</v>
      </c>
      <c r="E3" s="119" t="s">
        <v>58</v>
      </c>
      <c r="F3" s="108" t="s">
        <v>55</v>
      </c>
      <c r="G3" s="119">
        <f>IF(E3="Internal Panel",1,IF(E3="1 Short Edge Discontinuous",2,IF(E3="1 Long Edge Discontinuous",3,IF(E3="2 Adjacent Edges Discontinuous",4,IF(E3="2 Short Edges Discontinuous",5,IF(E3="2 Long Edges Discontinuous",6,IF(E3="3 Edges Discontinuous( 1 long edge con.)",7,IF(E3="3 Edges Discontinuous( 1 short edge con.)",8,IF(E3="4 Edges Discontinuous",9)))))))))</f>
        <v>2</v>
      </c>
      <c r="H3" s="161"/>
      <c r="I3" s="161"/>
      <c r="J3" s="161"/>
      <c r="K3" s="161"/>
      <c r="L3" s="161"/>
      <c r="M3" s="162"/>
      <c r="N3" s="161"/>
      <c r="O3" s="161"/>
      <c r="P3" s="16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30" x14ac:dyDescent="0.3">
      <c r="A4" s="70" t="s">
        <v>2</v>
      </c>
      <c r="B4" s="118">
        <v>4.1399999999999997</v>
      </c>
      <c r="C4" s="107"/>
      <c r="D4" s="70" t="s">
        <v>5</v>
      </c>
      <c r="E4" s="122">
        <f>B4/B3</f>
        <v>1.1564245810055864</v>
      </c>
      <c r="F4" s="108" t="s">
        <v>86</v>
      </c>
      <c r="G4" s="125">
        <f>E9-E8-(E10/2)</f>
        <v>145</v>
      </c>
      <c r="H4" s="161"/>
      <c r="I4" s="161"/>
      <c r="J4" s="161"/>
      <c r="K4" s="161"/>
      <c r="L4" s="161"/>
      <c r="M4" s="161"/>
      <c r="N4" s="163"/>
      <c r="O4" s="161"/>
      <c r="P4" s="16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 x14ac:dyDescent="0.3">
      <c r="A5" s="70" t="s">
        <v>3</v>
      </c>
      <c r="B5" s="119" t="s">
        <v>7</v>
      </c>
      <c r="C5" s="107"/>
      <c r="D5" s="106" t="s">
        <v>30</v>
      </c>
      <c r="E5" s="123">
        <v>20</v>
      </c>
      <c r="F5" s="108" t="s">
        <v>87</v>
      </c>
      <c r="G5" s="125">
        <f>G4-E10</f>
        <v>135</v>
      </c>
      <c r="H5" s="161"/>
      <c r="I5" s="161"/>
      <c r="J5" s="161"/>
      <c r="K5" s="161"/>
      <c r="L5" s="161"/>
      <c r="M5" s="161"/>
      <c r="N5" s="161"/>
      <c r="O5" s="161"/>
      <c r="P5" s="16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30" x14ac:dyDescent="0.3">
      <c r="A6" s="70" t="s">
        <v>8</v>
      </c>
      <c r="B6" s="119">
        <f>IF(B5="Cantilever",7,IF(B5="Simply Supported",20,IF(B5="Continuous",26,IF(B5="select",0))))</f>
        <v>26</v>
      </c>
      <c r="C6" s="107"/>
      <c r="D6" s="106" t="s">
        <v>31</v>
      </c>
      <c r="E6" s="124">
        <v>415</v>
      </c>
      <c r="F6" s="108" t="s">
        <v>99</v>
      </c>
      <c r="G6" s="119">
        <f>IF(E6=250,(0.143*E5*E7),IF(E6=415,(0.138*E5*E7),IF(E6=500,(0.133*E5*E7),1)))</f>
        <v>2760.0000000000005</v>
      </c>
      <c r="H6" s="161"/>
      <c r="I6" s="161"/>
      <c r="J6" s="161"/>
      <c r="K6" s="21"/>
      <c r="L6" s="161"/>
      <c r="M6" s="161"/>
      <c r="N6" s="161"/>
      <c r="O6" s="161"/>
      <c r="P6" s="16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x14ac:dyDescent="0.3">
      <c r="A7" s="70" t="s">
        <v>34</v>
      </c>
      <c r="B7" s="120">
        <v>150</v>
      </c>
      <c r="C7" s="107"/>
      <c r="D7" s="106" t="s">
        <v>32</v>
      </c>
      <c r="E7" s="125">
        <v>1000</v>
      </c>
      <c r="F7" s="109"/>
      <c r="G7" s="119"/>
      <c r="H7" s="161"/>
      <c r="I7" s="161"/>
      <c r="J7" s="161"/>
      <c r="K7" s="161"/>
      <c r="L7" s="161"/>
      <c r="M7" s="161"/>
      <c r="N7" s="161"/>
      <c r="O7" s="161"/>
      <c r="P7" s="16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0" x14ac:dyDescent="0.3">
      <c r="A8" s="70" t="s">
        <v>11</v>
      </c>
      <c r="B8" s="121">
        <v>6.875</v>
      </c>
      <c r="C8" s="107"/>
      <c r="D8" s="106" t="s">
        <v>85</v>
      </c>
      <c r="E8" s="125">
        <v>20</v>
      </c>
      <c r="F8" s="159"/>
      <c r="G8" s="159"/>
      <c r="H8" s="159"/>
      <c r="I8" s="159"/>
      <c r="J8" s="159"/>
      <c r="K8" s="159"/>
      <c r="L8" s="161"/>
      <c r="M8" s="161"/>
      <c r="N8" s="161"/>
      <c r="O8" s="161"/>
      <c r="P8" s="16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1:30" x14ac:dyDescent="0.3">
      <c r="A9" s="70" t="s">
        <v>12</v>
      </c>
      <c r="B9" s="121">
        <v>1.5</v>
      </c>
      <c r="C9" s="107"/>
      <c r="D9" s="106" t="s">
        <v>69</v>
      </c>
      <c r="E9" s="125">
        <f>SUM(B7,E8)</f>
        <v>170</v>
      </c>
      <c r="F9" s="167" t="s">
        <v>95</v>
      </c>
      <c r="G9" s="167"/>
      <c r="H9" s="167"/>
      <c r="I9" s="167"/>
      <c r="J9" s="167"/>
      <c r="K9" s="167"/>
      <c r="L9" s="161"/>
      <c r="M9" s="161"/>
      <c r="N9" s="161"/>
      <c r="O9" s="161"/>
      <c r="P9" s="16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 spans="1:30" x14ac:dyDescent="0.3">
      <c r="A10" s="70" t="s">
        <v>13</v>
      </c>
      <c r="B10" s="121">
        <v>0.75</v>
      </c>
      <c r="C10" s="107"/>
      <c r="D10" s="106" t="s">
        <v>27</v>
      </c>
      <c r="E10" s="125">
        <v>10</v>
      </c>
      <c r="F10" s="167"/>
      <c r="G10" s="167"/>
      <c r="H10" s="167"/>
      <c r="I10" s="167"/>
      <c r="J10" s="167"/>
      <c r="K10" s="167"/>
      <c r="L10" s="161"/>
      <c r="M10" s="161"/>
      <c r="N10" s="161"/>
      <c r="O10" s="161"/>
      <c r="P10" s="16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30" x14ac:dyDescent="0.3">
      <c r="A11" s="70" t="s">
        <v>14</v>
      </c>
      <c r="B11" s="121">
        <f>SUM(B8:B10)</f>
        <v>9.125</v>
      </c>
      <c r="C11" s="107"/>
      <c r="D11" s="106" t="s">
        <v>46</v>
      </c>
      <c r="E11" s="122">
        <f>100*((MAX(P17,P18,P19,P20)/E7/B7))</f>
        <v>0.17444444444444443</v>
      </c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0" x14ac:dyDescent="0.3">
      <c r="A12" s="110" t="s">
        <v>15</v>
      </c>
      <c r="B12" s="121">
        <f>1.5*B11</f>
        <v>13.6875</v>
      </c>
      <c r="C12" s="107"/>
      <c r="D12" s="106" t="s">
        <v>33</v>
      </c>
      <c r="E12" s="122">
        <f>IF(OR(data!L8&gt;290,data!J8&lt;120),data!G31,data!K10)</f>
        <v>2</v>
      </c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x14ac:dyDescent="0.3">
      <c r="A13" s="160"/>
      <c r="B13" s="161"/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30" x14ac:dyDescent="0.3">
      <c r="A14" s="111" t="s">
        <v>4</v>
      </c>
      <c r="B14" s="161"/>
      <c r="C14" s="161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30" x14ac:dyDescent="0.3">
      <c r="A15" s="161"/>
      <c r="B15" s="161"/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x14ac:dyDescent="0.3">
      <c r="A16" s="168" t="s">
        <v>78</v>
      </c>
      <c r="B16" s="168"/>
      <c r="C16" s="168" t="s">
        <v>21</v>
      </c>
      <c r="D16" s="168"/>
      <c r="E16" s="35" t="s">
        <v>79</v>
      </c>
      <c r="F16" s="35" t="s">
        <v>80</v>
      </c>
      <c r="G16" s="35" t="s">
        <v>26</v>
      </c>
      <c r="H16" s="35" t="s">
        <v>81</v>
      </c>
      <c r="I16" s="168" t="s">
        <v>82</v>
      </c>
      <c r="J16" s="168"/>
      <c r="K16" s="35" t="s">
        <v>83</v>
      </c>
      <c r="L16" s="35" t="s">
        <v>42</v>
      </c>
      <c r="M16" s="35" t="s">
        <v>100</v>
      </c>
      <c r="N16" s="35" t="s">
        <v>43</v>
      </c>
      <c r="O16" s="35" t="s">
        <v>44</v>
      </c>
      <c r="P16" s="35" t="s">
        <v>45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8" ht="15" customHeight="1" x14ac:dyDescent="0.3">
      <c r="A17" s="75" t="s">
        <v>17</v>
      </c>
      <c r="B17" s="78">
        <f>IF(F9="Bending Moment Coefficients for Rectangular panels Supported on Four sides with provision for torsion at corners",D17*B12*B3^2,"-------")</f>
        <v>8.0381650499999981</v>
      </c>
      <c r="C17" s="77" t="s">
        <v>25</v>
      </c>
      <c r="D17" s="78">
        <f>IF(F9="Bending Moment Coefficients for Rectangular panels Supported on Four sides with provision for torsion at corners",data!J16,"------")</f>
        <v>4.582122905027932E-2</v>
      </c>
      <c r="E17" s="79">
        <f>IF(F9="Bending Moment Coefficients for Rectangular panels Supported on Four sides with provision for torsion at corners",SQRT(B17*10^6/G6),"-------")</f>
        <v>53.966458483991211</v>
      </c>
      <c r="F17" s="76">
        <f>B7</f>
        <v>150</v>
      </c>
      <c r="G17" s="76" t="str">
        <f>IF(F9="Bending Moment Coefficients for Rectangular panels Supported on Four sides with provision for torsion at corners",IF(F17&gt;E17,"SAFE","UNSAFE"),"------")</f>
        <v>SAFE</v>
      </c>
      <c r="H17" s="76">
        <f>E10</f>
        <v>10</v>
      </c>
      <c r="I17" s="75" t="s">
        <v>29</v>
      </c>
      <c r="J17" s="79">
        <f>IF(F9="Bending Moment Coefficients for Rectangular panels Supported on Four sides with provision for torsion at corners",((0.5*E5)/E6)*(1-SQRT(1-(4.6*B17*10^6)/E7/G4^2/E5))*E7*G4,"------")</f>
        <v>157.1509229821574</v>
      </c>
      <c r="K17" s="76">
        <f>0.0012*E9*E7</f>
        <v>204</v>
      </c>
      <c r="L17" s="79">
        <f>IF(F9="Bending Moment Coefficients for Rectangular panels Supported on Four sides with provision for torsion at corners",E7*3.141*H17^2/MAX(J17,K17)/4,"-------")</f>
        <v>384.9264705882353</v>
      </c>
      <c r="M17" s="78">
        <f>MIN(300,3*G4)</f>
        <v>300</v>
      </c>
      <c r="N17" s="126">
        <v>300</v>
      </c>
      <c r="O17" s="79">
        <f>IF(F9="Bending Moment Coefficients for Rectangular panels Supported on Four sides with provision for torsion at corners",MAX(J17,K17),0)</f>
        <v>204</v>
      </c>
      <c r="P17" s="79">
        <f>IF(F9="Bending Moment Coefficients for Rectangular panels Supported on Four sides with provision for torsion at corners",((((3.14/4)*E10^2)*1000)/N17),0)</f>
        <v>261.66666666666669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spans="1:38" x14ac:dyDescent="0.3">
      <c r="A18" s="75" t="s">
        <v>18</v>
      </c>
      <c r="B18" s="78">
        <f>D18*B12*B3^2</f>
        <v>6.0095132999999992</v>
      </c>
      <c r="C18" s="80" t="s">
        <v>22</v>
      </c>
      <c r="D18" s="78">
        <f>IF(F9="Bending Moment Coefficients for Rectangular panels Supported on Four sides with provision for torsion at corners",data!L16,data!L26)</f>
        <v>3.4256983240223457E-2</v>
      </c>
      <c r="E18" s="79">
        <f>SQRT(B18*10^6/G6)</f>
        <v>46.662189096787422</v>
      </c>
      <c r="F18" s="76">
        <f>B7</f>
        <v>150</v>
      </c>
      <c r="G18" s="76" t="str">
        <f>IF(F18&gt;E18,"SAFE","UNSAFE")</f>
        <v>SAFE</v>
      </c>
      <c r="H18" s="76">
        <f>E10</f>
        <v>10</v>
      </c>
      <c r="I18" s="75" t="s">
        <v>28</v>
      </c>
      <c r="J18" s="79">
        <f>((0.5*E5)/E6)*(1-SQRT(1-(4.6*B18*10^6)/E7/G4^2/E5))*E7*G4</f>
        <v>116.79960515042249</v>
      </c>
      <c r="K18" s="76">
        <f>0.0012*E9*E7</f>
        <v>204</v>
      </c>
      <c r="L18" s="79">
        <f>E7*3.141*H18^2/MAX(J18,K18)/4</f>
        <v>384.9264705882353</v>
      </c>
      <c r="M18" s="78">
        <f>MIN(300,3*G4)</f>
        <v>300</v>
      </c>
      <c r="N18" s="126">
        <v>300</v>
      </c>
      <c r="O18" s="79">
        <f>MAX(J18,K18)</f>
        <v>204</v>
      </c>
      <c r="P18" s="79">
        <f>((((3.14/4)*E10^2)*1000)/N18)</f>
        <v>261.66666666666669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8" x14ac:dyDescent="0.3">
      <c r="A19" s="75" t="s">
        <v>19</v>
      </c>
      <c r="B19" s="78">
        <f>IF(F9="Bending Moment Coefficients for Rectangular panels Supported on Four sides with provision for torsion at corners",D19*B12*B3^2,"------")</f>
        <v>6.4907055749999998</v>
      </c>
      <c r="C19" s="77" t="s">
        <v>24</v>
      </c>
      <c r="D19" s="78">
        <f>IF(F9="Bending Moment Coefficients for Rectangular panels Supported on Four sides with provision for torsion at corners",data!J20,"------")</f>
        <v>3.6999999999999998E-2</v>
      </c>
      <c r="E19" s="79">
        <f>IF(F9="Bending Moment Coefficients for Rectangular panels Supported on Four sides with provision for torsion at corners",SQRT(B19*10^6/G6),"------")</f>
        <v>48.494380277288421</v>
      </c>
      <c r="F19" s="76">
        <f>B7</f>
        <v>150</v>
      </c>
      <c r="G19" s="76" t="str">
        <f>IF(F9="Bending Moment Coefficients for Rectangular panels Supported on Four sides with provision for torsion at corners",IF(F19&gt;E19,"SAFE","UNSAFE"),"------")</f>
        <v>SAFE</v>
      </c>
      <c r="H19" s="76">
        <f>E10</f>
        <v>10</v>
      </c>
      <c r="I19" s="75" t="s">
        <v>29</v>
      </c>
      <c r="J19" s="79">
        <f>IF(F9="Bending Moment Coefficients for Rectangular panels Supported on Four sides with provision for torsion at corners",((0.5*E5)/E6)*(1-SQRT(1-(4.6*B19*10^6)/E7/G5^2/E5))*E7*G5,"------")</f>
        <v>136.0779606925438</v>
      </c>
      <c r="K19" s="76">
        <f>0.0012*E9*E7</f>
        <v>204</v>
      </c>
      <c r="L19" s="79">
        <f>IF(F9="Bending Moment Coefficients for Rectangular panels Supported on Four sides with provision for torsion at corners",E7*3.141*H19^2/MAX(J19,K19)/4,"-----")</f>
        <v>384.9264705882353</v>
      </c>
      <c r="M19" s="78">
        <f>MIN(300,3*G5)</f>
        <v>300</v>
      </c>
      <c r="N19" s="126">
        <v>300</v>
      </c>
      <c r="O19" s="79">
        <f>IF(F9="Bending Moment Coefficients for Rectangular panels Supported on Four sides with provision for torsion at corners",MAX(J19,K19),0)</f>
        <v>204</v>
      </c>
      <c r="P19" s="79">
        <f>IF(F9="Bending Moment Coefficients for Rectangular panels Supported on Four sides with provision for torsion at corners",((((3.14/4)*E10^2)*1000)/N19),0)</f>
        <v>261.66666666666669</v>
      </c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8" x14ac:dyDescent="0.3">
      <c r="A20" s="75" t="s">
        <v>20</v>
      </c>
      <c r="B20" s="78">
        <f>D20*B12*B3^2</f>
        <v>4.9118853000000007</v>
      </c>
      <c r="C20" s="80" t="s">
        <v>23</v>
      </c>
      <c r="D20" s="78">
        <f>IF(F9="Bending Moment Coefficients for Rectangular panels Supported on Four sides with provision for torsion at corners",data!L20,data!J26)</f>
        <v>2.8000000000000001E-2</v>
      </c>
      <c r="E20" s="79">
        <f>SQRT(B20*10^6/G6)</f>
        <v>42.18611841538069</v>
      </c>
      <c r="F20" s="76">
        <f>B7</f>
        <v>150</v>
      </c>
      <c r="G20" s="76" t="str">
        <f>IF(F20&gt;E20,"SAFE","UNSAFE")</f>
        <v>SAFE</v>
      </c>
      <c r="H20" s="76">
        <f>E10</f>
        <v>10</v>
      </c>
      <c r="I20" s="75" t="s">
        <v>28</v>
      </c>
      <c r="J20" s="79">
        <f>((0.5*E5)/E6)*(1-SQRT(1-(4.6*B20*10^6)/E7/G5^2/E5))*E7*G5</f>
        <v>102.43692508763723</v>
      </c>
      <c r="K20" s="76">
        <f>0.0012*E9*E7</f>
        <v>204</v>
      </c>
      <c r="L20" s="79">
        <f>E7*3.141*H20^2/MAX(J20,K20)/4</f>
        <v>384.9264705882353</v>
      </c>
      <c r="M20" s="78">
        <f>MIN(300,3*G5)</f>
        <v>300</v>
      </c>
      <c r="N20" s="126">
        <v>300</v>
      </c>
      <c r="O20" s="79">
        <f>MAX(J20,K20)</f>
        <v>204</v>
      </c>
      <c r="P20" s="79">
        <f>((((3.14/4)*E10^2)*1000)/N20)</f>
        <v>261.66666666666669</v>
      </c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spans="1:38" x14ac:dyDescent="0.3">
      <c r="A21" s="161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1:38" x14ac:dyDescent="0.3">
      <c r="A22" s="35" t="s">
        <v>84</v>
      </c>
      <c r="B22" s="35"/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8" x14ac:dyDescent="0.3">
      <c r="A23" s="75" t="s">
        <v>34</v>
      </c>
      <c r="B23" s="79">
        <f>B3*1000/B6/E12</f>
        <v>68.84615384615384</v>
      </c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1:38" x14ac:dyDescent="0.3">
      <c r="A24" s="75" t="s">
        <v>35</v>
      </c>
      <c r="B24" s="76" t="str">
        <f>IF(B7&gt;B23,"SAFE","UNSAFE")</f>
        <v>SAFE</v>
      </c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 spans="1:38" x14ac:dyDescent="0.3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 spans="1:38" x14ac:dyDescent="0.3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spans="1:38" x14ac:dyDescent="0.3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spans="1:38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</row>
    <row r="29" spans="1:38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</row>
    <row r="30" spans="1:38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1:38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</row>
    <row r="32" spans="1:38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</row>
    <row r="35" spans="1:38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</row>
    <row r="36" spans="1:38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</row>
    <row r="37" spans="1:38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</row>
    <row r="38" spans="1:38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</row>
    <row r="39" spans="1:38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8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8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8" x14ac:dyDescent="0.3"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38" x14ac:dyDescent="0.3"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38" x14ac:dyDescent="0.3"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38" x14ac:dyDescent="0.3"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38" x14ac:dyDescent="0.3"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38" x14ac:dyDescent="0.3"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38" x14ac:dyDescent="0.3"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101" spans="2:17" x14ac:dyDescent="0.3">
      <c r="B101" t="s">
        <v>10</v>
      </c>
      <c r="E101" t="s">
        <v>94</v>
      </c>
    </row>
    <row r="102" spans="2:17" x14ac:dyDescent="0.3">
      <c r="B102" t="s">
        <v>6</v>
      </c>
      <c r="E102" t="s">
        <v>95</v>
      </c>
    </row>
    <row r="103" spans="2:17" x14ac:dyDescent="0.3">
      <c r="B103" t="s">
        <v>9</v>
      </c>
      <c r="E103" t="s">
        <v>96</v>
      </c>
    </row>
    <row r="104" spans="2:17" x14ac:dyDescent="0.3">
      <c r="B104" t="s">
        <v>7</v>
      </c>
    </row>
    <row r="107" spans="2:17" x14ac:dyDescent="0.3">
      <c r="L107" s="166"/>
      <c r="M107" s="166"/>
      <c r="N107" s="166"/>
      <c r="O107" s="166"/>
      <c r="P107" s="166"/>
      <c r="Q107" s="166"/>
    </row>
    <row r="108" spans="2:17" x14ac:dyDescent="0.3">
      <c r="B108" t="s">
        <v>10</v>
      </c>
      <c r="L108" s="166"/>
      <c r="M108" s="166"/>
      <c r="N108" s="166"/>
      <c r="O108" s="166"/>
      <c r="P108" s="166"/>
      <c r="Q108" s="166"/>
    </row>
    <row r="109" spans="2:17" x14ac:dyDescent="0.3">
      <c r="B109" t="s">
        <v>57</v>
      </c>
    </row>
    <row r="110" spans="2:17" x14ac:dyDescent="0.3">
      <c r="B110" t="s">
        <v>58</v>
      </c>
    </row>
    <row r="111" spans="2:17" x14ac:dyDescent="0.3">
      <c r="B111" t="s">
        <v>59</v>
      </c>
    </row>
    <row r="112" spans="2:17" x14ac:dyDescent="0.3">
      <c r="B112" t="s">
        <v>60</v>
      </c>
    </row>
    <row r="113" spans="2:2" x14ac:dyDescent="0.3">
      <c r="B113" t="s">
        <v>61</v>
      </c>
    </row>
    <row r="114" spans="2:2" x14ac:dyDescent="0.3">
      <c r="B114" t="s">
        <v>62</v>
      </c>
    </row>
    <row r="115" spans="2:2" x14ac:dyDescent="0.3">
      <c r="B115" t="s">
        <v>63</v>
      </c>
    </row>
    <row r="116" spans="2:2" x14ac:dyDescent="0.3">
      <c r="B116" t="s">
        <v>64</v>
      </c>
    </row>
    <row r="117" spans="2:2" x14ac:dyDescent="0.3">
      <c r="B117" t="s">
        <v>65</v>
      </c>
    </row>
  </sheetData>
  <mergeCells count="5">
    <mergeCell ref="L107:Q108"/>
    <mergeCell ref="F9:K10"/>
    <mergeCell ref="A16:B16"/>
    <mergeCell ref="C16:D16"/>
    <mergeCell ref="I16:J16"/>
  </mergeCells>
  <dataValidations count="3">
    <dataValidation type="list" allowBlank="1" showInputMessage="1" showErrorMessage="1" sqref="B5">
      <formula1>$B$101:$B$104</formula1>
    </dataValidation>
    <dataValidation type="list" allowBlank="1" showInputMessage="1" showErrorMessage="1" sqref="E3">
      <formula1>$B$108:$B$117</formula1>
    </dataValidation>
    <dataValidation type="list" allowBlank="1" showInputMessage="1" showErrorMessage="1" sqref="F9:K10">
      <formula1>$E$101:$E$103</formula1>
    </dataValidation>
  </dataValidations>
  <pageMargins left="0.7" right="0.7" top="0.75" bottom="0.75" header="0.3" footer="0.3"/>
  <pageSetup orientation="portrait" horizontalDpi="300" verticalDpi="300" r:id="rId1"/>
  <ignoredErrors>
    <ignoredError sqref="G19 O1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opLeftCell="A7" zoomScaleNormal="100" workbookViewId="0">
      <selection activeCell="G31" sqref="G31"/>
    </sheetView>
  </sheetViews>
  <sheetFormatPr defaultRowHeight="14.4" x14ac:dyDescent="0.3"/>
  <cols>
    <col min="15" max="16" width="8.88671875" customWidth="1"/>
  </cols>
  <sheetData>
    <row r="1" spans="1:29" ht="21" x14ac:dyDescent="0.4">
      <c r="A1" s="20" t="s">
        <v>36</v>
      </c>
      <c r="B1" s="19"/>
      <c r="C1" s="19"/>
      <c r="D1" s="19"/>
      <c r="E1" s="19"/>
      <c r="F1" s="19"/>
      <c r="G1" s="1"/>
      <c r="H1" s="1"/>
      <c r="I1" s="1"/>
      <c r="J1" s="1"/>
      <c r="K1" s="1"/>
      <c r="L1" s="1"/>
      <c r="M1" s="1"/>
      <c r="N1" s="60"/>
      <c r="O1" s="188" t="s">
        <v>47</v>
      </c>
      <c r="P1" s="189"/>
      <c r="Q1" s="189"/>
      <c r="R1" s="189"/>
      <c r="S1" s="189"/>
      <c r="T1" s="189"/>
      <c r="U1" s="190"/>
      <c r="V1" s="188"/>
      <c r="W1" s="189"/>
      <c r="X1" s="1"/>
      <c r="Y1" s="1"/>
      <c r="Z1" s="67"/>
      <c r="AA1" s="67"/>
      <c r="AB1" s="67"/>
      <c r="AC1" s="67"/>
    </row>
    <row r="2" spans="1:29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91" t="s">
        <v>48</v>
      </c>
      <c r="O2" s="191"/>
      <c r="P2" s="191"/>
      <c r="Q2" s="191"/>
      <c r="R2" s="191"/>
      <c r="S2" s="191"/>
      <c r="T2" s="191"/>
      <c r="U2" s="191"/>
      <c r="V2" s="191"/>
      <c r="W2" s="191"/>
      <c r="X2" s="1"/>
      <c r="Y2" s="1"/>
      <c r="Z2" s="67"/>
      <c r="AA2" s="67"/>
      <c r="AB2" s="67"/>
      <c r="AC2" s="67"/>
    </row>
    <row r="3" spans="1:29" ht="20.399999999999999" x14ac:dyDescent="0.3">
      <c r="A3" s="179" t="s">
        <v>37</v>
      </c>
      <c r="B3" s="180"/>
      <c r="C3" s="180"/>
      <c r="D3" s="180"/>
      <c r="E3" s="180"/>
      <c r="F3" s="180"/>
      <c r="G3" s="181"/>
      <c r="H3" s="1"/>
      <c r="I3" s="1"/>
      <c r="J3" s="1"/>
      <c r="K3" s="1"/>
      <c r="L3" s="1"/>
      <c r="M3" s="1"/>
      <c r="N3" s="191" t="s">
        <v>49</v>
      </c>
      <c r="O3" s="191"/>
      <c r="P3" s="191"/>
      <c r="Q3" s="191"/>
      <c r="R3" s="191"/>
      <c r="S3" s="191"/>
      <c r="T3" s="191"/>
      <c r="U3" s="191"/>
      <c r="V3" s="191"/>
      <c r="W3" s="191"/>
      <c r="X3" s="1"/>
      <c r="Y3" s="1"/>
      <c r="Z3" s="67"/>
      <c r="AA3" s="67"/>
      <c r="AB3" s="67"/>
      <c r="AC3" s="67"/>
    </row>
    <row r="4" spans="1:29" ht="20.399999999999999" x14ac:dyDescent="0.3">
      <c r="A4" s="4"/>
      <c r="B4" s="2"/>
      <c r="C4" s="2"/>
      <c r="D4" s="2"/>
      <c r="E4" s="2"/>
      <c r="F4" s="2"/>
      <c r="G4" s="3"/>
      <c r="H4" s="1"/>
      <c r="I4" s="1"/>
      <c r="J4" s="1"/>
      <c r="K4" s="1"/>
      <c r="L4" s="1"/>
      <c r="M4" s="1"/>
      <c r="N4" s="58"/>
      <c r="O4" s="61"/>
      <c r="P4" s="61"/>
      <c r="Q4" s="61"/>
      <c r="R4" s="61"/>
      <c r="S4" s="61"/>
      <c r="T4" s="61"/>
      <c r="U4" s="61"/>
      <c r="V4" s="61"/>
      <c r="W4" s="59"/>
      <c r="X4" s="1"/>
      <c r="Y4" s="1"/>
      <c r="Z4" s="67"/>
      <c r="AA4" s="67"/>
      <c r="AB4" s="67"/>
      <c r="AC4" s="67"/>
    </row>
    <row r="5" spans="1:29" ht="18" x14ac:dyDescent="0.4">
      <c r="A5" s="169" t="s">
        <v>38</v>
      </c>
      <c r="B5" s="171" t="s">
        <v>39</v>
      </c>
      <c r="C5" s="172"/>
      <c r="D5" s="172"/>
      <c r="E5" s="172"/>
      <c r="F5" s="173"/>
      <c r="G5" s="174" t="s">
        <v>40</v>
      </c>
      <c r="H5" s="1"/>
      <c r="I5" s="1"/>
      <c r="J5" s="1"/>
      <c r="K5" s="1"/>
      <c r="L5" s="1"/>
      <c r="M5" s="1"/>
      <c r="N5" s="57"/>
      <c r="O5" s="62"/>
      <c r="P5" s="62"/>
      <c r="Q5" s="186" t="s">
        <v>50</v>
      </c>
      <c r="R5" s="185"/>
      <c r="S5" s="185"/>
      <c r="T5" s="185"/>
      <c r="U5" s="187"/>
      <c r="V5" s="62"/>
      <c r="W5" s="56"/>
      <c r="X5" s="1"/>
      <c r="Y5" s="1"/>
      <c r="Z5" s="67"/>
      <c r="AA5" s="67"/>
      <c r="AB5" s="67"/>
      <c r="AC5" s="67"/>
    </row>
    <row r="6" spans="1:29" ht="16.2" thickBot="1" x14ac:dyDescent="0.35">
      <c r="A6" s="170"/>
      <c r="B6" s="176" t="s">
        <v>41</v>
      </c>
      <c r="C6" s="177"/>
      <c r="D6" s="177"/>
      <c r="E6" s="177"/>
      <c r="F6" s="178"/>
      <c r="G6" s="175"/>
      <c r="H6" s="1"/>
      <c r="I6" s="1"/>
      <c r="J6" s="1"/>
      <c r="K6" s="1"/>
      <c r="L6" s="1"/>
      <c r="M6" s="1"/>
      <c r="N6" s="57"/>
      <c r="O6" s="62"/>
      <c r="P6" s="62"/>
      <c r="Q6" s="62"/>
      <c r="R6" s="62"/>
      <c r="S6" s="62"/>
      <c r="T6" s="62"/>
      <c r="U6" s="62"/>
      <c r="V6" s="62"/>
      <c r="W6" s="56"/>
      <c r="X6" s="1"/>
      <c r="Y6" s="1"/>
      <c r="Z6" s="67"/>
      <c r="AA6" s="67"/>
      <c r="AB6" s="67"/>
      <c r="AC6" s="67"/>
    </row>
    <row r="7" spans="1:29" ht="16.2" thickBot="1" x14ac:dyDescent="0.35">
      <c r="A7" s="5"/>
      <c r="B7" s="9">
        <v>120</v>
      </c>
      <c r="C7" s="10">
        <v>145</v>
      </c>
      <c r="D7" s="10">
        <v>190</v>
      </c>
      <c r="E7" s="11">
        <v>240</v>
      </c>
      <c r="F7" s="11">
        <v>290</v>
      </c>
      <c r="G7" s="12"/>
      <c r="H7" s="1"/>
      <c r="I7" s="22"/>
      <c r="J7" s="23" t="s">
        <v>56</v>
      </c>
      <c r="K7" s="23"/>
      <c r="L7" s="24"/>
      <c r="M7" s="1"/>
      <c r="N7" s="182"/>
      <c r="O7" s="183"/>
      <c r="P7" s="183"/>
      <c r="Q7" s="183"/>
      <c r="R7" s="183"/>
      <c r="S7" s="183"/>
      <c r="T7" s="183"/>
      <c r="U7" s="183"/>
      <c r="V7" s="183"/>
      <c r="W7" s="184"/>
      <c r="X7" s="1"/>
      <c r="Y7" s="1"/>
      <c r="Z7" s="67"/>
      <c r="AA7" s="67"/>
      <c r="AB7" s="67"/>
      <c r="AC7" s="67"/>
    </row>
    <row r="8" spans="1:29" ht="15.6" x14ac:dyDescent="0.3">
      <c r="A8" s="6">
        <v>0</v>
      </c>
      <c r="B8" s="13">
        <v>2</v>
      </c>
      <c r="C8" s="14">
        <v>2</v>
      </c>
      <c r="D8" s="14">
        <v>2</v>
      </c>
      <c r="E8" s="15">
        <v>2</v>
      </c>
      <c r="F8" s="15">
        <v>2</v>
      </c>
      <c r="G8" s="16">
        <v>1</v>
      </c>
      <c r="H8" s="1"/>
      <c r="I8" s="27">
        <f>MATCH(I10,A8:A25)+1</f>
        <v>2</v>
      </c>
      <c r="J8" s="28">
        <f>VLOOKUP(K8,B7:F7,MATCH(K8,B7:F7,1))</f>
        <v>145</v>
      </c>
      <c r="K8" s="81">
        <f>0.58*'two way slab'!E6*(MIN('two way slab'!O17,'two way slab'!O18))/(MIN('two way slab'!P17,'two way slab'!P18))</f>
        <v>187.65401273885348</v>
      </c>
      <c r="L8" s="29">
        <f>VLOOKUP(K8,B7:F7,MATCH(K8,B7:F7)+1)</f>
        <v>190</v>
      </c>
      <c r="M8" s="1"/>
      <c r="N8" s="46"/>
      <c r="O8" s="47">
        <v>1</v>
      </c>
      <c r="P8" s="47">
        <v>2</v>
      </c>
      <c r="Q8" s="47">
        <v>3</v>
      </c>
      <c r="R8" s="47">
        <v>4</v>
      </c>
      <c r="S8" s="47">
        <v>5</v>
      </c>
      <c r="T8" s="47">
        <v>6</v>
      </c>
      <c r="U8" s="47">
        <v>7</v>
      </c>
      <c r="V8" s="47">
        <v>8</v>
      </c>
      <c r="W8" s="47">
        <v>9</v>
      </c>
      <c r="X8" s="1"/>
      <c r="Y8" s="1"/>
      <c r="Z8" s="67"/>
      <c r="AA8" s="67"/>
      <c r="AB8" s="67"/>
      <c r="AC8" s="67"/>
    </row>
    <row r="9" spans="1:29" ht="15.6" x14ac:dyDescent="0.3">
      <c r="A9" s="7">
        <v>0.2</v>
      </c>
      <c r="B9" s="15">
        <v>2</v>
      </c>
      <c r="C9" s="15">
        <v>2</v>
      </c>
      <c r="D9" s="15">
        <v>2</v>
      </c>
      <c r="E9" s="15">
        <v>1.68</v>
      </c>
      <c r="F9" s="15">
        <v>1.4</v>
      </c>
      <c r="G9" s="16">
        <v>1.06</v>
      </c>
      <c r="H9" s="1"/>
      <c r="I9" s="30">
        <f>VLOOKUP(I10,A8:A25,1)</f>
        <v>0</v>
      </c>
      <c r="J9" s="25">
        <f>VLOOKUP(I9,A8:G25,MATCH(J8,B7:F7)+1)</f>
        <v>2</v>
      </c>
      <c r="K9" s="25"/>
      <c r="L9" s="31">
        <f>VLOOKUP(I9,A8:G25,MATCH(L8,B7:F7)+1)</f>
        <v>2</v>
      </c>
      <c r="M9" s="1"/>
      <c r="N9" s="48" t="s">
        <v>51</v>
      </c>
      <c r="O9" s="15"/>
      <c r="P9" s="15"/>
      <c r="Q9" s="15"/>
      <c r="R9" s="15"/>
      <c r="S9" s="15"/>
      <c r="T9" s="15"/>
      <c r="U9" s="15"/>
      <c r="V9" s="15"/>
      <c r="W9" s="49"/>
      <c r="X9" s="1"/>
      <c r="Y9" s="1"/>
      <c r="Z9" s="67"/>
      <c r="AA9" s="67"/>
      <c r="AB9" s="67"/>
      <c r="AC9" s="67"/>
    </row>
    <row r="10" spans="1:29" ht="15.6" x14ac:dyDescent="0.3">
      <c r="A10" s="6">
        <v>0.3</v>
      </c>
      <c r="B10" s="15">
        <v>2</v>
      </c>
      <c r="C10" s="15">
        <v>2</v>
      </c>
      <c r="D10" s="15">
        <v>1.89</v>
      </c>
      <c r="E10" s="15">
        <v>1.47</v>
      </c>
      <c r="F10" s="15">
        <v>1.23</v>
      </c>
      <c r="G10" s="16">
        <v>1.0900000000000001</v>
      </c>
      <c r="H10" s="1"/>
      <c r="I10" s="83">
        <f>'two way slab'!E11</f>
        <v>0.17444444444444443</v>
      </c>
      <c r="J10" s="25"/>
      <c r="K10" s="82">
        <f>((((L8-x)*(I11-I10))/(L8-J8)/(I11-I9))*J9+(((x-J8)*(I11-I10)/(L8-J8))/(I11-I9))*L9+(((L8-x)*(I10-I9))/(L8-J8)/(I11-I9))*J11+(((x-J8)*(I10-I9))/(L8-J8)/(I11-I9))*L11)</f>
        <v>2</v>
      </c>
      <c r="L10" s="31"/>
      <c r="M10" s="1"/>
      <c r="N10" s="50">
        <v>1</v>
      </c>
      <c r="O10" s="51">
        <v>3.2000000000000001E-2</v>
      </c>
      <c r="P10" s="51">
        <v>3.6999999999999998E-2</v>
      </c>
      <c r="Q10" s="51">
        <v>3.6999999999999998E-2</v>
      </c>
      <c r="R10" s="51">
        <v>4.7E-2</v>
      </c>
      <c r="S10" s="51">
        <v>4.4999999999999998E-2</v>
      </c>
      <c r="T10" s="51">
        <v>0</v>
      </c>
      <c r="U10" s="51">
        <v>5.7000000000000002E-2</v>
      </c>
      <c r="V10" s="51">
        <v>0</v>
      </c>
      <c r="W10" s="51">
        <v>0</v>
      </c>
      <c r="X10" s="1"/>
      <c r="Y10" s="1"/>
      <c r="Z10" s="67"/>
      <c r="AA10" s="67"/>
      <c r="AB10" s="67"/>
      <c r="AC10" s="67"/>
    </row>
    <row r="11" spans="1:29" ht="16.2" thickBot="1" x14ac:dyDescent="0.35">
      <c r="A11" s="7">
        <v>0.4</v>
      </c>
      <c r="B11" s="15">
        <v>2</v>
      </c>
      <c r="C11" s="15">
        <v>2</v>
      </c>
      <c r="D11" s="15">
        <v>1.68</v>
      </c>
      <c r="E11" s="15">
        <v>1.34</v>
      </c>
      <c r="F11" s="15">
        <v>1.1299999999999999</v>
      </c>
      <c r="G11" s="16">
        <v>1.1200000000000001</v>
      </c>
      <c r="H11" s="1"/>
      <c r="I11" s="32">
        <f>INDEX(A8:A25,I8,1)</f>
        <v>0.2</v>
      </c>
      <c r="J11" s="33">
        <f>VLOOKUP(I11,A8:G25,MATCH(J8,B7:F7)+1)</f>
        <v>2</v>
      </c>
      <c r="K11" s="33"/>
      <c r="L11" s="34">
        <f>VLOOKUP(I11,A8:G25,MATCH(L8,B7:F7)+1)</f>
        <v>2</v>
      </c>
      <c r="M11" s="1"/>
      <c r="N11" s="50">
        <v>1.1000000000000001</v>
      </c>
      <c r="O11" s="51">
        <v>3.6999999999999998E-2</v>
      </c>
      <c r="P11" s="51">
        <v>4.2999999999999997E-2</v>
      </c>
      <c r="Q11" s="51">
        <v>4.3999999999999997E-2</v>
      </c>
      <c r="R11" s="51">
        <v>5.2999999999999999E-2</v>
      </c>
      <c r="S11" s="51">
        <v>4.9000000000000002E-2</v>
      </c>
      <c r="T11" s="51">
        <v>0</v>
      </c>
      <c r="U11" s="51">
        <v>6.4000000000000001E-2</v>
      </c>
      <c r="V11" s="51">
        <v>0</v>
      </c>
      <c r="W11" s="51">
        <v>0</v>
      </c>
      <c r="X11" s="1"/>
      <c r="Y11" s="1"/>
      <c r="Z11" s="67"/>
      <c r="AA11" s="67"/>
      <c r="AB11" s="67"/>
      <c r="AC11" s="67"/>
    </row>
    <row r="12" spans="1:29" ht="16.2" thickBot="1" x14ac:dyDescent="0.35">
      <c r="A12" s="7">
        <v>0.5</v>
      </c>
      <c r="B12" s="15">
        <v>2</v>
      </c>
      <c r="C12" s="15">
        <v>1.95</v>
      </c>
      <c r="D12" s="15">
        <v>1.53</v>
      </c>
      <c r="E12" s="15">
        <v>1.23</v>
      </c>
      <c r="F12" s="15">
        <v>1.04</v>
      </c>
      <c r="G12" s="16">
        <v>1.1399999999999999</v>
      </c>
      <c r="H12" s="1"/>
      <c r="I12" s="1"/>
      <c r="J12" s="1"/>
      <c r="K12" s="1"/>
      <c r="L12" s="1"/>
      <c r="M12" s="1"/>
      <c r="N12" s="50">
        <v>1.2</v>
      </c>
      <c r="O12" s="51">
        <v>4.2999999999999997E-2</v>
      </c>
      <c r="P12" s="51">
        <v>4.8000000000000001E-2</v>
      </c>
      <c r="Q12" s="51">
        <v>5.1999999999999998E-2</v>
      </c>
      <c r="R12" s="51">
        <v>0.06</v>
      </c>
      <c r="S12" s="51">
        <v>5.1999999999999998E-2</v>
      </c>
      <c r="T12" s="51">
        <v>0</v>
      </c>
      <c r="U12" s="51">
        <v>7.0999999999999994E-2</v>
      </c>
      <c r="V12" s="51">
        <v>0</v>
      </c>
      <c r="W12" s="51">
        <v>0</v>
      </c>
      <c r="X12" s="1"/>
      <c r="Y12" s="1"/>
      <c r="Z12" s="67"/>
      <c r="AA12" s="67"/>
      <c r="AB12" s="67"/>
      <c r="AC12" s="67"/>
    </row>
    <row r="13" spans="1:29" ht="15.6" x14ac:dyDescent="0.3">
      <c r="A13" s="7">
        <v>0.6</v>
      </c>
      <c r="B13" s="15">
        <v>2</v>
      </c>
      <c r="C13" s="15">
        <v>1.79</v>
      </c>
      <c r="D13" s="15">
        <v>1.43</v>
      </c>
      <c r="E13" s="15">
        <v>1.17</v>
      </c>
      <c r="F13" s="15">
        <v>0.98</v>
      </c>
      <c r="G13" s="16">
        <v>1.1599999999999999</v>
      </c>
      <c r="H13" s="1"/>
      <c r="I13" s="192" t="s">
        <v>25</v>
      </c>
      <c r="J13" s="195"/>
      <c r="K13" s="192" t="s">
        <v>66</v>
      </c>
      <c r="L13" s="194"/>
      <c r="M13" s="1"/>
      <c r="N13" s="50">
        <v>1.3</v>
      </c>
      <c r="O13" s="51">
        <v>4.7E-2</v>
      </c>
      <c r="P13" s="51">
        <v>5.0999999999999997E-2</v>
      </c>
      <c r="Q13" s="51">
        <v>5.7000000000000002E-2</v>
      </c>
      <c r="R13" s="51">
        <v>6.5000000000000002E-2</v>
      </c>
      <c r="S13" s="51">
        <v>5.6000000000000001E-2</v>
      </c>
      <c r="T13" s="51">
        <v>0</v>
      </c>
      <c r="U13" s="51">
        <v>7.5999999999999998E-2</v>
      </c>
      <c r="V13" s="51">
        <v>0</v>
      </c>
      <c r="W13" s="51">
        <v>0</v>
      </c>
      <c r="X13" s="1"/>
      <c r="Y13" s="1"/>
      <c r="Z13" s="67"/>
      <c r="AA13" s="67"/>
      <c r="AB13" s="67"/>
      <c r="AC13" s="67"/>
    </row>
    <row r="14" spans="1:29" ht="15.6" x14ac:dyDescent="0.3">
      <c r="A14" s="7">
        <v>0.8</v>
      </c>
      <c r="B14" s="15">
        <v>1.78</v>
      </c>
      <c r="C14" s="15">
        <v>1.57</v>
      </c>
      <c r="D14" s="15">
        <v>1.29</v>
      </c>
      <c r="E14" s="15">
        <v>1.06</v>
      </c>
      <c r="F14" s="15">
        <v>0.9</v>
      </c>
      <c r="G14" s="16">
        <v>1.21</v>
      </c>
      <c r="H14" s="1"/>
      <c r="I14" s="38">
        <f>MATCH(I16,N10:N18)+1</f>
        <v>3</v>
      </c>
      <c r="J14" s="42">
        <f>VLOOKUP('two way slab'!G3,data!O8:W8,MATCH('two way slab'!G3,data!O8:W8,0))</f>
        <v>2</v>
      </c>
      <c r="K14" s="40">
        <f>MATCH(K16,N20:N28)+1</f>
        <v>3</v>
      </c>
      <c r="L14" s="39">
        <f>VLOOKUP('two way slab'!G3,data!O8:W8,MATCH('two way slab'!G3,data!O8:W8,0))</f>
        <v>2</v>
      </c>
      <c r="M14" s="1"/>
      <c r="N14" s="50">
        <v>1.4</v>
      </c>
      <c r="O14" s="51">
        <v>5.0999999999999997E-2</v>
      </c>
      <c r="P14" s="51">
        <v>5.5E-2</v>
      </c>
      <c r="Q14" s="51">
        <v>6.3E-2</v>
      </c>
      <c r="R14" s="51">
        <v>7.0999999999999994E-2</v>
      </c>
      <c r="S14" s="51">
        <v>5.8999999999999997E-2</v>
      </c>
      <c r="T14" s="51">
        <v>0</v>
      </c>
      <c r="U14" s="51">
        <v>0.08</v>
      </c>
      <c r="V14" s="51">
        <v>0</v>
      </c>
      <c r="W14" s="51">
        <v>0</v>
      </c>
      <c r="X14" s="1"/>
      <c r="Y14" s="1"/>
      <c r="Z14" s="67"/>
      <c r="AA14" s="67"/>
      <c r="AB14" s="67"/>
      <c r="AC14" s="67"/>
    </row>
    <row r="15" spans="1:29" ht="15.6" x14ac:dyDescent="0.3">
      <c r="A15" s="7">
        <v>1</v>
      </c>
      <c r="B15" s="15">
        <v>1.6</v>
      </c>
      <c r="C15" s="15">
        <v>1.42</v>
      </c>
      <c r="D15" s="15">
        <v>1.2</v>
      </c>
      <c r="E15" s="15">
        <v>0.99</v>
      </c>
      <c r="F15" s="15">
        <v>0.85</v>
      </c>
      <c r="G15" s="16">
        <v>1.25</v>
      </c>
      <c r="H15" s="1"/>
      <c r="I15" s="40">
        <f>VLOOKUP(I16,N10:N18,1)</f>
        <v>1.1000000000000001</v>
      </c>
      <c r="J15" s="42">
        <f>VLOOKUP(I15,N10:W18,MATCH(J14,O8:W8)+1)</f>
        <v>4.2999999999999997E-2</v>
      </c>
      <c r="K15" s="40">
        <f>VLOOKUP(K16,N20:N28,1)</f>
        <v>1.1000000000000001</v>
      </c>
      <c r="L15" s="39">
        <f>VLOOKUP(K15,N20:W28,MATCH(L14,O8:W8)+1)</f>
        <v>3.2000000000000001E-2</v>
      </c>
      <c r="M15" s="1"/>
      <c r="N15" s="50">
        <v>1.5</v>
      </c>
      <c r="O15" s="51">
        <v>5.2999999999999999E-2</v>
      </c>
      <c r="P15" s="51">
        <v>5.7000000000000002E-2</v>
      </c>
      <c r="Q15" s="51">
        <v>6.7000000000000004E-2</v>
      </c>
      <c r="R15" s="51">
        <v>7.4999999999999997E-2</v>
      </c>
      <c r="S15" s="51">
        <v>0.06</v>
      </c>
      <c r="T15" s="51">
        <v>0</v>
      </c>
      <c r="U15" s="51">
        <v>8.4000000000000005E-2</v>
      </c>
      <c r="V15" s="51">
        <v>0</v>
      </c>
      <c r="W15" s="51">
        <v>0</v>
      </c>
      <c r="X15" s="1"/>
      <c r="Y15" s="1"/>
      <c r="Z15" s="67"/>
      <c r="AA15" s="67"/>
      <c r="AB15" s="67"/>
      <c r="AC15" s="67"/>
    </row>
    <row r="16" spans="1:29" ht="15.6" x14ac:dyDescent="0.3">
      <c r="A16" s="7">
        <v>1.2</v>
      </c>
      <c r="B16" s="15">
        <v>1.5</v>
      </c>
      <c r="C16" s="15">
        <v>1.33</v>
      </c>
      <c r="D16" s="15">
        <v>1.1200000000000001</v>
      </c>
      <c r="E16" s="15">
        <v>0.95</v>
      </c>
      <c r="F16" s="15">
        <v>0.81</v>
      </c>
      <c r="G16" s="16">
        <v>1.28</v>
      </c>
      <c r="H16" s="1"/>
      <c r="I16" s="83">
        <f>'two way slab'!E4</f>
        <v>1.1564245810055864</v>
      </c>
      <c r="J16" s="84">
        <f>J15+(((J17-J15)/(I17-I15))*(I16-I15))</f>
        <v>4.582122905027932E-2</v>
      </c>
      <c r="K16" s="83">
        <f>'two way slab'!E4</f>
        <v>1.1564245810055864</v>
      </c>
      <c r="L16" s="85">
        <f>L15+(((L17-L15)/(K17-K15))*(K16-K15))</f>
        <v>3.4256983240223457E-2</v>
      </c>
      <c r="M16" s="1"/>
      <c r="N16" s="50">
        <v>1.75</v>
      </c>
      <c r="O16" s="51">
        <v>0.06</v>
      </c>
      <c r="P16" s="51">
        <v>6.4000000000000001E-2</v>
      </c>
      <c r="Q16" s="51">
        <v>7.6999999999999999E-2</v>
      </c>
      <c r="R16" s="51">
        <v>8.4000000000000005E-2</v>
      </c>
      <c r="S16" s="51">
        <v>6.5000000000000002E-2</v>
      </c>
      <c r="T16" s="51">
        <v>0</v>
      </c>
      <c r="U16" s="51">
        <v>9.0999999999999998E-2</v>
      </c>
      <c r="V16" s="51">
        <v>0</v>
      </c>
      <c r="W16" s="51">
        <v>0</v>
      </c>
      <c r="X16" s="1"/>
      <c r="Y16" s="1"/>
      <c r="Z16" s="67"/>
      <c r="AA16" s="67"/>
      <c r="AB16" s="67"/>
      <c r="AC16" s="67"/>
    </row>
    <row r="17" spans="1:29" ht="16.2" thickBot="1" x14ac:dyDescent="0.35">
      <c r="A17" s="7">
        <v>1.4</v>
      </c>
      <c r="B17" s="15">
        <v>1.41</v>
      </c>
      <c r="C17" s="15">
        <v>1.26</v>
      </c>
      <c r="D17" s="15">
        <v>1.08</v>
      </c>
      <c r="E17" s="15">
        <v>0.92</v>
      </c>
      <c r="F17" s="15">
        <v>0.78</v>
      </c>
      <c r="G17" s="16">
        <v>1.31</v>
      </c>
      <c r="H17" s="1"/>
      <c r="I17" s="43">
        <f>INDEX(N10:N18,I14,1)</f>
        <v>1.2</v>
      </c>
      <c r="J17" s="44">
        <f>VLOOKUP(I17,N10:W18,MATCH(J14,O8:W8)+1)</f>
        <v>4.8000000000000001E-2</v>
      </c>
      <c r="K17" s="43">
        <f>INDEX(N20:N28,K14,1)</f>
        <v>1.2</v>
      </c>
      <c r="L17" s="45">
        <f>VLOOKUP(I17,N20:W28,MATCH(L14,O8:W8)+1)</f>
        <v>3.5999999999999997E-2</v>
      </c>
      <c r="M17" s="1"/>
      <c r="N17" s="50">
        <v>2</v>
      </c>
      <c r="O17" s="51">
        <v>6.5000000000000002E-2</v>
      </c>
      <c r="P17" s="51">
        <v>6.8000000000000005E-2</v>
      </c>
      <c r="Q17" s="51">
        <v>8.5000000000000006E-2</v>
      </c>
      <c r="R17" s="51">
        <v>9.0999999999999998E-2</v>
      </c>
      <c r="S17" s="51">
        <v>6.9000000000000006E-2</v>
      </c>
      <c r="T17" s="51">
        <v>0</v>
      </c>
      <c r="U17" s="51">
        <v>9.7000000000000003E-2</v>
      </c>
      <c r="V17" s="51">
        <v>0</v>
      </c>
      <c r="W17" s="51">
        <v>0</v>
      </c>
      <c r="X17" s="1"/>
      <c r="Y17" s="1"/>
      <c r="Z17" s="67"/>
      <c r="AA17" s="67"/>
      <c r="AB17" s="67"/>
      <c r="AC17" s="67"/>
    </row>
    <row r="18" spans="1:29" ht="15.6" x14ac:dyDescent="0.3">
      <c r="A18" s="7">
        <v>1.6</v>
      </c>
      <c r="B18" s="15">
        <v>1.34</v>
      </c>
      <c r="C18" s="15">
        <v>1.21</v>
      </c>
      <c r="D18" s="15">
        <v>1.03</v>
      </c>
      <c r="E18" s="15">
        <v>0.88</v>
      </c>
      <c r="F18" s="15">
        <v>0.75</v>
      </c>
      <c r="G18" s="16">
        <v>1.34</v>
      </c>
      <c r="H18" s="1"/>
      <c r="I18" s="192" t="s">
        <v>24</v>
      </c>
      <c r="J18" s="195"/>
      <c r="K18" s="192" t="s">
        <v>67</v>
      </c>
      <c r="L18" s="194"/>
      <c r="M18" s="1"/>
      <c r="N18" s="50">
        <v>2.1</v>
      </c>
      <c r="O18" s="51">
        <v>6.5000000000000002E-2</v>
      </c>
      <c r="P18" s="51">
        <v>6.8000000000000005E-2</v>
      </c>
      <c r="Q18" s="51">
        <v>8.5000000000000006E-2</v>
      </c>
      <c r="R18" s="51">
        <v>9.0999999999999998E-2</v>
      </c>
      <c r="S18" s="51">
        <v>6.9000000000000006E-2</v>
      </c>
      <c r="T18" s="51">
        <v>0</v>
      </c>
      <c r="U18" s="51">
        <v>9.7000000000000003E-2</v>
      </c>
      <c r="V18" s="51">
        <v>0</v>
      </c>
      <c r="W18" s="51">
        <v>0</v>
      </c>
      <c r="X18" s="1"/>
      <c r="Y18" s="1"/>
      <c r="Z18" s="67"/>
      <c r="AA18" s="67"/>
      <c r="AB18" s="67"/>
      <c r="AC18" s="67"/>
    </row>
    <row r="19" spans="1:29" ht="15.6" x14ac:dyDescent="0.3">
      <c r="A19" s="7">
        <v>1.8</v>
      </c>
      <c r="B19" s="15">
        <v>1.3</v>
      </c>
      <c r="C19" s="15">
        <v>1.17</v>
      </c>
      <c r="D19" s="15">
        <v>0.99</v>
      </c>
      <c r="E19" s="15">
        <v>0.85</v>
      </c>
      <c r="F19" s="15">
        <v>0.72</v>
      </c>
      <c r="G19" s="16">
        <v>1.36</v>
      </c>
      <c r="H19" s="1"/>
      <c r="I19" s="40"/>
      <c r="J19" s="42">
        <f>MATCH(L14,O8:W8,0)</f>
        <v>2</v>
      </c>
      <c r="K19" s="40"/>
      <c r="L19" s="39">
        <f>MATCH(L14,O8:W8,0)</f>
        <v>2</v>
      </c>
      <c r="M19" s="1"/>
      <c r="N19" s="185" t="s">
        <v>52</v>
      </c>
      <c r="O19" s="185"/>
      <c r="P19" s="185"/>
      <c r="Q19" s="185"/>
      <c r="R19" s="185"/>
      <c r="S19" s="185"/>
      <c r="T19" s="185"/>
      <c r="U19" s="185"/>
      <c r="V19" s="185"/>
      <c r="W19" s="185"/>
      <c r="X19" s="1"/>
      <c r="Y19" s="1"/>
      <c r="Z19" s="67"/>
      <c r="AA19" s="67"/>
      <c r="AB19" s="67"/>
      <c r="AC19" s="67"/>
    </row>
    <row r="20" spans="1:29" ht="16.2" thickBot="1" x14ac:dyDescent="0.35">
      <c r="A20" s="7">
        <v>2</v>
      </c>
      <c r="B20" s="15">
        <v>1.23</v>
      </c>
      <c r="C20" s="15">
        <v>1.1200000000000001</v>
      </c>
      <c r="D20" s="15">
        <v>0.97</v>
      </c>
      <c r="E20" s="15">
        <v>0.83</v>
      </c>
      <c r="F20" s="15">
        <v>0.71</v>
      </c>
      <c r="G20" s="16">
        <v>1.39</v>
      </c>
      <c r="H20" s="1"/>
      <c r="I20" s="41"/>
      <c r="J20" s="86">
        <f>INDEX(O30:W30,J19)</f>
        <v>3.6999999999999998E-2</v>
      </c>
      <c r="K20" s="41"/>
      <c r="L20" s="87">
        <f>INDEX(O32:W32,L19)</f>
        <v>2.8000000000000001E-2</v>
      </c>
      <c r="M20" s="1"/>
      <c r="N20" s="47">
        <v>1</v>
      </c>
      <c r="O20" s="51">
        <v>2.4E-2</v>
      </c>
      <c r="P20" s="51">
        <v>2.8000000000000001E-2</v>
      </c>
      <c r="Q20" s="51">
        <v>2.8000000000000001E-2</v>
      </c>
      <c r="R20" s="51">
        <v>3.5000000000000003E-2</v>
      </c>
      <c r="S20" s="51">
        <v>3.5000000000000003E-2</v>
      </c>
      <c r="T20" s="51">
        <v>3.5000000000000003E-2</v>
      </c>
      <c r="U20" s="51">
        <v>4.2999999999999997E-2</v>
      </c>
      <c r="V20" s="51">
        <v>4.2999999999999997E-2</v>
      </c>
      <c r="W20" s="51">
        <v>5.6000000000000001E-2</v>
      </c>
      <c r="X20" s="1"/>
      <c r="Y20" s="1"/>
      <c r="Z20" s="67"/>
      <c r="AA20" s="67"/>
      <c r="AB20" s="67"/>
      <c r="AC20" s="67"/>
    </row>
    <row r="21" spans="1:29" ht="15.6" x14ac:dyDescent="0.3">
      <c r="A21" s="7">
        <v>2.2000000000000002</v>
      </c>
      <c r="B21" s="15">
        <v>1.2</v>
      </c>
      <c r="C21" s="15">
        <v>1.1000000000000001</v>
      </c>
      <c r="D21" s="15">
        <v>0.94</v>
      </c>
      <c r="E21" s="15">
        <v>0.82</v>
      </c>
      <c r="F21" s="15">
        <v>0.7</v>
      </c>
      <c r="G21" s="16">
        <v>1.41</v>
      </c>
      <c r="H21" s="1"/>
      <c r="I21" s="1"/>
      <c r="J21" s="1"/>
      <c r="K21" s="1"/>
      <c r="L21" s="1"/>
      <c r="M21" s="1"/>
      <c r="N21" s="47">
        <v>1.1000000000000001</v>
      </c>
      <c r="O21" s="51">
        <v>2.8000000000000001E-2</v>
      </c>
      <c r="P21" s="51">
        <v>3.2000000000000001E-2</v>
      </c>
      <c r="Q21" s="51">
        <v>3.3000000000000002E-2</v>
      </c>
      <c r="R21" s="51">
        <v>0.04</v>
      </c>
      <c r="S21" s="51">
        <v>3.6999999999999998E-2</v>
      </c>
      <c r="T21" s="51">
        <v>4.2999999999999997E-2</v>
      </c>
      <c r="U21" s="51">
        <v>4.8000000000000001E-2</v>
      </c>
      <c r="V21" s="51">
        <v>5.0999999999999997E-2</v>
      </c>
      <c r="W21" s="51">
        <v>6.4000000000000001E-2</v>
      </c>
      <c r="X21" s="1"/>
      <c r="Y21" s="1"/>
      <c r="Z21" s="67"/>
      <c r="AA21" s="67"/>
      <c r="AB21" s="67"/>
      <c r="AC21" s="67"/>
    </row>
    <row r="22" spans="1:29" ht="16.2" thickBot="1" x14ac:dyDescent="0.35">
      <c r="A22" s="7">
        <v>2.4</v>
      </c>
      <c r="B22" s="15">
        <v>1.18</v>
      </c>
      <c r="C22" s="15">
        <v>1.06</v>
      </c>
      <c r="D22" s="15">
        <v>0.91</v>
      </c>
      <c r="E22" s="15">
        <v>0.81</v>
      </c>
      <c r="F22" s="15">
        <v>0.69</v>
      </c>
      <c r="G22" s="16">
        <v>1.44</v>
      </c>
      <c r="H22" s="1"/>
      <c r="I22" s="1"/>
      <c r="J22" s="1"/>
      <c r="K22" s="1"/>
      <c r="L22" s="1"/>
      <c r="M22" s="1"/>
      <c r="N22" s="47">
        <v>1.2</v>
      </c>
      <c r="O22" s="51">
        <v>3.2000000000000001E-2</v>
      </c>
      <c r="P22" s="51">
        <v>3.5999999999999997E-2</v>
      </c>
      <c r="Q22" s="51">
        <v>3.9E-2</v>
      </c>
      <c r="R22" s="51">
        <v>4.4999999999999998E-2</v>
      </c>
      <c r="S22" s="51">
        <v>0.04</v>
      </c>
      <c r="T22" s="51">
        <v>5.0999999999999997E-2</v>
      </c>
      <c r="U22" s="51">
        <v>5.2999999999999999E-2</v>
      </c>
      <c r="V22" s="51">
        <v>5.8999999999999997E-2</v>
      </c>
      <c r="W22" s="51">
        <v>7.1999999999999995E-2</v>
      </c>
      <c r="X22" s="1"/>
      <c r="Y22" s="1"/>
      <c r="Z22" s="67"/>
      <c r="AA22" s="67"/>
      <c r="AB22" s="67"/>
      <c r="AC22" s="67"/>
    </row>
    <row r="23" spans="1:29" ht="15.6" x14ac:dyDescent="0.3">
      <c r="A23" s="7">
        <v>2.6</v>
      </c>
      <c r="B23" s="15">
        <v>1.1499999999999999</v>
      </c>
      <c r="C23" s="15">
        <v>1.04</v>
      </c>
      <c r="D23" s="15">
        <v>0.9</v>
      </c>
      <c r="E23" s="15">
        <v>0.8</v>
      </c>
      <c r="F23" s="15">
        <v>0.68</v>
      </c>
      <c r="G23" s="16">
        <v>1.46</v>
      </c>
      <c r="H23" s="1"/>
      <c r="I23" s="192" t="s">
        <v>97</v>
      </c>
      <c r="J23" s="193"/>
      <c r="K23" s="193" t="s">
        <v>98</v>
      </c>
      <c r="L23" s="194"/>
      <c r="M23" s="1"/>
      <c r="N23" s="47">
        <v>1.3</v>
      </c>
      <c r="O23" s="51">
        <v>3.5999999999999997E-2</v>
      </c>
      <c r="P23" s="51">
        <v>3.9E-2</v>
      </c>
      <c r="Q23" s="51">
        <v>4.3999999999999997E-2</v>
      </c>
      <c r="R23" s="51">
        <v>4.9000000000000002E-2</v>
      </c>
      <c r="S23" s="51">
        <v>4.2999999999999997E-2</v>
      </c>
      <c r="T23" s="51">
        <v>5.7000000000000002E-2</v>
      </c>
      <c r="U23" s="51">
        <v>5.7000000000000002E-2</v>
      </c>
      <c r="V23" s="51">
        <v>6.5000000000000002E-2</v>
      </c>
      <c r="W23" s="51">
        <v>7.9000000000000001E-2</v>
      </c>
      <c r="X23" s="1"/>
      <c r="Y23" s="1"/>
      <c r="Z23" s="67"/>
      <c r="AA23" s="67"/>
      <c r="AB23" s="67"/>
      <c r="AC23" s="67"/>
    </row>
    <row r="24" spans="1:29" ht="15.6" x14ac:dyDescent="0.3">
      <c r="A24" s="7">
        <v>2.8</v>
      </c>
      <c r="B24" s="15">
        <v>1.1299999999999999</v>
      </c>
      <c r="C24" s="15">
        <v>1.02</v>
      </c>
      <c r="D24" s="15">
        <v>0.89</v>
      </c>
      <c r="E24" s="15">
        <v>0.79</v>
      </c>
      <c r="F24" s="15">
        <v>0.67</v>
      </c>
      <c r="G24" s="16">
        <v>1.48</v>
      </c>
      <c r="H24" s="1"/>
      <c r="I24" s="40">
        <f>MATCH(I26,B33:B42,1)</f>
        <v>2</v>
      </c>
      <c r="J24" s="79">
        <f>MATCH(I26,B33:B42)+1</f>
        <v>3</v>
      </c>
      <c r="K24" s="76"/>
      <c r="L24" s="39"/>
      <c r="M24" s="1"/>
      <c r="N24" s="47">
        <v>1.4</v>
      </c>
      <c r="O24" s="51">
        <v>3.9E-2</v>
      </c>
      <c r="P24" s="51">
        <v>4.1000000000000002E-2</v>
      </c>
      <c r="Q24" s="51">
        <v>4.7E-2</v>
      </c>
      <c r="R24" s="51">
        <v>5.2999999999999999E-2</v>
      </c>
      <c r="S24" s="51">
        <v>4.3999999999999997E-2</v>
      </c>
      <c r="T24" s="51">
        <v>6.3E-2</v>
      </c>
      <c r="U24" s="51">
        <v>0.06</v>
      </c>
      <c r="V24" s="51">
        <v>7.0999999999999994E-2</v>
      </c>
      <c r="W24" s="51">
        <v>8.5000000000000006E-2</v>
      </c>
      <c r="X24" s="1"/>
      <c r="Y24" s="1"/>
      <c r="Z24" s="67"/>
      <c r="AA24" s="67"/>
      <c r="AB24" s="67"/>
      <c r="AC24" s="67"/>
    </row>
    <row r="25" spans="1:29" ht="16.2" thickBot="1" x14ac:dyDescent="0.35">
      <c r="A25" s="8">
        <v>3</v>
      </c>
      <c r="B25" s="17">
        <v>1.1100000000000001</v>
      </c>
      <c r="C25" s="17">
        <v>1</v>
      </c>
      <c r="D25" s="17">
        <v>0.88</v>
      </c>
      <c r="E25" s="17">
        <v>0.78</v>
      </c>
      <c r="F25" s="17">
        <v>0.67</v>
      </c>
      <c r="G25" s="18">
        <v>1.5</v>
      </c>
      <c r="H25" s="1"/>
      <c r="I25" s="112">
        <f>INDEX(B33:B42,I24)</f>
        <v>1.1000000000000001</v>
      </c>
      <c r="J25" s="76">
        <f>VLOOKUP(I25,B33:D42,3,FALSE)</f>
        <v>6.0999999999999999E-2</v>
      </c>
      <c r="K25" s="76"/>
      <c r="L25" s="39">
        <f>VLOOKUP(I25,B33:D42,2,)</f>
        <v>7.3999999999999996E-2</v>
      </c>
      <c r="M25" s="1"/>
      <c r="N25" s="47">
        <v>1.5</v>
      </c>
      <c r="O25" s="51">
        <v>4.1000000000000002E-2</v>
      </c>
      <c r="P25" s="51">
        <v>4.3999999999999997E-2</v>
      </c>
      <c r="Q25" s="51">
        <v>5.0999999999999997E-2</v>
      </c>
      <c r="R25" s="51">
        <v>5.6000000000000001E-2</v>
      </c>
      <c r="S25" s="51">
        <v>4.4999999999999998E-2</v>
      </c>
      <c r="T25" s="51">
        <v>6.8000000000000005E-2</v>
      </c>
      <c r="U25" s="51">
        <v>6.4000000000000001E-2</v>
      </c>
      <c r="V25" s="51">
        <v>7.5999999999999998E-2</v>
      </c>
      <c r="W25" s="51">
        <v>8.8999999999999996E-2</v>
      </c>
      <c r="X25" s="1"/>
      <c r="Y25" s="1"/>
      <c r="Z25" s="67"/>
      <c r="AA25" s="67"/>
      <c r="AB25" s="67"/>
      <c r="AC25" s="67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13">
        <f>'two way slab'!E4</f>
        <v>1.1564245810055864</v>
      </c>
      <c r="J26" s="116">
        <f>(J25-(((J25-J27)/(I27-I25))*(I26-I25)))</f>
        <v>5.9871508379888271E-2</v>
      </c>
      <c r="K26" s="76"/>
      <c r="L26" s="85">
        <f>(L25+(((L27-L25)/(I27-I25))*(I26-I25)))</f>
        <v>7.9642458100558644E-2</v>
      </c>
      <c r="M26" s="1"/>
      <c r="N26" s="47">
        <v>1.75</v>
      </c>
      <c r="O26" s="51">
        <v>4.4999999999999998E-2</v>
      </c>
      <c r="P26" s="51">
        <v>4.8000000000000001E-2</v>
      </c>
      <c r="Q26" s="51">
        <v>5.8999999999999997E-2</v>
      </c>
      <c r="R26" s="51">
        <v>6.3E-2</v>
      </c>
      <c r="S26" s="51">
        <v>4.9000000000000002E-2</v>
      </c>
      <c r="T26" s="51">
        <v>0.08</v>
      </c>
      <c r="U26" s="51">
        <v>6.9000000000000006E-2</v>
      </c>
      <c r="V26" s="51">
        <v>8.6999999999999994E-2</v>
      </c>
      <c r="W26" s="51">
        <v>0.1</v>
      </c>
      <c r="X26" s="1"/>
      <c r="Y26" s="1"/>
      <c r="Z26" s="67"/>
      <c r="AA26" s="67"/>
      <c r="AB26" s="67"/>
      <c r="AC26" s="67"/>
    </row>
    <row r="27" spans="1:29" ht="15" thickBot="1" x14ac:dyDescent="0.35">
      <c r="A27" s="1"/>
      <c r="B27" s="1"/>
      <c r="C27" s="1"/>
      <c r="D27" s="1"/>
      <c r="E27" s="1"/>
      <c r="F27" s="1"/>
      <c r="G27" s="1"/>
      <c r="H27" s="1"/>
      <c r="I27" s="41">
        <f>INDEX(B33:B42,J24)</f>
        <v>1.2</v>
      </c>
      <c r="J27" s="114">
        <f>VLOOKUP(I27,B33:D42,3,)</f>
        <v>5.8999999999999997E-2</v>
      </c>
      <c r="K27" s="114"/>
      <c r="L27" s="115">
        <f>VLOOKUP(I27,B33:D42,2,)</f>
        <v>8.4000000000000005E-2</v>
      </c>
      <c r="M27" s="1"/>
      <c r="N27" s="47">
        <v>2</v>
      </c>
      <c r="O27" s="51">
        <v>4.9000000000000002E-2</v>
      </c>
      <c r="P27" s="51">
        <v>5.1999999999999998E-2</v>
      </c>
      <c r="Q27" s="51">
        <v>6.5000000000000002E-2</v>
      </c>
      <c r="R27" s="51">
        <v>6.9000000000000006E-2</v>
      </c>
      <c r="S27" s="51">
        <v>5.1999999999999998E-2</v>
      </c>
      <c r="T27" s="51">
        <v>8.7999999999999995E-2</v>
      </c>
      <c r="U27" s="51">
        <v>7.2999999999999995E-2</v>
      </c>
      <c r="V27" s="51">
        <v>9.6000000000000002E-2</v>
      </c>
      <c r="W27" s="51">
        <v>0.107</v>
      </c>
      <c r="X27" s="1"/>
      <c r="Y27" s="1"/>
      <c r="Z27" s="67"/>
      <c r="AA27" s="67"/>
      <c r="AB27" s="67"/>
      <c r="AC27" s="67"/>
    </row>
    <row r="28" spans="1:29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47">
        <v>2.1</v>
      </c>
      <c r="O28" s="51">
        <v>4.9000000000000002E-2</v>
      </c>
      <c r="P28" s="51">
        <v>5.1999999999999998E-2</v>
      </c>
      <c r="Q28" s="51">
        <v>6.5000000000000002E-2</v>
      </c>
      <c r="R28" s="51">
        <v>6.9000000000000006E-2</v>
      </c>
      <c r="S28" s="51">
        <v>5.1999999999999998E-2</v>
      </c>
      <c r="T28" s="51">
        <v>8.7999999999999995E-2</v>
      </c>
      <c r="U28" s="51">
        <v>7.2999999999999995E-2</v>
      </c>
      <c r="V28" s="51">
        <v>9.6000000000000002E-2</v>
      </c>
      <c r="W28" s="51">
        <v>0.107</v>
      </c>
      <c r="X28" s="1"/>
      <c r="Y28" s="1"/>
      <c r="Z28" s="67"/>
      <c r="AA28" s="67"/>
      <c r="AB28" s="67"/>
      <c r="AC28" s="67"/>
    </row>
    <row r="29" spans="1:29" x14ac:dyDescent="0.3">
      <c r="A29" s="89" t="s">
        <v>91</v>
      </c>
      <c r="B29" s="90"/>
      <c r="C29" s="90"/>
      <c r="D29" s="90"/>
      <c r="E29" s="91"/>
      <c r="F29" s="1"/>
      <c r="G29" s="1"/>
      <c r="H29" s="1"/>
      <c r="I29" s="1"/>
      <c r="J29" s="1"/>
      <c r="K29" s="1"/>
      <c r="L29" s="1"/>
      <c r="M29" s="1"/>
      <c r="N29" s="63"/>
      <c r="O29" s="64"/>
      <c r="P29" s="186" t="s">
        <v>53</v>
      </c>
      <c r="Q29" s="185"/>
      <c r="R29" s="185"/>
      <c r="S29" s="185"/>
      <c r="T29" s="185"/>
      <c r="U29" s="185"/>
      <c r="V29" s="187"/>
      <c r="W29" s="65"/>
      <c r="X29" s="1"/>
      <c r="Y29" s="1"/>
      <c r="Z29" s="67"/>
      <c r="AA29" s="67"/>
      <c r="AB29" s="67"/>
      <c r="AC29" s="67"/>
    </row>
    <row r="30" spans="1:29" ht="15.6" x14ac:dyDescent="0.3">
      <c r="A30" s="92" t="s">
        <v>92</v>
      </c>
      <c r="B30" s="35"/>
      <c r="C30" s="35"/>
      <c r="D30" s="35"/>
      <c r="E30" s="93"/>
      <c r="F30" s="1" t="s">
        <v>158</v>
      </c>
      <c r="G30" s="1">
        <f>0.58*'two way slab'!E6</f>
        <v>240.7</v>
      </c>
      <c r="H30" s="1"/>
      <c r="I30" s="1"/>
      <c r="J30" s="1"/>
      <c r="K30" s="1"/>
      <c r="L30" s="1"/>
      <c r="M30" s="1"/>
      <c r="N30" s="52"/>
      <c r="O30" s="53">
        <v>3.2000000000000001E-2</v>
      </c>
      <c r="P30" s="53">
        <v>3.6999999999999998E-2</v>
      </c>
      <c r="Q30" s="53">
        <v>3.6999999999999998E-2</v>
      </c>
      <c r="R30" s="53">
        <v>4.7E-2</v>
      </c>
      <c r="S30" s="53">
        <v>0</v>
      </c>
      <c r="T30" s="53">
        <v>4.4999999999999998E-2</v>
      </c>
      <c r="U30" s="53">
        <v>0</v>
      </c>
      <c r="V30" s="53">
        <v>5.7000000000000002E-2</v>
      </c>
      <c r="W30" s="53">
        <v>0</v>
      </c>
      <c r="X30" s="1"/>
      <c r="Y30" s="1"/>
      <c r="Z30" s="67"/>
      <c r="AA30" s="67"/>
      <c r="AB30" s="67"/>
      <c r="AC30" s="67"/>
    </row>
    <row r="31" spans="1:29" x14ac:dyDescent="0.3">
      <c r="A31" s="92" t="s">
        <v>93</v>
      </c>
      <c r="B31" s="35"/>
      <c r="C31" s="35"/>
      <c r="D31" s="35"/>
      <c r="E31" s="93"/>
      <c r="F31" s="1" t="s">
        <v>159</v>
      </c>
      <c r="G31" s="164">
        <f>1/((0.225+0.00322*G30)-(0.625*(LOG10(1000*deff/100/MIN('two way slab'!P17,'two way slab'!P18)))))</f>
        <v>1.9008164818879965</v>
      </c>
      <c r="H31" s="1"/>
      <c r="I31" s="1"/>
      <c r="J31" s="1"/>
      <c r="K31" s="1"/>
      <c r="L31" s="1"/>
      <c r="M31" s="1"/>
      <c r="N31" s="63"/>
      <c r="O31" s="64"/>
      <c r="P31" s="186" t="s">
        <v>54</v>
      </c>
      <c r="Q31" s="185"/>
      <c r="R31" s="185"/>
      <c r="S31" s="185"/>
      <c r="T31" s="185"/>
      <c r="U31" s="187"/>
      <c r="V31" s="64"/>
      <c r="W31" s="65"/>
      <c r="X31" s="1"/>
      <c r="Y31" s="1"/>
      <c r="Z31" s="67"/>
      <c r="AA31" s="67"/>
      <c r="AB31" s="67"/>
      <c r="AC31" s="67"/>
    </row>
    <row r="32" spans="1:29" x14ac:dyDescent="0.3">
      <c r="A32" s="94"/>
      <c r="B32" s="103" t="s">
        <v>88</v>
      </c>
      <c r="C32" s="104" t="s">
        <v>89</v>
      </c>
      <c r="D32" s="105" t="s">
        <v>90</v>
      </c>
      <c r="E32" s="95"/>
      <c r="F32" s="1"/>
      <c r="G32" s="1"/>
      <c r="H32" s="1"/>
      <c r="I32" s="1"/>
      <c r="J32" s="1"/>
      <c r="K32" s="1"/>
      <c r="L32" s="1"/>
      <c r="M32" s="1"/>
      <c r="N32" s="54"/>
      <c r="O32" s="55">
        <v>2.4E-2</v>
      </c>
      <c r="P32" s="55">
        <v>2.8000000000000001E-2</v>
      </c>
      <c r="Q32" s="55">
        <v>2.8000000000000001E-2</v>
      </c>
      <c r="R32" s="55">
        <v>3.5000000000000003E-2</v>
      </c>
      <c r="S32" s="55">
        <v>3.5000000000000003E-2</v>
      </c>
      <c r="T32" s="55">
        <v>3.5000000000000003E-2</v>
      </c>
      <c r="U32" s="55">
        <v>4.2999999999999997E-2</v>
      </c>
      <c r="V32" s="55">
        <v>4.2999999999999997E-2</v>
      </c>
      <c r="W32" s="55">
        <v>5.6000000000000001E-2</v>
      </c>
      <c r="X32" s="1"/>
      <c r="Y32" s="1"/>
      <c r="Z32" s="67"/>
      <c r="AA32" s="67"/>
      <c r="AB32" s="67"/>
      <c r="AC32" s="67"/>
    </row>
    <row r="33" spans="1:29" x14ac:dyDescent="0.3">
      <c r="A33" s="94"/>
      <c r="B33" s="99">
        <v>1</v>
      </c>
      <c r="C33" s="88">
        <v>6.2E-2</v>
      </c>
      <c r="D33" s="100">
        <v>6.2E-2</v>
      </c>
      <c r="E33" s="95"/>
      <c r="F33" s="1"/>
      <c r="G33" s="1"/>
      <c r="H33" s="1"/>
      <c r="I33" s="1"/>
      <c r="J33" s="1"/>
      <c r="K33" s="1"/>
      <c r="L33" s="1"/>
      <c r="M33" s="1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1"/>
      <c r="Y33" s="1"/>
      <c r="Z33" s="67"/>
      <c r="AA33" s="67"/>
      <c r="AB33" s="67"/>
      <c r="AC33" s="67"/>
    </row>
    <row r="34" spans="1:29" x14ac:dyDescent="0.3">
      <c r="A34" s="94"/>
      <c r="B34" s="99">
        <v>1.1000000000000001</v>
      </c>
      <c r="C34" s="88">
        <v>7.3999999999999996E-2</v>
      </c>
      <c r="D34" s="100">
        <v>6.0999999999999999E-2</v>
      </c>
      <c r="E34" s="9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67"/>
      <c r="AA34" s="67"/>
      <c r="AB34" s="67"/>
      <c r="AC34" s="67"/>
    </row>
    <row r="35" spans="1:29" x14ac:dyDescent="0.3">
      <c r="A35" s="94"/>
      <c r="B35" s="99">
        <v>1.2</v>
      </c>
      <c r="C35" s="88">
        <v>8.4000000000000005E-2</v>
      </c>
      <c r="D35" s="100">
        <v>5.8999999999999997E-2</v>
      </c>
      <c r="E35" s="9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67"/>
    </row>
    <row r="36" spans="1:29" x14ac:dyDescent="0.3">
      <c r="A36" s="94"/>
      <c r="B36" s="99">
        <v>1.3</v>
      </c>
      <c r="C36" s="88">
        <v>9.2999999999999999E-2</v>
      </c>
      <c r="D36" s="100">
        <v>5.5E-2</v>
      </c>
      <c r="E36" s="9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67"/>
    </row>
    <row r="37" spans="1:29" x14ac:dyDescent="0.3">
      <c r="A37" s="94"/>
      <c r="B37" s="99">
        <v>1.4</v>
      </c>
      <c r="C37" s="88">
        <v>9.9000000000000005E-2</v>
      </c>
      <c r="D37" s="100">
        <v>5.0999999999999997E-2</v>
      </c>
      <c r="E37" s="9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67"/>
    </row>
    <row r="38" spans="1:29" x14ac:dyDescent="0.3">
      <c r="A38" s="94"/>
      <c r="B38" s="99">
        <v>1.5</v>
      </c>
      <c r="C38" s="88">
        <v>0.104</v>
      </c>
      <c r="D38" s="100">
        <v>4.5999999999999999E-2</v>
      </c>
      <c r="E38" s="9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67"/>
    </row>
    <row r="39" spans="1:29" x14ac:dyDescent="0.3">
      <c r="A39" s="94"/>
      <c r="B39" s="99">
        <v>1.75</v>
      </c>
      <c r="C39" s="88">
        <v>0.113</v>
      </c>
      <c r="D39" s="100">
        <v>3.6999999999999998E-2</v>
      </c>
      <c r="E39" s="9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67"/>
    </row>
    <row r="40" spans="1:29" x14ac:dyDescent="0.3">
      <c r="A40" s="94"/>
      <c r="B40" s="99">
        <v>2</v>
      </c>
      <c r="C40" s="88">
        <v>0.11799999999999999</v>
      </c>
      <c r="D40" s="100">
        <v>2.9000000000000001E-2</v>
      </c>
      <c r="E40" s="9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9" x14ac:dyDescent="0.3">
      <c r="A41" s="94"/>
      <c r="B41" s="99">
        <v>2.5</v>
      </c>
      <c r="C41" s="88">
        <v>0.122</v>
      </c>
      <c r="D41" s="100">
        <v>0.02</v>
      </c>
      <c r="E41" s="9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9" ht="15" thickBot="1" x14ac:dyDescent="0.35">
      <c r="A42" s="96"/>
      <c r="B42" s="101">
        <v>3</v>
      </c>
      <c r="C42" s="97">
        <v>0.124</v>
      </c>
      <c r="D42" s="102">
        <v>1.4E-2</v>
      </c>
      <c r="E42" s="9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</sheetData>
  <mergeCells count="20">
    <mergeCell ref="I23:J23"/>
    <mergeCell ref="K23:L23"/>
    <mergeCell ref="I13:J13"/>
    <mergeCell ref="K13:L13"/>
    <mergeCell ref="I18:J18"/>
    <mergeCell ref="K18:L18"/>
    <mergeCell ref="N7:W7"/>
    <mergeCell ref="N19:W19"/>
    <mergeCell ref="P29:V29"/>
    <mergeCell ref="P31:U31"/>
    <mergeCell ref="O1:U1"/>
    <mergeCell ref="V1:W1"/>
    <mergeCell ref="N2:W2"/>
    <mergeCell ref="N3:W3"/>
    <mergeCell ref="Q5:U5"/>
    <mergeCell ref="A5:A6"/>
    <mergeCell ref="B5:F5"/>
    <mergeCell ref="G5:G6"/>
    <mergeCell ref="B6:F6"/>
    <mergeCell ref="A3:G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"/>
  <sheetViews>
    <sheetView zoomScaleNormal="100" workbookViewId="0">
      <selection activeCell="H23" sqref="H23"/>
    </sheetView>
  </sheetViews>
  <sheetFormatPr defaultRowHeight="14.4" x14ac:dyDescent="0.3"/>
  <cols>
    <col min="1" max="1" width="25.109375" customWidth="1"/>
    <col min="2" max="2" width="15.21875" customWidth="1"/>
    <col min="3" max="3" width="17.44140625" customWidth="1"/>
    <col min="4" max="4" width="15.109375" customWidth="1"/>
    <col min="5" max="5" width="13.88671875" customWidth="1"/>
    <col min="6" max="6" width="18.109375" customWidth="1"/>
    <col min="7" max="7" width="15.109375" customWidth="1"/>
    <col min="8" max="9" width="14.77734375" customWidth="1"/>
    <col min="10" max="10" width="13.5546875" customWidth="1"/>
    <col min="11" max="11" width="13.88671875" customWidth="1"/>
    <col min="13" max="13" width="4.77734375" customWidth="1"/>
    <col min="14" max="14" width="10.88671875" customWidth="1"/>
  </cols>
  <sheetData>
    <row r="1" spans="1:20" x14ac:dyDescent="0.3">
      <c r="A1" s="201" t="s">
        <v>68</v>
      </c>
      <c r="B1" s="168"/>
      <c r="C1" s="168"/>
      <c r="D1" s="168"/>
      <c r="E1" s="168"/>
      <c r="F1" s="168"/>
      <c r="G1" s="168"/>
      <c r="H1" s="168"/>
      <c r="I1" s="168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x14ac:dyDescent="0.3">
      <c r="A2" s="168"/>
      <c r="B2" s="168"/>
      <c r="C2" s="168"/>
      <c r="D2" s="168"/>
      <c r="E2" s="168"/>
      <c r="F2" s="168"/>
      <c r="G2" s="168"/>
      <c r="H2" s="168"/>
      <c r="I2" s="168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0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x14ac:dyDescent="0.3">
      <c r="A5" s="106" t="s">
        <v>1</v>
      </c>
      <c r="B5" s="141">
        <v>3.5</v>
      </c>
      <c r="C5" s="106" t="s">
        <v>14</v>
      </c>
      <c r="D5" s="146">
        <f>B11+B12+B13</f>
        <v>8.879999999999999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x14ac:dyDescent="0.3">
      <c r="A6" s="106" t="s">
        <v>2</v>
      </c>
      <c r="B6" s="141">
        <v>14.84</v>
      </c>
      <c r="C6" s="106" t="s">
        <v>70</v>
      </c>
      <c r="D6" s="146">
        <f>1.5*D5</f>
        <v>13.319999999999999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 x14ac:dyDescent="0.3">
      <c r="A7" s="106" t="s">
        <v>109</v>
      </c>
      <c r="B7" s="142">
        <v>300</v>
      </c>
      <c r="C7" s="106" t="s">
        <v>69</v>
      </c>
      <c r="D7" s="147">
        <f>B10+B16</f>
        <v>170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x14ac:dyDescent="0.3">
      <c r="A8" s="106" t="s">
        <v>30</v>
      </c>
      <c r="B8" s="144">
        <v>20</v>
      </c>
      <c r="C8" s="106" t="s">
        <v>101</v>
      </c>
      <c r="D8" s="148">
        <f>B6/B5</f>
        <v>4.24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x14ac:dyDescent="0.3">
      <c r="A9" s="106" t="s">
        <v>31</v>
      </c>
      <c r="B9" s="143">
        <v>415</v>
      </c>
      <c r="C9" s="106" t="s">
        <v>102</v>
      </c>
      <c r="D9" s="140">
        <v>10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0" x14ac:dyDescent="0.3">
      <c r="A10" s="106" t="s">
        <v>34</v>
      </c>
      <c r="B10" s="142">
        <v>150</v>
      </c>
      <c r="C10" s="106" t="s">
        <v>103</v>
      </c>
      <c r="D10" s="140">
        <v>8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 x14ac:dyDescent="0.3">
      <c r="A11" s="106" t="s">
        <v>11</v>
      </c>
      <c r="B11" s="145">
        <v>6.63</v>
      </c>
      <c r="C11" s="106" t="s">
        <v>104</v>
      </c>
      <c r="D11" s="147">
        <f>D7-B16-(D9/2)</f>
        <v>145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 x14ac:dyDescent="0.3">
      <c r="A12" s="106" t="s">
        <v>12</v>
      </c>
      <c r="B12" s="145">
        <v>1.5</v>
      </c>
      <c r="C12" s="106" t="s">
        <v>106</v>
      </c>
      <c r="D12" s="147">
        <f>D11-D10</f>
        <v>137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 x14ac:dyDescent="0.3">
      <c r="A13" s="106" t="s">
        <v>13</v>
      </c>
      <c r="B13" s="145">
        <v>0.75</v>
      </c>
      <c r="C13" s="106" t="s">
        <v>107</v>
      </c>
      <c r="D13" s="149">
        <f>B5+(MIN(B7,D11)/1000)</f>
        <v>3.645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 x14ac:dyDescent="0.3">
      <c r="A14" s="106" t="s">
        <v>71</v>
      </c>
      <c r="B14" s="139" t="s">
        <v>9</v>
      </c>
      <c r="C14" s="106" t="s">
        <v>108</v>
      </c>
      <c r="D14" s="149">
        <f>B6+((MIN(B7,D12))/1000)</f>
        <v>14.977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 x14ac:dyDescent="0.3">
      <c r="A15" s="106" t="s">
        <v>72</v>
      </c>
      <c r="B15" s="139">
        <f>IF(B14="Cantilever",7,IF(B14="Simply Supported",20,IF(B14="Continuous",26)))</f>
        <v>20</v>
      </c>
      <c r="C15" s="132" t="s">
        <v>119</v>
      </c>
      <c r="D15" s="146">
        <f>1.5*(B11+B13)</f>
        <v>11.07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0" x14ac:dyDescent="0.3">
      <c r="A16" s="106" t="s">
        <v>105</v>
      </c>
      <c r="B16" s="142">
        <v>20</v>
      </c>
      <c r="C16" s="106" t="s">
        <v>120</v>
      </c>
      <c r="D16" s="146">
        <f>1.5*B12</f>
        <v>2.25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 x14ac:dyDescent="0.3">
      <c r="A17" s="202" t="s">
        <v>111</v>
      </c>
      <c r="B17" s="203" t="s">
        <v>110</v>
      </c>
      <c r="C17" s="106" t="s">
        <v>130</v>
      </c>
      <c r="D17" s="140">
        <f>IF(B9=250,(0.143*B8*1000),IF(B9=415,(0.138*B8*1000),IF(B9=500,(0.133*B8*1000),1)))</f>
        <v>2760.0000000000005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x14ac:dyDescent="0.3">
      <c r="A18" s="202"/>
      <c r="B18" s="203"/>
      <c r="C18" s="106" t="s">
        <v>135</v>
      </c>
      <c r="D18" s="150">
        <f>IF(B14="Continuous",(MIN(I22,I23)/1000/D11)*100,(I22/1000/D11)*100)</f>
        <v>0.36091954022988504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x14ac:dyDescent="0.3">
      <c r="A19" s="134"/>
      <c r="B19" s="135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x14ac:dyDescent="0.3">
      <c r="A20" s="133" t="s">
        <v>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x14ac:dyDescent="0.3">
      <c r="A21" s="205" t="s">
        <v>129</v>
      </c>
      <c r="B21" s="206"/>
      <c r="C21" s="35" t="s">
        <v>131</v>
      </c>
      <c r="D21" s="35" t="s">
        <v>26</v>
      </c>
      <c r="E21" s="35" t="s">
        <v>137</v>
      </c>
      <c r="F21" s="35" t="s">
        <v>132</v>
      </c>
      <c r="G21" s="35" t="s">
        <v>133</v>
      </c>
      <c r="H21" s="35" t="s">
        <v>134</v>
      </c>
      <c r="I21" s="35" t="s">
        <v>138</v>
      </c>
      <c r="J21" s="35" t="s">
        <v>157</v>
      </c>
      <c r="K21" s="35" t="s">
        <v>132</v>
      </c>
      <c r="L21" s="168" t="s">
        <v>134</v>
      </c>
      <c r="M21" s="168"/>
      <c r="N21" s="35" t="s">
        <v>45</v>
      </c>
      <c r="O21" s="21"/>
      <c r="P21" s="21"/>
      <c r="Q21" s="21"/>
      <c r="R21" s="21"/>
      <c r="S21" s="21"/>
      <c r="T21" s="21"/>
    </row>
    <row r="22" spans="1:20" x14ac:dyDescent="0.3">
      <c r="A22" s="106" t="str">
        <f>IF(B14="Continuous","Mux(+ve)","Mux")</f>
        <v>Mux</v>
      </c>
      <c r="B22" s="158">
        <f>IF(B14="Continuous",((D15*D13^2)/tables!P22)+((D16*D13^2)/tables!P23),((D6*D13^2)/8))</f>
        <v>22.121231624999997</v>
      </c>
      <c r="C22" s="199">
        <f>IF(B14="Continuous",SQRT(MAX(B22,B23)*10^6/D17),(SQRT(B22/D17)))</f>
        <v>8.9526191667942706E-2</v>
      </c>
      <c r="D22" s="198" t="str">
        <f>IF((C22&lt;D11),"SAFE","UNSAFE")</f>
        <v>SAFE</v>
      </c>
      <c r="E22" s="156">
        <f>((0.5*(B8/B9))*(1-SQRT(1-(4.6*B22*10^6)/B8/1000/D11^2))*D11*1000)</f>
        <v>451.9929221650097</v>
      </c>
      <c r="F22" s="152">
        <f>(((3.14/4)*D9^2)*1000)/E22</f>
        <v>173.6752859403004</v>
      </c>
      <c r="G22" s="152">
        <f>MAX(300,3*D9)</f>
        <v>300</v>
      </c>
      <c r="H22" s="157">
        <v>150</v>
      </c>
      <c r="I22" s="156">
        <f>((3.14/4)*D9^2)*(1000/H22)</f>
        <v>523.33333333333337</v>
      </c>
      <c r="J22" s="200">
        <f>(0.12/100)*1000*D7</f>
        <v>204</v>
      </c>
      <c r="K22" s="199">
        <f>(((3.14/4)*D10^2)*1000)/J22</f>
        <v>246.27450980392157</v>
      </c>
      <c r="L22" s="204">
        <v>200</v>
      </c>
      <c r="M22" s="204"/>
      <c r="N22" s="196">
        <f>((3.14/4)*D10^2*1000)/L22</f>
        <v>251.2</v>
      </c>
      <c r="O22" s="21"/>
      <c r="P22" s="21"/>
      <c r="Q22" s="21"/>
      <c r="R22" s="21"/>
      <c r="S22" s="21"/>
      <c r="T22" s="21"/>
    </row>
    <row r="23" spans="1:20" x14ac:dyDescent="0.3">
      <c r="A23" s="106" t="str">
        <f>IF(B14="Continuous","Mux(-ve)","      ")</f>
        <v xml:space="preserve">      </v>
      </c>
      <c r="B23" s="158" t="str">
        <f>IF(B14="Continuous",(-(((D15*D13^2)/tables!P24)+((D16*D13^2)/tables!P25))),"       ")</f>
        <v xml:space="preserve">       </v>
      </c>
      <c r="C23" s="199"/>
      <c r="D23" s="198"/>
      <c r="E23" s="156" t="str">
        <f>IF(B14="Continuous",((0.5*B8/B9)*(1-SQRT(1-(4.6*B23*10^6)/B8/1000/D11^2))*D11*1000),"     ")</f>
        <v xml:space="preserve">     </v>
      </c>
      <c r="F23" s="152" t="str">
        <f>IF(B14="Continuous",(((3.14/4)*D9^2)*1000)/E23,"   ")</f>
        <v xml:space="preserve">   </v>
      </c>
      <c r="G23" s="152" t="str">
        <f>IF(B14="Continuous",MAX(300,3*D9),"   ")</f>
        <v xml:space="preserve">   </v>
      </c>
      <c r="H23" s="157">
        <v>250</v>
      </c>
      <c r="I23" s="156" t="str">
        <f>IF(B14="Continuous",((3.14/4)*D9^2)*(1000/H23),"   ")</f>
        <v xml:space="preserve">   </v>
      </c>
      <c r="J23" s="200"/>
      <c r="K23" s="199"/>
      <c r="L23" s="204"/>
      <c r="M23" s="204"/>
      <c r="N23" s="196"/>
      <c r="O23" s="21"/>
      <c r="P23" s="21"/>
      <c r="Q23" s="21"/>
      <c r="R23" s="21"/>
      <c r="S23" s="21"/>
      <c r="T23" s="21"/>
    </row>
    <row r="24" spans="1:20" x14ac:dyDescent="0.3">
      <c r="A24" s="21"/>
      <c r="B24" s="21"/>
      <c r="C24" s="21"/>
      <c r="D24" s="21"/>
      <c r="E24" s="21"/>
      <c r="F24" s="21"/>
      <c r="G24" s="21"/>
      <c r="H24" s="21"/>
      <c r="I24" s="15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x14ac:dyDescent="0.3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x14ac:dyDescent="0.3">
      <c r="A26" s="35" t="s">
        <v>136</v>
      </c>
      <c r="B26" s="21"/>
      <c r="C26" s="21"/>
      <c r="D26" s="168" t="s">
        <v>139</v>
      </c>
      <c r="E26" s="168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3">
      <c r="A27" s="106" t="s">
        <v>33</v>
      </c>
      <c r="B27" s="148">
        <f>tables!K17</f>
        <v>1.9148780080132048</v>
      </c>
      <c r="C27" s="21"/>
      <c r="D27" s="197" t="s">
        <v>143</v>
      </c>
      <c r="E27" s="197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spans="1:20" x14ac:dyDescent="0.3">
      <c r="A28" s="106" t="s">
        <v>34</v>
      </c>
      <c r="B28" s="152">
        <f>(B5*1000)/B15/B27</f>
        <v>91.389633839689083</v>
      </c>
      <c r="C28" s="21"/>
      <c r="D28" s="106" t="s">
        <v>144</v>
      </c>
      <c r="E28" s="154">
        <f>(D15*tables!P5*'0ne way'!B5+'0ne way'!D16*'0ne way'!B5*tables!Q5)</f>
        <v>27.972000000000001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20" x14ac:dyDescent="0.3">
      <c r="A29" s="106" t="s">
        <v>35</v>
      </c>
      <c r="B29" s="153" t="str">
        <f>IF(D11&gt;B28,"SAFE","UNSAFE")</f>
        <v>SAFE</v>
      </c>
      <c r="C29" s="21"/>
      <c r="D29" s="106" t="s">
        <v>145</v>
      </c>
      <c r="E29" s="155">
        <f>(E28*1000)/1000/D11</f>
        <v>0.19291034482758621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x14ac:dyDescent="0.3">
      <c r="A30" s="21"/>
      <c r="B30" s="21"/>
      <c r="C30" s="21"/>
      <c r="D30" s="106" t="s">
        <v>146</v>
      </c>
      <c r="E30" s="150">
        <f>IF(B14="Continuous",(I23/2/1000/D11)*100,(I22/1000/D11)*100)</f>
        <v>0.36091954022988504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x14ac:dyDescent="0.3">
      <c r="A31" s="21"/>
      <c r="B31" s="21"/>
      <c r="C31" s="21"/>
      <c r="D31" s="106" t="s">
        <v>147</v>
      </c>
      <c r="E31" s="155">
        <f>tables!J44</f>
        <v>0.41324137931034477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1:20" x14ac:dyDescent="0.3">
      <c r="A32" s="21"/>
      <c r="B32" s="21"/>
      <c r="C32" s="21"/>
      <c r="D32" s="106" t="s">
        <v>148</v>
      </c>
      <c r="E32" s="148">
        <f>tables!M37</f>
        <v>1.26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1:23" x14ac:dyDescent="0.3">
      <c r="A33" s="21"/>
      <c r="B33" s="21"/>
      <c r="C33" s="21"/>
      <c r="D33" s="106" t="s">
        <v>149</v>
      </c>
      <c r="E33" s="155">
        <f>E32*E31</f>
        <v>0.52068413793103441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1:23" x14ac:dyDescent="0.3">
      <c r="A34" s="21"/>
      <c r="B34" s="21"/>
      <c r="C34" s="21"/>
      <c r="D34" s="106" t="s">
        <v>35</v>
      </c>
      <c r="E34" s="153" t="str">
        <f>IF(E33&gt;E29,"SAFE","UNSAFE")</f>
        <v>SAFE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1:23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1:23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1:23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3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3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3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1:23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1:23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3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</row>
    <row r="44" spans="1:23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</row>
    <row r="45" spans="1:23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</row>
    <row r="46" spans="1:23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</row>
    <row r="47" spans="1:23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</row>
    <row r="48" spans="1:23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</row>
    <row r="49" spans="1:23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</row>
    <row r="50" spans="1:23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</row>
    <row r="52" spans="1:23" x14ac:dyDescent="0.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</row>
    <row r="53" spans="1:23" x14ac:dyDescent="0.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</row>
    <row r="54" spans="1:23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125" spans="2:6" x14ac:dyDescent="0.3">
      <c r="F125" s="129" t="s">
        <v>115</v>
      </c>
    </row>
    <row r="126" spans="2:6" x14ac:dyDescent="0.3">
      <c r="D126" t="s">
        <v>112</v>
      </c>
      <c r="F126" t="s">
        <v>113</v>
      </c>
    </row>
    <row r="127" spans="2:6" x14ac:dyDescent="0.3">
      <c r="B127" t="s">
        <v>6</v>
      </c>
      <c r="D127" t="s">
        <v>116</v>
      </c>
      <c r="F127" t="s">
        <v>114</v>
      </c>
    </row>
    <row r="128" spans="2:6" x14ac:dyDescent="0.3">
      <c r="B128" t="s">
        <v>9</v>
      </c>
      <c r="D128" t="s">
        <v>110</v>
      </c>
    </row>
    <row r="129" spans="2:2" x14ac:dyDescent="0.3">
      <c r="B129" t="s">
        <v>7</v>
      </c>
    </row>
  </sheetData>
  <mergeCells count="13">
    <mergeCell ref="A1:I2"/>
    <mergeCell ref="A17:A18"/>
    <mergeCell ref="B17:B18"/>
    <mergeCell ref="L21:M21"/>
    <mergeCell ref="L22:M23"/>
    <mergeCell ref="A21:B21"/>
    <mergeCell ref="K22:K23"/>
    <mergeCell ref="N22:N23"/>
    <mergeCell ref="D27:E27"/>
    <mergeCell ref="D26:E26"/>
    <mergeCell ref="D22:D23"/>
    <mergeCell ref="C22:C23"/>
    <mergeCell ref="J22:J23"/>
  </mergeCells>
  <dataValidations count="3">
    <dataValidation type="list" allowBlank="1" showInputMessage="1" showErrorMessage="1" sqref="B14">
      <formula1>$B$127:$B$129</formula1>
    </dataValidation>
    <dataValidation type="list" allowBlank="1" showInputMessage="1" showErrorMessage="1" sqref="B17:B18">
      <formula1>$D$126:$D$128</formula1>
    </dataValidation>
    <dataValidation type="list" allowBlank="1" showInputMessage="1" showErrorMessage="1" sqref="B19">
      <formula1>$F$125:$F$127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6"/>
  <sheetViews>
    <sheetView tabSelected="1" topLeftCell="A9" zoomScale="103" workbookViewId="0">
      <selection activeCell="K25" sqref="K25"/>
    </sheetView>
  </sheetViews>
  <sheetFormatPr defaultRowHeight="14.4" x14ac:dyDescent="0.3"/>
  <cols>
    <col min="7" max="7" width="11" customWidth="1"/>
    <col min="8" max="8" width="8.77734375" customWidth="1"/>
    <col min="9" max="9" width="11.109375" customWidth="1"/>
    <col min="15" max="15" width="24.6640625" customWidth="1"/>
  </cols>
  <sheetData>
    <row r="2" spans="1:19" x14ac:dyDescent="0.3">
      <c r="A2" t="s">
        <v>73</v>
      </c>
      <c r="B2" t="e">
        <f>IF(fy="250",tables!B3),IF(fy="415",tables!B4),IF(fy="500",tables!B5)</f>
        <v>#REF!</v>
      </c>
      <c r="O2" s="35"/>
      <c r="P2" s="127" t="s">
        <v>139</v>
      </c>
      <c r="Q2" s="127"/>
    </row>
    <row r="3" spans="1:19" x14ac:dyDescent="0.3">
      <c r="A3" t="s">
        <v>74</v>
      </c>
      <c r="B3" t="e">
        <f>0.148*fck*b*d^2</f>
        <v>#REF!</v>
      </c>
      <c r="O3" s="107"/>
      <c r="P3" s="107" t="s">
        <v>125</v>
      </c>
      <c r="Q3" s="107" t="s">
        <v>126</v>
      </c>
    </row>
    <row r="4" spans="1:19" ht="15.6" x14ac:dyDescent="0.3">
      <c r="A4" t="s">
        <v>75</v>
      </c>
      <c r="B4" t="e">
        <f>0.138*fck*b*d^2</f>
        <v>#REF!</v>
      </c>
      <c r="O4" s="107" t="s">
        <v>116</v>
      </c>
      <c r="P4" s="15">
        <v>0.4</v>
      </c>
      <c r="Q4" s="15">
        <v>0.45</v>
      </c>
    </row>
    <row r="5" spans="1:19" ht="15.6" x14ac:dyDescent="0.3">
      <c r="A5" t="s">
        <v>76</v>
      </c>
      <c r="B5" t="e">
        <f>0.133*fck*b*d^2</f>
        <v>#REF!</v>
      </c>
      <c r="O5" s="107" t="s">
        <v>140</v>
      </c>
      <c r="P5" s="15">
        <v>0.6</v>
      </c>
      <c r="Q5" s="15">
        <v>0.6</v>
      </c>
    </row>
    <row r="6" spans="1:19" ht="15.6" x14ac:dyDescent="0.3">
      <c r="O6" s="107" t="s">
        <v>141</v>
      </c>
      <c r="P6" s="15">
        <v>0.55000000000000004</v>
      </c>
      <c r="Q6" s="15">
        <v>0.6</v>
      </c>
    </row>
    <row r="7" spans="1:19" ht="16.2" thickBot="1" x14ac:dyDescent="0.35">
      <c r="O7" s="107" t="s">
        <v>142</v>
      </c>
      <c r="P7" s="15">
        <v>0.5</v>
      </c>
      <c r="Q7" s="15">
        <v>0.6</v>
      </c>
    </row>
    <row r="8" spans="1:19" ht="20.399999999999999" x14ac:dyDescent="0.3">
      <c r="A8" s="179" t="s">
        <v>37</v>
      </c>
      <c r="B8" s="180"/>
      <c r="C8" s="180"/>
      <c r="D8" s="180"/>
      <c r="E8" s="180"/>
      <c r="F8" s="180"/>
      <c r="G8" s="181"/>
    </row>
    <row r="9" spans="1:19" ht="20.399999999999999" x14ac:dyDescent="0.3">
      <c r="A9" s="4"/>
      <c r="B9" s="2"/>
      <c r="C9" s="2"/>
      <c r="D9" s="2"/>
      <c r="E9" s="2"/>
      <c r="F9" s="2"/>
      <c r="G9" s="3"/>
      <c r="O9" s="35" t="s">
        <v>117</v>
      </c>
      <c r="P9" s="127" t="s">
        <v>125</v>
      </c>
      <c r="Q9" s="127" t="s">
        <v>126</v>
      </c>
      <c r="R9" s="128"/>
      <c r="S9" s="128"/>
    </row>
    <row r="10" spans="1:19" ht="18" x14ac:dyDescent="0.4">
      <c r="A10" s="169" t="s">
        <v>38</v>
      </c>
      <c r="B10" s="171" t="s">
        <v>39</v>
      </c>
      <c r="C10" s="172"/>
      <c r="D10" s="172"/>
      <c r="E10" s="172"/>
      <c r="F10" s="173"/>
      <c r="G10" s="174" t="s">
        <v>40</v>
      </c>
      <c r="O10" s="107" t="s">
        <v>116</v>
      </c>
      <c r="P10" s="130">
        <v>12</v>
      </c>
      <c r="Q10" s="130">
        <v>10</v>
      </c>
    </row>
    <row r="11" spans="1:19" ht="15.6" x14ac:dyDescent="0.3">
      <c r="A11" s="170"/>
      <c r="B11" s="176" t="s">
        <v>41</v>
      </c>
      <c r="C11" s="177"/>
      <c r="D11" s="177"/>
      <c r="E11" s="177"/>
      <c r="F11" s="178"/>
      <c r="G11" s="175"/>
      <c r="O11" s="107" t="s">
        <v>110</v>
      </c>
      <c r="P11" s="130">
        <v>16</v>
      </c>
      <c r="Q11" s="130">
        <v>12</v>
      </c>
    </row>
    <row r="12" spans="1:19" ht="16.2" thickBot="1" x14ac:dyDescent="0.35">
      <c r="A12" s="5"/>
      <c r="B12" s="9">
        <v>120</v>
      </c>
      <c r="C12" s="10">
        <v>145</v>
      </c>
      <c r="D12" s="10">
        <v>190</v>
      </c>
      <c r="E12" s="11">
        <v>240</v>
      </c>
      <c r="F12" s="11">
        <v>290</v>
      </c>
      <c r="G12" s="12"/>
    </row>
    <row r="13" spans="1:19" ht="15.6" x14ac:dyDescent="0.3">
      <c r="A13" s="6">
        <v>0</v>
      </c>
      <c r="B13" s="13">
        <v>2</v>
      </c>
      <c r="C13" s="14">
        <v>2</v>
      </c>
      <c r="D13" s="14">
        <v>2</v>
      </c>
      <c r="E13" s="15">
        <v>2</v>
      </c>
      <c r="F13" s="15">
        <v>2</v>
      </c>
      <c r="G13" s="68">
        <v>1</v>
      </c>
      <c r="H13" s="192" t="s">
        <v>77</v>
      </c>
      <c r="I13" s="193"/>
      <c r="J13" s="193"/>
      <c r="K13" s="193"/>
      <c r="L13" s="194"/>
      <c r="O13" s="35" t="s">
        <v>118</v>
      </c>
      <c r="P13" s="127" t="s">
        <v>125</v>
      </c>
      <c r="Q13" s="127" t="s">
        <v>126</v>
      </c>
      <c r="R13" s="128"/>
      <c r="S13" s="128"/>
    </row>
    <row r="14" spans="1:19" ht="15.6" x14ac:dyDescent="0.3">
      <c r="A14" s="7">
        <v>0.2</v>
      </c>
      <c r="B14" s="15">
        <v>2</v>
      </c>
      <c r="C14" s="15">
        <v>2</v>
      </c>
      <c r="D14" s="15">
        <v>2</v>
      </c>
      <c r="E14" s="15">
        <v>1.68</v>
      </c>
      <c r="F14" s="15">
        <v>1.4</v>
      </c>
      <c r="G14" s="68">
        <v>1.06</v>
      </c>
      <c r="H14" s="71"/>
      <c r="I14" s="69"/>
      <c r="J14" s="69">
        <f>VLOOKUP(K14,B12:F12,MATCH(K14,B12:F12,1))</f>
        <v>190</v>
      </c>
      <c r="K14" s="69">
        <f>0.58*'0ne way'!B9*(MIN('0ne way'!E22,'0ne way'!E23)/MIN('0ne way'!I22,'0ne way'!I23))</f>
        <v>207.88795483780476</v>
      </c>
      <c r="L14" s="72">
        <f>VLOOKUP(K14,B12:F12,MATCH(K14,B12:F12)+1)</f>
        <v>240</v>
      </c>
      <c r="O14" s="107" t="s">
        <v>116</v>
      </c>
      <c r="P14" s="130">
        <v>-10</v>
      </c>
      <c r="Q14" s="130">
        <v>-9</v>
      </c>
    </row>
    <row r="15" spans="1:19" ht="15.6" x14ac:dyDescent="0.3">
      <c r="A15" s="6">
        <v>0.3</v>
      </c>
      <c r="B15" s="15">
        <v>2</v>
      </c>
      <c r="C15" s="15">
        <v>2</v>
      </c>
      <c r="D15" s="15">
        <v>1.89</v>
      </c>
      <c r="E15" s="15">
        <v>1.47</v>
      </c>
      <c r="F15" s="15">
        <v>1.23</v>
      </c>
      <c r="G15" s="68">
        <v>1.0900000000000001</v>
      </c>
      <c r="H15" s="71"/>
      <c r="I15" s="69"/>
      <c r="J15" s="25"/>
      <c r="K15" s="25"/>
      <c r="L15" s="31"/>
      <c r="O15" s="107" t="s">
        <v>110</v>
      </c>
      <c r="P15" s="130">
        <v>-12</v>
      </c>
      <c r="Q15" s="130">
        <v>-9</v>
      </c>
    </row>
    <row r="16" spans="1:19" ht="15.6" x14ac:dyDescent="0.3">
      <c r="A16" s="7">
        <v>0.4</v>
      </c>
      <c r="B16" s="15">
        <v>2</v>
      </c>
      <c r="C16" s="15">
        <v>2</v>
      </c>
      <c r="D16" s="15">
        <v>1.68</v>
      </c>
      <c r="E16" s="15">
        <v>1.34</v>
      </c>
      <c r="F16" s="15">
        <v>1.1299999999999999</v>
      </c>
      <c r="G16" s="68">
        <v>1.1200000000000001</v>
      </c>
      <c r="H16" s="71">
        <f>MATCH(I17,A13:A30,1)</f>
        <v>3</v>
      </c>
      <c r="I16" s="69">
        <f>INDEX(A13:A30,H16)</f>
        <v>0.3</v>
      </c>
      <c r="J16" s="25">
        <f>VLOOKUP(I16,A13:G30,MATCH(J14,B12:F12,0))</f>
        <v>2</v>
      </c>
      <c r="K16" s="25"/>
      <c r="L16" s="31">
        <f>VLOOKUP(I16,A13:G30,MATCH(L14,B12:F12,0))</f>
        <v>1.89</v>
      </c>
    </row>
    <row r="17" spans="1:18" ht="15.6" x14ac:dyDescent="0.3">
      <c r="A17" s="7">
        <v>0.5</v>
      </c>
      <c r="B17" s="15">
        <v>2</v>
      </c>
      <c r="C17" s="15">
        <v>1.95</v>
      </c>
      <c r="D17" s="15">
        <v>1.53</v>
      </c>
      <c r="E17" s="15">
        <v>1.23</v>
      </c>
      <c r="F17" s="15">
        <v>1.04</v>
      </c>
      <c r="G17" s="68">
        <v>1.1399999999999999</v>
      </c>
      <c r="H17" s="71"/>
      <c r="I17" s="165">
        <f>'0ne way'!D18</f>
        <v>0.36091954022988504</v>
      </c>
      <c r="J17" s="25"/>
      <c r="K17" s="82">
        <f>((((L14-K14)*(I18-I17))/(L14-J14)/(I18-I16))*J16+(((K14-J14)*(I18-I17))/(L14-J14)/(I18-I16))*L16+(((L14-K14)*(I17-I16))/(L14-J14)/(I18-I16))*J18+(((K14-J14)*(I17-I16))/(L14-J14)/(I18-I16))*L18)</f>
        <v>1.9148780080132048</v>
      </c>
      <c r="L17" s="31"/>
    </row>
    <row r="18" spans="1:18" ht="16.2" thickBot="1" x14ac:dyDescent="0.35">
      <c r="A18" s="7">
        <v>0.6</v>
      </c>
      <c r="B18" s="15">
        <v>2</v>
      </c>
      <c r="C18" s="15">
        <v>1.79</v>
      </c>
      <c r="D18" s="15">
        <v>1.43</v>
      </c>
      <c r="E18" s="15">
        <v>1.17</v>
      </c>
      <c r="F18" s="15">
        <v>0.98</v>
      </c>
      <c r="G18" s="68">
        <v>1.1599999999999999</v>
      </c>
      <c r="H18" s="73">
        <f>MATCH(I17,A13:A30)+1</f>
        <v>4</v>
      </c>
      <c r="I18" s="74">
        <f>INDEX(A13:A30,H18)</f>
        <v>0.4</v>
      </c>
      <c r="J18" s="33">
        <f>VLOOKUP(I18,A13:G30,MATCH(J14,B12:F12,0))</f>
        <v>2</v>
      </c>
      <c r="K18" s="33"/>
      <c r="L18" s="34">
        <f>VLOOKUP(I18,A13:G30,MATCH(L14,B12:F12,0))</f>
        <v>1.68</v>
      </c>
    </row>
    <row r="19" spans="1:18" ht="15.6" x14ac:dyDescent="0.3">
      <c r="A19" s="7">
        <v>0.8</v>
      </c>
      <c r="B19" s="15">
        <v>1.78</v>
      </c>
      <c r="C19" s="15">
        <v>1.57</v>
      </c>
      <c r="D19" s="15">
        <v>1.29</v>
      </c>
      <c r="E19" s="15">
        <v>1.06</v>
      </c>
      <c r="F19" s="15">
        <v>0.9</v>
      </c>
      <c r="G19" s="16">
        <v>1.21</v>
      </c>
    </row>
    <row r="20" spans="1:18" ht="15.6" x14ac:dyDescent="0.3">
      <c r="A20" s="7">
        <v>1</v>
      </c>
      <c r="B20" s="15">
        <v>1.6</v>
      </c>
      <c r="C20" s="15">
        <v>1.42</v>
      </c>
      <c r="D20" s="15">
        <v>1.2</v>
      </c>
      <c r="E20" s="15">
        <v>0.99</v>
      </c>
      <c r="F20" s="15">
        <v>0.85</v>
      </c>
      <c r="G20" s="68">
        <v>1.25</v>
      </c>
      <c r="H20" t="s">
        <v>158</v>
      </c>
      <c r="I20">
        <f>0.58*'0ne way'!B9</f>
        <v>240.7</v>
      </c>
      <c r="K20" s="128"/>
      <c r="L20" s="128"/>
      <c r="O20" s="168" t="s">
        <v>121</v>
      </c>
      <c r="P20" s="168"/>
      <c r="Q20" s="128"/>
      <c r="R20" s="128"/>
    </row>
    <row r="21" spans="1:18" ht="15.6" x14ac:dyDescent="0.3">
      <c r="A21" s="7">
        <v>1.2</v>
      </c>
      <c r="B21" s="15">
        <v>1.5</v>
      </c>
      <c r="C21" s="15">
        <v>1.33</v>
      </c>
      <c r="D21" s="15">
        <v>1.1200000000000001</v>
      </c>
      <c r="E21" s="15">
        <v>0.95</v>
      </c>
      <c r="F21" s="15">
        <v>0.81</v>
      </c>
      <c r="G21" s="68">
        <v>1.28</v>
      </c>
      <c r="H21" t="s">
        <v>33</v>
      </c>
      <c r="I21">
        <f>1/((0.225+0.00322*I20)-(0.625*(LOG10(1000*('0ne way'!B10)/100/'0ne way'!I22))))</f>
        <v>1.4001024226660812</v>
      </c>
      <c r="O21" s="209" t="s">
        <v>122</v>
      </c>
      <c r="P21" s="209"/>
      <c r="Q21" s="207"/>
      <c r="R21" s="207"/>
    </row>
    <row r="22" spans="1:18" ht="15.6" x14ac:dyDescent="0.3">
      <c r="A22" s="7">
        <v>1.4</v>
      </c>
      <c r="B22" s="15">
        <v>1.41</v>
      </c>
      <c r="C22" s="15">
        <v>1.26</v>
      </c>
      <c r="D22" s="15">
        <v>1.08</v>
      </c>
      <c r="E22" s="15">
        <v>0.92</v>
      </c>
      <c r="F22" s="15">
        <v>0.78</v>
      </c>
      <c r="G22" s="68">
        <v>1.31</v>
      </c>
      <c r="O22" s="107" t="s">
        <v>128</v>
      </c>
      <c r="P22" s="131">
        <f>IF('0ne way'!B17="End",tables!P10,tables!P11)</f>
        <v>16</v>
      </c>
    </row>
    <row r="23" spans="1:18" ht="15.6" x14ac:dyDescent="0.3">
      <c r="A23" s="7">
        <v>1.6</v>
      </c>
      <c r="B23" s="15">
        <v>1.34</v>
      </c>
      <c r="C23" s="15">
        <v>1.21</v>
      </c>
      <c r="D23" s="15">
        <v>1.03</v>
      </c>
      <c r="E23" s="15">
        <v>0.88</v>
      </c>
      <c r="F23" s="15">
        <v>0.75</v>
      </c>
      <c r="G23" s="68">
        <v>1.34</v>
      </c>
      <c r="O23" s="107" t="s">
        <v>127</v>
      </c>
      <c r="P23" s="131">
        <f>IF('0ne way'!B17="End",tables!Q10,tables!Q11)</f>
        <v>12</v>
      </c>
    </row>
    <row r="24" spans="1:18" ht="15.6" x14ac:dyDescent="0.3">
      <c r="A24" s="7">
        <v>1.8</v>
      </c>
      <c r="B24" s="15">
        <v>1.3</v>
      </c>
      <c r="C24" s="15">
        <v>1.17</v>
      </c>
      <c r="D24" s="15">
        <v>0.99</v>
      </c>
      <c r="E24" s="15">
        <v>0.85</v>
      </c>
      <c r="F24" s="15">
        <v>0.72</v>
      </c>
      <c r="G24" s="68">
        <v>1.36</v>
      </c>
      <c r="O24" s="107" t="s">
        <v>124</v>
      </c>
      <c r="P24" s="131">
        <f>IF('0ne way'!B17="End",tables!P14,tables!P15)</f>
        <v>-12</v>
      </c>
    </row>
    <row r="25" spans="1:18" ht="15.6" x14ac:dyDescent="0.3">
      <c r="A25" s="7">
        <v>2</v>
      </c>
      <c r="B25" s="15">
        <v>1.23</v>
      </c>
      <c r="C25" s="15">
        <v>1.1200000000000001</v>
      </c>
      <c r="D25" s="15">
        <v>0.97</v>
      </c>
      <c r="E25" s="15">
        <v>0.83</v>
      </c>
      <c r="F25" s="15">
        <v>0.71</v>
      </c>
      <c r="G25" s="68">
        <v>1.39</v>
      </c>
      <c r="O25" s="107" t="s">
        <v>123</v>
      </c>
      <c r="P25" s="131">
        <f>IF('0ne way'!B17="End",tables!Q14,tables!Q15)</f>
        <v>-9</v>
      </c>
    </row>
    <row r="26" spans="1:18" ht="15.6" x14ac:dyDescent="0.3">
      <c r="A26" s="7">
        <v>2.2000000000000002</v>
      </c>
      <c r="B26" s="15">
        <v>1.2</v>
      </c>
      <c r="C26" s="15">
        <v>1.1000000000000001</v>
      </c>
      <c r="D26" s="15">
        <v>0.94</v>
      </c>
      <c r="E26" s="15">
        <v>0.82</v>
      </c>
      <c r="F26" s="15">
        <v>0.7</v>
      </c>
      <c r="G26" s="16">
        <v>1.41</v>
      </c>
    </row>
    <row r="27" spans="1:18" ht="15.6" x14ac:dyDescent="0.3">
      <c r="A27" s="7">
        <v>2.4</v>
      </c>
      <c r="B27" s="15">
        <v>1.18</v>
      </c>
      <c r="C27" s="15">
        <v>1.06</v>
      </c>
      <c r="D27" s="15">
        <v>0.91</v>
      </c>
      <c r="E27" s="15">
        <v>0.81</v>
      </c>
      <c r="F27" s="15">
        <v>0.69</v>
      </c>
      <c r="G27" s="16">
        <v>1.44</v>
      </c>
    </row>
    <row r="28" spans="1:18" ht="15.6" x14ac:dyDescent="0.3">
      <c r="A28" s="7">
        <v>2.6</v>
      </c>
      <c r="B28" s="15">
        <v>1.1499999999999999</v>
      </c>
      <c r="C28" s="15">
        <v>1.04</v>
      </c>
      <c r="D28" s="15">
        <v>0.9</v>
      </c>
      <c r="E28" s="15">
        <v>0.8</v>
      </c>
      <c r="F28" s="15">
        <v>0.68</v>
      </c>
      <c r="G28" s="16">
        <v>1.46</v>
      </c>
    </row>
    <row r="29" spans="1:18" ht="15.6" x14ac:dyDescent="0.3">
      <c r="A29" s="7">
        <v>2.8</v>
      </c>
      <c r="B29" s="15">
        <v>1.1299999999999999</v>
      </c>
      <c r="C29" s="15">
        <v>1.02</v>
      </c>
      <c r="D29" s="15">
        <v>0.89</v>
      </c>
      <c r="E29" s="15">
        <v>0.79</v>
      </c>
      <c r="F29" s="15">
        <v>0.67</v>
      </c>
      <c r="G29" s="16">
        <v>1.48</v>
      </c>
    </row>
    <row r="30" spans="1:18" ht="16.2" thickBot="1" x14ac:dyDescent="0.35">
      <c r="A30" s="8">
        <v>3</v>
      </c>
      <c r="B30" s="17">
        <v>1.1100000000000001</v>
      </c>
      <c r="C30" s="17">
        <v>1</v>
      </c>
      <c r="D30" s="17">
        <v>0.88</v>
      </c>
      <c r="E30" s="17">
        <v>0.78</v>
      </c>
      <c r="F30" s="17">
        <v>0.67</v>
      </c>
      <c r="G30" s="18">
        <v>1.5</v>
      </c>
    </row>
    <row r="32" spans="1:18" x14ac:dyDescent="0.3">
      <c r="A32" s="208" t="s">
        <v>147</v>
      </c>
      <c r="B32" s="208"/>
      <c r="C32" s="208"/>
      <c r="D32" s="208"/>
      <c r="E32" s="208"/>
      <c r="F32" s="208"/>
      <c r="G32" s="208"/>
      <c r="I32" s="209" t="s">
        <v>149</v>
      </c>
      <c r="J32" s="209"/>
    </row>
    <row r="33" spans="1:14" ht="15.6" x14ac:dyDescent="0.3">
      <c r="A33" s="25" t="s">
        <v>135</v>
      </c>
      <c r="B33" s="137">
        <v>15</v>
      </c>
      <c r="C33" s="137">
        <v>20</v>
      </c>
      <c r="D33" s="137">
        <v>25</v>
      </c>
      <c r="E33" s="137">
        <v>30</v>
      </c>
      <c r="F33" s="137">
        <v>35</v>
      </c>
      <c r="G33" s="137" t="s">
        <v>153</v>
      </c>
      <c r="I33" s="25" t="s">
        <v>150</v>
      </c>
      <c r="J33" s="25" t="s">
        <v>151</v>
      </c>
      <c r="L33" t="s">
        <v>154</v>
      </c>
      <c r="M33" t="s">
        <v>155</v>
      </c>
      <c r="N33" t="s">
        <v>156</v>
      </c>
    </row>
    <row r="34" spans="1:14" ht="15.6" x14ac:dyDescent="0.3">
      <c r="A34" s="11">
        <v>0.15</v>
      </c>
      <c r="B34" s="15">
        <v>0.28000000000000003</v>
      </c>
      <c r="C34" s="15">
        <v>0.28000000000000003</v>
      </c>
      <c r="D34" s="15">
        <v>0.28999999999999998</v>
      </c>
      <c r="E34" s="15">
        <v>0.28999999999999998</v>
      </c>
      <c r="F34" s="15">
        <v>0.28999999999999998</v>
      </c>
      <c r="G34" s="15">
        <v>0.3</v>
      </c>
      <c r="I34" s="136">
        <v>15</v>
      </c>
      <c r="J34" s="15">
        <v>2.5</v>
      </c>
      <c r="L34" t="s">
        <v>148</v>
      </c>
      <c r="M34">
        <v>1.3</v>
      </c>
      <c r="N34">
        <v>1</v>
      </c>
    </row>
    <row r="35" spans="1:14" ht="15.6" x14ac:dyDescent="0.3">
      <c r="A35" s="11">
        <v>0.25</v>
      </c>
      <c r="B35" s="15">
        <v>0.35</v>
      </c>
      <c r="C35" s="15">
        <v>0.36</v>
      </c>
      <c r="D35" s="15">
        <v>0.36</v>
      </c>
      <c r="E35" s="15">
        <v>0.37</v>
      </c>
      <c r="F35" s="15">
        <v>0.37</v>
      </c>
      <c r="G35" s="15">
        <v>0.38</v>
      </c>
      <c r="I35" s="136">
        <v>20</v>
      </c>
      <c r="J35" s="15">
        <v>2.8</v>
      </c>
    </row>
    <row r="36" spans="1:14" ht="15.6" x14ac:dyDescent="0.3">
      <c r="A36" s="11">
        <v>0.5</v>
      </c>
      <c r="B36" s="15">
        <v>0.46</v>
      </c>
      <c r="C36" s="15">
        <v>0.48</v>
      </c>
      <c r="D36" s="15">
        <v>0.49</v>
      </c>
      <c r="E36" s="15">
        <v>0.5</v>
      </c>
      <c r="F36" s="15">
        <v>0.5</v>
      </c>
      <c r="G36" s="15">
        <v>0.51</v>
      </c>
      <c r="I36" s="136">
        <v>25</v>
      </c>
      <c r="J36" s="15">
        <v>3.1</v>
      </c>
      <c r="L36">
        <v>150</v>
      </c>
      <c r="M36">
        <v>1.3</v>
      </c>
    </row>
    <row r="37" spans="1:14" ht="15.6" x14ac:dyDescent="0.3">
      <c r="A37" s="11">
        <v>0.75</v>
      </c>
      <c r="B37" s="15">
        <v>0.54</v>
      </c>
      <c r="C37" s="15">
        <v>0.56000000000000005</v>
      </c>
      <c r="D37" s="15">
        <v>0.56999999999999995</v>
      </c>
      <c r="E37" s="15">
        <v>0.59</v>
      </c>
      <c r="F37" s="15">
        <v>0.59</v>
      </c>
      <c r="G37" s="15">
        <v>0.6</v>
      </c>
      <c r="I37" s="136">
        <v>30</v>
      </c>
      <c r="J37" s="15">
        <v>3.5</v>
      </c>
      <c r="L37">
        <f>'0ne way'!D7</f>
        <v>170</v>
      </c>
      <c r="M37">
        <f>((1.3-((M36-M38)/(L38-L36))*(L37-L36)))</f>
        <v>1.26</v>
      </c>
    </row>
    <row r="38" spans="1:14" ht="15.6" x14ac:dyDescent="0.3">
      <c r="A38" s="11">
        <v>1</v>
      </c>
      <c r="B38" s="15">
        <v>0.6</v>
      </c>
      <c r="C38" s="15">
        <v>0.62</v>
      </c>
      <c r="D38" s="15">
        <v>0.64</v>
      </c>
      <c r="E38" s="15">
        <v>0.66</v>
      </c>
      <c r="F38" s="15">
        <v>0.67</v>
      </c>
      <c r="G38" s="15">
        <v>0.68</v>
      </c>
      <c r="I38" s="136">
        <v>35</v>
      </c>
      <c r="J38" s="15">
        <v>3.7</v>
      </c>
      <c r="L38">
        <v>300</v>
      </c>
      <c r="M38">
        <v>1</v>
      </c>
    </row>
    <row r="39" spans="1:14" ht="15.6" x14ac:dyDescent="0.3">
      <c r="A39" s="11">
        <v>1.25</v>
      </c>
      <c r="B39" s="15">
        <v>0.64</v>
      </c>
      <c r="C39" s="15">
        <v>0.67</v>
      </c>
      <c r="D39" s="15">
        <v>0.7</v>
      </c>
      <c r="E39" s="15">
        <v>0.71</v>
      </c>
      <c r="F39" s="15">
        <v>0.73</v>
      </c>
      <c r="G39" s="15">
        <v>0.74</v>
      </c>
      <c r="I39" s="75" t="s">
        <v>152</v>
      </c>
      <c r="J39" s="15">
        <v>4</v>
      </c>
    </row>
    <row r="40" spans="1:14" ht="15.6" x14ac:dyDescent="0.3">
      <c r="A40" s="11">
        <v>1.5</v>
      </c>
      <c r="B40" s="15">
        <v>0.68</v>
      </c>
      <c r="C40" s="15">
        <v>0.72</v>
      </c>
      <c r="D40" s="15">
        <v>0.74</v>
      </c>
      <c r="E40" s="15">
        <v>0.76</v>
      </c>
      <c r="F40" s="15">
        <v>0.78</v>
      </c>
      <c r="G40" s="15">
        <v>0.79</v>
      </c>
    </row>
    <row r="41" spans="1:14" ht="15.6" x14ac:dyDescent="0.3">
      <c r="A41" s="11">
        <v>1.75</v>
      </c>
      <c r="B41" s="15">
        <v>0.71</v>
      </c>
      <c r="C41" s="15">
        <v>0.75</v>
      </c>
      <c r="D41" s="15">
        <v>0.78</v>
      </c>
      <c r="E41" s="15">
        <v>0.8</v>
      </c>
      <c r="F41" s="15">
        <v>0.82</v>
      </c>
      <c r="G41" s="15">
        <v>0.84</v>
      </c>
    </row>
    <row r="42" spans="1:14" ht="15.6" x14ac:dyDescent="0.3">
      <c r="A42" s="11">
        <v>2</v>
      </c>
      <c r="B42" s="15">
        <v>0.71</v>
      </c>
      <c r="C42" s="15">
        <v>0.79</v>
      </c>
      <c r="D42" s="15">
        <v>0.82</v>
      </c>
      <c r="E42" s="15">
        <v>0.84</v>
      </c>
      <c r="F42" s="15">
        <v>0.86</v>
      </c>
      <c r="G42" s="15">
        <v>0.88</v>
      </c>
      <c r="H42" s="138"/>
      <c r="I42" s="210">
        <f>'0ne way'!B8</f>
        <v>20</v>
      </c>
      <c r="J42" s="210"/>
    </row>
    <row r="43" spans="1:14" ht="15.6" x14ac:dyDescent="0.3">
      <c r="A43" s="11">
        <v>2.25</v>
      </c>
      <c r="B43" s="15">
        <v>0.71</v>
      </c>
      <c r="C43" s="15">
        <v>0.81</v>
      </c>
      <c r="D43" s="15">
        <v>0.85</v>
      </c>
      <c r="E43" s="15">
        <v>0.88</v>
      </c>
      <c r="F43" s="15">
        <v>0.9</v>
      </c>
      <c r="G43" s="15">
        <v>0.92</v>
      </c>
      <c r="H43" s="69">
        <f>MATCH(I44,A34:A46)+1</f>
        <v>3</v>
      </c>
      <c r="I43" s="69">
        <f>INDEX(A34:A46,H43,1)</f>
        <v>0.5</v>
      </c>
      <c r="J43" s="69">
        <f>VLOOKUP(I43,A33:G46,MATCH(I42,A33:G33,0))</f>
        <v>0.48</v>
      </c>
    </row>
    <row r="44" spans="1:14" ht="15.6" x14ac:dyDescent="0.3">
      <c r="A44" s="11">
        <v>2.5</v>
      </c>
      <c r="B44" s="15">
        <v>0.71</v>
      </c>
      <c r="C44" s="15">
        <v>0.82</v>
      </c>
      <c r="D44" s="15">
        <v>0.88</v>
      </c>
      <c r="E44" s="15">
        <v>0.91</v>
      </c>
      <c r="F44" s="15">
        <v>0.93</v>
      </c>
      <c r="G44" s="15">
        <v>0.95</v>
      </c>
      <c r="H44" s="69"/>
      <c r="I44" s="69">
        <f>'0ne way'!D18</f>
        <v>0.36091954022988504</v>
      </c>
      <c r="J44" s="26">
        <f>(J43+((J45-J43)/(I45-I43))*(I44-I43))</f>
        <v>0.41324137931034477</v>
      </c>
    </row>
    <row r="45" spans="1:14" ht="15.6" x14ac:dyDescent="0.3">
      <c r="A45" s="11">
        <v>2.75</v>
      </c>
      <c r="B45" s="15">
        <v>0.71</v>
      </c>
      <c r="C45" s="15">
        <v>0.82</v>
      </c>
      <c r="D45" s="15">
        <v>0.9</v>
      </c>
      <c r="E45" s="15">
        <v>0.94</v>
      </c>
      <c r="F45" s="15">
        <v>0.96</v>
      </c>
      <c r="G45" s="15">
        <v>0.98</v>
      </c>
      <c r="H45" s="69">
        <f>MATCH(I44,A34:A46,1)</f>
        <v>2</v>
      </c>
      <c r="I45" s="69">
        <f>INDEX(A34:A46,H45,1)</f>
        <v>0.25</v>
      </c>
      <c r="J45" s="69">
        <f>VLOOKUP(I45,A34:G46,MATCH(I42,A33:G33)+1)</f>
        <v>0.36</v>
      </c>
    </row>
    <row r="46" spans="1:14" ht="15.6" x14ac:dyDescent="0.3">
      <c r="A46" s="11">
        <v>3</v>
      </c>
      <c r="B46" s="15">
        <v>0.71</v>
      </c>
      <c r="C46" s="15">
        <v>0.82</v>
      </c>
      <c r="D46" s="15">
        <v>0.92</v>
      </c>
      <c r="E46" s="15">
        <v>0.96</v>
      </c>
      <c r="F46" s="15">
        <v>0.99</v>
      </c>
      <c r="G46" s="15">
        <v>1.01</v>
      </c>
    </row>
  </sheetData>
  <mergeCells count="12">
    <mergeCell ref="A32:G32"/>
    <mergeCell ref="I32:J32"/>
    <mergeCell ref="I42:J42"/>
    <mergeCell ref="O20:P20"/>
    <mergeCell ref="O21:P21"/>
    <mergeCell ref="Q21:R21"/>
    <mergeCell ref="H13:L13"/>
    <mergeCell ref="A8:G8"/>
    <mergeCell ref="A10:A11"/>
    <mergeCell ref="B10:F10"/>
    <mergeCell ref="G10:G11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two way slab</vt:lpstr>
      <vt:lpstr>data</vt:lpstr>
      <vt:lpstr>0ne way</vt:lpstr>
      <vt:lpstr>tables</vt:lpstr>
      <vt:lpstr>deff</vt:lpstr>
      <vt:lpstr>DL</vt:lpstr>
      <vt:lpstr>FL</vt:lpstr>
      <vt:lpstr>LL</vt:lpstr>
      <vt:lpstr>lx</vt:lpstr>
      <vt:lpstr>ly</vt:lpstr>
      <vt:lpstr>Q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2019-07-04T02:51:26Z</dcterms:created>
  <dcterms:modified xsi:type="dcterms:W3CDTF">2019-09-07T14:23:19Z</dcterms:modified>
</cp:coreProperties>
</file>