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filterPrivacy="1" defaultThemeVersion="124226"/>
  <xr:revisionPtr revIDLastSave="3" documentId="11_6374B0A90E1C57A3EF147207B7B0633FB69F4145" xr6:coauthVersionLast="47" xr6:coauthVersionMax="47" xr10:uidLastSave="{D70552A5-97F6-499B-8F1A-9E83A114255B}"/>
  <bookViews>
    <workbookView xWindow="240" yWindow="108" windowWidth="14808" windowHeight="8016" tabRatio="848" firstSheet="11" activeTab="13" xr2:uid="{00000000-000D-0000-FFFF-FFFF00000000}"/>
  </bookViews>
  <sheets>
    <sheet name="Highlights" sheetId="14" r:id="rId1"/>
    <sheet name="Financial Highlights" sheetId="7" r:id="rId2"/>
    <sheet name="Financial Highlight Qtrly" sheetId="9" state="hidden" r:id="rId3"/>
    <sheet name="Balance sheet" sheetId="10" r:id="rId4"/>
    <sheet name="ECL PROVISION" sheetId="11" r:id="rId5"/>
    <sheet name="NPA" sheetId="12" r:id="rId6"/>
    <sheet name="AUCA" sheetId="13" r:id="rId7"/>
    <sheet name="FIU" sheetId="17" r:id="rId8"/>
    <sheet name="Ave Std FIU" sheetId="15" r:id="rId9"/>
    <sheet name="Turnover" sheetId="16" r:id="rId10"/>
    <sheet name="MOU " sheetId="8" r:id="rId11"/>
    <sheet name="MOU-Revised" sheetId="19" r:id="rId12"/>
    <sheet name="Yeild Working" sheetId="22" r:id="rId13"/>
    <sheet name="Yeild" sheetId="23" r:id="rId14"/>
    <sheet name="EFFICIENCY RATIO" sheetId="24" r:id="rId15"/>
    <sheet name="AVG Borrowings" sheetId="21" state="hidden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4" l="1"/>
  <c r="D6" i="21" l="1"/>
  <c r="D17" i="21" s="1"/>
  <c r="E6" i="21"/>
  <c r="E17" i="21" s="1"/>
  <c r="AL213" i="22" l="1"/>
  <c r="AK213" i="22"/>
  <c r="AL195" i="22"/>
  <c r="AP191" i="22"/>
  <c r="AK178" i="22"/>
  <c r="AO174" i="22"/>
  <c r="AK171" i="22"/>
  <c r="AK195" i="22" s="1"/>
  <c r="AL169" i="22"/>
  <c r="AL194" i="22" s="1"/>
  <c r="AL168" i="22"/>
  <c r="AL190" i="22" s="1"/>
  <c r="AL167" i="22"/>
  <c r="AL187" i="22" s="1"/>
  <c r="AL166" i="22"/>
  <c r="AR165" i="22"/>
  <c r="AL165" i="22"/>
  <c r="AL186" i="22" s="1"/>
  <c r="AL164" i="22"/>
  <c r="AL163" i="22"/>
  <c r="AG162" i="22"/>
  <c r="AG165" i="22" s="1"/>
  <c r="AF162" i="22"/>
  <c r="AF165" i="22" s="1"/>
  <c r="AE162" i="22"/>
  <c r="AE165" i="22" s="1"/>
  <c r="AD162" i="22"/>
  <c r="AD165" i="22" s="1"/>
  <c r="AC162" i="22"/>
  <c r="AC165" i="22" s="1"/>
  <c r="AB162" i="22"/>
  <c r="AB165" i="22" s="1"/>
  <c r="AA162" i="22"/>
  <c r="AA165" i="22" s="1"/>
  <c r="Z162" i="22"/>
  <c r="Z165" i="22" s="1"/>
  <c r="Y162" i="22"/>
  <c r="Y165" i="22" s="1"/>
  <c r="X162" i="22"/>
  <c r="X165" i="22" s="1"/>
  <c r="W162" i="22"/>
  <c r="W165" i="22" s="1"/>
  <c r="V162" i="22"/>
  <c r="V165" i="22" s="1"/>
  <c r="U162" i="22"/>
  <c r="U165" i="22" s="1"/>
  <c r="T162" i="22"/>
  <c r="T165" i="22" s="1"/>
  <c r="S162" i="22"/>
  <c r="S165" i="22" s="1"/>
  <c r="R162" i="22"/>
  <c r="R165" i="22" s="1"/>
  <c r="Q162" i="22"/>
  <c r="Q165" i="22" s="1"/>
  <c r="P162" i="22"/>
  <c r="P165" i="22" s="1"/>
  <c r="O162" i="22"/>
  <c r="O165" i="22" s="1"/>
  <c r="N162" i="22"/>
  <c r="N165" i="22" s="1"/>
  <c r="M162" i="22"/>
  <c r="M165" i="22" s="1"/>
  <c r="L162" i="22"/>
  <c r="L165" i="22" s="1"/>
  <c r="K162" i="22"/>
  <c r="K165" i="22" s="1"/>
  <c r="J162" i="22"/>
  <c r="J165" i="22" s="1"/>
  <c r="I162" i="22"/>
  <c r="I165" i="22" s="1"/>
  <c r="H162" i="22"/>
  <c r="H165" i="22" s="1"/>
  <c r="G162" i="22"/>
  <c r="G165" i="22" s="1"/>
  <c r="F162" i="22"/>
  <c r="F165" i="22" s="1"/>
  <c r="E162" i="22"/>
  <c r="E165" i="22" s="1"/>
  <c r="D162" i="22"/>
  <c r="D165" i="22" s="1"/>
  <c r="C162" i="22"/>
  <c r="C165" i="22" s="1"/>
  <c r="AO160" i="22"/>
  <c r="AQ159" i="22"/>
  <c r="AH158" i="22"/>
  <c r="AI156" i="22"/>
  <c r="AH156" i="22"/>
  <c r="AI155" i="22"/>
  <c r="AH155" i="22"/>
  <c r="AI154" i="22"/>
  <c r="AH154" i="22"/>
  <c r="AK154" i="22" s="1"/>
  <c r="AK212" i="22" s="1"/>
  <c r="AI153" i="22"/>
  <c r="AL153" i="22" s="1"/>
  <c r="AH153" i="22"/>
  <c r="AK153" i="22" s="1"/>
  <c r="AK208" i="22" s="1"/>
  <c r="AI152" i="22"/>
  <c r="AL152" i="22" s="1"/>
  <c r="AH152" i="22"/>
  <c r="AK152" i="22" s="1"/>
  <c r="AK204" i="22" s="1"/>
  <c r="AI151" i="22"/>
  <c r="AL151" i="22" s="1"/>
  <c r="AH151" i="22"/>
  <c r="AK151" i="22" s="1"/>
  <c r="AK206" i="22" s="1"/>
  <c r="AI150" i="22"/>
  <c r="AL150" i="22" s="1"/>
  <c r="AH150" i="22"/>
  <c r="AK150" i="22" s="1"/>
  <c r="AK205" i="22" s="1"/>
  <c r="AI149" i="22"/>
  <c r="AL149" i="22" s="1"/>
  <c r="AH149" i="22"/>
  <c r="AK149" i="22" s="1"/>
  <c r="AK207" i="22" s="1"/>
  <c r="AI148" i="22"/>
  <c r="AL148" i="22" s="1"/>
  <c r="AH148" i="22"/>
  <c r="AK148" i="22" s="1"/>
  <c r="D146" i="22"/>
  <c r="E146" i="22" s="1"/>
  <c r="F146" i="22" s="1"/>
  <c r="G146" i="22" s="1"/>
  <c r="H146" i="22" s="1"/>
  <c r="I146" i="22" s="1"/>
  <c r="J146" i="22" s="1"/>
  <c r="K146" i="22" s="1"/>
  <c r="L146" i="22" s="1"/>
  <c r="M146" i="22" s="1"/>
  <c r="N146" i="22" s="1"/>
  <c r="O146" i="22" s="1"/>
  <c r="P146" i="22" s="1"/>
  <c r="Q146" i="22" s="1"/>
  <c r="R146" i="22" s="1"/>
  <c r="S146" i="22" s="1"/>
  <c r="T146" i="22" s="1"/>
  <c r="U146" i="22" s="1"/>
  <c r="V146" i="22" s="1"/>
  <c r="W146" i="22" s="1"/>
  <c r="X146" i="22" s="1"/>
  <c r="Y146" i="22" s="1"/>
  <c r="Z146" i="22" s="1"/>
  <c r="AA146" i="22" s="1"/>
  <c r="AB146" i="22" s="1"/>
  <c r="AC146" i="22" s="1"/>
  <c r="AD146" i="22" s="1"/>
  <c r="AE146" i="22" s="1"/>
  <c r="AF146" i="22" s="1"/>
  <c r="AG146" i="22" s="1"/>
  <c r="AO144" i="22"/>
  <c r="AQ142" i="22"/>
  <c r="AH142" i="22"/>
  <c r="AI140" i="22"/>
  <c r="AH140" i="22"/>
  <c r="AI139" i="22"/>
  <c r="AH139" i="22"/>
  <c r="AI138" i="22"/>
  <c r="AH138" i="22"/>
  <c r="AI137" i="22"/>
  <c r="AL137" i="22" s="1"/>
  <c r="AH137" i="22"/>
  <c r="AK137" i="22" s="1"/>
  <c r="AI136" i="22"/>
  <c r="AL136" i="22" s="1"/>
  <c r="AH136" i="22"/>
  <c r="AK136" i="22" s="1"/>
  <c r="AI135" i="22"/>
  <c r="AL135" i="22" s="1"/>
  <c r="AH135" i="22"/>
  <c r="AK135" i="22" s="1"/>
  <c r="AI134" i="22"/>
  <c r="AL134" i="22" s="1"/>
  <c r="AH134" i="22"/>
  <c r="AK134" i="22" s="1"/>
  <c r="AI133" i="22"/>
  <c r="AL133" i="22" s="1"/>
  <c r="AH133" i="22"/>
  <c r="AK133" i="22" s="1"/>
  <c r="AI132" i="22"/>
  <c r="AL132" i="22" s="1"/>
  <c r="AH132" i="22"/>
  <c r="AK132" i="22" s="1"/>
  <c r="D130" i="22"/>
  <c r="E130" i="22" s="1"/>
  <c r="F130" i="22" s="1"/>
  <c r="G130" i="22" s="1"/>
  <c r="H130" i="22" s="1"/>
  <c r="I130" i="22" s="1"/>
  <c r="J130" i="22" s="1"/>
  <c r="K130" i="22" s="1"/>
  <c r="L130" i="22" s="1"/>
  <c r="M130" i="22" s="1"/>
  <c r="N130" i="22" s="1"/>
  <c r="O130" i="22" s="1"/>
  <c r="P130" i="22" s="1"/>
  <c r="Q130" i="22" s="1"/>
  <c r="R130" i="22" s="1"/>
  <c r="S130" i="22" s="1"/>
  <c r="T130" i="22" s="1"/>
  <c r="U130" i="22" s="1"/>
  <c r="V130" i="22" s="1"/>
  <c r="W130" i="22" s="1"/>
  <c r="X130" i="22" s="1"/>
  <c r="Y130" i="22" s="1"/>
  <c r="Z130" i="22" s="1"/>
  <c r="AA130" i="22" s="1"/>
  <c r="AB130" i="22" s="1"/>
  <c r="AC130" i="22" s="1"/>
  <c r="AD130" i="22" s="1"/>
  <c r="AE130" i="22" s="1"/>
  <c r="AF130" i="22" s="1"/>
  <c r="AG130" i="22" s="1"/>
  <c r="AO128" i="22"/>
  <c r="AH126" i="22"/>
  <c r="AQ125" i="22"/>
  <c r="AI124" i="22"/>
  <c r="AH124" i="22"/>
  <c r="AI123" i="22"/>
  <c r="AH123" i="22"/>
  <c r="AI122" i="22"/>
  <c r="AH122" i="22"/>
  <c r="AI121" i="22"/>
  <c r="AL121" i="22" s="1"/>
  <c r="AH121" i="22"/>
  <c r="AK121" i="22" s="1"/>
  <c r="AI120" i="22"/>
  <c r="AL120" i="22" s="1"/>
  <c r="AH120" i="22"/>
  <c r="AK120" i="22" s="1"/>
  <c r="AI119" i="22"/>
  <c r="AL119" i="22" s="1"/>
  <c r="AH119" i="22"/>
  <c r="AK119" i="22" s="1"/>
  <c r="AI118" i="22"/>
  <c r="AL118" i="22" s="1"/>
  <c r="AH118" i="22"/>
  <c r="AK118" i="22" s="1"/>
  <c r="AI117" i="22"/>
  <c r="AL117" i="22" s="1"/>
  <c r="AH117" i="22"/>
  <c r="AK117" i="22" s="1"/>
  <c r="AH116" i="22"/>
  <c r="AK116" i="22" s="1"/>
  <c r="D114" i="22"/>
  <c r="E114" i="22" s="1"/>
  <c r="F114" i="22" s="1"/>
  <c r="G114" i="22" s="1"/>
  <c r="H114" i="22" s="1"/>
  <c r="I114" i="22" s="1"/>
  <c r="J114" i="22" s="1"/>
  <c r="K114" i="22" s="1"/>
  <c r="L114" i="22" s="1"/>
  <c r="M114" i="22" s="1"/>
  <c r="N114" i="22" s="1"/>
  <c r="O114" i="22" s="1"/>
  <c r="P114" i="22" s="1"/>
  <c r="Q114" i="22" s="1"/>
  <c r="R114" i="22" s="1"/>
  <c r="S114" i="22" s="1"/>
  <c r="T114" i="22" s="1"/>
  <c r="U114" i="22" s="1"/>
  <c r="V114" i="22" s="1"/>
  <c r="W114" i="22" s="1"/>
  <c r="X114" i="22" s="1"/>
  <c r="Y114" i="22" s="1"/>
  <c r="Z114" i="22" s="1"/>
  <c r="AA114" i="22" s="1"/>
  <c r="AB114" i="22" s="1"/>
  <c r="AC114" i="22" s="1"/>
  <c r="AD114" i="22" s="1"/>
  <c r="AE114" i="22" s="1"/>
  <c r="AF114" i="22" s="1"/>
  <c r="AH112" i="22"/>
  <c r="AH110" i="22"/>
  <c r="AI108" i="22"/>
  <c r="AH108" i="22"/>
  <c r="AI107" i="22"/>
  <c r="AH107" i="22"/>
  <c r="AQ106" i="22"/>
  <c r="AI106" i="22"/>
  <c r="AH106" i="22"/>
  <c r="AI105" i="22"/>
  <c r="AL105" i="22" s="1"/>
  <c r="AH105" i="22"/>
  <c r="AK105" i="22" s="1"/>
  <c r="AI104" i="22"/>
  <c r="AL104" i="22" s="1"/>
  <c r="AH104" i="22"/>
  <c r="AK104" i="22" s="1"/>
  <c r="AI103" i="22"/>
  <c r="AL103" i="22" s="1"/>
  <c r="AH103" i="22"/>
  <c r="AK103" i="22" s="1"/>
  <c r="AI102" i="22"/>
  <c r="AL102" i="22" s="1"/>
  <c r="AH102" i="22"/>
  <c r="AK102" i="22" s="1"/>
  <c r="AI101" i="22"/>
  <c r="AL101" i="22" s="1"/>
  <c r="AH101" i="22"/>
  <c r="AK101" i="22" s="1"/>
  <c r="AO100" i="22"/>
  <c r="AI116" i="22" s="1"/>
  <c r="AL116" i="22" s="1"/>
  <c r="AH100" i="22"/>
  <c r="AK100" i="22" s="1"/>
  <c r="D98" i="22"/>
  <c r="E98" i="22" s="1"/>
  <c r="F98" i="22" s="1"/>
  <c r="G98" i="22" s="1"/>
  <c r="H98" i="22" s="1"/>
  <c r="I98" i="22" s="1"/>
  <c r="J98" i="22" s="1"/>
  <c r="K98" i="22" s="1"/>
  <c r="L98" i="22" s="1"/>
  <c r="M98" i="22" s="1"/>
  <c r="N98" i="22" s="1"/>
  <c r="O98" i="22" s="1"/>
  <c r="P98" i="22" s="1"/>
  <c r="Q98" i="22" s="1"/>
  <c r="R98" i="22" s="1"/>
  <c r="S98" i="22" s="1"/>
  <c r="T98" i="22" s="1"/>
  <c r="U98" i="22" s="1"/>
  <c r="V98" i="22" s="1"/>
  <c r="W98" i="22" s="1"/>
  <c r="X98" i="22" s="1"/>
  <c r="Y98" i="22" s="1"/>
  <c r="Z98" i="22" s="1"/>
  <c r="AA98" i="22" s="1"/>
  <c r="AB98" i="22" s="1"/>
  <c r="AC98" i="22" s="1"/>
  <c r="AD98" i="22" s="1"/>
  <c r="AE98" i="22" s="1"/>
  <c r="AF98" i="22" s="1"/>
  <c r="AG98" i="22" s="1"/>
  <c r="AO96" i="22"/>
  <c r="AH96" i="22"/>
  <c r="AH94" i="22"/>
  <c r="AI92" i="22"/>
  <c r="AH92" i="22"/>
  <c r="AI91" i="22"/>
  <c r="AH91" i="22"/>
  <c r="AQ90" i="22"/>
  <c r="AH90" i="22"/>
  <c r="AI89" i="22"/>
  <c r="AL89" i="22" s="1"/>
  <c r="AH89" i="22"/>
  <c r="AK89" i="22" s="1"/>
  <c r="AI88" i="22"/>
  <c r="AL88" i="22" s="1"/>
  <c r="AH88" i="22"/>
  <c r="AK88" i="22" s="1"/>
  <c r="AI87" i="22"/>
  <c r="AL87" i="22" s="1"/>
  <c r="AH87" i="22"/>
  <c r="AK87" i="22" s="1"/>
  <c r="AI86" i="22"/>
  <c r="AL86" i="22" s="1"/>
  <c r="AH86" i="22"/>
  <c r="AK86" i="22" s="1"/>
  <c r="AI85" i="22"/>
  <c r="AL85" i="22" s="1"/>
  <c r="AH85" i="22"/>
  <c r="AK85" i="22" s="1"/>
  <c r="AI84" i="22"/>
  <c r="AH84" i="22"/>
  <c r="AK84" i="22" s="1"/>
  <c r="D82" i="22"/>
  <c r="E82" i="22" s="1"/>
  <c r="F82" i="22" s="1"/>
  <c r="G82" i="22" s="1"/>
  <c r="H82" i="22" s="1"/>
  <c r="I82" i="22" s="1"/>
  <c r="J82" i="22" s="1"/>
  <c r="K82" i="22" s="1"/>
  <c r="L82" i="22" s="1"/>
  <c r="M82" i="22" s="1"/>
  <c r="N82" i="22" s="1"/>
  <c r="O82" i="22" s="1"/>
  <c r="P82" i="22" s="1"/>
  <c r="Q82" i="22" s="1"/>
  <c r="R82" i="22" s="1"/>
  <c r="S82" i="22" s="1"/>
  <c r="T82" i="22" s="1"/>
  <c r="U82" i="22" s="1"/>
  <c r="V82" i="22" s="1"/>
  <c r="W82" i="22" s="1"/>
  <c r="X82" i="22" s="1"/>
  <c r="Y82" i="22" s="1"/>
  <c r="Z82" i="22" s="1"/>
  <c r="AA82" i="22" s="1"/>
  <c r="AB82" i="22" s="1"/>
  <c r="AC82" i="22" s="1"/>
  <c r="AD82" i="22" s="1"/>
  <c r="AE82" i="22" s="1"/>
  <c r="AF82" i="22" s="1"/>
  <c r="AH80" i="22"/>
  <c r="AH78" i="22"/>
  <c r="AI76" i="22"/>
  <c r="AH76" i="22"/>
  <c r="AI75" i="22"/>
  <c r="AH75" i="22"/>
  <c r="AO74" i="22"/>
  <c r="AO80" i="22" s="1"/>
  <c r="AH74" i="22"/>
  <c r="AI73" i="22"/>
  <c r="AL73" i="22" s="1"/>
  <c r="AH73" i="22"/>
  <c r="AK73" i="22" s="1"/>
  <c r="AI72" i="22"/>
  <c r="AL72" i="22" s="1"/>
  <c r="AH72" i="22"/>
  <c r="AK72" i="22" s="1"/>
  <c r="AI71" i="22"/>
  <c r="AL71" i="22" s="1"/>
  <c r="AH71" i="22"/>
  <c r="AK71" i="22" s="1"/>
  <c r="AI70" i="22"/>
  <c r="AL70" i="22" s="1"/>
  <c r="AH70" i="22"/>
  <c r="AK70" i="22" s="1"/>
  <c r="AI69" i="22"/>
  <c r="AL69" i="22" s="1"/>
  <c r="AH69" i="22"/>
  <c r="AK69" i="22" s="1"/>
  <c r="AI68" i="22"/>
  <c r="AH68" i="22"/>
  <c r="AK68" i="22" s="1"/>
  <c r="D66" i="22"/>
  <c r="E66" i="22" s="1"/>
  <c r="F66" i="22" s="1"/>
  <c r="G66" i="22" s="1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AB66" i="22" s="1"/>
  <c r="AC66" i="22" s="1"/>
  <c r="AD66" i="22" s="1"/>
  <c r="AE66" i="22" s="1"/>
  <c r="AF66" i="22" s="1"/>
  <c r="AG66" i="22" s="1"/>
  <c r="AO64" i="22"/>
  <c r="AH64" i="22"/>
  <c r="AH62" i="22"/>
  <c r="AI60" i="22"/>
  <c r="AH60" i="22"/>
  <c r="AI59" i="22"/>
  <c r="AH59" i="22"/>
  <c r="AI58" i="22"/>
  <c r="AH58" i="22"/>
  <c r="AI57" i="22"/>
  <c r="AL57" i="22" s="1"/>
  <c r="AH57" i="22"/>
  <c r="AK57" i="22" s="1"/>
  <c r="AI56" i="22"/>
  <c r="AL53" i="22" s="1"/>
  <c r="AH56" i="22"/>
  <c r="AK53" i="22" s="1"/>
  <c r="AI55" i="22"/>
  <c r="AL55" i="22" s="1"/>
  <c r="AH55" i="22"/>
  <c r="AK55" i="22" s="1"/>
  <c r="AI54" i="22"/>
  <c r="AL54" i="22" s="1"/>
  <c r="AH54" i="22"/>
  <c r="AK54" i="22" s="1"/>
  <c r="AI53" i="22"/>
  <c r="AL59" i="22" s="1"/>
  <c r="AH53" i="22"/>
  <c r="AK59" i="22" s="1"/>
  <c r="AI52" i="22"/>
  <c r="AH52" i="22"/>
  <c r="AK52" i="22" s="1"/>
  <c r="D50" i="22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AB50" i="22" s="1"/>
  <c r="AC50" i="22" s="1"/>
  <c r="AD50" i="22" s="1"/>
  <c r="AE50" i="22" s="1"/>
  <c r="AF50" i="22" s="1"/>
  <c r="AG50" i="22" s="1"/>
  <c r="AO48" i="22"/>
  <c r="AH48" i="22"/>
  <c r="AH46" i="22"/>
  <c r="AI44" i="22"/>
  <c r="AH44" i="22"/>
  <c r="AI43" i="22"/>
  <c r="AH43" i="22"/>
  <c r="AI42" i="22"/>
  <c r="AH42" i="22"/>
  <c r="AI41" i="22"/>
  <c r="AL41" i="22" s="1"/>
  <c r="AH41" i="22"/>
  <c r="AK41" i="22" s="1"/>
  <c r="AI40" i="22"/>
  <c r="AL37" i="22" s="1"/>
  <c r="AH40" i="22"/>
  <c r="AK37" i="22" s="1"/>
  <c r="AI39" i="22"/>
  <c r="AL39" i="22" s="1"/>
  <c r="AH39" i="22"/>
  <c r="AK39" i="22" s="1"/>
  <c r="AI38" i="22"/>
  <c r="AL38" i="22" s="1"/>
  <c r="AH38" i="22"/>
  <c r="AK38" i="22" s="1"/>
  <c r="AI37" i="22"/>
  <c r="AL43" i="22" s="1"/>
  <c r="AH37" i="22"/>
  <c r="AK43" i="22" s="1"/>
  <c r="AI36" i="22"/>
  <c r="AH36" i="22"/>
  <c r="AK36" i="22" s="1"/>
  <c r="D34" i="22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AB34" i="22" s="1"/>
  <c r="AC34" i="22" s="1"/>
  <c r="AD34" i="22" s="1"/>
  <c r="AE34" i="22" s="1"/>
  <c r="AF34" i="22" s="1"/>
  <c r="AO32" i="22"/>
  <c r="AH32" i="22"/>
  <c r="AH30" i="22"/>
  <c r="AI28" i="22"/>
  <c r="AH28" i="22"/>
  <c r="AI27" i="22"/>
  <c r="AH27" i="22"/>
  <c r="AI26" i="22"/>
  <c r="AH26" i="22"/>
  <c r="AI25" i="22"/>
  <c r="AL25" i="22" s="1"/>
  <c r="AH25" i="22"/>
  <c r="AK25" i="22" s="1"/>
  <c r="AI24" i="22"/>
  <c r="AL21" i="22" s="1"/>
  <c r="AH24" i="22"/>
  <c r="AK21" i="22" s="1"/>
  <c r="AI23" i="22"/>
  <c r="AL23" i="22" s="1"/>
  <c r="AH23" i="22"/>
  <c r="AK23" i="22" s="1"/>
  <c r="AI22" i="22"/>
  <c r="AL22" i="22" s="1"/>
  <c r="AH22" i="22"/>
  <c r="AK22" i="22" s="1"/>
  <c r="AI21" i="22"/>
  <c r="AL27" i="22" s="1"/>
  <c r="AH21" i="22"/>
  <c r="AK27" i="22" s="1"/>
  <c r="AI20" i="22"/>
  <c r="AH20" i="22"/>
  <c r="AK20" i="22" s="1"/>
  <c r="D18" i="22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V18" i="22" s="1"/>
  <c r="W18" i="22" s="1"/>
  <c r="X18" i="22" s="1"/>
  <c r="Y18" i="22" s="1"/>
  <c r="Z18" i="22" s="1"/>
  <c r="AA18" i="22" s="1"/>
  <c r="AB18" i="22" s="1"/>
  <c r="AC18" i="22" s="1"/>
  <c r="AD18" i="22" s="1"/>
  <c r="AE18" i="22" s="1"/>
  <c r="AF18" i="22" s="1"/>
  <c r="AG18" i="22" s="1"/>
  <c r="AO16" i="22"/>
  <c r="AH16" i="22"/>
  <c r="AH14" i="22"/>
  <c r="AI12" i="22"/>
  <c r="AH12" i="22"/>
  <c r="AI11" i="22"/>
  <c r="AH11" i="22"/>
  <c r="AI10" i="22"/>
  <c r="AH10" i="22"/>
  <c r="AI9" i="22"/>
  <c r="AL9" i="22" s="1"/>
  <c r="AH9" i="22"/>
  <c r="AK9" i="22" s="1"/>
  <c r="AI8" i="22"/>
  <c r="AL5" i="22" s="1"/>
  <c r="AH8" i="22"/>
  <c r="AK5" i="22" s="1"/>
  <c r="AI7" i="22"/>
  <c r="AL7" i="22" s="1"/>
  <c r="AH7" i="22"/>
  <c r="AK7" i="22" s="1"/>
  <c r="AI6" i="22"/>
  <c r="AL6" i="22" s="1"/>
  <c r="AH6" i="22"/>
  <c r="AK6" i="22" s="1"/>
  <c r="AI5" i="22"/>
  <c r="AL11" i="22" s="1"/>
  <c r="AH5" i="22"/>
  <c r="AK11" i="22" s="1"/>
  <c r="AI4" i="22"/>
  <c r="AH4" i="22"/>
  <c r="AK4" i="22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M6" i="22" l="1"/>
  <c r="AL24" i="22"/>
  <c r="AK106" i="22"/>
  <c r="AK112" i="22" s="1"/>
  <c r="AK24" i="22"/>
  <c r="AK32" i="22" s="1"/>
  <c r="AL154" i="22"/>
  <c r="AL212" i="22" s="1"/>
  <c r="AM212" i="22" s="1"/>
  <c r="AL40" i="22"/>
  <c r="AK40" i="22"/>
  <c r="AK48" i="22" s="1"/>
  <c r="AM23" i="22"/>
  <c r="AK138" i="22"/>
  <c r="AK144" i="22" s="1"/>
  <c r="AM37" i="22"/>
  <c r="AM53" i="22"/>
  <c r="AM9" i="22"/>
  <c r="AL56" i="22"/>
  <c r="AI74" i="22"/>
  <c r="AL74" i="22" s="1"/>
  <c r="AM5" i="22"/>
  <c r="AI16" i="22"/>
  <c r="AM39" i="22"/>
  <c r="AK56" i="22"/>
  <c r="AK64" i="22" s="1"/>
  <c r="AK74" i="22"/>
  <c r="AK80" i="22" s="1"/>
  <c r="AM134" i="22"/>
  <c r="AM136" i="22"/>
  <c r="AL8" i="22"/>
  <c r="AM11" i="22"/>
  <c r="AK8" i="22"/>
  <c r="AK16" i="22" s="1"/>
  <c r="AM102" i="22"/>
  <c r="AM104" i="22"/>
  <c r="AL106" i="22"/>
  <c r="AM106" i="22" s="1"/>
  <c r="AM119" i="22"/>
  <c r="AM121" i="22"/>
  <c r="AK167" i="22"/>
  <c r="AS165" i="22" s="1"/>
  <c r="AL4" i="22"/>
  <c r="AM4" i="22" s="1"/>
  <c r="AI100" i="22"/>
  <c r="AI112" i="22" s="1"/>
  <c r="AK122" i="22"/>
  <c r="AL138" i="22"/>
  <c r="AL144" i="22" s="1"/>
  <c r="AK166" i="22"/>
  <c r="AS166" i="22" s="1"/>
  <c r="AM27" i="22"/>
  <c r="AM22" i="22"/>
  <c r="AM43" i="22"/>
  <c r="AM38" i="22"/>
  <c r="AM103" i="22"/>
  <c r="AK128" i="22"/>
  <c r="AM118" i="22"/>
  <c r="AM133" i="22"/>
  <c r="AL196" i="22"/>
  <c r="AI32" i="22"/>
  <c r="AM21" i="22"/>
  <c r="AI48" i="22"/>
  <c r="AM41" i="22"/>
  <c r="AI64" i="22"/>
  <c r="AM55" i="22"/>
  <c r="AM69" i="22"/>
  <c r="AM71" i="22"/>
  <c r="AM73" i="22"/>
  <c r="AM86" i="22"/>
  <c r="AM88" i="22"/>
  <c r="AK90" i="22"/>
  <c r="AK96" i="22" s="1"/>
  <c r="AL122" i="22"/>
  <c r="AL128" i="22" s="1"/>
  <c r="AM137" i="22"/>
  <c r="AK165" i="22"/>
  <c r="AK168" i="22"/>
  <c r="AM168" i="22" s="1"/>
  <c r="AM101" i="22"/>
  <c r="AM7" i="22"/>
  <c r="AM89" i="22"/>
  <c r="AM120" i="22"/>
  <c r="AM135" i="22"/>
  <c r="AL203" i="22"/>
  <c r="AL160" i="22"/>
  <c r="AM148" i="22"/>
  <c r="AM150" i="22"/>
  <c r="AL205" i="22"/>
  <c r="AM205" i="22" s="1"/>
  <c r="AL204" i="22"/>
  <c r="AM204" i="22" s="1"/>
  <c r="AM152" i="22"/>
  <c r="AM59" i="22"/>
  <c r="AM54" i="22"/>
  <c r="AM57" i="22"/>
  <c r="AM70" i="22"/>
  <c r="AM72" i="22"/>
  <c r="AM85" i="22"/>
  <c r="AM87" i="22"/>
  <c r="AK214" i="22"/>
  <c r="AK163" i="22"/>
  <c r="AM163" i="22" s="1"/>
  <c r="AM116" i="22"/>
  <c r="AK203" i="22"/>
  <c r="AK209" i="22" s="1"/>
  <c r="AK160" i="22"/>
  <c r="AM195" i="22"/>
  <c r="AM149" i="22"/>
  <c r="AL207" i="22"/>
  <c r="AM207" i="22" s="1"/>
  <c r="AL206" i="22"/>
  <c r="AM206" i="22" s="1"/>
  <c r="AM151" i="22"/>
  <c r="AL208" i="22"/>
  <c r="AM208" i="22" s="1"/>
  <c r="AM153" i="22"/>
  <c r="AK164" i="22"/>
  <c r="AM25" i="22"/>
  <c r="AM105" i="22"/>
  <c r="AM117" i="22"/>
  <c r="AM132" i="22"/>
  <c r="AL20" i="22"/>
  <c r="AO112" i="22"/>
  <c r="AL188" i="22"/>
  <c r="AL36" i="22"/>
  <c r="AL52" i="22"/>
  <c r="AL68" i="22"/>
  <c r="AL84" i="22"/>
  <c r="AI90" i="22"/>
  <c r="AL90" i="22" s="1"/>
  <c r="AS169" i="22"/>
  <c r="AL174" i="22"/>
  <c r="AL185" i="22"/>
  <c r="AL189" i="22"/>
  <c r="AM167" i="22"/>
  <c r="AK217" i="22" l="1"/>
  <c r="AM24" i="22"/>
  <c r="AK188" i="22"/>
  <c r="AM188" i="22" s="1"/>
  <c r="AL16" i="22"/>
  <c r="AM154" i="22"/>
  <c r="AK187" i="22"/>
  <c r="AM187" i="22" s="1"/>
  <c r="AM8" i="22"/>
  <c r="AM40" i="22"/>
  <c r="AM138" i="22"/>
  <c r="AM74" i="22"/>
  <c r="AM166" i="22"/>
  <c r="AM56" i="22"/>
  <c r="AL100" i="22"/>
  <c r="AL112" i="22" s="1"/>
  <c r="AM112" i="22" s="1"/>
  <c r="AI80" i="22"/>
  <c r="AM144" i="22"/>
  <c r="AM16" i="22"/>
  <c r="AM122" i="22"/>
  <c r="AK169" i="22"/>
  <c r="AS167" i="22" s="1"/>
  <c r="AM128" i="22"/>
  <c r="AM90" i="22"/>
  <c r="AL214" i="22"/>
  <c r="AM214" i="22" s="1"/>
  <c r="AL96" i="22"/>
  <c r="AM96" i="22" s="1"/>
  <c r="AM84" i="22"/>
  <c r="AK189" i="22"/>
  <c r="AM189" i="22" s="1"/>
  <c r="AS170" i="22"/>
  <c r="AK185" i="22"/>
  <c r="AM185" i="22" s="1"/>
  <c r="AS163" i="22"/>
  <c r="AK186" i="22"/>
  <c r="AM186" i="22" s="1"/>
  <c r="AM165" i="22"/>
  <c r="AS164" i="22"/>
  <c r="AL191" i="22"/>
  <c r="AL48" i="22"/>
  <c r="AM48" i="22" s="1"/>
  <c r="AM36" i="22"/>
  <c r="AM20" i="22"/>
  <c r="AL32" i="22"/>
  <c r="AM32" i="22" s="1"/>
  <c r="AK190" i="22"/>
  <c r="AM190" i="22" s="1"/>
  <c r="AS168" i="22"/>
  <c r="AL64" i="22"/>
  <c r="AM64" i="22" s="1"/>
  <c r="AM52" i="22"/>
  <c r="AM203" i="22"/>
  <c r="AL209" i="22"/>
  <c r="AM164" i="22"/>
  <c r="AI96" i="22"/>
  <c r="AL80" i="22"/>
  <c r="AM80" i="22" s="1"/>
  <c r="AM68" i="22"/>
  <c r="AM160" i="22"/>
  <c r="AM100" i="22" l="1"/>
  <c r="AK174" i="22"/>
  <c r="AK179" i="22" s="1"/>
  <c r="AK180" i="22" s="1"/>
  <c r="AK194" i="22"/>
  <c r="AM194" i="22" s="1"/>
  <c r="AM169" i="22"/>
  <c r="AK191" i="22"/>
  <c r="AM209" i="22"/>
  <c r="AL217" i="22"/>
  <c r="AM217" i="22" s="1"/>
  <c r="AS174" i="22"/>
  <c r="AL199" i="22"/>
  <c r="AK196" i="22" l="1"/>
  <c r="AM196" i="22" s="1"/>
  <c r="AM174" i="22"/>
  <c r="AM191" i="22"/>
  <c r="AK199" i="22" l="1"/>
  <c r="AM199" i="22" s="1"/>
  <c r="AN199" i="22" s="1"/>
  <c r="C7" i="11" l="1"/>
  <c r="D13" i="8"/>
  <c r="J9" i="12" l="1"/>
  <c r="J8" i="12"/>
  <c r="C12" i="7" l="1"/>
  <c r="C9" i="7"/>
  <c r="D11" i="14"/>
  <c r="D8" i="14"/>
  <c r="F8" i="14" l="1"/>
  <c r="C8" i="14" l="1"/>
  <c r="I10" i="17" l="1"/>
  <c r="I9" i="17"/>
  <c r="I8" i="17"/>
  <c r="I7" i="17"/>
  <c r="I6" i="17"/>
  <c r="I5" i="17"/>
  <c r="H10" i="17"/>
  <c r="H9" i="17"/>
  <c r="H8" i="17"/>
  <c r="H7" i="17"/>
  <c r="H6" i="17"/>
  <c r="H5" i="17"/>
  <c r="G10" i="17"/>
  <c r="G9" i="17"/>
  <c r="G8" i="17"/>
  <c r="G7" i="17"/>
  <c r="G6" i="17"/>
  <c r="G5" i="17"/>
  <c r="F6" i="15" l="1"/>
  <c r="F7" i="15"/>
  <c r="F8" i="15"/>
  <c r="F9" i="15"/>
  <c r="F10" i="15"/>
  <c r="J12" i="12" l="1"/>
  <c r="J14" i="12" s="1"/>
  <c r="E7" i="11" l="1"/>
  <c r="C29" i="10"/>
  <c r="C28" i="10"/>
  <c r="C25" i="10"/>
  <c r="C24" i="10"/>
  <c r="C22" i="10"/>
  <c r="C21" i="10"/>
  <c r="C20" i="10"/>
  <c r="E29" i="10"/>
  <c r="E28" i="10"/>
  <c r="D25" i="10"/>
  <c r="D28" i="10"/>
  <c r="D29" i="10"/>
  <c r="E25" i="10" l="1"/>
  <c r="E24" i="10"/>
  <c r="E22" i="10"/>
  <c r="E21" i="10"/>
  <c r="E20" i="10"/>
  <c r="E16" i="10"/>
  <c r="E15" i="10"/>
  <c r="E14" i="10"/>
  <c r="E13" i="10"/>
  <c r="E12" i="10"/>
  <c r="E10" i="10"/>
  <c r="E9" i="10"/>
  <c r="E8" i="10"/>
  <c r="E7" i="10"/>
  <c r="C10" i="10"/>
  <c r="C9" i="10"/>
  <c r="C8" i="10"/>
  <c r="C7" i="10"/>
  <c r="C16" i="10"/>
  <c r="C15" i="10"/>
  <c r="C14" i="10"/>
  <c r="C13" i="10"/>
  <c r="C12" i="10"/>
  <c r="C17" i="10" l="1"/>
  <c r="O23" i="9"/>
  <c r="O22" i="9"/>
  <c r="D25" i="7" l="1"/>
  <c r="D26" i="7"/>
  <c r="D22" i="7"/>
  <c r="D16" i="7" l="1"/>
  <c r="D20" i="7"/>
  <c r="D13" i="7"/>
  <c r="D12" i="7" s="1"/>
  <c r="E8" i="14" l="1"/>
  <c r="B16" i="7" l="1"/>
  <c r="B9" i="7" l="1"/>
  <c r="B14" i="7" s="1"/>
  <c r="H8" i="14" l="1"/>
  <c r="G8" i="14"/>
  <c r="L10" i="16" l="1"/>
  <c r="L9" i="16"/>
  <c r="L8" i="16"/>
  <c r="L7" i="16"/>
  <c r="L6" i="16"/>
  <c r="L5" i="16"/>
  <c r="K10" i="16"/>
  <c r="K9" i="16"/>
  <c r="K8" i="16"/>
  <c r="K7" i="16"/>
  <c r="K6" i="16"/>
  <c r="K5" i="16"/>
  <c r="G11" i="16" l="1"/>
  <c r="I10" i="15"/>
  <c r="I9" i="15"/>
  <c r="I8" i="15"/>
  <c r="I7" i="15"/>
  <c r="I6" i="15"/>
  <c r="I5" i="15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30" i="10"/>
  <c r="K12" i="9"/>
  <c r="M12" i="9" s="1"/>
  <c r="L13" i="9" l="1"/>
  <c r="I6" i="9"/>
  <c r="M6" i="9"/>
  <c r="F10" i="19" l="1"/>
  <c r="H10" i="19" s="1"/>
  <c r="E17" i="10" l="1"/>
  <c r="C12" i="14" l="1"/>
  <c r="C11" i="14" l="1"/>
  <c r="F11" i="14" l="1"/>
  <c r="G11" i="14" s="1"/>
  <c r="C12" i="8" l="1"/>
  <c r="O12" i="9"/>
  <c r="N12" i="9" s="1"/>
  <c r="F12" i="14"/>
  <c r="C10" i="15" l="1"/>
  <c r="H10" i="15" s="1"/>
  <c r="C7" i="15"/>
  <c r="H7" i="15" s="1"/>
  <c r="C6" i="15"/>
  <c r="H6" i="15" s="1"/>
  <c r="C9" i="15"/>
  <c r="H9" i="15" s="1"/>
  <c r="C8" i="15"/>
  <c r="H8" i="15" s="1"/>
  <c r="C5" i="15"/>
  <c r="H5" i="15" s="1"/>
  <c r="E11" i="15" l="1"/>
  <c r="E13" i="7" l="1"/>
  <c r="D14" i="7" l="1"/>
  <c r="C5" i="19" s="1"/>
  <c r="C14" i="7"/>
  <c r="E10" i="14" l="1"/>
  <c r="J18" i="9" l="1"/>
  <c r="H18" i="9" l="1"/>
  <c r="F13" i="9"/>
  <c r="D7" i="11" l="1"/>
  <c r="C9" i="14" l="1"/>
  <c r="C10" i="14" l="1"/>
  <c r="F9" i="14"/>
  <c r="F10" i="14" l="1"/>
  <c r="G10" i="14" s="1"/>
  <c r="G9" i="14"/>
  <c r="H9" i="14"/>
  <c r="F5" i="14"/>
  <c r="F11" i="17"/>
  <c r="E11" i="17"/>
  <c r="D11" i="17"/>
  <c r="C11" i="17"/>
  <c r="I11" i="16"/>
  <c r="E11" i="16"/>
  <c r="D11" i="16"/>
  <c r="C11" i="16"/>
  <c r="H10" i="16"/>
  <c r="F10" i="16"/>
  <c r="H9" i="16"/>
  <c r="F9" i="16"/>
  <c r="H8" i="16"/>
  <c r="F8" i="16"/>
  <c r="H7" i="16"/>
  <c r="F7" i="16"/>
  <c r="H6" i="16"/>
  <c r="F6" i="16"/>
  <c r="H5" i="16"/>
  <c r="F5" i="16"/>
  <c r="F11" i="15"/>
  <c r="D11" i="15"/>
  <c r="C11" i="15"/>
  <c r="J12" i="13"/>
  <c r="I12" i="13"/>
  <c r="G12" i="13"/>
  <c r="F12" i="13"/>
  <c r="E12" i="13"/>
  <c r="H11" i="13"/>
  <c r="H12" i="13" s="1"/>
  <c r="C8" i="13"/>
  <c r="C9" i="13" s="1"/>
  <c r="C10" i="13" s="1"/>
  <c r="C11" i="13" s="1"/>
  <c r="C12" i="13" s="1"/>
  <c r="I12" i="12"/>
  <c r="F12" i="12"/>
  <c r="F14" i="12" s="1"/>
  <c r="E12" i="12"/>
  <c r="D8" i="11"/>
  <c r="E8" i="11"/>
  <c r="C8" i="11"/>
  <c r="J5" i="16" l="1"/>
  <c r="J6" i="16"/>
  <c r="J7" i="16"/>
  <c r="J8" i="16"/>
  <c r="J9" i="16"/>
  <c r="L11" i="16"/>
  <c r="I11" i="17"/>
  <c r="H11" i="17"/>
  <c r="G11" i="17"/>
  <c r="H10" i="14"/>
  <c r="F6" i="14"/>
  <c r="G11" i="15"/>
  <c r="H11" i="15"/>
  <c r="C6" i="14"/>
  <c r="H6" i="14" s="1"/>
  <c r="C5" i="14"/>
  <c r="H5" i="14" s="1"/>
  <c r="K11" i="16"/>
  <c r="I11" i="15"/>
  <c r="F11" i="16"/>
  <c r="H11" i="16"/>
  <c r="J11" i="16" s="1"/>
  <c r="G5" i="14" s="1"/>
  <c r="G6" i="14" l="1"/>
  <c r="I6" i="14"/>
  <c r="D24" i="10"/>
  <c r="D22" i="10"/>
  <c r="D21" i="10"/>
  <c r="D20" i="10"/>
  <c r="D30" i="10" s="1"/>
  <c r="D16" i="10"/>
  <c r="D15" i="10"/>
  <c r="D14" i="10"/>
  <c r="D13" i="10"/>
  <c r="D12" i="10"/>
  <c r="D10" i="10"/>
  <c r="D9" i="10"/>
  <c r="D8" i="10"/>
  <c r="D7" i="10"/>
  <c r="E23" i="9"/>
  <c r="E22" i="9"/>
  <c r="E26" i="9"/>
  <c r="E25" i="9"/>
  <c r="E20" i="9"/>
  <c r="E17" i="9"/>
  <c r="I17" i="9" s="1"/>
  <c r="E16" i="9"/>
  <c r="E18" i="9" s="1"/>
  <c r="E11" i="9"/>
  <c r="E10" i="9"/>
  <c r="E9" i="9"/>
  <c r="E8" i="9"/>
  <c r="E6" i="9"/>
  <c r="E5" i="9"/>
  <c r="G18" i="9"/>
  <c r="D17" i="10" l="1"/>
  <c r="I22" i="9"/>
  <c r="I23" i="9"/>
  <c r="E13" i="9"/>
  <c r="E19" i="9" s="1"/>
  <c r="M22" i="9" l="1"/>
  <c r="N22" i="9"/>
  <c r="M23" i="9"/>
  <c r="N23" i="9" s="1"/>
  <c r="C8" i="8" l="1"/>
  <c r="C10" i="8"/>
  <c r="E11" i="7"/>
  <c r="O8" i="9" l="1"/>
  <c r="I8" i="9"/>
  <c r="F10" i="8"/>
  <c r="O10" i="9"/>
  <c r="E10" i="8"/>
  <c r="M8" i="9" l="1"/>
  <c r="N8" i="9" s="1"/>
  <c r="I10" i="9"/>
  <c r="M10" i="9" l="1"/>
  <c r="N10" i="9" s="1"/>
  <c r="D10" i="14" l="1"/>
  <c r="C22" i="8" l="1"/>
  <c r="C25" i="8"/>
  <c r="C24" i="8"/>
  <c r="C20" i="8" l="1"/>
  <c r="O21" i="9" s="1"/>
  <c r="C19" i="8"/>
  <c r="O20" i="9" s="1"/>
  <c r="C16" i="8"/>
  <c r="O17" i="9" s="1"/>
  <c r="C15" i="8"/>
  <c r="O16" i="9" s="1"/>
  <c r="C11" i="8"/>
  <c r="O11" i="9" s="1"/>
  <c r="C9" i="8"/>
  <c r="C6" i="8"/>
  <c r="C5" i="8"/>
  <c r="E10" i="7"/>
  <c r="E9" i="7"/>
  <c r="E7" i="7"/>
  <c r="E6" i="7"/>
  <c r="E5" i="7"/>
  <c r="E20" i="7"/>
  <c r="D18" i="7"/>
  <c r="O5" i="9" l="1"/>
  <c r="C9" i="19"/>
  <c r="E9" i="19" s="1"/>
  <c r="F6" i="8"/>
  <c r="C10" i="19"/>
  <c r="G10" i="19" s="1"/>
  <c r="I10" i="19" s="1"/>
  <c r="E10" i="19" s="1"/>
  <c r="O9" i="9"/>
  <c r="C13" i="8"/>
  <c r="E5" i="19" s="1"/>
  <c r="K18" i="9"/>
  <c r="I20" i="9"/>
  <c r="I21" i="9"/>
  <c r="I11" i="9"/>
  <c r="I9" i="9"/>
  <c r="I16" i="9"/>
  <c r="I5" i="9"/>
  <c r="H13" i="9"/>
  <c r="H19" i="9" s="1"/>
  <c r="H24" i="9" s="1"/>
  <c r="H27" i="9" s="1"/>
  <c r="O6" i="9"/>
  <c r="N6" i="9" s="1"/>
  <c r="G13" i="9"/>
  <c r="G19" i="9" s="1"/>
  <c r="G24" i="9" s="1"/>
  <c r="D19" i="7"/>
  <c r="C7" i="19" l="1"/>
  <c r="E7" i="19" s="1"/>
  <c r="O13" i="9"/>
  <c r="F5" i="19"/>
  <c r="G5" i="19" s="1"/>
  <c r="J5" i="19"/>
  <c r="F9" i="19"/>
  <c r="G9" i="19" s="1"/>
  <c r="H9" i="19" s="1"/>
  <c r="H13" i="19" s="1"/>
  <c r="M20" i="9"/>
  <c r="N20" i="9" s="1"/>
  <c r="M17" i="9"/>
  <c r="N17" i="9" s="1"/>
  <c r="L18" i="9"/>
  <c r="L19" i="9" s="1"/>
  <c r="M16" i="9"/>
  <c r="M18" i="9" s="1"/>
  <c r="K13" i="9"/>
  <c r="K19" i="9" s="1"/>
  <c r="K24" i="9" s="1"/>
  <c r="M11" i="9"/>
  <c r="N11" i="9" s="1"/>
  <c r="M5" i="9"/>
  <c r="N5" i="9" s="1"/>
  <c r="J13" i="9"/>
  <c r="J19" i="9" s="1"/>
  <c r="J24" i="9" s="1"/>
  <c r="D24" i="7"/>
  <c r="N16" i="9" l="1"/>
  <c r="N18" i="9" s="1"/>
  <c r="M9" i="9"/>
  <c r="H4" i="19"/>
  <c r="I4" i="19" s="1"/>
  <c r="H5" i="19"/>
  <c r="K5" i="19" s="1"/>
  <c r="D27" i="7"/>
  <c r="M13" i="9" l="1"/>
  <c r="M19" i="9" s="1"/>
  <c r="N9" i="9"/>
  <c r="N13" i="9" s="1"/>
  <c r="N19" i="9" s="1"/>
  <c r="F7" i="14"/>
  <c r="G7" i="14" s="1"/>
  <c r="E26" i="7"/>
  <c r="E17" i="7" l="1"/>
  <c r="E16" i="7" l="1"/>
  <c r="E12" i="7" l="1"/>
  <c r="D18" i="9" l="1"/>
  <c r="D13" i="9"/>
  <c r="D19" i="9" l="1"/>
  <c r="C16" i="7"/>
  <c r="C18" i="7" s="1"/>
  <c r="B18" i="9" l="1"/>
  <c r="B13" i="9"/>
  <c r="B19" i="9" l="1"/>
  <c r="B24" i="9" s="1"/>
  <c r="D19" i="8" l="1"/>
  <c r="E14" i="7" l="1"/>
  <c r="C30" i="10" l="1"/>
  <c r="F22" i="8" l="1"/>
  <c r="E22" i="8"/>
  <c r="F21" i="8" l="1"/>
  <c r="E21" i="8"/>
  <c r="D17" i="8" l="1"/>
  <c r="D18" i="8" l="1"/>
  <c r="D23" i="8" s="1"/>
  <c r="D26" i="8" s="1"/>
  <c r="E6" i="8"/>
  <c r="B18" i="7"/>
  <c r="E18" i="7" s="1"/>
  <c r="O26" i="9"/>
  <c r="F24" i="8"/>
  <c r="I26" i="9" l="1"/>
  <c r="F18" i="9"/>
  <c r="I18" i="9" s="1"/>
  <c r="B27" i="9"/>
  <c r="O25" i="9"/>
  <c r="B19" i="7"/>
  <c r="E19" i="8"/>
  <c r="E15" i="8"/>
  <c r="F25" i="8"/>
  <c r="E20" i="8"/>
  <c r="E16" i="8"/>
  <c r="E5" i="8"/>
  <c r="C19" i="7"/>
  <c r="C24" i="7" s="1"/>
  <c r="F15" i="8"/>
  <c r="C17" i="8"/>
  <c r="E25" i="8"/>
  <c r="F16" i="8"/>
  <c r="F5" i="8"/>
  <c r="F19" i="8"/>
  <c r="F20" i="8"/>
  <c r="C6" i="19" l="1"/>
  <c r="E6" i="19" s="1"/>
  <c r="M26" i="9"/>
  <c r="N26" i="9" s="1"/>
  <c r="I25" i="9"/>
  <c r="M25" i="9" s="1"/>
  <c r="N25" i="9" s="1"/>
  <c r="B24" i="7"/>
  <c r="E24" i="7" s="1"/>
  <c r="E19" i="7"/>
  <c r="C27" i="7"/>
  <c r="D21" i="9"/>
  <c r="E21" i="9" s="1"/>
  <c r="O18" i="9"/>
  <c r="C18" i="9"/>
  <c r="E17" i="8"/>
  <c r="F17" i="8"/>
  <c r="J6" i="19" l="1"/>
  <c r="F6" i="19"/>
  <c r="G6" i="19" s="1"/>
  <c r="H6" i="19" s="1"/>
  <c r="K6" i="19" s="1"/>
  <c r="L21" i="9"/>
  <c r="L24" i="9" s="1"/>
  <c r="E24" i="9"/>
  <c r="E27" i="9" s="1"/>
  <c r="J27" i="9"/>
  <c r="D24" i="9"/>
  <c r="D27" i="9" s="1"/>
  <c r="G27" i="9"/>
  <c r="B27" i="7"/>
  <c r="E9" i="8"/>
  <c r="E11" i="8"/>
  <c r="F11" i="8"/>
  <c r="F9" i="8"/>
  <c r="L27" i="9" l="1"/>
  <c r="K27" i="9"/>
  <c r="M21" i="9"/>
  <c r="E27" i="7"/>
  <c r="C7" i="14"/>
  <c r="H7" i="14" s="1"/>
  <c r="E8" i="8"/>
  <c r="F8" i="8"/>
  <c r="M24" i="9" l="1"/>
  <c r="M27" i="9" s="1"/>
  <c r="N21" i="9"/>
  <c r="N24" i="9" s="1"/>
  <c r="N27" i="9" s="1"/>
  <c r="F19" i="9"/>
  <c r="I13" i="9"/>
  <c r="E13" i="8"/>
  <c r="C13" i="9"/>
  <c r="C19" i="9" s="1"/>
  <c r="C24" i="9" s="1"/>
  <c r="C27" i="9" s="1"/>
  <c r="F13" i="8"/>
  <c r="C18" i="8"/>
  <c r="F7" i="19" l="1"/>
  <c r="G7" i="19" s="1"/>
  <c r="H7" i="19" s="1"/>
  <c r="J7" i="19"/>
  <c r="F24" i="9"/>
  <c r="F27" i="9" s="1"/>
  <c r="I19" i="9"/>
  <c r="O19" i="9"/>
  <c r="O24" i="9" s="1"/>
  <c r="C23" i="8"/>
  <c r="C26" i="8" s="1"/>
  <c r="E18" i="8"/>
  <c r="F18" i="8"/>
  <c r="C8" i="19" l="1"/>
  <c r="E8" i="19" s="1"/>
  <c r="K7" i="19"/>
  <c r="F23" i="8"/>
  <c r="E23" i="8"/>
  <c r="F8" i="19" l="1"/>
  <c r="G8" i="19" s="1"/>
  <c r="H8" i="19" s="1"/>
  <c r="J8" i="19"/>
  <c r="F26" i="8"/>
  <c r="E26" i="8"/>
  <c r="O27" i="9"/>
  <c r="K8" i="19" l="1"/>
  <c r="I27" i="9"/>
  <c r="I24" i="9"/>
</calcChain>
</file>

<file path=xl/sharedStrings.xml><?xml version="1.0" encoding="utf-8"?>
<sst xmlns="http://schemas.openxmlformats.org/spreadsheetml/2006/main" count="995" uniqueCount="241">
  <si>
    <r>
      <t>HIGHLIGHTS : AS ON 31</t>
    </r>
    <r>
      <rPr>
        <b/>
        <vertAlign val="superscript"/>
        <sz val="20"/>
        <color theme="1"/>
        <rFont val="Calibri"/>
        <family val="2"/>
        <scheme val="minor"/>
      </rPr>
      <t>st</t>
    </r>
    <r>
      <rPr>
        <b/>
        <sz val="20"/>
        <color theme="1"/>
        <rFont val="Calibri"/>
        <family val="2"/>
        <scheme val="minor"/>
      </rPr>
      <t xml:space="preserve"> January 2024</t>
    </r>
  </si>
  <si>
    <t>(Rs. in crs)</t>
  </si>
  <si>
    <t>Particulars</t>
  </si>
  <si>
    <t>April-22 to        Jan-23</t>
  </si>
  <si>
    <t>F.Y. 2022-23</t>
  </si>
  <si>
    <t>April-23 to        Dec-23</t>
  </si>
  <si>
    <t>April-23 to        Jan-24</t>
  </si>
  <si>
    <t>M-O-M Growth (%)</t>
  </si>
  <si>
    <t>Y-O-Y Growth (%)</t>
  </si>
  <si>
    <t>Y-T-D Growth (%)</t>
  </si>
  <si>
    <t>Turnover</t>
  </si>
  <si>
    <t>FIU</t>
  </si>
  <si>
    <t>PAT</t>
  </si>
  <si>
    <t>-</t>
  </si>
  <si>
    <t>Interest Income</t>
  </si>
  <si>
    <t>Finance Cost</t>
  </si>
  <si>
    <t>Net Interest Income</t>
  </si>
  <si>
    <t xml:space="preserve">Recovery in W/off Account </t>
  </si>
  <si>
    <t>Recovery in W/off Account - Interest</t>
  </si>
  <si>
    <t>Gross NPA</t>
  </si>
  <si>
    <t>Net NPA</t>
  </si>
  <si>
    <t xml:space="preserve">FINANCIAL HIGHLIGHTS (F.Y. 2023-24) </t>
  </si>
  <si>
    <t xml:space="preserve">  April-22             to             Jan-23</t>
  </si>
  <si>
    <t>April-23    to           Jan-24</t>
  </si>
  <si>
    <t>YOY % Growth</t>
  </si>
  <si>
    <t xml:space="preserve">  Funds in Use (Net Advances)</t>
  </si>
  <si>
    <t>Average FIU</t>
  </si>
  <si>
    <t>Income :</t>
  </si>
  <si>
    <t xml:space="preserve">    Income From Factoring</t>
  </si>
  <si>
    <t xml:space="preserve">    Income from LCBD / RF</t>
  </si>
  <si>
    <t xml:space="preserve">    Income from Gold Pool</t>
  </si>
  <si>
    <t xml:space="preserve">    Recovery in Write-off accounts</t>
  </si>
  <si>
    <t xml:space="preserve">    Interest in Write-off accounts</t>
  </si>
  <si>
    <t xml:space="preserve">Total Income - A  </t>
  </si>
  <si>
    <t xml:space="preserve">Expenses : </t>
  </si>
  <si>
    <t xml:space="preserve">     Interest Cost </t>
  </si>
  <si>
    <t xml:space="preserve">     Admin &amp; Other Expenses</t>
  </si>
  <si>
    <t xml:space="preserve">Total Expenses – B </t>
  </si>
  <si>
    <t xml:space="preserve">                                   Operating Profit (A - B) </t>
  </si>
  <si>
    <t xml:space="preserve">    Add :- Other Income  </t>
  </si>
  <si>
    <t xml:space="preserve">    Less :-Transfer to Write off</t>
  </si>
  <si>
    <t xml:space="preserve">    Less :- Provisions for NPA's &amp; Standard Assets</t>
  </si>
  <si>
    <t xml:space="preserve">    Add :- Reversal of provision on account of recovery in                          NPA / Write-off account</t>
  </si>
  <si>
    <t xml:space="preserve">PBT </t>
  </si>
  <si>
    <t>Provision for tax / MAT</t>
  </si>
  <si>
    <t xml:space="preserve">Deferred Tax (Expense) / Income </t>
  </si>
  <si>
    <t>Profit / (Loss) for the year from continuing operations (PAT)</t>
  </si>
  <si>
    <t xml:space="preserve">Particulars </t>
  </si>
  <si>
    <t xml:space="preserve">     For         April-23</t>
  </si>
  <si>
    <t xml:space="preserve"> For         May-23</t>
  </si>
  <si>
    <t xml:space="preserve"> For         June-23</t>
  </si>
  <si>
    <t xml:space="preserve">         For        Q-1</t>
  </si>
  <si>
    <t xml:space="preserve"> For         July-23</t>
  </si>
  <si>
    <t xml:space="preserve"> For         Aug-23</t>
  </si>
  <si>
    <t xml:space="preserve"> For         Sept-23</t>
  </si>
  <si>
    <t xml:space="preserve">         For       Q-2</t>
  </si>
  <si>
    <t xml:space="preserve">        For       Oct-23</t>
  </si>
  <si>
    <t xml:space="preserve">        For       Nov-23</t>
  </si>
  <si>
    <t xml:space="preserve">        For       Dec-23</t>
  </si>
  <si>
    <t xml:space="preserve">         For       Q-3</t>
  </si>
  <si>
    <t xml:space="preserve"> For             Jan-24</t>
  </si>
  <si>
    <t>April-23                  to                  Jan-24</t>
  </si>
  <si>
    <t xml:space="preserve">Funds in Use (Net Advances) </t>
  </si>
  <si>
    <t xml:space="preserve">    Income From Factoring </t>
  </si>
  <si>
    <t xml:space="preserve">    Recovery in Write-off accounts - Principle</t>
  </si>
  <si>
    <t xml:space="preserve">    Recovery in Write-off accounts - Interest</t>
  </si>
  <si>
    <t xml:space="preserve">Total Income - A </t>
  </si>
  <si>
    <t>Expenses :</t>
  </si>
  <si>
    <t xml:space="preserve">     Interest Cost</t>
  </si>
  <si>
    <t>Total Expenses – B</t>
  </si>
  <si>
    <t xml:space="preserve">                                   Operating Profit (A - B)</t>
  </si>
  <si>
    <t xml:space="preserve">    Less :-Transfer to AUCA / Write Off (Under OTS) </t>
  </si>
  <si>
    <t xml:space="preserve">    Less :- Provisions</t>
  </si>
  <si>
    <t xml:space="preserve">    Add :- Reversal of provision </t>
  </si>
  <si>
    <t>PBT</t>
  </si>
  <si>
    <t>Provision for earlier year tax  / (MAT)</t>
  </si>
  <si>
    <t>SUMMARY OF BALANCE SHEET</t>
  </si>
  <si>
    <t>F.Y.          2022-23</t>
  </si>
  <si>
    <t>April-23         to                    Jan-24</t>
  </si>
  <si>
    <t xml:space="preserve">Assets </t>
  </si>
  <si>
    <t xml:space="preserve">                 Financial Assets </t>
  </si>
  <si>
    <t xml:space="preserve">                 (a) Cash &amp; Cash equivalents </t>
  </si>
  <si>
    <t xml:space="preserve">                 (b) Loans  (Net of Provisions) </t>
  </si>
  <si>
    <t xml:space="preserve">                 (c) Investments </t>
  </si>
  <si>
    <t xml:space="preserve">                 (d) Other Financial Assets  </t>
  </si>
  <si>
    <t xml:space="preserve">                 Non-financial Assets </t>
  </si>
  <si>
    <t xml:space="preserve">               (a) Current Tax Assets </t>
  </si>
  <si>
    <t xml:space="preserve">               (b) Deferred tax Assets    </t>
  </si>
  <si>
    <t xml:space="preserve">               (c) Property, Plant and Equipment </t>
  </si>
  <si>
    <t xml:space="preserve">               (d) Other Intangible Assets </t>
  </si>
  <si>
    <t xml:space="preserve">               (e) Other Non-Financial Assets </t>
  </si>
  <si>
    <t xml:space="preserve"> Total  </t>
  </si>
  <si>
    <t xml:space="preserve">Liabilities and Equity </t>
  </si>
  <si>
    <t xml:space="preserve">                 Financial Liabilities   </t>
  </si>
  <si>
    <t xml:space="preserve">                 (a) Debt Securities (Bond  + CP) </t>
  </si>
  <si>
    <t xml:space="preserve">                 (b) Borrowings (Other than Debt Securities) </t>
  </si>
  <si>
    <t xml:space="preserve">                 (c) Other Financial Liabilities </t>
  </si>
  <si>
    <t xml:space="preserve">                 Non-Financial Liabilities </t>
  </si>
  <si>
    <t xml:space="preserve">                 (a) Provisions </t>
  </si>
  <si>
    <t xml:space="preserve">                 (b) Other non-financial liabilities </t>
  </si>
  <si>
    <t xml:space="preserve">                 (c) Current Tax Liabilites</t>
  </si>
  <si>
    <t xml:space="preserve">               Equity </t>
  </si>
  <si>
    <t xml:space="preserve">               (a) Equity Share Capital </t>
  </si>
  <si>
    <t xml:space="preserve">               (b) Other Equity </t>
  </si>
  <si>
    <t>Expected Credit Loss (ECL) Provisions (Including Standard Assets)</t>
  </si>
  <si>
    <t xml:space="preserve">  April-22             to                     Jan-23</t>
  </si>
  <si>
    <t>Amt</t>
  </si>
  <si>
    <t xml:space="preserve">Amt </t>
  </si>
  <si>
    <t xml:space="preserve">Opening Provision </t>
  </si>
  <si>
    <t xml:space="preserve">Impairment of Assets  </t>
  </si>
  <si>
    <t xml:space="preserve">Closing Provision </t>
  </si>
  <si>
    <t>MOVEMENT OF NPAs</t>
  </si>
  <si>
    <t>Sr. No</t>
  </si>
  <si>
    <t>NPAs</t>
  </si>
  <si>
    <t>F.Y.                2022-23</t>
  </si>
  <si>
    <t>April-23              to                       Jan-24</t>
  </si>
  <si>
    <t>No</t>
  </si>
  <si>
    <t xml:space="preserve">Opening position </t>
  </si>
  <si>
    <t>85*</t>
  </si>
  <si>
    <t>Add:  New NPAs</t>
  </si>
  <si>
    <t>Less:  Recoveries / Up-gradations</t>
  </si>
  <si>
    <t>Less:  Claim Relinquished</t>
  </si>
  <si>
    <t>Less: Transfer to AUCA</t>
  </si>
  <si>
    <t xml:space="preserve">Closing position </t>
  </si>
  <si>
    <t xml:space="preserve">Provision on NPAs </t>
  </si>
  <si>
    <t>PCR in respect of NPAs</t>
  </si>
  <si>
    <t>MOVEMENT OF WRITTEN-OFF ACCOUNTS</t>
  </si>
  <si>
    <t>Sr. No.</t>
  </si>
  <si>
    <t>AUCA</t>
  </si>
  <si>
    <t>April-23              to                    Jan-24</t>
  </si>
  <si>
    <t>No.</t>
  </si>
  <si>
    <t>Amount</t>
  </si>
  <si>
    <t>Opening position</t>
  </si>
  <si>
    <t>Add:   Transfer to AUCA</t>
  </si>
  <si>
    <t>Less:  Cash Recovery</t>
  </si>
  <si>
    <t>Less: Claim Relinquished</t>
  </si>
  <si>
    <t>Less: Removal from AUCA</t>
  </si>
  <si>
    <t>MONTH END FIU PRODUCT-WISE</t>
  </si>
  <si>
    <t>Product</t>
  </si>
  <si>
    <t>April-22    to           Jan-23</t>
  </si>
  <si>
    <t>Domestic Factoring</t>
  </si>
  <si>
    <t>Export Factoring</t>
  </si>
  <si>
    <t>TReDS</t>
  </si>
  <si>
    <t>Reverse Factoring</t>
  </si>
  <si>
    <t>LCBD</t>
  </si>
  <si>
    <t>Gold Pool</t>
  </si>
  <si>
    <t>Total</t>
  </si>
  <si>
    <t>AVERAGE STANDARD FIU PRODUCT-WISE</t>
  </si>
  <si>
    <t>PRODUCT-WISE TURNOVER</t>
  </si>
  <si>
    <t>April-23 to        Nov-23</t>
  </si>
  <si>
    <t>Dec For the Month</t>
  </si>
  <si>
    <t>Jan For the Month</t>
  </si>
  <si>
    <t>April-23     to            Jan-24</t>
  </si>
  <si>
    <t>Total Turnover</t>
  </si>
  <si>
    <t>COMPARISION WITH MOU &amp; ACTUAL (F.Y. 2023-24)</t>
  </si>
  <si>
    <t>April-23 vv        to                    Jan-24</t>
  </si>
  <si>
    <t xml:space="preserve">MOU   F.Y.23-24 </t>
  </si>
  <si>
    <t xml:space="preserve">% Achieved </t>
  </si>
  <si>
    <t xml:space="preserve">To be Achieved </t>
  </si>
  <si>
    <t xml:space="preserve">    Less :-Transfer to Write off </t>
  </si>
  <si>
    <t xml:space="preserve">    Add :- Reversal of provision Reversal of provision   on account of recovery in NPA / Write-off account</t>
  </si>
  <si>
    <t>MOU   F.Y.23-24</t>
  </si>
  <si>
    <t xml:space="preserve">Annualized % Achievement of Budget
</t>
  </si>
  <si>
    <t>Total Income</t>
  </si>
  <si>
    <t>Total Expenses</t>
  </si>
  <si>
    <t>Operating Profit</t>
  </si>
  <si>
    <t>Fund in Use</t>
  </si>
  <si>
    <t>PRODUCTWISE FIU OUSTANDING AS OF</t>
  </si>
  <si>
    <t>Products</t>
  </si>
  <si>
    <t>Performing FIU</t>
  </si>
  <si>
    <t>AVG Performing FIU</t>
  </si>
  <si>
    <t>Discount Inome</t>
  </si>
  <si>
    <t>Avg FIU</t>
  </si>
  <si>
    <t>Disc Income</t>
  </si>
  <si>
    <t>Yield</t>
  </si>
  <si>
    <t>Discount Charges</t>
  </si>
  <si>
    <t>Domestic Factoring -Open Account</t>
  </si>
  <si>
    <t>DF</t>
  </si>
  <si>
    <t xml:space="preserve">                               -Bill Discounting / Gold Pool</t>
  </si>
  <si>
    <t>RF</t>
  </si>
  <si>
    <t>BG-RM</t>
  </si>
  <si>
    <t>RM-BG</t>
  </si>
  <si>
    <t>LC Domestic</t>
  </si>
  <si>
    <t>EF</t>
  </si>
  <si>
    <t>Reverse Factoring (Online)</t>
  </si>
  <si>
    <t>Export Factoring    -Open Account</t>
  </si>
  <si>
    <t>IF</t>
  </si>
  <si>
    <t xml:space="preserve">                              -Bill Discounting</t>
  </si>
  <si>
    <t xml:space="preserve">                              -Lc Export</t>
  </si>
  <si>
    <t>NPA</t>
  </si>
  <si>
    <t>Import Factoring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</si>
  <si>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</si>
  <si>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</si>
  <si>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</si>
  <si>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</si>
  <si>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</si>
  <si>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</si>
  <si>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</si>
  <si>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</si>
  <si>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</si>
  <si>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</si>
  <si>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Jan '24</t>
  </si>
  <si>
    <t>Avg NPA</t>
  </si>
  <si>
    <t>Rs in Cr.</t>
  </si>
  <si>
    <t>Upto Jan'24</t>
  </si>
  <si>
    <t>For Jan'24</t>
  </si>
  <si>
    <t xml:space="preserve">PRODUCTWISE YIELD
</t>
  </si>
  <si>
    <t xml:space="preserve">April-22 to Jan-23 </t>
  </si>
  <si>
    <t>April-23 to Dec-23</t>
  </si>
  <si>
    <t>April-23 to Jan-24</t>
  </si>
  <si>
    <t xml:space="preserve">Productwise  Average Yield on Standard Assets (%)  </t>
  </si>
  <si>
    <t xml:space="preserve">TReDS </t>
  </si>
  <si>
    <t>Total Average</t>
  </si>
  <si>
    <t>EFFICIENCY RATIO</t>
  </si>
  <si>
    <t xml:space="preserve">F.Y.2022-23 </t>
  </si>
  <si>
    <t xml:space="preserve">Margin </t>
  </si>
  <si>
    <t xml:space="preserve">Operating Margin (%) </t>
  </si>
  <si>
    <t xml:space="preserve">Net Profit Margin (%) </t>
  </si>
  <si>
    <t>Profitability</t>
  </si>
  <si>
    <t>Yield on Standard FIU (%)</t>
  </si>
  <si>
    <t>Cost of Average borrowings (%)</t>
  </si>
  <si>
    <t>Net Interest Margin (%)</t>
  </si>
  <si>
    <t xml:space="preserve">Return on Total Assets (%) </t>
  </si>
  <si>
    <t>Return on Equity (%)</t>
  </si>
  <si>
    <t>Return on Equity without Write-Off recovery (%)</t>
  </si>
  <si>
    <t xml:space="preserve">Expenses Ratio (%) </t>
  </si>
  <si>
    <t xml:space="preserve">Cost to Income Ratio (%) </t>
  </si>
  <si>
    <t xml:space="preserve">Gearing </t>
  </si>
  <si>
    <t>Debt-Equity ratio</t>
  </si>
  <si>
    <r>
      <t xml:space="preserve">Interest Coverage Ratio </t>
    </r>
    <r>
      <rPr>
        <b/>
        <u/>
        <vertAlign val="superscript"/>
        <sz val="14"/>
        <color rgb="FF0027A2"/>
        <rFont val="Calibri"/>
        <family val="2"/>
        <scheme val="minor"/>
      </rPr>
      <t xml:space="preserve"> </t>
    </r>
  </si>
  <si>
    <t>Capital Adequacy (CAR) (%) Basel - I</t>
  </si>
  <si>
    <t>INR</t>
  </si>
  <si>
    <t xml:space="preserve">     NCD</t>
  </si>
  <si>
    <t xml:space="preserve">     CP</t>
  </si>
  <si>
    <t xml:space="preserve">     Bank Line (WCL)</t>
  </si>
  <si>
    <t xml:space="preserve">     Bank Line (CC)</t>
  </si>
  <si>
    <t>FOREX</t>
  </si>
  <si>
    <t xml:space="preserve">     USD</t>
  </si>
  <si>
    <t xml:space="preserve">     EURO</t>
  </si>
  <si>
    <t xml:space="preserve">     GBP</t>
  </si>
  <si>
    <t>Average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</si>
</sst>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 * #,##0.0000_ ;_ * \-#,##0.0000_ ;_ * &quot;-&quot;??_ ;_ @_ "/>
  </numFmts>
  <fonts count="77">
    <font>
      <sz val="11"/>
      <color theme="1"/>
      <name val="Calibri"/>
      <family val="2"/>
      <scheme val="minor"/>
    </font>
    <font>
      <b/>
      <sz val="10"/>
      <color rgb="FF222268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rgb="FFFFFFFF"/>
      <name val="Arial"/>
      <family val="2"/>
    </font>
    <font>
      <b/>
      <sz val="12"/>
      <color rgb="FFFFFFFF"/>
      <name val="Arial"/>
      <family val="2"/>
    </font>
    <font>
      <b/>
      <sz val="11"/>
      <color rgb="FF222268"/>
      <name val="Arial"/>
      <family val="2"/>
    </font>
    <font>
      <b/>
      <u/>
      <sz val="11"/>
      <color rgb="FF800000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b/>
      <sz val="10"/>
      <color rgb="FF222268"/>
      <name val="Calibri"/>
      <family val="2"/>
      <scheme val="minor"/>
    </font>
    <font>
      <b/>
      <sz val="19"/>
      <color rgb="FF660033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0"/>
      <color rgb="FFFFFFFF"/>
      <name val="Calibri"/>
      <family val="2"/>
      <scheme val="minor"/>
    </font>
    <font>
      <b/>
      <u/>
      <sz val="10"/>
      <color rgb="FF8000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2"/>
      <color rgb="FFF2F2F2"/>
      <name val="Calibri"/>
      <family val="2"/>
      <scheme val="minor"/>
    </font>
    <font>
      <b/>
      <i/>
      <sz val="12"/>
      <color rgb="FFF2F2F2"/>
      <name val="Calibri"/>
      <family val="2"/>
      <scheme val="minor"/>
    </font>
    <font>
      <b/>
      <sz val="11"/>
      <color rgb="FF222268"/>
      <name val="Calibri"/>
      <family val="2"/>
      <scheme val="minor"/>
    </font>
    <font>
      <sz val="11"/>
      <color rgb="FF222268"/>
      <name val="Calibri"/>
      <family val="2"/>
      <scheme val="minor"/>
    </font>
    <font>
      <b/>
      <sz val="18"/>
      <color rgb="FF660033"/>
      <name val="Calibri"/>
      <family val="2"/>
      <scheme val="minor"/>
    </font>
    <font>
      <b/>
      <i/>
      <sz val="14"/>
      <color rgb="FFFFFFFF"/>
      <name val="Calibri"/>
      <family val="2"/>
      <scheme val="minor"/>
    </font>
    <font>
      <sz val="15"/>
      <color rgb="FF0027A2"/>
      <name val="Calibri"/>
      <family val="2"/>
      <scheme val="minor"/>
    </font>
    <font>
      <b/>
      <sz val="15"/>
      <color rgb="FF222268"/>
      <name val="Calibri"/>
      <family val="2"/>
      <scheme val="minor"/>
    </font>
    <font>
      <b/>
      <sz val="22"/>
      <color rgb="FF660033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i/>
      <sz val="16"/>
      <color rgb="FFFFFFFF"/>
      <name val="Calibri"/>
      <family val="2"/>
      <scheme val="minor"/>
    </font>
    <font>
      <sz val="18"/>
      <color rgb="FF0027A2"/>
      <name val="Calibri"/>
      <family val="2"/>
      <scheme val="minor"/>
    </font>
    <font>
      <b/>
      <sz val="12.5"/>
      <color rgb="FF222268"/>
      <name val="Calibri"/>
      <family val="2"/>
      <scheme val="minor"/>
    </font>
    <font>
      <b/>
      <sz val="12"/>
      <color rgb="FF222268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222268"/>
      <name val="Calibri"/>
      <family val="2"/>
      <scheme val="minor"/>
    </font>
    <font>
      <b/>
      <sz val="20"/>
      <color rgb="FF660033"/>
      <name val="Calibri"/>
      <family val="2"/>
      <scheme val="minor"/>
    </font>
    <font>
      <b/>
      <u/>
      <sz val="11"/>
      <color rgb="FF8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i/>
      <sz val="19"/>
      <color rgb="FFFFFFFF"/>
      <name val="Calibri"/>
      <family val="2"/>
      <scheme val="minor"/>
    </font>
    <font>
      <b/>
      <u/>
      <sz val="16"/>
      <color rgb="FF0027A2"/>
      <name val="Calibri"/>
      <family val="2"/>
      <scheme val="minor"/>
    </font>
    <font>
      <b/>
      <sz val="16"/>
      <color rgb="FF0027A2"/>
      <name val="Calibri"/>
      <family val="2"/>
      <scheme val="minor"/>
    </font>
    <font>
      <sz val="16"/>
      <color rgb="FF0027A2"/>
      <name val="Calibri"/>
      <family val="2"/>
      <scheme val="minor"/>
    </font>
    <font>
      <b/>
      <u/>
      <sz val="14"/>
      <color rgb="FF0027A2"/>
      <name val="Calibri"/>
      <family val="2"/>
      <scheme val="minor"/>
    </font>
    <font>
      <b/>
      <sz val="14"/>
      <color rgb="FF0027A2"/>
      <name val="Calibri"/>
      <family val="2"/>
      <scheme val="minor"/>
    </font>
    <font>
      <sz val="14"/>
      <color rgb="FF0027A2"/>
      <name val="Calibri"/>
      <family val="2"/>
      <scheme val="minor"/>
    </font>
    <font>
      <vertAlign val="superscript"/>
      <sz val="14"/>
      <color rgb="FF0027A2"/>
      <name val="Calibri"/>
      <family val="2"/>
      <scheme val="minor"/>
    </font>
    <font>
      <b/>
      <u/>
      <vertAlign val="superscript"/>
      <sz val="14"/>
      <color rgb="FF0027A2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5811A"/>
        <bgColor indexed="64"/>
      </patternFill>
    </fill>
    <fill>
      <patternFill patternType="solid">
        <fgColor rgb="FFC3E3E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82">
    <xf numFmtId="0" fontId="0" fillId="0" borderId="0"/>
    <xf numFmtId="43" fontId="2" fillId="0" borderId="0" applyFont="0" applyFill="0" applyBorder="0" applyAlignment="0" applyProtection="0"/>
    <xf numFmtId="0" fontId="7" fillId="0" borderId="0">
      <alignment vertical="top"/>
    </xf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2" applyNumberFormat="0" applyAlignment="0" applyProtection="0"/>
    <xf numFmtId="0" fontId="21" fillId="9" borderId="13" applyNumberFormat="0" applyAlignment="0" applyProtection="0"/>
    <xf numFmtId="0" fontId="22" fillId="9" borderId="12" applyNumberFormat="0" applyAlignment="0" applyProtection="0"/>
    <xf numFmtId="0" fontId="23" fillId="0" borderId="14" applyNumberFormat="0" applyFill="0" applyAlignment="0" applyProtection="0"/>
    <xf numFmtId="0" fontId="24" fillId="10" borderId="1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0">
      <alignment vertical="top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>
      <alignment vertical="top"/>
    </xf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>
      <alignment vertical="top"/>
    </xf>
    <xf numFmtId="0" fontId="7" fillId="0" borderId="0" applyFont="0" applyFill="0" applyBorder="0" applyAlignment="0" applyProtection="0">
      <alignment vertical="top"/>
    </xf>
    <xf numFmtId="0" fontId="2" fillId="0" borderId="0"/>
    <xf numFmtId="0" fontId="7" fillId="0" borderId="0">
      <alignment vertical="top"/>
    </xf>
    <xf numFmtId="0" fontId="7" fillId="0" borderId="0">
      <alignment vertical="top"/>
    </xf>
    <xf numFmtId="0" fontId="30" fillId="0" borderId="0"/>
    <xf numFmtId="0" fontId="7" fillId="0" borderId="0">
      <alignment vertical="top"/>
    </xf>
    <xf numFmtId="0" fontId="30" fillId="0" borderId="0">
      <alignment vertical="top"/>
    </xf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16" applyNumberFormat="0" applyFont="0" applyAlignment="0" applyProtection="0"/>
    <xf numFmtId="0" fontId="2" fillId="11" borderId="16" applyNumberFormat="0" applyFont="0" applyAlignment="0" applyProtection="0"/>
    <xf numFmtId="0" fontId="2" fillId="11" borderId="16" applyNumberFormat="0" applyFont="0" applyAlignment="0" applyProtection="0"/>
    <xf numFmtId="0" fontId="2" fillId="11" borderId="16" applyNumberFormat="0" applyFont="0" applyAlignment="0" applyProtection="0"/>
    <xf numFmtId="9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0" fontId="7" fillId="0" borderId="0">
      <alignment vertical="top"/>
    </xf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1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204">
    <xf numFmtId="0" fontId="0" fillId="0" borderId="0" xfId="0"/>
    <xf numFmtId="0" fontId="1" fillId="3" borderId="1" xfId="0" applyFont="1" applyFill="1" applyBorder="1" applyAlignment="1">
      <alignment horizontal="left" vertical="center" wrapText="1" indent="1" readingOrder="1"/>
    </xf>
    <xf numFmtId="3" fontId="1" fillId="3" borderId="1" xfId="0" applyNumberFormat="1" applyFont="1" applyFill="1" applyBorder="1" applyAlignment="1">
      <alignment horizontal="right" vertical="center" wrapText="1" indent="1" readingOrder="1"/>
    </xf>
    <xf numFmtId="4" fontId="1" fillId="3" borderId="1" xfId="0" applyNumberFormat="1" applyFont="1" applyFill="1" applyBorder="1" applyAlignment="1">
      <alignment horizontal="right" vertical="center" wrapText="1" indent="1" readingOrder="1"/>
    </xf>
    <xf numFmtId="4" fontId="1" fillId="3" borderId="1" xfId="0" applyNumberFormat="1" applyFont="1" applyFill="1" applyBorder="1" applyAlignment="1">
      <alignment horizontal="right" vertical="center" wrapText="1" indent="1"/>
    </xf>
    <xf numFmtId="0" fontId="5" fillId="3" borderId="1" xfId="0" applyFont="1" applyFill="1" applyBorder="1" applyAlignment="1">
      <alignment horizontal="left" vertical="center" wrapText="1" indent="1" readingOrder="1"/>
    </xf>
    <xf numFmtId="0" fontId="6" fillId="3" borderId="1" xfId="0" applyFont="1" applyFill="1" applyBorder="1" applyAlignment="1">
      <alignment horizontal="left" vertical="center" wrapText="1" indent="1" readingOrder="1"/>
    </xf>
    <xf numFmtId="0" fontId="5" fillId="3" borderId="1" xfId="0" applyFont="1" applyFill="1" applyBorder="1" applyAlignment="1">
      <alignment horizontal="right" vertical="center" wrapText="1" indent="1" readingOrder="1"/>
    </xf>
    <xf numFmtId="0" fontId="5" fillId="3" borderId="1" xfId="0" applyFont="1" applyFill="1" applyBorder="1" applyAlignment="1">
      <alignment horizontal="right" vertical="center" wrapText="1" indent="1"/>
    </xf>
    <xf numFmtId="43" fontId="1" fillId="3" borderId="1" xfId="1" applyFont="1" applyFill="1" applyBorder="1" applyAlignment="1">
      <alignment horizontal="right" vertical="center" wrapText="1" indent="1" readingOrder="1"/>
    </xf>
    <xf numFmtId="4" fontId="0" fillId="0" borderId="0" xfId="0" applyNumberFormat="1"/>
    <xf numFmtId="43" fontId="0" fillId="0" borderId="0" xfId="1" applyFont="1"/>
    <xf numFmtId="3" fontId="0" fillId="0" borderId="0" xfId="0" applyNumberFormat="1"/>
    <xf numFmtId="4" fontId="5" fillId="3" borderId="1" xfId="0" applyNumberFormat="1" applyFont="1" applyFill="1" applyBorder="1" applyAlignment="1">
      <alignment vertical="center" wrapText="1" readingOrder="1"/>
    </xf>
    <xf numFmtId="43" fontId="0" fillId="0" borderId="0" xfId="0" applyNumberFormat="1"/>
    <xf numFmtId="43" fontId="0" fillId="0" borderId="0" xfId="1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43" fontId="11" fillId="0" borderId="0" xfId="1" applyFont="1"/>
    <xf numFmtId="0" fontId="12" fillId="0" borderId="0" xfId="0" applyFont="1"/>
    <xf numFmtId="165" fontId="1" fillId="3" borderId="1" xfId="1" applyNumberFormat="1" applyFont="1" applyFill="1" applyBorder="1" applyAlignment="1">
      <alignment horizontal="right" vertical="center" wrapText="1" indent="1" readingOrder="1"/>
    </xf>
    <xf numFmtId="4" fontId="1" fillId="3" borderId="1" xfId="1" applyNumberFormat="1" applyFont="1" applyFill="1" applyBorder="1" applyAlignment="1">
      <alignment horizontal="right" vertical="center" wrapText="1" indent="1" readingOrder="1"/>
    </xf>
    <xf numFmtId="0" fontId="28" fillId="0" borderId="0" xfId="0" applyFont="1"/>
    <xf numFmtId="43" fontId="28" fillId="0" borderId="0" xfId="0" applyNumberFormat="1" applyFont="1"/>
    <xf numFmtId="43" fontId="28" fillId="0" borderId="0" xfId="1" applyFont="1"/>
    <xf numFmtId="4" fontId="28" fillId="0" borderId="0" xfId="0" applyNumberFormat="1" applyFont="1"/>
    <xf numFmtId="3" fontId="28" fillId="0" borderId="0" xfId="0" applyNumberFormat="1" applyFont="1"/>
    <xf numFmtId="0" fontId="38" fillId="3" borderId="1" xfId="0" applyFont="1" applyFill="1" applyBorder="1" applyAlignment="1">
      <alignment horizontal="left" vertical="center" wrapText="1" indent="1" readingOrder="1"/>
    </xf>
    <xf numFmtId="3" fontId="38" fillId="3" borderId="1" xfId="0" applyNumberFormat="1" applyFont="1" applyFill="1" applyBorder="1" applyAlignment="1">
      <alignment horizontal="right" vertical="center" wrapText="1" indent="1" readingOrder="1"/>
    </xf>
    <xf numFmtId="43" fontId="38" fillId="3" borderId="1" xfId="1" applyFont="1" applyFill="1" applyBorder="1" applyAlignment="1">
      <alignment horizontal="right" vertical="center" wrapText="1" indent="1" readingOrder="1"/>
    </xf>
    <xf numFmtId="4" fontId="38" fillId="3" borderId="1" xfId="0" applyNumberFormat="1" applyFont="1" applyFill="1" applyBorder="1" applyAlignment="1">
      <alignment horizontal="right" vertical="center" wrapText="1" indent="1" readingOrder="1"/>
    </xf>
    <xf numFmtId="4" fontId="38" fillId="3" borderId="1" xfId="0" applyNumberFormat="1" applyFont="1" applyFill="1" applyBorder="1" applyAlignment="1">
      <alignment horizontal="right" vertical="center" wrapText="1" indent="1"/>
    </xf>
    <xf numFmtId="0" fontId="38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2" fillId="3" borderId="1" xfId="0" applyFont="1" applyFill="1" applyBorder="1" applyAlignment="1">
      <alignment horizontal="left" vertical="center" wrapText="1" indent="1" readingOrder="1"/>
    </xf>
    <xf numFmtId="0" fontId="38" fillId="3" borderId="1" xfId="0" applyFont="1" applyFill="1" applyBorder="1" applyAlignment="1">
      <alignment horizontal="right" vertical="center" wrapText="1" indent="1" readingOrder="1"/>
    </xf>
    <xf numFmtId="4" fontId="38" fillId="0" borderId="8" xfId="0" applyNumberFormat="1" applyFont="1" applyBorder="1" applyAlignment="1">
      <alignment horizontal="right" vertical="center" wrapText="1" indent="1" readingOrder="1"/>
    </xf>
    <xf numFmtId="0" fontId="0" fillId="0" borderId="0" xfId="0" quotePrefix="1"/>
    <xf numFmtId="0" fontId="46" fillId="3" borderId="1" xfId="0" applyFont="1" applyFill="1" applyBorder="1" applyAlignment="1">
      <alignment horizontal="left" vertical="center" wrapText="1" readingOrder="1"/>
    </xf>
    <xf numFmtId="0" fontId="46" fillId="3" borderId="1" xfId="0" applyFont="1" applyFill="1" applyBorder="1" applyAlignment="1">
      <alignment horizontal="right" vertical="center" wrapText="1" indent="1"/>
    </xf>
    <xf numFmtId="0" fontId="47" fillId="3" borderId="1" xfId="0" applyFont="1" applyFill="1" applyBorder="1" applyAlignment="1">
      <alignment horizontal="left" vertical="center" wrapText="1" readingOrder="1"/>
    </xf>
    <xf numFmtId="1" fontId="47" fillId="3" borderId="1" xfId="1" applyNumberFormat="1" applyFont="1" applyFill="1" applyBorder="1" applyAlignment="1">
      <alignment horizontal="right" vertical="center" wrapText="1" indent="1" readingOrder="1"/>
    </xf>
    <xf numFmtId="1" fontId="47" fillId="3" borderId="1" xfId="0" applyNumberFormat="1" applyFont="1" applyFill="1" applyBorder="1" applyAlignment="1">
      <alignment horizontal="right" vertical="center" wrapText="1" indent="1" readingOrder="1"/>
    </xf>
    <xf numFmtId="1" fontId="47" fillId="3" borderId="1" xfId="0" applyNumberFormat="1" applyFont="1" applyFill="1" applyBorder="1" applyAlignment="1">
      <alignment horizontal="right" vertical="center" wrapText="1" indent="1"/>
    </xf>
    <xf numFmtId="0" fontId="47" fillId="3" borderId="1" xfId="0" applyFont="1" applyFill="1" applyBorder="1" applyAlignment="1">
      <alignment horizontal="left" vertical="center" wrapText="1" indent="1" readingOrder="1"/>
    </xf>
    <xf numFmtId="166" fontId="0" fillId="0" borderId="0" xfId="0" applyNumberFormat="1"/>
    <xf numFmtId="0" fontId="46" fillId="3" borderId="1" xfId="0" applyFont="1" applyFill="1" applyBorder="1" applyAlignment="1">
      <alignment horizontal="right" vertical="center" wrapText="1" indent="1" readingOrder="1"/>
    </xf>
    <xf numFmtId="165" fontId="46" fillId="3" borderId="1" xfId="1" applyNumberFormat="1" applyFont="1" applyFill="1" applyBorder="1" applyAlignment="1">
      <alignment horizontal="right" vertical="center" wrapText="1" indent="1" readingOrder="1"/>
    </xf>
    <xf numFmtId="0" fontId="46" fillId="3" borderId="1" xfId="0" applyFont="1" applyFill="1" applyBorder="1" applyAlignment="1">
      <alignment horizontal="right" vertical="center" wrapText="1"/>
    </xf>
    <xf numFmtId="1" fontId="46" fillId="3" borderId="1" xfId="0" applyNumberFormat="1" applyFont="1" applyFill="1" applyBorder="1" applyAlignment="1">
      <alignment horizontal="center" vertical="center" wrapText="1"/>
    </xf>
    <xf numFmtId="2" fontId="47" fillId="3" borderId="1" xfId="0" applyNumberFormat="1" applyFont="1" applyFill="1" applyBorder="1" applyAlignment="1">
      <alignment horizontal="right" vertical="center" wrapText="1" indent="1"/>
    </xf>
    <xf numFmtId="0" fontId="46" fillId="3" borderId="1" xfId="0" applyFont="1" applyFill="1" applyBorder="1" applyAlignment="1">
      <alignment horizontal="left" vertical="center" wrapText="1" indent="1" readingOrder="1"/>
    </xf>
    <xf numFmtId="2" fontId="0" fillId="0" borderId="0" xfId="0" applyNumberFormat="1"/>
    <xf numFmtId="1" fontId="0" fillId="0" borderId="0" xfId="0" applyNumberFormat="1"/>
    <xf numFmtId="0" fontId="48" fillId="0" borderId="0" xfId="0" applyFont="1" applyAlignment="1">
      <alignment horizontal="left" readingOrder="1"/>
    </xf>
    <xf numFmtId="0" fontId="50" fillId="3" borderId="1" xfId="0" applyFont="1" applyFill="1" applyBorder="1" applyAlignment="1">
      <alignment horizontal="left" vertical="center" wrapText="1" indent="1"/>
    </xf>
    <xf numFmtId="0" fontId="51" fillId="3" borderId="1" xfId="0" applyFont="1" applyFill="1" applyBorder="1" applyAlignment="1">
      <alignment horizontal="center" vertical="top" wrapText="1" readingOrder="1"/>
    </xf>
    <xf numFmtId="0" fontId="51" fillId="3" borderId="1" xfId="0" applyFont="1" applyFill="1" applyBorder="1" applyAlignment="1">
      <alignment horizontal="left" vertical="top" wrapText="1" indent="1" readingOrder="1"/>
    </xf>
    <xf numFmtId="4" fontId="51" fillId="3" borderId="1" xfId="0" applyNumberFormat="1" applyFont="1" applyFill="1" applyBorder="1" applyAlignment="1">
      <alignment horizontal="center" vertical="top" wrapText="1" readingOrder="1"/>
    </xf>
    <xf numFmtId="0" fontId="52" fillId="0" borderId="0" xfId="0" applyFont="1" applyAlignment="1">
      <alignment horizontal="center" readingOrder="1"/>
    </xf>
    <xf numFmtId="0" fontId="55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left" vertical="center" wrapText="1"/>
    </xf>
    <xf numFmtId="1" fontId="56" fillId="3" borderId="1" xfId="0" applyNumberFormat="1" applyFont="1" applyFill="1" applyBorder="1" applyAlignment="1">
      <alignment horizontal="center" vertical="center" wrapText="1"/>
    </xf>
    <xf numFmtId="9" fontId="56" fillId="3" borderId="1" xfId="0" applyNumberFormat="1" applyFont="1" applyFill="1" applyBorder="1" applyAlignment="1">
      <alignment horizontal="center" vertical="center" wrapText="1"/>
    </xf>
    <xf numFmtId="0" fontId="52" fillId="0" borderId="0" xfId="0" applyFont="1" applyAlignment="1">
      <alignment horizontal="left" readingOrder="1"/>
    </xf>
    <xf numFmtId="0" fontId="57" fillId="3" borderId="1" xfId="0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3" fontId="46" fillId="3" borderId="1" xfId="0" applyNumberFormat="1" applyFont="1" applyFill="1" applyBorder="1" applyAlignment="1">
      <alignment horizontal="right" vertical="center" wrapText="1" indent="1" readingOrder="1"/>
    </xf>
    <xf numFmtId="43" fontId="46" fillId="3" borderId="1" xfId="1" applyFont="1" applyFill="1" applyBorder="1" applyAlignment="1">
      <alignment horizontal="right" vertical="center" wrapText="1" indent="1" readingOrder="1"/>
    </xf>
    <xf numFmtId="3" fontId="46" fillId="3" borderId="1" xfId="1" applyNumberFormat="1" applyFont="1" applyFill="1" applyBorder="1" applyAlignment="1">
      <alignment horizontal="right" vertical="center" wrapText="1" indent="1"/>
    </xf>
    <xf numFmtId="3" fontId="46" fillId="3" borderId="1" xfId="1" applyNumberFormat="1" applyFont="1" applyFill="1" applyBorder="1" applyAlignment="1">
      <alignment horizontal="right" vertical="center" wrapText="1" indent="1" readingOrder="1"/>
    </xf>
    <xf numFmtId="0" fontId="59" fillId="3" borderId="1" xfId="0" applyFont="1" applyFill="1" applyBorder="1" applyAlignment="1">
      <alignment horizontal="center" vertical="center" wrapText="1" readingOrder="1"/>
    </xf>
    <xf numFmtId="3" fontId="59" fillId="3" borderId="1" xfId="0" applyNumberFormat="1" applyFont="1" applyFill="1" applyBorder="1" applyAlignment="1">
      <alignment horizontal="right" vertical="center" wrapText="1" indent="1" readingOrder="1"/>
    </xf>
    <xf numFmtId="43" fontId="59" fillId="3" borderId="1" xfId="1" applyFont="1" applyFill="1" applyBorder="1" applyAlignment="1">
      <alignment horizontal="right" vertical="center" wrapText="1" indent="1" readingOrder="1"/>
    </xf>
    <xf numFmtId="3" fontId="38" fillId="3" borderId="1" xfId="1" applyNumberFormat="1" applyFont="1" applyFill="1" applyBorder="1" applyAlignment="1">
      <alignment horizontal="right" vertical="center" wrapText="1" indent="1" readingOrder="1"/>
    </xf>
    <xf numFmtId="165" fontId="38" fillId="3" borderId="1" xfId="1" applyNumberFormat="1" applyFont="1" applyFill="1" applyBorder="1" applyAlignment="1">
      <alignment horizontal="right" vertical="center" wrapText="1" indent="1" readingOrder="1"/>
    </xf>
    <xf numFmtId="0" fontId="46" fillId="3" borderId="1" xfId="0" applyFont="1" applyFill="1" applyBorder="1" applyAlignment="1">
      <alignment horizontal="center" vertical="center" wrapText="1" readingOrder="1"/>
    </xf>
    <xf numFmtId="3" fontId="46" fillId="3" borderId="1" xfId="0" applyNumberFormat="1" applyFont="1" applyFill="1" applyBorder="1" applyAlignment="1">
      <alignment horizontal="right" vertical="center" wrapText="1" indent="1"/>
    </xf>
    <xf numFmtId="0" fontId="61" fillId="3" borderId="1" xfId="0" applyFont="1" applyFill="1" applyBorder="1" applyAlignment="1">
      <alignment horizontal="left" vertical="center" wrapText="1" indent="1" readingOrder="1"/>
    </xf>
    <xf numFmtId="0" fontId="38" fillId="3" borderId="1" xfId="0" applyFont="1" applyFill="1" applyBorder="1" applyAlignment="1">
      <alignment horizontal="right" vertical="center" wrapText="1" indent="1"/>
    </xf>
    <xf numFmtId="2" fontId="38" fillId="3" borderId="1" xfId="0" applyNumberFormat="1" applyFont="1" applyFill="1" applyBorder="1" applyAlignment="1">
      <alignment horizontal="right" vertical="center" wrapText="1" indent="1"/>
    </xf>
    <xf numFmtId="0" fontId="62" fillId="0" borderId="0" xfId="79" applyFont="1"/>
    <xf numFmtId="4" fontId="62" fillId="0" borderId="0" xfId="79" applyNumberFormat="1" applyFont="1"/>
    <xf numFmtId="0" fontId="63" fillId="36" borderId="18" xfId="79" applyFont="1" applyFill="1" applyBorder="1" applyAlignment="1">
      <alignment vertical="top"/>
    </xf>
    <xf numFmtId="15" fontId="62" fillId="36" borderId="18" xfId="79" applyNumberFormat="1" applyFont="1" applyFill="1" applyBorder="1"/>
    <xf numFmtId="0" fontId="62" fillId="36" borderId="0" xfId="79" applyFont="1" applyFill="1"/>
    <xf numFmtId="4" fontId="62" fillId="36" borderId="0" xfId="79" applyNumberFormat="1" applyFont="1" applyFill="1"/>
    <xf numFmtId="0" fontId="63" fillId="36" borderId="18" xfId="79" applyFont="1" applyFill="1" applyBorder="1" applyAlignment="1">
      <alignment horizontal="center" vertical="center"/>
    </xf>
    <xf numFmtId="0" fontId="64" fillId="36" borderId="18" xfId="79" applyFont="1" applyFill="1" applyBorder="1" applyAlignment="1">
      <alignment horizontal="center" vertical="center"/>
    </xf>
    <xf numFmtId="0" fontId="64" fillId="36" borderId="18" xfId="79" applyFont="1" applyFill="1" applyBorder="1" applyAlignment="1">
      <alignment horizontal="left" vertical="center"/>
    </xf>
    <xf numFmtId="0" fontId="64" fillId="36" borderId="0" xfId="79" applyFont="1" applyFill="1" applyAlignment="1">
      <alignment horizontal="center"/>
    </xf>
    <xf numFmtId="0" fontId="63" fillId="0" borderId="19" xfId="79" applyFont="1" applyBorder="1" applyAlignment="1">
      <alignment vertical="top"/>
    </xf>
    <xf numFmtId="2" fontId="62" fillId="0" borderId="18" xfId="79" applyNumberFormat="1" applyFont="1" applyBorder="1"/>
    <xf numFmtId="4" fontId="62" fillId="0" borderId="19" xfId="79" applyNumberFormat="1" applyFont="1" applyBorder="1"/>
    <xf numFmtId="0" fontId="62" fillId="0" borderId="0" xfId="79" applyFont="1" applyAlignment="1">
      <alignment horizontal="right"/>
    </xf>
    <xf numFmtId="10" fontId="62" fillId="0" borderId="19" xfId="80" applyNumberFormat="1" applyFont="1" applyFill="1" applyBorder="1"/>
    <xf numFmtId="0" fontId="63" fillId="0" borderId="20" xfId="79" applyFont="1" applyBorder="1" applyAlignment="1">
      <alignment vertical="top"/>
    </xf>
    <xf numFmtId="4" fontId="62" fillId="0" borderId="20" xfId="79" applyNumberFormat="1" applyFont="1" applyBorder="1"/>
    <xf numFmtId="4" fontId="62" fillId="0" borderId="21" xfId="79" applyNumberFormat="1" applyFont="1" applyBorder="1"/>
    <xf numFmtId="4" fontId="62" fillId="0" borderId="22" xfId="79" applyNumberFormat="1" applyFont="1" applyBorder="1"/>
    <xf numFmtId="2" fontId="62" fillId="0" borderId="23" xfId="79" applyNumberFormat="1" applyFont="1" applyBorder="1"/>
    <xf numFmtId="0" fontId="62" fillId="0" borderId="20" xfId="79" applyFont="1" applyBorder="1"/>
    <xf numFmtId="0" fontId="62" fillId="0" borderId="20" xfId="79" applyFont="1" applyBorder="1" applyAlignment="1">
      <alignment horizontal="center"/>
    </xf>
    <xf numFmtId="0" fontId="62" fillId="0" borderId="23" xfId="79" applyFont="1" applyBorder="1"/>
    <xf numFmtId="0" fontId="64" fillId="0" borderId="20" xfId="79" applyFont="1" applyBorder="1"/>
    <xf numFmtId="4" fontId="64" fillId="0" borderId="20" xfId="79" applyNumberFormat="1" applyFont="1" applyBorder="1"/>
    <xf numFmtId="10" fontId="64" fillId="0" borderId="20" xfId="80" applyNumberFormat="1" applyFont="1" applyFill="1" applyBorder="1"/>
    <xf numFmtId="4" fontId="64" fillId="0" borderId="23" xfId="79" applyNumberFormat="1" applyFont="1" applyBorder="1"/>
    <xf numFmtId="0" fontId="64" fillId="0" borderId="0" xfId="79" applyFont="1"/>
    <xf numFmtId="4" fontId="64" fillId="0" borderId="0" xfId="79" applyNumberFormat="1" applyFont="1"/>
    <xf numFmtId="0" fontId="64" fillId="0" borderId="18" xfId="79" applyFont="1" applyBorder="1" applyAlignment="1">
      <alignment horizontal="center" vertical="center"/>
    </xf>
    <xf numFmtId="164" fontId="62" fillId="0" borderId="0" xfId="81" applyFont="1" applyFill="1" applyBorder="1"/>
    <xf numFmtId="2" fontId="64" fillId="0" borderId="0" xfId="79" applyNumberFormat="1" applyFont="1"/>
    <xf numFmtId="10" fontId="62" fillId="0" borderId="0" xfId="80" applyNumberFormat="1" applyFont="1" applyFill="1"/>
    <xf numFmtId="2" fontId="62" fillId="0" borderId="0" xfId="79" applyNumberFormat="1" applyFont="1"/>
    <xf numFmtId="164" fontId="62" fillId="0" borderId="0" xfId="81" applyFont="1" applyFill="1"/>
    <xf numFmtId="0" fontId="65" fillId="0" borderId="0" xfId="79" applyFont="1"/>
    <xf numFmtId="0" fontId="66" fillId="0" borderId="0" xfId="79" applyFont="1"/>
    <xf numFmtId="43" fontId="62" fillId="0" borderId="0" xfId="81" applyNumberFormat="1" applyFont="1" applyFill="1"/>
    <xf numFmtId="164" fontId="64" fillId="0" borderId="0" xfId="81" applyFont="1" applyFill="1"/>
    <xf numFmtId="0" fontId="62" fillId="0" borderId="0" xfId="79" applyFont="1" applyAlignment="1">
      <alignment horizontal="left"/>
    </xf>
    <xf numFmtId="10" fontId="64" fillId="0" borderId="0" xfId="80" applyNumberFormat="1" applyFont="1" applyFill="1"/>
    <xf numFmtId="10" fontId="62" fillId="0" borderId="0" xfId="80" applyNumberFormat="1" applyFont="1" applyFill="1" applyBorder="1"/>
    <xf numFmtId="0" fontId="67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 readingOrder="1"/>
    </xf>
    <xf numFmtId="0" fontId="69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left" vertical="top" wrapText="1" indent="1"/>
    </xf>
    <xf numFmtId="0" fontId="69" fillId="3" borderId="1" xfId="0" applyFont="1" applyFill="1" applyBorder="1" applyAlignment="1">
      <alignment horizontal="right" vertical="center" wrapText="1" readingOrder="1"/>
    </xf>
    <xf numFmtId="0" fontId="70" fillId="3" borderId="1" xfId="0" applyFont="1" applyFill="1" applyBorder="1" applyAlignment="1">
      <alignment horizontal="right" vertical="center" wrapText="1"/>
    </xf>
    <xf numFmtId="0" fontId="69" fillId="3" borderId="1" xfId="0" applyFont="1" applyFill="1" applyBorder="1" applyAlignment="1">
      <alignment horizontal="center" vertical="top" wrapText="1"/>
    </xf>
    <xf numFmtId="0" fontId="71" fillId="3" borderId="1" xfId="0" applyFont="1" applyFill="1" applyBorder="1" applyAlignment="1">
      <alignment horizontal="left" vertical="top" wrapText="1"/>
    </xf>
    <xf numFmtId="0" fontId="69" fillId="3" borderId="1" xfId="0" applyFont="1" applyFill="1" applyBorder="1" applyAlignment="1">
      <alignment horizontal="right" vertical="center" wrapText="1"/>
    </xf>
    <xf numFmtId="0" fontId="72" fillId="3" borderId="1" xfId="0" applyFont="1" applyFill="1" applyBorder="1" applyAlignment="1">
      <alignment horizontal="left" vertical="top" wrapText="1"/>
    </xf>
    <xf numFmtId="0" fontId="73" fillId="3" borderId="1" xfId="0" applyFont="1" applyFill="1" applyBorder="1" applyAlignment="1">
      <alignment horizontal="left" vertical="top" wrapText="1"/>
    </xf>
    <xf numFmtId="0" fontId="69" fillId="3" borderId="1" xfId="0" applyFont="1" applyFill="1" applyBorder="1" applyAlignment="1">
      <alignment vertical="center" wrapText="1"/>
    </xf>
    <xf numFmtId="0" fontId="59" fillId="0" borderId="0" xfId="0" applyFont="1" applyAlignment="1">
      <alignment horizontal="right"/>
    </xf>
    <xf numFmtId="2" fontId="72" fillId="3" borderId="1" xfId="0" applyNumberFormat="1" applyFont="1" applyFill="1" applyBorder="1" applyAlignment="1">
      <alignment horizontal="right" vertical="center" wrapText="1" readingOrder="1"/>
    </xf>
    <xf numFmtId="2" fontId="72" fillId="3" borderId="1" xfId="0" applyNumberFormat="1" applyFont="1" applyFill="1" applyBorder="1" applyAlignment="1">
      <alignment horizontal="right" vertical="center" wrapText="1"/>
    </xf>
    <xf numFmtId="2" fontId="73" fillId="3" borderId="1" xfId="0" applyNumberFormat="1" applyFont="1" applyFill="1" applyBorder="1" applyAlignment="1">
      <alignment horizontal="right" vertical="center" wrapText="1"/>
    </xf>
    <xf numFmtId="2" fontId="74" fillId="3" borderId="1" xfId="0" applyNumberFormat="1" applyFont="1" applyFill="1" applyBorder="1" applyAlignment="1">
      <alignment horizontal="right" vertical="center" wrapText="1"/>
    </xf>
    <xf numFmtId="2" fontId="69" fillId="3" borderId="1" xfId="0" applyNumberFormat="1" applyFont="1" applyFill="1" applyBorder="1" applyAlignment="1">
      <alignment horizontal="right" vertical="center" wrapText="1" readingOrder="1"/>
    </xf>
    <xf numFmtId="2" fontId="73" fillId="3" borderId="1" xfId="0" applyNumberFormat="1" applyFont="1" applyFill="1" applyBorder="1" applyAlignment="1">
      <alignment horizontal="right" vertical="center" wrapText="1" readingOrder="1"/>
    </xf>
    <xf numFmtId="0" fontId="73" fillId="3" borderId="0" xfId="0" applyFont="1" applyFill="1" applyAlignment="1">
      <alignment horizontal="left" vertical="top" wrapText="1"/>
    </xf>
    <xf numFmtId="2" fontId="72" fillId="3" borderId="0" xfId="0" applyNumberFormat="1" applyFont="1" applyFill="1" applyAlignment="1">
      <alignment horizontal="right" vertical="center" wrapText="1" readingOrder="1"/>
    </xf>
    <xf numFmtId="0" fontId="35" fillId="0" borderId="0" xfId="0" applyFont="1" applyAlignment="1">
      <alignment horizontal="center" readingOrder="1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7" fontId="37" fillId="2" borderId="2" xfId="0" applyNumberFormat="1" applyFont="1" applyFill="1" applyBorder="1" applyAlignment="1">
      <alignment horizontal="center" vertical="center" wrapText="1" readingOrder="1"/>
    </xf>
    <xf numFmtId="17" fontId="37" fillId="2" borderId="3" xfId="0" applyNumberFormat="1" applyFont="1" applyFill="1" applyBorder="1" applyAlignment="1">
      <alignment horizontal="center" vertical="center" wrapText="1" readingOrder="1"/>
    </xf>
    <xf numFmtId="0" fontId="37" fillId="2" borderId="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readingOrder="1"/>
    </xf>
    <xf numFmtId="17" fontId="41" fillId="2" borderId="2" xfId="0" applyNumberFormat="1" applyFont="1" applyFill="1" applyBorder="1" applyAlignment="1">
      <alignment horizontal="center" vertical="center" wrapText="1" readingOrder="1"/>
    </xf>
    <xf numFmtId="17" fontId="41" fillId="2" borderId="3" xfId="0" applyNumberFormat="1" applyFont="1" applyFill="1" applyBorder="1" applyAlignment="1">
      <alignment horizontal="center" vertical="center" wrapText="1" readingOrder="1"/>
    </xf>
    <xf numFmtId="0" fontId="40" fillId="2" borderId="2" xfId="0" applyFont="1" applyFill="1" applyBorder="1" applyAlignment="1">
      <alignment horizontal="center" vertical="center" wrapText="1" readingOrder="1"/>
    </xf>
    <xf numFmtId="0" fontId="40" fillId="2" borderId="3" xfId="0" applyFont="1" applyFill="1" applyBorder="1" applyAlignment="1">
      <alignment horizontal="center" vertical="center" wrapText="1" readingOrder="1"/>
    </xf>
    <xf numFmtId="0" fontId="41" fillId="2" borderId="3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17" fontId="10" fillId="2" borderId="2" xfId="0" applyNumberFormat="1" applyFont="1" applyFill="1" applyBorder="1" applyAlignment="1">
      <alignment horizontal="center" vertical="center" wrapText="1" readingOrder="1"/>
    </xf>
    <xf numFmtId="17" fontId="10" fillId="2" borderId="3" xfId="0" applyNumberFormat="1" applyFont="1" applyFill="1" applyBorder="1" applyAlignment="1">
      <alignment horizontal="center" vertical="center" wrapText="1" readingOrder="1"/>
    </xf>
    <xf numFmtId="0" fontId="44" fillId="2" borderId="2" xfId="0" applyFont="1" applyFill="1" applyBorder="1" applyAlignment="1">
      <alignment horizontal="center" vertical="center" wrapText="1" readingOrder="1"/>
    </xf>
    <xf numFmtId="0" fontId="44" fillId="2" borderId="3" xfId="0" applyFont="1" applyFill="1" applyBorder="1" applyAlignment="1">
      <alignment horizontal="center" vertical="center" wrapText="1" readingOrder="1"/>
    </xf>
    <xf numFmtId="0" fontId="45" fillId="2" borderId="2" xfId="0" applyFont="1" applyFill="1" applyBorder="1" applyAlignment="1">
      <alignment horizontal="center" vertical="center" wrapText="1" readingOrder="1"/>
    </xf>
    <xf numFmtId="0" fontId="45" fillId="2" borderId="3" xfId="0" applyFont="1" applyFill="1" applyBorder="1" applyAlignment="1">
      <alignment horizontal="center" vertical="center" wrapText="1" readingOrder="1"/>
    </xf>
    <xf numFmtId="0" fontId="43" fillId="0" borderId="0" xfId="0" applyFont="1" applyAlignment="1">
      <alignment horizontal="center" readingOrder="1"/>
    </xf>
    <xf numFmtId="0" fontId="49" fillId="2" borderId="2" xfId="0" applyFont="1" applyFill="1" applyBorder="1" applyAlignment="1">
      <alignment horizontal="center" vertical="center" wrapText="1" readingOrder="1"/>
    </xf>
    <xf numFmtId="0" fontId="49" fillId="2" borderId="3" xfId="0" applyFont="1" applyFill="1" applyBorder="1" applyAlignment="1">
      <alignment horizontal="center" vertical="center" wrapText="1" readingOrder="1"/>
    </xf>
    <xf numFmtId="0" fontId="53" fillId="2" borderId="2" xfId="0" applyFont="1" applyFill="1" applyBorder="1" applyAlignment="1">
      <alignment horizontal="center" vertical="center" wrapText="1"/>
    </xf>
    <xf numFmtId="0" fontId="53" fillId="2" borderId="3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4" fillId="2" borderId="5" xfId="0" applyFont="1" applyFill="1" applyBorder="1" applyAlignment="1">
      <alignment horizontal="center" vertical="center" wrapText="1"/>
    </xf>
    <xf numFmtId="0" fontId="54" fillId="2" borderId="6" xfId="0" applyFont="1" applyFill="1" applyBorder="1" applyAlignment="1">
      <alignment horizontal="center" vertical="center" wrapText="1"/>
    </xf>
    <xf numFmtId="0" fontId="54" fillId="2" borderId="7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17" fontId="54" fillId="2" borderId="2" xfId="0" applyNumberFormat="1" applyFont="1" applyFill="1" applyBorder="1" applyAlignment="1">
      <alignment horizontal="center" vertical="center" wrapText="1" readingOrder="1"/>
    </xf>
    <xf numFmtId="17" fontId="54" fillId="2" borderId="3" xfId="0" applyNumberFormat="1" applyFont="1" applyFill="1" applyBorder="1" applyAlignment="1">
      <alignment horizontal="center" vertical="center" wrapText="1" readingOrder="1"/>
    </xf>
    <xf numFmtId="0" fontId="58" fillId="2" borderId="2" xfId="0" applyFont="1" applyFill="1" applyBorder="1" applyAlignment="1">
      <alignment horizontal="center" vertical="center" wrapText="1" readingOrder="1"/>
    </xf>
    <xf numFmtId="0" fontId="58" fillId="2" borderId="3" xfId="0" applyFont="1" applyFill="1" applyBorder="1" applyAlignment="1">
      <alignment horizontal="center" vertical="center" wrapText="1" readingOrder="1"/>
    </xf>
    <xf numFmtId="0" fontId="54" fillId="2" borderId="3" xfId="0" applyFont="1" applyFill="1" applyBorder="1" applyAlignment="1">
      <alignment horizontal="center" vertical="center" wrapText="1" readingOrder="1"/>
    </xf>
    <xf numFmtId="0" fontId="60" fillId="0" borderId="0" xfId="0" applyFont="1" applyAlignment="1">
      <alignment horizontal="center" readingOrder="1"/>
    </xf>
    <xf numFmtId="0" fontId="53" fillId="2" borderId="2" xfId="0" applyFont="1" applyFill="1" applyBorder="1" applyAlignment="1">
      <alignment horizontal="center" vertical="center" wrapText="1" readingOrder="1"/>
    </xf>
    <xf numFmtId="0" fontId="53" fillId="2" borderId="3" xfId="0" applyFont="1" applyFill="1" applyBorder="1" applyAlignment="1">
      <alignment horizontal="center" vertical="center" wrapText="1" readingOrder="1"/>
    </xf>
    <xf numFmtId="17" fontId="49" fillId="2" borderId="2" xfId="0" applyNumberFormat="1" applyFont="1" applyFill="1" applyBorder="1" applyAlignment="1">
      <alignment horizontal="center" vertical="center" wrapText="1" readingOrder="1"/>
    </xf>
    <xf numFmtId="17" fontId="49" fillId="2" borderId="3" xfId="0" applyNumberFormat="1" applyFont="1" applyFill="1" applyBorder="1" applyAlignment="1">
      <alignment horizontal="center" vertical="center" wrapText="1" readingOrder="1"/>
    </xf>
    <xf numFmtId="0" fontId="33" fillId="0" borderId="0" xfId="0" applyFont="1" applyAlignment="1">
      <alignment horizontal="center"/>
    </xf>
    <xf numFmtId="17" fontId="49" fillId="4" borderId="2" xfId="0" applyNumberFormat="1" applyFont="1" applyFill="1" applyBorder="1" applyAlignment="1">
      <alignment horizontal="center" vertical="center" wrapText="1" readingOrder="1"/>
    </xf>
    <xf numFmtId="17" fontId="49" fillId="4" borderId="3" xfId="0" applyNumberFormat="1" applyFont="1" applyFill="1" applyBorder="1" applyAlignment="1">
      <alignment horizontal="center" vertical="center" wrapText="1" readingOrder="1"/>
    </xf>
    <xf numFmtId="0" fontId="37" fillId="2" borderId="2" xfId="0" applyFont="1" applyFill="1" applyBorder="1" applyAlignment="1">
      <alignment horizontal="center" vertical="center" wrapText="1" readingOrder="1"/>
    </xf>
    <xf numFmtId="0" fontId="33" fillId="0" borderId="18" xfId="0" applyFont="1" applyBorder="1" applyAlignment="1">
      <alignment horizontal="center" vertical="center" wrapText="1"/>
    </xf>
    <xf numFmtId="0" fontId="68" fillId="3" borderId="24" xfId="0" applyFont="1" applyFill="1" applyBorder="1" applyAlignment="1">
      <alignment horizontal="left" vertical="top" wrapText="1"/>
    </xf>
    <xf numFmtId="0" fontId="68" fillId="3" borderId="25" xfId="0" applyFont="1" applyFill="1" applyBorder="1" applyAlignment="1">
      <alignment horizontal="left" vertical="top" wrapText="1"/>
    </xf>
    <xf numFmtId="0" fontId="68" fillId="3" borderId="26" xfId="0" applyFont="1" applyFill="1" applyBorder="1" applyAlignment="1">
      <alignment horizontal="left" vertical="top" wrapText="1"/>
    </xf>
    <xf numFmtId="0" fontId="34" fillId="0" borderId="18" xfId="0" applyFont="1" applyBorder="1" applyAlignment="1">
      <alignment horizontal="center" wrapText="1"/>
    </xf>
  </cellXfs>
  <cellStyles count="8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10" xfId="44" xr:uid="{00000000-0005-0000-0000-00001C000000}"/>
    <cellStyle name="Comma 11" xfId="81" xr:uid="{00000000-0005-0000-0000-00001D000000}"/>
    <cellStyle name="Comma 2" xfId="45" xr:uid="{00000000-0005-0000-0000-00001E000000}"/>
    <cellStyle name="Comma 3" xfId="46" xr:uid="{00000000-0005-0000-0000-00001F000000}"/>
    <cellStyle name="Comma 4" xfId="47" xr:uid="{00000000-0005-0000-0000-000020000000}"/>
    <cellStyle name="Comma 5" xfId="48" xr:uid="{00000000-0005-0000-0000-000021000000}"/>
    <cellStyle name="Comma 6" xfId="49" xr:uid="{00000000-0005-0000-0000-000022000000}"/>
    <cellStyle name="Comma 7" xfId="50" xr:uid="{00000000-0005-0000-0000-000023000000}"/>
    <cellStyle name="Comma 8" xfId="51" xr:uid="{00000000-0005-0000-0000-000024000000}"/>
    <cellStyle name="Comma 9" xfId="71" xr:uid="{00000000-0005-0000-0000-000025000000}"/>
    <cellStyle name="Currency 2" xfId="52" xr:uid="{00000000-0005-0000-0000-000026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53" xr:uid="{00000000-0005-0000-0000-000031000000}"/>
    <cellStyle name="Normal 10 2" xfId="75" xr:uid="{00000000-0005-0000-0000-000032000000}"/>
    <cellStyle name="Normal 10 4 2" xfId="2" xr:uid="{00000000-0005-0000-0000-000033000000}"/>
    <cellStyle name="Normal 11" xfId="54" xr:uid="{00000000-0005-0000-0000-000034000000}"/>
    <cellStyle name="Normal 12" xfId="43" xr:uid="{00000000-0005-0000-0000-000035000000}"/>
    <cellStyle name="Normal 13" xfId="79" xr:uid="{00000000-0005-0000-0000-000036000000}"/>
    <cellStyle name="Normal 2" xfId="55" xr:uid="{00000000-0005-0000-0000-000037000000}"/>
    <cellStyle name="Normal 2 2" xfId="56" xr:uid="{00000000-0005-0000-0000-000038000000}"/>
    <cellStyle name="Normal 2 3" xfId="76" xr:uid="{00000000-0005-0000-0000-000039000000}"/>
    <cellStyle name="Normal 3" xfId="57" xr:uid="{00000000-0005-0000-0000-00003A000000}"/>
    <cellStyle name="Normal 4" xfId="58" xr:uid="{00000000-0005-0000-0000-00003B000000}"/>
    <cellStyle name="Normal 5" xfId="59" xr:uid="{00000000-0005-0000-0000-00003C000000}"/>
    <cellStyle name="Normal 6" xfId="60" xr:uid="{00000000-0005-0000-0000-00003D000000}"/>
    <cellStyle name="Normal 7" xfId="61" xr:uid="{00000000-0005-0000-0000-00003E000000}"/>
    <cellStyle name="Normal 7 2" xfId="72" xr:uid="{00000000-0005-0000-0000-00003F000000}"/>
    <cellStyle name="Normal 8" xfId="62" xr:uid="{00000000-0005-0000-0000-000040000000}"/>
    <cellStyle name="Normal 8 2" xfId="73" xr:uid="{00000000-0005-0000-0000-000041000000}"/>
    <cellStyle name="Normal 9" xfId="63" xr:uid="{00000000-0005-0000-0000-000042000000}"/>
    <cellStyle name="Normal 9 2" xfId="74" xr:uid="{00000000-0005-0000-0000-000043000000}"/>
    <cellStyle name="Note 2" xfId="64" xr:uid="{00000000-0005-0000-0000-000044000000}"/>
    <cellStyle name="Note 3" xfId="65" xr:uid="{00000000-0005-0000-0000-000045000000}"/>
    <cellStyle name="Note 4" xfId="66" xr:uid="{00000000-0005-0000-0000-000046000000}"/>
    <cellStyle name="Note 5" xfId="67" xr:uid="{00000000-0005-0000-0000-000047000000}"/>
    <cellStyle name="Output" xfId="12" builtinId="21" customBuiltin="1"/>
    <cellStyle name="Percent 2" xfId="68" xr:uid="{00000000-0005-0000-0000-000049000000}"/>
    <cellStyle name="Percent 3" xfId="78" xr:uid="{00000000-0005-0000-0000-00004A000000}"/>
    <cellStyle name="Percent 4" xfId="77" xr:uid="{00000000-0005-0000-0000-00004B000000}"/>
    <cellStyle name="Percent 5" xfId="80" xr:uid="{00000000-0005-0000-0000-00004C000000}"/>
    <cellStyle name="Style 1" xfId="69" xr:uid="{00000000-0005-0000-0000-00004D000000}"/>
    <cellStyle name="Style 1 2" xfId="70" xr:uid="{00000000-0005-0000-0000-00004E000000}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10.43.237.77\common%20drive%20-%20ho\Accounts\Return\MIS%20PPT\2023-24\10-Jan-2024\10%20Bad%20Debts-Sept-22.xlsx" TargetMode="External"/><Relationship Id="rId1" Type="http://schemas.openxmlformats.org/officeDocument/2006/relationships/hyperlink" Target="file:///\\10.43.237.77\common%20drive%20-%20ho\Accounts\Return\MIS%20PPT\2023-24\10-Jan-2024\12-Auca%20Recovery-Sept-22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D28" sqref="D28"/>
    </sheetView>
  </sheetViews>
  <sheetFormatPr defaultColWidth="9.140625" defaultRowHeight="14.45"/>
  <cols>
    <col min="2" max="2" width="37.28515625" customWidth="1"/>
    <col min="3" max="9" width="10.7109375" customWidth="1"/>
  </cols>
  <sheetData>
    <row r="1" spans="1:10" ht="29.45">
      <c r="B1" s="148" t="s">
        <v>0</v>
      </c>
      <c r="C1" s="148"/>
      <c r="D1" s="148"/>
      <c r="E1" s="148"/>
      <c r="F1" s="148"/>
      <c r="G1" s="148"/>
      <c r="H1" s="148"/>
      <c r="I1" s="148"/>
    </row>
    <row r="2" spans="1:10" ht="18.600000000000001" thickBot="1">
      <c r="I2" s="139" t="s">
        <v>1</v>
      </c>
    </row>
    <row r="3" spans="1:10" ht="15" customHeight="1">
      <c r="A3" s="151"/>
      <c r="B3" s="149" t="s">
        <v>2</v>
      </c>
      <c r="C3" s="152" t="s">
        <v>3</v>
      </c>
      <c r="D3" s="152" t="s">
        <v>4</v>
      </c>
      <c r="E3" s="152" t="s">
        <v>5</v>
      </c>
      <c r="F3" s="152" t="s">
        <v>6</v>
      </c>
      <c r="G3" s="149" t="s">
        <v>7</v>
      </c>
      <c r="H3" s="149" t="s">
        <v>8</v>
      </c>
      <c r="I3" s="149" t="s">
        <v>9</v>
      </c>
    </row>
    <row r="4" spans="1:10" ht="31.5" customHeight="1" thickBot="1">
      <c r="A4" s="151"/>
      <c r="B4" s="150"/>
      <c r="C4" s="153"/>
      <c r="D4" s="154"/>
      <c r="E4" s="153"/>
      <c r="F4" s="153"/>
      <c r="G4" s="150"/>
      <c r="H4" s="150"/>
      <c r="I4" s="150"/>
    </row>
    <row r="5" spans="1:10" ht="15" thickBot="1">
      <c r="B5" s="28" t="s">
        <v>10</v>
      </c>
      <c r="C5" s="29">
        <f>'Financial Highlights'!B5</f>
        <v>4566.5959007219326</v>
      </c>
      <c r="D5" s="29">
        <v>5544.3429229166031</v>
      </c>
      <c r="E5" s="29">
        <v>4648.6267575747006</v>
      </c>
      <c r="F5" s="29">
        <f>'Financial Highlights'!D5</f>
        <v>5243.0289495159559</v>
      </c>
      <c r="G5" s="30">
        <f>Turnover!J11</f>
        <v>-4.8320348758570146</v>
      </c>
      <c r="H5" s="31">
        <f t="shared" ref="H5:H10" si="0">(F5-C5)/C5*100</f>
        <v>14.812632067730934</v>
      </c>
      <c r="I5" s="31" t="e">
        <f>(((F5/L7)*12)-D5)/D5*100</f>
        <v>#DIV/0!</v>
      </c>
      <c r="J5" s="10"/>
    </row>
    <row r="6" spans="1:10" ht="15" thickBot="1">
      <c r="B6" s="28" t="s">
        <v>11</v>
      </c>
      <c r="C6" s="29">
        <f>'Financial Highlights'!B6</f>
        <v>1222.11794529949</v>
      </c>
      <c r="D6" s="29">
        <v>1276.6477031032</v>
      </c>
      <c r="E6" s="29">
        <v>1428.0219798174053</v>
      </c>
      <c r="F6" s="29">
        <f>'Financial Highlights'!D6</f>
        <v>1524.4322368996545</v>
      </c>
      <c r="G6" s="30">
        <f t="shared" ref="G6:G11" si="1">(F6-E6)/E6*100</f>
        <v>6.7513146467519212</v>
      </c>
      <c r="H6" s="31">
        <f t="shared" si="0"/>
        <v>24.736916167782805</v>
      </c>
      <c r="I6" s="31">
        <f>(F6-D6)/D6*100</f>
        <v>19.408998519650684</v>
      </c>
      <c r="J6" s="10"/>
    </row>
    <row r="7" spans="1:10" ht="15" thickBot="1">
      <c r="B7" s="28" t="s">
        <v>12</v>
      </c>
      <c r="C7" s="31">
        <f>'Financial Highlights'!B27</f>
        <v>30.940941298970014</v>
      </c>
      <c r="D7" s="31">
        <v>31.167267450594441</v>
      </c>
      <c r="E7" s="31">
        <v>31.987606658951119</v>
      </c>
      <c r="F7" s="31">
        <f>'Financial Highlights'!D27</f>
        <v>34.236336067679993</v>
      </c>
      <c r="G7" s="30">
        <f t="shared" si="1"/>
        <v>7.0300020651892376</v>
      </c>
      <c r="H7" s="31">
        <f t="shared" si="0"/>
        <v>10.650596363141929</v>
      </c>
      <c r="I7" s="31" t="s">
        <v>13</v>
      </c>
      <c r="J7" s="10"/>
    </row>
    <row r="8" spans="1:10" ht="15" thickBot="1">
      <c r="B8" s="28" t="s">
        <v>14</v>
      </c>
      <c r="C8" s="32">
        <f>(844469130.3182-12177423.48)/10^7</f>
        <v>83.229170683820001</v>
      </c>
      <c r="D8" s="31">
        <f>102.965040267144-(12177423.48/10^7)</f>
        <v>101.747297919144</v>
      </c>
      <c r="E8" s="31">
        <f>907358023.911011/10^7</f>
        <v>90.735802391101103</v>
      </c>
      <c r="F8" s="31">
        <f>1019559820.4891/10^7</f>
        <v>101.95598204891</v>
      </c>
      <c r="G8" s="30">
        <f t="shared" si="1"/>
        <v>12.365768927072734</v>
      </c>
      <c r="H8" s="31">
        <f t="shared" si="0"/>
        <v>22.500297925869575</v>
      </c>
      <c r="I8" s="31" t="s">
        <v>13</v>
      </c>
      <c r="J8" s="10"/>
    </row>
    <row r="9" spans="1:10" ht="15" thickBot="1">
      <c r="B9" s="28" t="s">
        <v>15</v>
      </c>
      <c r="C9" s="31">
        <f>'Financial Highlights'!B16</f>
        <v>35.218718783229995</v>
      </c>
      <c r="D9" s="31">
        <v>43.923809341500004</v>
      </c>
      <c r="E9" s="31">
        <v>44.257992164119997</v>
      </c>
      <c r="F9" s="31">
        <f>'Financial Highlights'!D16</f>
        <v>50.31323504921</v>
      </c>
      <c r="G9" s="30">
        <f t="shared" si="1"/>
        <v>13.681693608321876</v>
      </c>
      <c r="H9" s="31">
        <f t="shared" si="0"/>
        <v>42.85935657934133</v>
      </c>
      <c r="I9" s="31" t="s">
        <v>13</v>
      </c>
      <c r="J9" s="10"/>
    </row>
    <row r="10" spans="1:10" ht="15" thickBot="1">
      <c r="B10" s="28" t="s">
        <v>16</v>
      </c>
      <c r="C10" s="31">
        <f>C8-C9</f>
        <v>48.010451900590006</v>
      </c>
      <c r="D10" s="31">
        <f>D8-D9</f>
        <v>57.823488577644</v>
      </c>
      <c r="E10" s="31">
        <f>E8-E9</f>
        <v>46.477810226981106</v>
      </c>
      <c r="F10" s="31">
        <f>F8-F9</f>
        <v>51.642746999700002</v>
      </c>
      <c r="G10" s="30">
        <f t="shared" si="1"/>
        <v>11.112693880144484</v>
      </c>
      <c r="H10" s="31">
        <f t="shared" si="0"/>
        <v>7.5656340553323513</v>
      </c>
      <c r="I10" s="31" t="s">
        <v>13</v>
      </c>
      <c r="J10" s="10"/>
    </row>
    <row r="11" spans="1:10" ht="15" thickBot="1">
      <c r="B11" s="28" t="s">
        <v>17</v>
      </c>
      <c r="C11" s="31">
        <f>'Financial Highlights'!B12</f>
        <v>9.2402518479999998</v>
      </c>
      <c r="D11" s="31">
        <f>9.540251848-1.217742348+(12177423.48/10^7)</f>
        <v>9.5402518480000005</v>
      </c>
      <c r="E11" s="31">
        <v>12.301093815</v>
      </c>
      <c r="F11" s="31">
        <f>'Financial Highlights'!D12</f>
        <v>12.301093815</v>
      </c>
      <c r="G11" s="30">
        <f t="shared" si="1"/>
        <v>0</v>
      </c>
      <c r="H11" s="31" t="s">
        <v>13</v>
      </c>
      <c r="I11" s="31" t="s">
        <v>13</v>
      </c>
      <c r="J11" s="10"/>
    </row>
    <row r="12" spans="1:10" ht="15" thickBot="1">
      <c r="B12" s="28" t="s">
        <v>18</v>
      </c>
      <c r="C12" s="31">
        <f>'Financial Highlights'!B13</f>
        <v>1.217742348</v>
      </c>
      <c r="D12" s="31">
        <v>1.217742348</v>
      </c>
      <c r="E12" s="31">
        <v>0.49450778499999998</v>
      </c>
      <c r="F12" s="31">
        <f>'Financial Highlights'!D13</f>
        <v>0.74450778499999992</v>
      </c>
      <c r="G12" s="30">
        <v>0</v>
      </c>
      <c r="H12" s="31" t="s">
        <v>13</v>
      </c>
      <c r="I12" s="31" t="s">
        <v>13</v>
      </c>
      <c r="J12" s="10"/>
    </row>
    <row r="13" spans="1:10" ht="15" thickBot="1">
      <c r="B13" s="28" t="s">
        <v>19</v>
      </c>
      <c r="C13" s="31">
        <v>46.405000275999996</v>
      </c>
      <c r="D13" s="31">
        <v>34.704505318000002</v>
      </c>
      <c r="E13" s="31">
        <v>45.563688349000003</v>
      </c>
      <c r="F13" s="31">
        <v>45.563688349000003</v>
      </c>
      <c r="G13" s="30">
        <v>0</v>
      </c>
      <c r="H13" s="31" t="s">
        <v>13</v>
      </c>
      <c r="I13" s="31" t="s">
        <v>13</v>
      </c>
      <c r="J13" s="10"/>
    </row>
    <row r="14" spans="1:10" ht="15" thickBot="1">
      <c r="B14" s="28" t="s">
        <v>20</v>
      </c>
      <c r="C14" s="31">
        <v>2.0746880132581111</v>
      </c>
      <c r="D14" s="31">
        <v>7.0000000000000007E-2</v>
      </c>
      <c r="E14" s="31">
        <v>0.25355529950601863</v>
      </c>
      <c r="F14" s="31">
        <v>0.25355529950601863</v>
      </c>
      <c r="G14" s="30">
        <v>0</v>
      </c>
      <c r="H14" s="31" t="s">
        <v>13</v>
      </c>
      <c r="I14" s="31" t="s">
        <v>13</v>
      </c>
      <c r="J14" s="10"/>
    </row>
    <row r="15" spans="1:10">
      <c r="I15" s="10"/>
    </row>
  </sheetData>
  <mergeCells count="10">
    <mergeCell ref="B1:I1"/>
    <mergeCell ref="H3:H4"/>
    <mergeCell ref="I3:I4"/>
    <mergeCell ref="A3:A4"/>
    <mergeCell ref="B3:B4"/>
    <mergeCell ref="C3:C4"/>
    <mergeCell ref="D3:D4"/>
    <mergeCell ref="F3:F4"/>
    <mergeCell ref="G3:G4"/>
    <mergeCell ref="E3:E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L12"/>
  <sheetViews>
    <sheetView zoomScale="80" zoomScaleNormal="80" workbookViewId="0">
      <selection activeCell="L2" sqref="L2"/>
    </sheetView>
  </sheetViews>
  <sheetFormatPr defaultColWidth="9.140625" defaultRowHeight="24.95" customHeight="1"/>
  <cols>
    <col min="2" max="2" width="34.7109375" customWidth="1"/>
    <col min="3" max="4" width="16.140625" customWidth="1"/>
    <col min="5" max="6" width="16.140625" hidden="1" customWidth="1"/>
    <col min="7" max="7" width="16.140625" customWidth="1"/>
    <col min="8" max="8" width="16.140625" hidden="1" customWidth="1"/>
    <col min="9" max="12" width="16.140625" customWidth="1"/>
  </cols>
  <sheetData>
    <row r="1" spans="2:12" ht="24.95" customHeight="1">
      <c r="B1" s="195" t="s">
        <v>148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2:12" ht="24.95" customHeight="1" thickBot="1">
      <c r="L2" s="139" t="s">
        <v>1</v>
      </c>
    </row>
    <row r="3" spans="2:12" s="16" customFormat="1" ht="24.95" customHeight="1">
      <c r="B3" s="191" t="s">
        <v>138</v>
      </c>
      <c r="C3" s="193" t="s">
        <v>139</v>
      </c>
      <c r="D3" s="193" t="s">
        <v>4</v>
      </c>
      <c r="E3" s="193" t="s">
        <v>149</v>
      </c>
      <c r="F3" s="196" t="s">
        <v>150</v>
      </c>
      <c r="G3" s="193" t="s">
        <v>5</v>
      </c>
      <c r="H3" s="196" t="s">
        <v>151</v>
      </c>
      <c r="I3" s="193" t="s">
        <v>152</v>
      </c>
      <c r="J3" s="193" t="s">
        <v>7</v>
      </c>
      <c r="K3" s="193" t="s">
        <v>8</v>
      </c>
      <c r="L3" s="193" t="s">
        <v>9</v>
      </c>
    </row>
    <row r="4" spans="2:12" s="16" customFormat="1" ht="35.25" customHeight="1" thickBot="1">
      <c r="B4" s="192"/>
      <c r="C4" s="194"/>
      <c r="D4" s="173"/>
      <c r="E4" s="194"/>
      <c r="F4" s="197"/>
      <c r="G4" s="194"/>
      <c r="H4" s="197"/>
      <c r="I4" s="194"/>
      <c r="J4" s="194"/>
      <c r="K4" s="194"/>
      <c r="L4" s="194"/>
    </row>
    <row r="5" spans="2:12" ht="24.95" customHeight="1" thickBot="1">
      <c r="B5" s="52" t="s">
        <v>140</v>
      </c>
      <c r="C5" s="71">
        <v>2240.835457703</v>
      </c>
      <c r="D5" s="71">
        <v>2764.2966066230001</v>
      </c>
      <c r="E5" s="71">
        <v>1836.2319569379999</v>
      </c>
      <c r="F5" s="71">
        <f>G5-E5</f>
        <v>203.56965135199994</v>
      </c>
      <c r="G5" s="71">
        <v>2039.8016082899999</v>
      </c>
      <c r="H5" s="71">
        <f>I5-G5</f>
        <v>257.99502763600049</v>
      </c>
      <c r="I5" s="71">
        <v>2297.7966359260004</v>
      </c>
      <c r="J5" s="72">
        <f>(H5-F5)/F5*100</f>
        <v>26.735505966894635</v>
      </c>
      <c r="K5" s="72">
        <f t="shared" ref="K5:K11" si="0">(I5-C5)/C5*100</f>
        <v>2.541961661093548</v>
      </c>
      <c r="L5" s="72">
        <f t="shared" ref="L5:L10" si="1">(((I5/10*12))-D5)/D5*100</f>
        <v>-0.25108172166368548</v>
      </c>
    </row>
    <row r="6" spans="2:12" ht="24.95" customHeight="1" thickBot="1">
      <c r="B6" s="52" t="s">
        <v>141</v>
      </c>
      <c r="C6" s="71">
        <v>267.876695354932</v>
      </c>
      <c r="D6" s="71">
        <v>333.26493419760197</v>
      </c>
      <c r="E6" s="71">
        <v>245.679596904595</v>
      </c>
      <c r="F6" s="71">
        <f t="shared" ref="F6:F10" si="2">G6-E6</f>
        <v>35.471099104104979</v>
      </c>
      <c r="G6" s="71">
        <v>281.15069600869998</v>
      </c>
      <c r="H6" s="71">
        <f t="shared" ref="H6:H10" si="3">I6-G6</f>
        <v>28.731633696257006</v>
      </c>
      <c r="I6" s="71">
        <v>309.88232970495699</v>
      </c>
      <c r="J6" s="72">
        <f>(H6-F6)/F6*100</f>
        <v>-18.999877585039457</v>
      </c>
      <c r="K6" s="72">
        <f t="shared" si="0"/>
        <v>15.680958843533682</v>
      </c>
      <c r="L6" s="72">
        <f t="shared" si="1"/>
        <v>11.580534730204475</v>
      </c>
    </row>
    <row r="7" spans="2:12" ht="24.95" customHeight="1" thickBot="1">
      <c r="B7" s="52" t="s">
        <v>142</v>
      </c>
      <c r="C7" s="81">
        <v>1351.442146954</v>
      </c>
      <c r="D7" s="71">
        <v>1654.6651024799999</v>
      </c>
      <c r="E7" s="73">
        <v>1285.8991154979999</v>
      </c>
      <c r="F7" s="71">
        <f t="shared" si="2"/>
        <v>238.66360310400023</v>
      </c>
      <c r="G7" s="73">
        <v>1524.5627186020001</v>
      </c>
      <c r="H7" s="71">
        <f t="shared" si="3"/>
        <v>211.96422004799979</v>
      </c>
      <c r="I7" s="73">
        <v>1736.5269386499999</v>
      </c>
      <c r="J7" s="72">
        <f>(H7-F7)/F7*100</f>
        <v>-11.187035940442874</v>
      </c>
      <c r="K7" s="72">
        <f t="shared" si="0"/>
        <v>28.494360085182933</v>
      </c>
      <c r="L7" s="72">
        <f t="shared" si="1"/>
        <v>25.936802755842724</v>
      </c>
    </row>
    <row r="8" spans="2:12" ht="24.95" customHeight="1" thickBot="1">
      <c r="B8" s="52" t="s">
        <v>143</v>
      </c>
      <c r="C8" s="71">
        <v>151.13455649900001</v>
      </c>
      <c r="D8" s="71">
        <v>161.134343599</v>
      </c>
      <c r="E8" s="74">
        <v>80.270726527999997</v>
      </c>
      <c r="F8" s="71">
        <f t="shared" si="2"/>
        <v>11.737116029000006</v>
      </c>
      <c r="G8" s="74">
        <v>92.007842557000004</v>
      </c>
      <c r="H8" s="71">
        <f t="shared" si="3"/>
        <v>12.518102390999999</v>
      </c>
      <c r="I8" s="74">
        <v>104.525944948</v>
      </c>
      <c r="J8" s="72">
        <f>(H8-F8)/F8*100</f>
        <v>6.6539885954125007</v>
      </c>
      <c r="K8" s="72">
        <f t="shared" si="0"/>
        <v>-30.839149318778329</v>
      </c>
      <c r="L8" s="72">
        <f t="shared" si="1"/>
        <v>-22.157417757105371</v>
      </c>
    </row>
    <row r="9" spans="2:12" ht="24.95" customHeight="1" thickBot="1">
      <c r="B9" s="52" t="s">
        <v>144</v>
      </c>
      <c r="C9" s="71">
        <v>307.784958211</v>
      </c>
      <c r="D9" s="71">
        <v>343.96193601700003</v>
      </c>
      <c r="E9" s="71">
        <v>372.92219443200003</v>
      </c>
      <c r="F9" s="71">
        <f t="shared" si="2"/>
        <v>35.900665785000001</v>
      </c>
      <c r="G9" s="71">
        <v>408.82286021700003</v>
      </c>
      <c r="H9" s="71">
        <f t="shared" si="3"/>
        <v>33.197842269999967</v>
      </c>
      <c r="I9" s="71">
        <v>442.02070248699999</v>
      </c>
      <c r="J9" s="72">
        <f>(H9-F9)/F9*100</f>
        <v>-7.528616686906477</v>
      </c>
      <c r="K9" s="72">
        <f t="shared" si="0"/>
        <v>43.613484250902069</v>
      </c>
      <c r="L9" s="72">
        <f t="shared" si="1"/>
        <v>54.210331854331727</v>
      </c>
    </row>
    <row r="10" spans="2:12" ht="24.95" customHeight="1" thickBot="1">
      <c r="B10" s="52" t="s">
        <v>145</v>
      </c>
      <c r="C10" s="71">
        <v>247.522086</v>
      </c>
      <c r="D10" s="71">
        <v>287.02</v>
      </c>
      <c r="E10" s="71">
        <v>203.04094449999999</v>
      </c>
      <c r="F10" s="71">
        <f t="shared" si="2"/>
        <v>99.240087400000021</v>
      </c>
      <c r="G10" s="71">
        <v>302.28103190000002</v>
      </c>
      <c r="H10" s="71">
        <f t="shared" si="3"/>
        <v>49.995365899999967</v>
      </c>
      <c r="I10" s="71">
        <v>352.27639779999998</v>
      </c>
      <c r="J10" s="72" t="s">
        <v>13</v>
      </c>
      <c r="K10" s="72">
        <f t="shared" si="0"/>
        <v>42.321197874843371</v>
      </c>
      <c r="L10" s="72">
        <f t="shared" si="1"/>
        <v>47.283003748867664</v>
      </c>
    </row>
    <row r="11" spans="2:12" s="16" customFormat="1" ht="24.95" customHeight="1" thickBot="1">
      <c r="B11" s="75" t="s">
        <v>153</v>
      </c>
      <c r="C11" s="76">
        <f>SUM(C5:C10)</f>
        <v>4566.5959007219317</v>
      </c>
      <c r="D11" s="76">
        <f>SUM(D5:D10)</f>
        <v>5544.3429229166031</v>
      </c>
      <c r="E11" s="76">
        <f t="shared" ref="E11:I11" si="4">SUM(E5:E10)</f>
        <v>4024.0445348005951</v>
      </c>
      <c r="F11" s="76">
        <f t="shared" si="4"/>
        <v>624.58222277410505</v>
      </c>
      <c r="G11" s="76">
        <f>SUM(G5:G10)</f>
        <v>4648.6267575746997</v>
      </c>
      <c r="H11" s="76">
        <f t="shared" si="4"/>
        <v>594.40219194125734</v>
      </c>
      <c r="I11" s="76">
        <f t="shared" si="4"/>
        <v>5243.0289495159577</v>
      </c>
      <c r="J11" s="77">
        <f>(H11-F11)/F11*100</f>
        <v>-4.8320348758570146</v>
      </c>
      <c r="K11" s="77">
        <f t="shared" si="0"/>
        <v>14.812632067730997</v>
      </c>
      <c r="L11" s="77">
        <f>(((I11/10*12))-D11)/D11*100</f>
        <v>13.478455912489512</v>
      </c>
    </row>
    <row r="12" spans="2:12" ht="24.95" customHeight="1">
      <c r="G12" s="12"/>
      <c r="I12" s="10"/>
    </row>
  </sheetData>
  <mergeCells count="12">
    <mergeCell ref="B1:L1"/>
    <mergeCell ref="J3:J4"/>
    <mergeCell ref="L3:L4"/>
    <mergeCell ref="B3:B4"/>
    <mergeCell ref="C3:C4"/>
    <mergeCell ref="D3:D4"/>
    <mergeCell ref="G3:G4"/>
    <mergeCell ref="I3:I4"/>
    <mergeCell ref="E3:E4"/>
    <mergeCell ref="F3:F4"/>
    <mergeCell ref="H3:H4"/>
    <mergeCell ref="K3:K4"/>
  </mergeCells>
  <pageMargins left="0.69" right="0.70866141732283472" top="0.74803149606299213" bottom="0.74803149606299213" header="0.31496062992125984" footer="0.31496062992125984"/>
  <pageSetup paperSize="9"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F26"/>
  <sheetViews>
    <sheetView zoomScale="80" zoomScaleNormal="80" workbookViewId="0">
      <selection activeCell="B3" sqref="B3:F26"/>
    </sheetView>
  </sheetViews>
  <sheetFormatPr defaultColWidth="8.85546875" defaultRowHeight="14.45"/>
  <cols>
    <col min="2" max="2" width="55.42578125" customWidth="1"/>
    <col min="3" max="3" width="15.140625" customWidth="1"/>
    <col min="4" max="4" width="12.140625" customWidth="1"/>
    <col min="5" max="5" width="13.28515625" customWidth="1"/>
    <col min="6" max="6" width="12.85546875" customWidth="1"/>
  </cols>
  <sheetData>
    <row r="1" spans="2:6" ht="18">
      <c r="B1" s="171" t="s">
        <v>154</v>
      </c>
      <c r="C1" s="171"/>
      <c r="D1" s="171"/>
      <c r="E1" s="171"/>
      <c r="F1" s="171"/>
    </row>
    <row r="2" spans="2:6" ht="18.600000000000001" thickBot="1">
      <c r="F2" s="139" t="s">
        <v>1</v>
      </c>
    </row>
    <row r="3" spans="2:6" ht="15" customHeight="1">
      <c r="B3" s="149" t="s">
        <v>2</v>
      </c>
      <c r="C3" s="156" t="s">
        <v>155</v>
      </c>
      <c r="D3" s="198" t="s">
        <v>156</v>
      </c>
      <c r="E3" s="198" t="s">
        <v>157</v>
      </c>
      <c r="F3" s="198" t="s">
        <v>158</v>
      </c>
    </row>
    <row r="4" spans="2:6" ht="30" customHeight="1" thickBot="1">
      <c r="B4" s="150"/>
      <c r="C4" s="157"/>
      <c r="D4" s="154"/>
      <c r="E4" s="154"/>
      <c r="F4" s="154"/>
    </row>
    <row r="5" spans="2:6" ht="15" thickBot="1">
      <c r="B5" s="52" t="s">
        <v>10</v>
      </c>
      <c r="C5" s="29">
        <f>'Financial Highlights'!D5</f>
        <v>5243.0289495159559</v>
      </c>
      <c r="D5" s="29">
        <v>6150</v>
      </c>
      <c r="E5" s="31">
        <f>C5/D5*100</f>
        <v>85.252503244161886</v>
      </c>
      <c r="F5" s="29">
        <f>D5-C5</f>
        <v>906.9710504840441</v>
      </c>
    </row>
    <row r="6" spans="2:6" ht="15" thickBot="1">
      <c r="B6" s="52" t="s">
        <v>62</v>
      </c>
      <c r="C6" s="29">
        <f>'Financial Highlights'!D6</f>
        <v>1524.4322368996545</v>
      </c>
      <c r="D6" s="29">
        <v>1482</v>
      </c>
      <c r="E6" s="31">
        <f>C6/D6*100</f>
        <v>102.86317387986873</v>
      </c>
      <c r="F6" s="29">
        <f>D6-C6</f>
        <v>-42.432236899654526</v>
      </c>
    </row>
    <row r="7" spans="2:6" ht="15" thickBot="1">
      <c r="B7" s="82" t="s">
        <v>27</v>
      </c>
      <c r="C7" s="32"/>
      <c r="D7" s="83"/>
      <c r="E7" s="32"/>
      <c r="F7" s="83"/>
    </row>
    <row r="8" spans="2:6" ht="15" thickBot="1">
      <c r="B8" s="52" t="s">
        <v>63</v>
      </c>
      <c r="C8" s="31">
        <f>'Financial Highlights'!D9</f>
        <v>82.433157435970003</v>
      </c>
      <c r="D8" s="31">
        <v>106.25</v>
      </c>
      <c r="E8" s="31">
        <f>C8/D8*100</f>
        <v>77.584148175030592</v>
      </c>
      <c r="F8" s="31">
        <f>D8-C8</f>
        <v>23.816842564029997</v>
      </c>
    </row>
    <row r="9" spans="2:6" ht="15" thickBot="1">
      <c r="B9" s="28" t="s">
        <v>29</v>
      </c>
      <c r="C9" s="31">
        <f>'Financial Highlights'!D10</f>
        <v>12.78017494229</v>
      </c>
      <c r="D9" s="31">
        <v>35.247229728630806</v>
      </c>
      <c r="E9" s="31">
        <f>C9/D9*100</f>
        <v>36.25866498072287</v>
      </c>
      <c r="F9" s="31">
        <f>D9-C9</f>
        <v>22.467054786340807</v>
      </c>
    </row>
    <row r="10" spans="2:6" ht="15" thickBot="1">
      <c r="B10" s="52" t="s">
        <v>30</v>
      </c>
      <c r="C10" s="31">
        <f>'Financial Highlights'!D11</f>
        <v>15.053792901000001</v>
      </c>
      <c r="D10" s="31">
        <v>35.247229728630806</v>
      </c>
      <c r="E10" s="31">
        <f>C10/D10*100</f>
        <v>42.709151944420832</v>
      </c>
      <c r="F10" s="31">
        <f>D10-C10</f>
        <v>20.193436827630805</v>
      </c>
    </row>
    <row r="11" spans="2:6" ht="15" thickBot="1">
      <c r="B11" s="28" t="s">
        <v>31</v>
      </c>
      <c r="C11" s="31">
        <f>'Financial Highlights'!D12</f>
        <v>12.301093815</v>
      </c>
      <c r="D11" s="31">
        <v>10</v>
      </c>
      <c r="E11" s="31">
        <f>C11/D11*100</f>
        <v>123.01093814999999</v>
      </c>
      <c r="F11" s="31">
        <f>D11-C11</f>
        <v>-2.3010938149999998</v>
      </c>
    </row>
    <row r="12" spans="2:6" ht="15" thickBot="1">
      <c r="B12" s="28" t="s">
        <v>32</v>
      </c>
      <c r="C12" s="31">
        <f>'Financial Highlights'!D13</f>
        <v>0.74450778499999992</v>
      </c>
      <c r="D12" s="31">
        <v>0</v>
      </c>
      <c r="E12" s="31">
        <v>0</v>
      </c>
      <c r="F12" s="31">
        <v>0</v>
      </c>
    </row>
    <row r="13" spans="2:6" ht="15" thickBot="1">
      <c r="B13" s="47" t="s">
        <v>66</v>
      </c>
      <c r="C13" s="31">
        <f>SUM(C8:C12)</f>
        <v>123.31272687926</v>
      </c>
      <c r="D13" s="31">
        <f>SUM(D8:D12)</f>
        <v>186.7444594572616</v>
      </c>
      <c r="E13" s="31">
        <f>C13/D13*100</f>
        <v>66.032870392859706</v>
      </c>
      <c r="F13" s="31">
        <f>D13-C13</f>
        <v>63.431732578001601</v>
      </c>
    </row>
    <row r="14" spans="2:6" ht="15" thickBot="1">
      <c r="B14" s="82" t="s">
        <v>67</v>
      </c>
      <c r="C14" s="32"/>
      <c r="D14" s="84"/>
      <c r="E14" s="32"/>
      <c r="F14" s="84"/>
    </row>
    <row r="15" spans="2:6" ht="15" thickBot="1">
      <c r="B15" s="52" t="s">
        <v>68</v>
      </c>
      <c r="C15" s="31">
        <f>'Financial Highlights'!D16</f>
        <v>50.31323504921</v>
      </c>
      <c r="D15" s="31">
        <v>59.497661979221668</v>
      </c>
      <c r="E15" s="31">
        <f t="shared" ref="E15:E20" si="0">C15/D15*100</f>
        <v>84.563381779238426</v>
      </c>
      <c r="F15" s="31">
        <f t="shared" ref="F15:F22" si="1">D15-C15</f>
        <v>9.1844269300116679</v>
      </c>
    </row>
    <row r="16" spans="2:6" ht="15" thickBot="1">
      <c r="B16" s="52" t="s">
        <v>36</v>
      </c>
      <c r="C16" s="31">
        <f>'Financial Highlights'!D17</f>
        <v>28.286153211620004</v>
      </c>
      <c r="D16" s="31">
        <v>36.000029148222993</v>
      </c>
      <c r="E16" s="31">
        <f t="shared" si="0"/>
        <v>78.572584191966527</v>
      </c>
      <c r="F16" s="31">
        <f t="shared" si="1"/>
        <v>7.7138759366029888</v>
      </c>
    </row>
    <row r="17" spans="2:6" ht="15" thickBot="1">
      <c r="B17" s="47" t="s">
        <v>69</v>
      </c>
      <c r="C17" s="31">
        <f>SUM(C15:C16)</f>
        <v>78.599388260830011</v>
      </c>
      <c r="D17" s="31">
        <f>SUM(D15:D16)</f>
        <v>95.497691127444654</v>
      </c>
      <c r="E17" s="31">
        <f t="shared" si="0"/>
        <v>82.305014218549715</v>
      </c>
      <c r="F17" s="31">
        <f t="shared" si="1"/>
        <v>16.898302866614642</v>
      </c>
    </row>
    <row r="18" spans="2:6" ht="15" thickBot="1">
      <c r="B18" s="47" t="s">
        <v>70</v>
      </c>
      <c r="C18" s="32">
        <f>C13-C17</f>
        <v>44.713338618429987</v>
      </c>
      <c r="D18" s="32">
        <f>D13-D17</f>
        <v>91.246768329816945</v>
      </c>
      <c r="E18" s="31">
        <f t="shared" si="0"/>
        <v>49.002654490524996</v>
      </c>
      <c r="F18" s="31">
        <f t="shared" si="1"/>
        <v>46.533429711386958</v>
      </c>
    </row>
    <row r="19" spans="2:6" ht="15" thickBot="1">
      <c r="B19" s="52" t="s">
        <v>39</v>
      </c>
      <c r="C19" s="31">
        <f>'Financial Highlights'!D20</f>
        <v>1.0556164754499999</v>
      </c>
      <c r="D19" s="31">
        <f>1+1</f>
        <v>2</v>
      </c>
      <c r="E19" s="31">
        <f t="shared" si="0"/>
        <v>52.7808237725</v>
      </c>
      <c r="F19" s="31">
        <f t="shared" si="1"/>
        <v>0.94438352455000008</v>
      </c>
    </row>
    <row r="20" spans="2:6" ht="15" thickBot="1">
      <c r="B20" s="52" t="s">
        <v>159</v>
      </c>
      <c r="C20" s="31">
        <f>'Financial Highlights'!D21</f>
        <v>0</v>
      </c>
      <c r="D20" s="31">
        <v>30.748520801999998</v>
      </c>
      <c r="E20" s="31">
        <f t="shared" si="0"/>
        <v>0</v>
      </c>
      <c r="F20" s="31">
        <f t="shared" si="1"/>
        <v>30.748520801999998</v>
      </c>
    </row>
    <row r="21" spans="2:6" ht="15" hidden="1" thickBot="1">
      <c r="B21" s="52" t="s">
        <v>72</v>
      </c>
      <c r="C21" s="31">
        <v>0</v>
      </c>
      <c r="D21" s="31"/>
      <c r="E21" s="31">
        <f>'Financial Highlights'!C22</f>
        <v>0</v>
      </c>
      <c r="F21" s="31" t="e">
        <f>'Financial Highlights'!#REF!</f>
        <v>#REF!</v>
      </c>
    </row>
    <row r="22" spans="2:6" ht="29.45" thickBot="1">
      <c r="B22" s="52" t="s">
        <v>160</v>
      </c>
      <c r="C22" s="31">
        <f>'Financial Highlights'!D23-'Financial Highlights'!D22</f>
        <v>-11.313791656000001</v>
      </c>
      <c r="D22" s="31">
        <v>24.249968159761998</v>
      </c>
      <c r="E22" s="31">
        <f>C22/D22*100</f>
        <v>-46.654872210401457</v>
      </c>
      <c r="F22" s="31">
        <f t="shared" si="1"/>
        <v>35.563759815761998</v>
      </c>
    </row>
    <row r="23" spans="2:6" ht="15" thickBot="1">
      <c r="B23" s="47" t="s">
        <v>74</v>
      </c>
      <c r="C23" s="31">
        <f>C18+C19-C20-C21+C22</f>
        <v>34.455163437879989</v>
      </c>
      <c r="D23" s="31">
        <f>D18+D19-D20-D21+D22</f>
        <v>86.748215687578949</v>
      </c>
      <c r="E23" s="31">
        <f t="shared" ref="E23:E26" si="2">C23/D23*100</f>
        <v>39.718584601174058</v>
      </c>
      <c r="F23" s="31">
        <f>D23-C23</f>
        <v>52.29305224969896</v>
      </c>
    </row>
    <row r="24" spans="2:6" ht="15" thickBot="1">
      <c r="B24" s="47" t="s">
        <v>44</v>
      </c>
      <c r="C24" s="31">
        <f>'Financial Highlights'!D25</f>
        <v>-1.001994348</v>
      </c>
      <c r="D24" s="31">
        <v>4.5013554983329103</v>
      </c>
      <c r="E24" s="31">
        <v>0</v>
      </c>
      <c r="F24" s="31">
        <f>D24-C24</f>
        <v>5.5033498463329105</v>
      </c>
    </row>
    <row r="25" spans="2:6" ht="15" thickBot="1">
      <c r="B25" s="47" t="s">
        <v>45</v>
      </c>
      <c r="C25" s="31">
        <f>'Financial Highlights'!D26</f>
        <v>0.7831669778</v>
      </c>
      <c r="D25" s="31">
        <v>-6.9979344081226857</v>
      </c>
      <c r="E25" s="31">
        <f t="shared" si="2"/>
        <v>-11.19140209275122</v>
      </c>
      <c r="F25" s="31">
        <f>D25-C25</f>
        <v>-7.7811013859226854</v>
      </c>
    </row>
    <row r="26" spans="2:6" ht="15" thickBot="1">
      <c r="B26" s="52" t="s">
        <v>46</v>
      </c>
      <c r="C26" s="32">
        <f>C23+C24+C25</f>
        <v>34.236336067679993</v>
      </c>
      <c r="D26" s="32">
        <f>D23-D24+D25</f>
        <v>75.248925781123347</v>
      </c>
      <c r="E26" s="31">
        <f t="shared" si="2"/>
        <v>45.497441607689218</v>
      </c>
      <c r="F26" s="31">
        <f>D26-C26</f>
        <v>41.012589713443354</v>
      </c>
    </row>
  </sheetData>
  <mergeCells count="6">
    <mergeCell ref="B1:F1"/>
    <mergeCell ref="B3:B4"/>
    <mergeCell ref="D3:D4"/>
    <mergeCell ref="E3:E4"/>
    <mergeCell ref="F3:F4"/>
    <mergeCell ref="C3:C4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M16"/>
  <sheetViews>
    <sheetView zoomScale="80" zoomScaleNormal="80" workbookViewId="0">
      <selection activeCell="B3" sqref="B3:E10"/>
    </sheetView>
  </sheetViews>
  <sheetFormatPr defaultColWidth="9.140625" defaultRowHeight="14.45"/>
  <cols>
    <col min="2" max="2" width="25.28515625" customWidth="1"/>
    <col min="3" max="4" width="12.140625" customWidth="1"/>
    <col min="5" max="5" width="19.85546875" customWidth="1"/>
  </cols>
  <sheetData>
    <row r="1" spans="2:13" ht="18">
      <c r="B1" s="171" t="s">
        <v>154</v>
      </c>
      <c r="C1" s="171"/>
      <c r="D1" s="171"/>
      <c r="E1" s="171"/>
      <c r="F1" s="23"/>
      <c r="G1" s="23"/>
      <c r="H1" s="23"/>
      <c r="I1" s="23"/>
      <c r="J1" s="23"/>
      <c r="K1" s="23"/>
      <c r="L1" s="23"/>
      <c r="M1" s="23"/>
    </row>
    <row r="2" spans="2:13" ht="18.600000000000001" thickBot="1">
      <c r="E2" s="139" t="s">
        <v>1</v>
      </c>
      <c r="F2" s="23"/>
      <c r="G2" s="23"/>
      <c r="H2" s="23"/>
      <c r="I2" s="23"/>
      <c r="J2" s="23"/>
      <c r="K2" s="23"/>
      <c r="L2" s="23"/>
      <c r="M2" s="23"/>
    </row>
    <row r="3" spans="2:13" ht="47.25" customHeight="1">
      <c r="B3" s="149" t="s">
        <v>2</v>
      </c>
      <c r="C3" s="152" t="s">
        <v>6</v>
      </c>
      <c r="D3" s="152" t="s">
        <v>161</v>
      </c>
      <c r="E3" s="152" t="s">
        <v>162</v>
      </c>
      <c r="F3" s="23"/>
      <c r="G3" s="23"/>
      <c r="H3" s="23"/>
      <c r="I3" s="23"/>
      <c r="J3" s="23"/>
      <c r="K3" s="23"/>
      <c r="L3" s="23"/>
      <c r="M3" s="23"/>
    </row>
    <row r="4" spans="2:13" ht="30.75" customHeight="1" thickBot="1">
      <c r="B4" s="150"/>
      <c r="C4" s="154"/>
      <c r="D4" s="154"/>
      <c r="E4" s="154"/>
      <c r="F4" s="23"/>
      <c r="G4" s="23"/>
      <c r="H4" s="24">
        <f>G5-D5</f>
        <v>12.324457806280009</v>
      </c>
      <c r="I4" s="24">
        <f>H4/D5*100</f>
        <v>8.0289627402475627</v>
      </c>
      <c r="J4" s="23"/>
      <c r="K4" s="23"/>
      <c r="L4" s="23"/>
      <c r="M4" s="23"/>
    </row>
    <row r="5" spans="2:13" ht="15" thickBot="1">
      <c r="B5" s="52" t="s">
        <v>163</v>
      </c>
      <c r="C5" s="31">
        <f>'Financial Highlights'!D14+'Financial Highlights'!D20</f>
        <v>124.36834335470999</v>
      </c>
      <c r="D5" s="31">
        <v>153.5</v>
      </c>
      <c r="E5" s="31">
        <f>((C5/10*12))/D5*100</f>
        <v>97.226066466222804</v>
      </c>
      <c r="F5" s="25">
        <f>C5/9</f>
        <v>13.81870481719</v>
      </c>
      <c r="G5" s="24">
        <f>F5*12</f>
        <v>165.82445780628001</v>
      </c>
      <c r="H5" s="24">
        <f>G5/D5*100</f>
        <v>108.02896274024756</v>
      </c>
      <c r="I5" s="23"/>
      <c r="J5" s="25">
        <f>(((C5/5)*12))/D5*100</f>
        <v>194.45213293244561</v>
      </c>
      <c r="K5" s="24">
        <f>H5-J5</f>
        <v>-86.423170192198043</v>
      </c>
      <c r="L5" s="23"/>
      <c r="M5" s="23"/>
    </row>
    <row r="6" spans="2:13" ht="15" thickBot="1">
      <c r="B6" s="52" t="s">
        <v>164</v>
      </c>
      <c r="C6" s="32">
        <f>'MOU '!C17</f>
        <v>78.599388260830011</v>
      </c>
      <c r="D6" s="31">
        <v>97.25</v>
      </c>
      <c r="E6" s="31">
        <f>((C6/10*12))/D6*100</f>
        <v>96.986391684314654</v>
      </c>
      <c r="F6" s="25">
        <f>C6/9</f>
        <v>8.7332653623144463</v>
      </c>
      <c r="G6" s="24">
        <f>F6*12</f>
        <v>104.79918434777335</v>
      </c>
      <c r="H6" s="24">
        <f t="shared" ref="H6:H7" si="0">G6/D6*100</f>
        <v>107.76265742701629</v>
      </c>
      <c r="I6" s="23"/>
      <c r="J6" s="25">
        <f t="shared" ref="J6:J8" si="1">(((C6/5)*12))/D6*100</f>
        <v>193.97278336862931</v>
      </c>
      <c r="K6" s="24">
        <f t="shared" ref="K6:K8" si="2">H6-J6</f>
        <v>-86.210125941613015</v>
      </c>
      <c r="L6" s="23"/>
      <c r="M6" s="23"/>
    </row>
    <row r="7" spans="2:13" ht="15" thickBot="1">
      <c r="B7" s="52" t="s">
        <v>165</v>
      </c>
      <c r="C7" s="32">
        <f>'Financial Highlights'!D19+'Financial Highlights'!D20</f>
        <v>45.768955093879988</v>
      </c>
      <c r="D7" s="32">
        <v>56.25</v>
      </c>
      <c r="E7" s="31">
        <f>((C7/10*12))/D7*100</f>
        <v>97.640437533610651</v>
      </c>
      <c r="F7" s="25">
        <f>C7/9</f>
        <v>5.0854394548755542</v>
      </c>
      <c r="G7" s="24">
        <f>F7*12</f>
        <v>61.025273458506646</v>
      </c>
      <c r="H7" s="24">
        <f t="shared" si="0"/>
        <v>108.48937503734516</v>
      </c>
      <c r="I7" s="23"/>
      <c r="J7" s="25">
        <f t="shared" si="1"/>
        <v>195.2808750672213</v>
      </c>
      <c r="K7" s="24">
        <f t="shared" si="2"/>
        <v>-86.791500029876147</v>
      </c>
      <c r="L7" s="23"/>
      <c r="M7" s="23"/>
    </row>
    <row r="8" spans="2:13" ht="15" thickBot="1">
      <c r="B8" s="52" t="s">
        <v>12</v>
      </c>
      <c r="C8" s="32">
        <f>'MOU '!C26</f>
        <v>34.236336067679993</v>
      </c>
      <c r="D8" s="32">
        <v>48.5</v>
      </c>
      <c r="E8" s="31">
        <f>((C8/10*12))/D8*100</f>
        <v>84.708460373641202</v>
      </c>
      <c r="F8" s="25">
        <f>C8/9</f>
        <v>3.8040373408533323</v>
      </c>
      <c r="G8" s="24">
        <f>F8*12</f>
        <v>45.648448090239988</v>
      </c>
      <c r="H8" s="24">
        <f>G8/D8*100</f>
        <v>94.120511526268018</v>
      </c>
      <c r="I8" s="23"/>
      <c r="J8" s="25">
        <f t="shared" si="1"/>
        <v>169.4169207472824</v>
      </c>
      <c r="K8" s="24">
        <f t="shared" si="2"/>
        <v>-75.296409221014386</v>
      </c>
      <c r="L8" s="23"/>
      <c r="M8" s="23"/>
    </row>
    <row r="9" spans="2:13" ht="15" thickBot="1">
      <c r="B9" s="52" t="s">
        <v>10</v>
      </c>
      <c r="C9" s="29">
        <f>'MOU '!C5</f>
        <v>5243.0289495159559</v>
      </c>
      <c r="D9" s="29">
        <v>6600</v>
      </c>
      <c r="E9" s="31">
        <f>((C9/10*12))/D9*100</f>
        <v>95.327799082108285</v>
      </c>
      <c r="F9" s="23">
        <f>C9/9</f>
        <v>582.55877216843953</v>
      </c>
      <c r="G9" s="23">
        <f>F9*12</f>
        <v>6990.7052660212739</v>
      </c>
      <c r="H9" s="25">
        <f>G9/D9*100</f>
        <v>105.91977675789809</v>
      </c>
      <c r="I9" s="23"/>
      <c r="J9" s="23"/>
      <c r="K9" s="23"/>
      <c r="L9" s="23"/>
      <c r="M9" s="23"/>
    </row>
    <row r="10" spans="2:13" ht="15" thickBot="1">
      <c r="B10" s="52" t="s">
        <v>166</v>
      </c>
      <c r="C10" s="29">
        <f>'MOU '!C6</f>
        <v>1524.4322368996545</v>
      </c>
      <c r="D10" s="29">
        <v>1600</v>
      </c>
      <c r="E10" s="31">
        <f>I10</f>
        <v>76.629897537278538</v>
      </c>
      <c r="F10" s="26">
        <f>'Financial Highlights'!C6</f>
        <v>1276.6477031032</v>
      </c>
      <c r="G10" s="27">
        <f>C10-F10</f>
        <v>247.78453379645453</v>
      </c>
      <c r="H10" s="27">
        <f>D10-F10</f>
        <v>323.3522968968</v>
      </c>
      <c r="I10" s="25">
        <f>G10/H10*100</f>
        <v>76.629897537278538</v>
      </c>
      <c r="J10" s="23"/>
      <c r="K10" s="23"/>
      <c r="L10" s="23"/>
      <c r="M10" s="23"/>
    </row>
    <row r="11" spans="2:13">
      <c r="F11" s="23"/>
      <c r="G11" s="23"/>
      <c r="H11" s="23"/>
      <c r="I11" s="23"/>
      <c r="J11" s="23"/>
      <c r="K11" s="23"/>
      <c r="L11" s="23"/>
      <c r="M11" s="23"/>
    </row>
    <row r="12" spans="2:13">
      <c r="F12" s="23"/>
      <c r="G12" s="23"/>
      <c r="H12" s="23">
        <v>100</v>
      </c>
      <c r="I12" s="23"/>
      <c r="J12" s="23"/>
      <c r="K12" s="23"/>
      <c r="L12" s="23"/>
      <c r="M12" s="23"/>
    </row>
    <row r="13" spans="2:13">
      <c r="F13" s="23"/>
      <c r="G13" s="23"/>
      <c r="H13" s="24">
        <f>H9-H12</f>
        <v>5.9197767578980915</v>
      </c>
      <c r="I13" s="23"/>
      <c r="J13" s="23"/>
      <c r="K13" s="23"/>
      <c r="L13" s="23"/>
      <c r="M13" s="23"/>
    </row>
    <row r="14" spans="2:13">
      <c r="F14" s="23"/>
      <c r="G14" s="23"/>
      <c r="H14" s="23"/>
      <c r="I14" s="23"/>
      <c r="J14" s="23"/>
      <c r="K14" s="23"/>
      <c r="L14" s="23"/>
      <c r="M14" s="23"/>
    </row>
    <row r="15" spans="2:13">
      <c r="F15" s="23"/>
      <c r="G15" s="23"/>
      <c r="H15" s="23"/>
      <c r="I15" s="23"/>
      <c r="J15" s="23"/>
      <c r="K15" s="23"/>
      <c r="L15" s="23"/>
      <c r="M15" s="23"/>
    </row>
    <row r="16" spans="2:13">
      <c r="F16" s="23"/>
      <c r="G16" s="23"/>
      <c r="H16" s="23"/>
      <c r="I16" s="23"/>
      <c r="J16" s="23"/>
      <c r="K16" s="23"/>
      <c r="L16" s="23"/>
      <c r="M16" s="23"/>
    </row>
  </sheetData>
  <mergeCells count="5">
    <mergeCell ref="B3:B4"/>
    <mergeCell ref="C3:C4"/>
    <mergeCell ref="D3:D4"/>
    <mergeCell ref="E3:E4"/>
    <mergeCell ref="B1:E1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369"/>
  <sheetViews>
    <sheetView zoomScale="80" zoomScaleNormal="80" workbookViewId="0">
      <pane xSplit="1" topLeftCell="AM22" activePane="topRight" state="frozen"/>
      <selection pane="topRight" activeCell="AM22" sqref="AM22"/>
    </sheetView>
  </sheetViews>
  <sheetFormatPr defaultColWidth="9" defaultRowHeight="14.45"/>
  <cols>
    <col min="1" max="1" width="51.28515625" style="85" bestFit="1" customWidth="1"/>
    <col min="2" max="23" width="19.42578125" style="85" bestFit="1" customWidth="1"/>
    <col min="24" max="26" width="22.5703125" style="85" bestFit="1" customWidth="1"/>
    <col min="27" max="28" width="23" style="85" bestFit="1" customWidth="1"/>
    <col min="29" max="29" width="23.42578125" style="85" bestFit="1" customWidth="1"/>
    <col min="30" max="30" width="19.85546875" style="85" bestFit="1" customWidth="1"/>
    <col min="31" max="32" width="19.5703125" style="85" bestFit="1" customWidth="1"/>
    <col min="33" max="33" width="18.42578125" style="85" bestFit="1" customWidth="1"/>
    <col min="34" max="34" width="19.7109375" style="85" customWidth="1"/>
    <col min="35" max="35" width="18.7109375" style="85" bestFit="1" customWidth="1"/>
    <col min="36" max="36" width="10" style="85" bestFit="1" customWidth="1"/>
    <col min="37" max="37" width="20.42578125" style="85" bestFit="1" customWidth="1"/>
    <col min="38" max="38" width="16.5703125" style="85" bestFit="1" customWidth="1"/>
    <col min="39" max="39" width="9.42578125" style="85" bestFit="1" customWidth="1"/>
    <col min="40" max="40" width="5.28515625" style="85" bestFit="1" customWidth="1"/>
    <col min="41" max="41" width="16.7109375" style="85" bestFit="1" customWidth="1"/>
    <col min="42" max="42" width="9" style="85"/>
    <col min="43" max="43" width="15.42578125" style="85" bestFit="1" customWidth="1"/>
    <col min="44" max="44" width="14" style="85" bestFit="1" customWidth="1"/>
    <col min="45" max="16384" width="9" style="85"/>
  </cols>
  <sheetData>
    <row r="1" spans="1:44">
      <c r="G1" s="86"/>
      <c r="L1" s="86"/>
      <c r="N1" s="86"/>
      <c r="O1" s="86"/>
      <c r="U1" s="86"/>
      <c r="AA1" s="86"/>
      <c r="AB1" s="86"/>
      <c r="AQ1" s="86"/>
    </row>
    <row r="2" spans="1:44" s="89" customFormat="1">
      <c r="A2" s="87" t="s">
        <v>167</v>
      </c>
      <c r="B2" s="88">
        <v>45016</v>
      </c>
      <c r="C2" s="88">
        <v>45017</v>
      </c>
      <c r="D2" s="88">
        <f t="shared" ref="D2:AF2" si="0">C2+1</f>
        <v>45018</v>
      </c>
      <c r="E2" s="88">
        <f t="shared" si="0"/>
        <v>45019</v>
      </c>
      <c r="F2" s="88">
        <f t="shared" si="0"/>
        <v>45020</v>
      </c>
      <c r="G2" s="88">
        <f t="shared" si="0"/>
        <v>45021</v>
      </c>
      <c r="H2" s="88">
        <f t="shared" si="0"/>
        <v>45022</v>
      </c>
      <c r="I2" s="88">
        <f t="shared" si="0"/>
        <v>45023</v>
      </c>
      <c r="J2" s="88">
        <f t="shared" si="0"/>
        <v>45024</v>
      </c>
      <c r="K2" s="88">
        <f t="shared" si="0"/>
        <v>45025</v>
      </c>
      <c r="L2" s="88">
        <f t="shared" si="0"/>
        <v>45026</v>
      </c>
      <c r="M2" s="88">
        <f t="shared" si="0"/>
        <v>45027</v>
      </c>
      <c r="N2" s="88">
        <f t="shared" si="0"/>
        <v>45028</v>
      </c>
      <c r="O2" s="88">
        <f t="shared" si="0"/>
        <v>45029</v>
      </c>
      <c r="P2" s="88">
        <f t="shared" si="0"/>
        <v>45030</v>
      </c>
      <c r="Q2" s="88">
        <f t="shared" si="0"/>
        <v>45031</v>
      </c>
      <c r="R2" s="88">
        <f t="shared" si="0"/>
        <v>45032</v>
      </c>
      <c r="S2" s="88">
        <f t="shared" si="0"/>
        <v>45033</v>
      </c>
      <c r="T2" s="88">
        <f t="shared" si="0"/>
        <v>45034</v>
      </c>
      <c r="U2" s="88">
        <f t="shared" si="0"/>
        <v>45035</v>
      </c>
      <c r="V2" s="88">
        <f t="shared" si="0"/>
        <v>45036</v>
      </c>
      <c r="W2" s="88">
        <f t="shared" si="0"/>
        <v>45037</v>
      </c>
      <c r="X2" s="88">
        <f t="shared" si="0"/>
        <v>45038</v>
      </c>
      <c r="Y2" s="88">
        <f t="shared" si="0"/>
        <v>45039</v>
      </c>
      <c r="Z2" s="88">
        <f t="shared" si="0"/>
        <v>45040</v>
      </c>
      <c r="AA2" s="88">
        <f t="shared" si="0"/>
        <v>45041</v>
      </c>
      <c r="AB2" s="88">
        <f t="shared" si="0"/>
        <v>45042</v>
      </c>
      <c r="AC2" s="88">
        <f t="shared" si="0"/>
        <v>45043</v>
      </c>
      <c r="AD2" s="88">
        <f t="shared" si="0"/>
        <v>45044</v>
      </c>
      <c r="AE2" s="88">
        <f t="shared" si="0"/>
        <v>45045</v>
      </c>
      <c r="AF2" s="88">
        <f t="shared" si="0"/>
        <v>45046</v>
      </c>
      <c r="AG2" s="88"/>
      <c r="AL2" s="90"/>
      <c r="AM2" s="90"/>
    </row>
    <row r="3" spans="1:44" s="89" customFormat="1">
      <c r="A3" s="91" t="s">
        <v>168</v>
      </c>
      <c r="B3" s="92" t="s">
        <v>169</v>
      </c>
      <c r="C3" s="92" t="s">
        <v>169</v>
      </c>
      <c r="D3" s="92" t="s">
        <v>169</v>
      </c>
      <c r="E3" s="92" t="s">
        <v>169</v>
      </c>
      <c r="F3" s="92" t="s">
        <v>169</v>
      </c>
      <c r="G3" s="92" t="s">
        <v>169</v>
      </c>
      <c r="H3" s="92" t="s">
        <v>169</v>
      </c>
      <c r="I3" s="92" t="s">
        <v>169</v>
      </c>
      <c r="J3" s="92" t="s">
        <v>169</v>
      </c>
      <c r="K3" s="92" t="s">
        <v>169</v>
      </c>
      <c r="L3" s="92" t="s">
        <v>169</v>
      </c>
      <c r="M3" s="92" t="s">
        <v>169</v>
      </c>
      <c r="N3" s="92" t="s">
        <v>169</v>
      </c>
      <c r="O3" s="92" t="s">
        <v>169</v>
      </c>
      <c r="P3" s="92" t="s">
        <v>169</v>
      </c>
      <c r="Q3" s="92" t="s">
        <v>169</v>
      </c>
      <c r="R3" s="92" t="s">
        <v>169</v>
      </c>
      <c r="S3" s="92" t="s">
        <v>169</v>
      </c>
      <c r="T3" s="92" t="s">
        <v>169</v>
      </c>
      <c r="U3" s="92" t="s">
        <v>169</v>
      </c>
      <c r="V3" s="92" t="s">
        <v>169</v>
      </c>
      <c r="W3" s="92" t="s">
        <v>169</v>
      </c>
      <c r="X3" s="92" t="s">
        <v>169</v>
      </c>
      <c r="Y3" s="92" t="s">
        <v>169</v>
      </c>
      <c r="Z3" s="92" t="s">
        <v>169</v>
      </c>
      <c r="AA3" s="92" t="s">
        <v>169</v>
      </c>
      <c r="AB3" s="92" t="s">
        <v>169</v>
      </c>
      <c r="AC3" s="92" t="s">
        <v>169</v>
      </c>
      <c r="AD3" s="92" t="s">
        <v>169</v>
      </c>
      <c r="AE3" s="92" t="s">
        <v>169</v>
      </c>
      <c r="AF3" s="92" t="s">
        <v>169</v>
      </c>
      <c r="AG3" s="92" t="s">
        <v>169</v>
      </c>
      <c r="AH3" s="93" t="s">
        <v>170</v>
      </c>
      <c r="AI3" s="93" t="s">
        <v>171</v>
      </c>
      <c r="AK3" s="92" t="s">
        <v>172</v>
      </c>
      <c r="AL3" s="92" t="s">
        <v>173</v>
      </c>
      <c r="AM3" s="92" t="s">
        <v>174</v>
      </c>
      <c r="AO3" s="94" t="s">
        <v>175</v>
      </c>
    </row>
    <row r="4" spans="1:44">
      <c r="A4" s="95" t="s">
        <v>176</v>
      </c>
      <c r="B4" s="96">
        <v>4074654179.23</v>
      </c>
      <c r="C4" s="96">
        <v>4074654179.23</v>
      </c>
      <c r="D4" s="96">
        <v>4074654179.23</v>
      </c>
      <c r="E4" s="96">
        <v>4166296665.23</v>
      </c>
      <c r="F4" s="96">
        <v>4166296665.23</v>
      </c>
      <c r="G4" s="96">
        <v>4214259337.3499999</v>
      </c>
      <c r="H4" s="96">
        <v>4239287299.1600003</v>
      </c>
      <c r="I4" s="96">
        <v>4239287299.1600003</v>
      </c>
      <c r="J4" s="96">
        <v>4239287299.1600003</v>
      </c>
      <c r="K4" s="96">
        <v>4239287299.1600003</v>
      </c>
      <c r="L4" s="96">
        <v>4259115982.5100002</v>
      </c>
      <c r="M4" s="96">
        <v>4337929573.9899998</v>
      </c>
      <c r="N4" s="96">
        <v>4316033289.9700003</v>
      </c>
      <c r="O4" s="96">
        <v>4346053910.3900003</v>
      </c>
      <c r="P4" s="96">
        <v>4346053910.3900003</v>
      </c>
      <c r="Q4" s="96">
        <v>4346053910.3900003</v>
      </c>
      <c r="R4" s="96">
        <v>4346053910.3900003</v>
      </c>
      <c r="S4" s="96">
        <v>4230387642.9500003</v>
      </c>
      <c r="T4" s="96">
        <v>4250681303.0500002</v>
      </c>
      <c r="U4" s="96">
        <v>4253751079.8400002</v>
      </c>
      <c r="V4" s="96">
        <v>4239545573.8299999</v>
      </c>
      <c r="W4" s="96">
        <v>4229399115.5900002</v>
      </c>
      <c r="X4" s="96">
        <v>4229399115.5900002</v>
      </c>
      <c r="Y4" s="96">
        <v>4229399115.5900002</v>
      </c>
      <c r="Z4" s="96">
        <v>4233683734.1600003</v>
      </c>
      <c r="AA4" s="96">
        <v>4181347676.7800002</v>
      </c>
      <c r="AB4" s="96">
        <v>4172823774.23</v>
      </c>
      <c r="AC4" s="96">
        <v>4177185938.4300003</v>
      </c>
      <c r="AD4" s="96">
        <v>4206065017.2400002</v>
      </c>
      <c r="AE4" s="96">
        <v>4206065017.2400002</v>
      </c>
      <c r="AF4" s="96">
        <v>4030235664.9300003</v>
      </c>
      <c r="AG4" s="96"/>
      <c r="AH4" s="97">
        <f>AVERAGE(B4:AG4)</f>
        <v>4222426730.9554839</v>
      </c>
      <c r="AI4" s="97">
        <f>AO4</f>
        <v>38777899.161412999</v>
      </c>
      <c r="AJ4" s="98" t="s">
        <v>177</v>
      </c>
      <c r="AK4" s="97">
        <f>+AH4</f>
        <v>4222426730.9554839</v>
      </c>
      <c r="AL4" s="97">
        <f>+AI4</f>
        <v>38777899.161412999</v>
      </c>
      <c r="AM4" s="99">
        <f t="shared" ref="AM4" si="1">+AL4/AK4*366/30</f>
        <v>0.11204229224415316</v>
      </c>
      <c r="AO4" s="97">
        <v>38777899.161412999</v>
      </c>
    </row>
    <row r="5" spans="1:44">
      <c r="A5" s="100" t="s">
        <v>178</v>
      </c>
      <c r="B5" s="96">
        <v>2005310785.7779679</v>
      </c>
      <c r="C5" s="96">
        <v>2005310785.7779679</v>
      </c>
      <c r="D5" s="96">
        <v>2005310785.7779679</v>
      </c>
      <c r="E5" s="96">
        <v>1999023555.1000001</v>
      </c>
      <c r="F5" s="96">
        <v>1999023555.1000001</v>
      </c>
      <c r="G5" s="96">
        <v>1999023555.1000001</v>
      </c>
      <c r="H5" s="96">
        <v>1999023555.1000001</v>
      </c>
      <c r="I5" s="96">
        <v>1999023555.1000001</v>
      </c>
      <c r="J5" s="96">
        <v>1999023555.1000001</v>
      </c>
      <c r="K5" s="96">
        <v>1999023555.1000001</v>
      </c>
      <c r="L5" s="96">
        <v>1999023555.1000001</v>
      </c>
      <c r="M5" s="96">
        <v>1999023555.1000001</v>
      </c>
      <c r="N5" s="96">
        <v>1999023555.1000001</v>
      </c>
      <c r="O5" s="96">
        <v>1999023555.1000001</v>
      </c>
      <c r="P5" s="96">
        <v>1999023555.1000001</v>
      </c>
      <c r="Q5" s="96">
        <v>1999023555.1000001</v>
      </c>
      <c r="R5" s="96">
        <v>1999023555.1000001</v>
      </c>
      <c r="S5" s="96">
        <v>1987683534.4000001</v>
      </c>
      <c r="T5" s="96">
        <v>1666005503.8</v>
      </c>
      <c r="U5" s="96">
        <v>1655092518.95</v>
      </c>
      <c r="V5" s="96">
        <v>1655092518.95</v>
      </c>
      <c r="W5" s="96">
        <v>1655092518.95</v>
      </c>
      <c r="X5" s="96">
        <v>1655092518.95</v>
      </c>
      <c r="Y5" s="96">
        <v>1655092518.95</v>
      </c>
      <c r="Z5" s="96">
        <v>1655092518.95</v>
      </c>
      <c r="AA5" s="96">
        <v>1655092518.95</v>
      </c>
      <c r="AB5" s="96">
        <v>1655092518.95</v>
      </c>
      <c r="AC5" s="96">
        <v>1655092518.95</v>
      </c>
      <c r="AD5" s="96">
        <v>1655092518.95</v>
      </c>
      <c r="AE5" s="96">
        <v>1655092518.95</v>
      </c>
      <c r="AF5" s="96">
        <v>1661369614.5148051</v>
      </c>
      <c r="AG5" s="96"/>
      <c r="AH5" s="97">
        <f>AVERAGE(B5:AG5)</f>
        <v>1855591564.1902797</v>
      </c>
      <c r="AI5" s="97">
        <f>AO5</f>
        <v>16092596.425999999</v>
      </c>
      <c r="AJ5" s="98" t="s">
        <v>179</v>
      </c>
      <c r="AK5" s="101">
        <f>+AH8</f>
        <v>593414638.97258043</v>
      </c>
      <c r="AL5" s="101">
        <f>+AI8</f>
        <v>5113888.8800841095</v>
      </c>
      <c r="AM5" s="99">
        <f>+AL5/AK5*366/30</f>
        <v>0.10513634184192908</v>
      </c>
      <c r="AO5" s="102">
        <v>16092596.425999999</v>
      </c>
      <c r="AP5" s="103"/>
    </row>
    <row r="6" spans="1:44">
      <c r="A6" s="100" t="s">
        <v>180</v>
      </c>
      <c r="B6" s="96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6">
        <v>0</v>
      </c>
      <c r="AG6" s="96"/>
      <c r="AH6" s="97">
        <f>AVERAGE(B6:AG6)</f>
        <v>0</v>
      </c>
      <c r="AI6" s="97">
        <f>AO6</f>
        <v>0</v>
      </c>
      <c r="AJ6" s="98" t="s">
        <v>181</v>
      </c>
      <c r="AK6" s="101">
        <f>AH6</f>
        <v>0</v>
      </c>
      <c r="AL6" s="101">
        <f>AI6</f>
        <v>0</v>
      </c>
      <c r="AM6" s="99" t="e">
        <f>+AL6/AK6*366/30</f>
        <v>#DIV/0!</v>
      </c>
      <c r="AO6" s="97">
        <v>0</v>
      </c>
    </row>
    <row r="7" spans="1:44">
      <c r="A7" s="100" t="s">
        <v>182</v>
      </c>
      <c r="B7" s="96">
        <v>608804439.03999996</v>
      </c>
      <c r="C7" s="96">
        <v>608804439.03999996</v>
      </c>
      <c r="D7" s="96">
        <v>608804439.03999996</v>
      </c>
      <c r="E7" s="96">
        <v>616723795.44000006</v>
      </c>
      <c r="F7" s="96">
        <v>616723795.44000006</v>
      </c>
      <c r="G7" s="96">
        <v>615922328.23000002</v>
      </c>
      <c r="H7" s="96">
        <v>553397501.99000001</v>
      </c>
      <c r="I7" s="96">
        <v>553397501.99000001</v>
      </c>
      <c r="J7" s="96">
        <v>553397501.99000001</v>
      </c>
      <c r="K7" s="96">
        <v>553397501.99000001</v>
      </c>
      <c r="L7" s="96">
        <v>542803922.68000007</v>
      </c>
      <c r="M7" s="96">
        <v>532493611.19999999</v>
      </c>
      <c r="N7" s="96">
        <v>535398993.92000002</v>
      </c>
      <c r="O7" s="96">
        <v>538450385.64999998</v>
      </c>
      <c r="P7" s="96">
        <v>538450385.64999998</v>
      </c>
      <c r="Q7" s="96">
        <v>538450385.64999998</v>
      </c>
      <c r="R7" s="96">
        <v>538450385.64999998</v>
      </c>
      <c r="S7" s="96">
        <v>564448557.33000004</v>
      </c>
      <c r="T7" s="96">
        <v>562267347.12</v>
      </c>
      <c r="U7" s="96">
        <v>566731983.41999996</v>
      </c>
      <c r="V7" s="96">
        <v>586168596.01999998</v>
      </c>
      <c r="W7" s="96">
        <v>595287032.68000007</v>
      </c>
      <c r="X7" s="96">
        <v>595287032.68000007</v>
      </c>
      <c r="Y7" s="96">
        <v>595287032.68000007</v>
      </c>
      <c r="Z7" s="96">
        <v>605277060.68000007</v>
      </c>
      <c r="AA7" s="96">
        <v>560438402.90999997</v>
      </c>
      <c r="AB7" s="96">
        <v>558575025.21000004</v>
      </c>
      <c r="AC7" s="96">
        <v>553028879.38999999</v>
      </c>
      <c r="AD7" s="96">
        <v>556347637.45000005</v>
      </c>
      <c r="AE7" s="96">
        <v>556347637.45000005</v>
      </c>
      <c r="AF7" s="96">
        <v>531264344.20000005</v>
      </c>
      <c r="AG7" s="96"/>
      <c r="AH7" s="97">
        <f t="shared" ref="AH7:AH12" si="2">AVERAGE(B7:AG7)</f>
        <v>569052512.38096774</v>
      </c>
      <c r="AI7" s="97">
        <f>+AO7</f>
        <v>3748656.4573962055</v>
      </c>
      <c r="AJ7" s="98" t="s">
        <v>144</v>
      </c>
      <c r="AK7" s="101">
        <f>+AH7</f>
        <v>569052512.38096774</v>
      </c>
      <c r="AL7" s="101">
        <f>+AI7</f>
        <v>3748656.4573962055</v>
      </c>
      <c r="AM7" s="99">
        <f>+AL7/AK7*366/30</f>
        <v>8.0367993788271141E-2</v>
      </c>
      <c r="AO7" s="97">
        <v>3748656.4573962055</v>
      </c>
    </row>
    <row r="8" spans="1:44">
      <c r="A8" s="100" t="s">
        <v>143</v>
      </c>
      <c r="B8" s="96">
        <v>615865850.44999981</v>
      </c>
      <c r="C8" s="96">
        <v>615865850.44999981</v>
      </c>
      <c r="D8" s="96">
        <v>615865850.44999981</v>
      </c>
      <c r="E8" s="96">
        <v>647714585.14999962</v>
      </c>
      <c r="F8" s="96">
        <v>647714585.14999962</v>
      </c>
      <c r="G8" s="96">
        <v>586388404.82999992</v>
      </c>
      <c r="H8" s="96">
        <v>594995434.84999943</v>
      </c>
      <c r="I8" s="96">
        <v>594995434.84999943</v>
      </c>
      <c r="J8" s="96">
        <v>594995434.84999943</v>
      </c>
      <c r="K8" s="96">
        <v>594995434.84999943</v>
      </c>
      <c r="L8" s="96">
        <v>592990403.63999939</v>
      </c>
      <c r="M8" s="96">
        <v>592970793.03000021</v>
      </c>
      <c r="N8" s="96">
        <v>591875448.78000021</v>
      </c>
      <c r="O8" s="96">
        <v>592631648.82999992</v>
      </c>
      <c r="P8" s="96">
        <v>592631648.82999992</v>
      </c>
      <c r="Q8" s="96">
        <v>592631648.82999992</v>
      </c>
      <c r="R8" s="96">
        <v>592631648.82999992</v>
      </c>
      <c r="S8" s="96">
        <v>591471714.03999996</v>
      </c>
      <c r="T8" s="96">
        <v>597304161.45999956</v>
      </c>
      <c r="U8" s="96">
        <v>597305341.13999987</v>
      </c>
      <c r="V8" s="96">
        <v>598152937.14000034</v>
      </c>
      <c r="W8" s="96">
        <v>580378580.97999954</v>
      </c>
      <c r="X8" s="96">
        <v>580378580.97999954</v>
      </c>
      <c r="Y8" s="96">
        <v>580378580.97999954</v>
      </c>
      <c r="Z8" s="96">
        <v>582984434.31999969</v>
      </c>
      <c r="AA8" s="96">
        <v>582985613.73999977</v>
      </c>
      <c r="AB8" s="96">
        <v>578946793.73999977</v>
      </c>
      <c r="AC8" s="96">
        <v>578946793.73999977</v>
      </c>
      <c r="AD8" s="96">
        <v>573050451.07999992</v>
      </c>
      <c r="AE8" s="96">
        <v>573050451.07999992</v>
      </c>
      <c r="AF8" s="96">
        <v>542759267.07999992</v>
      </c>
      <c r="AG8" s="96"/>
      <c r="AH8" s="97">
        <f t="shared" si="2"/>
        <v>593414638.97258043</v>
      </c>
      <c r="AI8" s="97">
        <f>+AO8</f>
        <v>5113888.8800841095</v>
      </c>
      <c r="AJ8" s="98" t="s">
        <v>183</v>
      </c>
      <c r="AK8" s="101">
        <f>+AH10+AH11+AH12</f>
        <v>563041718.43296838</v>
      </c>
      <c r="AL8" s="101">
        <f>+AI10+AI11+AI12</f>
        <v>3373633.6811000002</v>
      </c>
      <c r="AM8" s="99">
        <f>+AL8/AK8*366/30</f>
        <v>7.3099966773279193E-2</v>
      </c>
      <c r="AO8" s="97">
        <v>5113888.8800841095</v>
      </c>
    </row>
    <row r="9" spans="1:44">
      <c r="A9" s="100" t="s">
        <v>184</v>
      </c>
      <c r="B9" s="96">
        <v>4541811728.5200005</v>
      </c>
      <c r="C9" s="96">
        <v>4541811728.5200005</v>
      </c>
      <c r="D9" s="96">
        <v>4541811728.5200005</v>
      </c>
      <c r="E9" s="96">
        <v>4574646037.71</v>
      </c>
      <c r="F9" s="96">
        <v>4574646037.71</v>
      </c>
      <c r="G9" s="96">
        <v>4356112285.3299999</v>
      </c>
      <c r="H9" s="96">
        <v>4387358847.2700005</v>
      </c>
      <c r="I9" s="96">
        <v>4387358847.2700005</v>
      </c>
      <c r="J9" s="96">
        <v>4387358847.2700005</v>
      </c>
      <c r="K9" s="96">
        <v>4387358847.2700005</v>
      </c>
      <c r="L9" s="96">
        <v>4257564497.4700003</v>
      </c>
      <c r="M9" s="96">
        <v>4278299015.8600001</v>
      </c>
      <c r="N9" s="96">
        <v>4288280454.4000001</v>
      </c>
      <c r="O9" s="96">
        <v>4203298103.3299999</v>
      </c>
      <c r="P9" s="96">
        <v>4203298103.3299999</v>
      </c>
      <c r="Q9" s="96">
        <v>4203298103.3299999</v>
      </c>
      <c r="R9" s="96">
        <v>4203298103.3299999</v>
      </c>
      <c r="S9" s="96">
        <v>4182422120.8800001</v>
      </c>
      <c r="T9" s="96">
        <v>4155181210.3600001</v>
      </c>
      <c r="U9" s="96">
        <v>4181367206.6399999</v>
      </c>
      <c r="V9" s="96">
        <v>4276354871.96</v>
      </c>
      <c r="W9" s="96">
        <v>4348572189.8100004</v>
      </c>
      <c r="X9" s="96">
        <v>4348572189.8100004</v>
      </c>
      <c r="Y9" s="96">
        <v>4348572189.8100004</v>
      </c>
      <c r="Z9" s="96">
        <v>4431930579.0600004</v>
      </c>
      <c r="AA9" s="96">
        <v>4400922962.71</v>
      </c>
      <c r="AB9" s="96">
        <v>4397707075.0200005</v>
      </c>
      <c r="AC9" s="96">
        <v>4354254765</v>
      </c>
      <c r="AD9" s="96">
        <v>4360682835.5200005</v>
      </c>
      <c r="AE9" s="96">
        <v>4360682835.5200005</v>
      </c>
      <c r="AF9" s="96">
        <v>4412496220.9300003</v>
      </c>
      <c r="AG9" s="96"/>
      <c r="AH9" s="97">
        <f t="shared" si="2"/>
        <v>4350881631.2732267</v>
      </c>
      <c r="AI9" s="97">
        <f>+AO9</f>
        <v>31250265.80026482</v>
      </c>
      <c r="AJ9" s="98" t="s">
        <v>142</v>
      </c>
      <c r="AK9" s="101">
        <f>AH9</f>
        <v>4350881631.2732267</v>
      </c>
      <c r="AL9" s="101">
        <f>AI9</f>
        <v>31250265.80026482</v>
      </c>
      <c r="AM9" s="99">
        <f>+AL9/AK9*366/30</f>
        <v>8.7626663989859493E-2</v>
      </c>
      <c r="AO9" s="97">
        <v>31250265.80026482</v>
      </c>
    </row>
    <row r="10" spans="1:44">
      <c r="A10" s="100" t="s">
        <v>185</v>
      </c>
      <c r="B10" s="96">
        <v>572984994.83407485</v>
      </c>
      <c r="C10" s="96">
        <v>572984994.83407485</v>
      </c>
      <c r="D10" s="96">
        <v>572984994.83407485</v>
      </c>
      <c r="E10" s="96">
        <v>581294608.50762486</v>
      </c>
      <c r="F10" s="96">
        <v>581294608.50762486</v>
      </c>
      <c r="G10" s="96">
        <v>534833339.28097492</v>
      </c>
      <c r="H10" s="96">
        <v>527318506.71402484</v>
      </c>
      <c r="I10" s="96">
        <v>527318506.71402484</v>
      </c>
      <c r="J10" s="96">
        <v>527318506.71402484</v>
      </c>
      <c r="K10" s="96">
        <v>527318506.71402484</v>
      </c>
      <c r="L10" s="96">
        <v>529684010.10042495</v>
      </c>
      <c r="M10" s="96">
        <v>540953969.82519996</v>
      </c>
      <c r="N10" s="96">
        <v>570685612.59122503</v>
      </c>
      <c r="O10" s="96">
        <v>567971703.58232498</v>
      </c>
      <c r="P10" s="96">
        <v>567971703.58232498</v>
      </c>
      <c r="Q10" s="96">
        <v>567971703.58232498</v>
      </c>
      <c r="R10" s="96">
        <v>567971703.58232498</v>
      </c>
      <c r="S10" s="96">
        <v>563179094.76617491</v>
      </c>
      <c r="T10" s="96">
        <v>570151372.90887499</v>
      </c>
      <c r="U10" s="96">
        <v>573086919.16647506</v>
      </c>
      <c r="V10" s="96">
        <v>581394011.176175</v>
      </c>
      <c r="W10" s="96">
        <v>566271418.18984997</v>
      </c>
      <c r="X10" s="96">
        <v>566271418.18984997</v>
      </c>
      <c r="Y10" s="96">
        <v>566271418.18984997</v>
      </c>
      <c r="Z10" s="96">
        <v>568882870.35514998</v>
      </c>
      <c r="AA10" s="96">
        <v>594750451.60939991</v>
      </c>
      <c r="AB10" s="96">
        <v>585823690.15699995</v>
      </c>
      <c r="AC10" s="96">
        <v>582929403.21017504</v>
      </c>
      <c r="AD10" s="96">
        <v>580360718.0853498</v>
      </c>
      <c r="AE10" s="96">
        <v>580360718.0853498</v>
      </c>
      <c r="AF10" s="96">
        <v>535697792.83164978</v>
      </c>
      <c r="AG10" s="96"/>
      <c r="AH10" s="97">
        <f t="shared" si="2"/>
        <v>563041718.43296838</v>
      </c>
      <c r="AI10" s="97">
        <f>AO10</f>
        <v>3373633.6811000002</v>
      </c>
      <c r="AJ10" s="98" t="s">
        <v>186</v>
      </c>
      <c r="AK10" s="101">
        <v>0</v>
      </c>
      <c r="AL10" s="101">
        <v>0</v>
      </c>
      <c r="AM10" s="99"/>
      <c r="AO10" s="101">
        <v>3373633.6811000002</v>
      </c>
    </row>
    <row r="11" spans="1:44">
      <c r="A11" s="100" t="s">
        <v>187</v>
      </c>
      <c r="B11" s="96">
        <v>0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6">
        <v>0</v>
      </c>
      <c r="AG11" s="96"/>
      <c r="AH11" s="97">
        <f t="shared" si="2"/>
        <v>0</v>
      </c>
      <c r="AI11" s="97">
        <f>AO11</f>
        <v>0</v>
      </c>
      <c r="AJ11" s="98" t="s">
        <v>145</v>
      </c>
      <c r="AK11" s="101">
        <f>AH5</f>
        <v>1855591564.1902797</v>
      </c>
      <c r="AL11" s="101">
        <f>AI5</f>
        <v>16092596.425999999</v>
      </c>
      <c r="AM11" s="99">
        <f>+AL11/AK11*366/30</f>
        <v>0.10580435920599367</v>
      </c>
      <c r="AO11" s="101">
        <v>0</v>
      </c>
    </row>
    <row r="12" spans="1:44">
      <c r="A12" s="100" t="s">
        <v>188</v>
      </c>
      <c r="B12" s="96">
        <v>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6">
        <v>0</v>
      </c>
      <c r="AG12" s="96"/>
      <c r="AH12" s="97">
        <f t="shared" si="2"/>
        <v>0</v>
      </c>
      <c r="AI12" s="97">
        <f>+AO12</f>
        <v>0</v>
      </c>
      <c r="AK12" s="101"/>
      <c r="AL12" s="101"/>
      <c r="AM12" s="99"/>
      <c r="AO12" s="101">
        <v>0</v>
      </c>
    </row>
    <row r="13" spans="1:44">
      <c r="A13" s="100" t="s">
        <v>189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96"/>
      <c r="AA13" s="96"/>
      <c r="AB13" s="96"/>
      <c r="AC13" s="96"/>
      <c r="AD13" s="96"/>
      <c r="AE13" s="96"/>
      <c r="AF13" s="96"/>
      <c r="AG13" s="96"/>
      <c r="AH13" s="97">
        <v>359542812.63</v>
      </c>
      <c r="AI13" s="97"/>
      <c r="AK13" s="101"/>
      <c r="AL13" s="101"/>
      <c r="AM13" s="99"/>
      <c r="AO13" s="101"/>
    </row>
    <row r="14" spans="1:44">
      <c r="A14" s="100" t="s">
        <v>190</v>
      </c>
      <c r="B14" s="96">
        <v>0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96">
        <v>0</v>
      </c>
      <c r="AA14" s="96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/>
      <c r="AH14" s="97">
        <f>AVERAGE(B14:AG14)</f>
        <v>0</v>
      </c>
      <c r="AI14" s="97">
        <v>0</v>
      </c>
      <c r="AK14" s="101"/>
      <c r="AL14" s="101"/>
      <c r="AM14" s="99"/>
      <c r="AO14" s="101">
        <v>0</v>
      </c>
    </row>
    <row r="15" spans="1:44">
      <c r="A15" s="105"/>
      <c r="B15" s="105"/>
      <c r="C15" s="105"/>
      <c r="D15" s="105"/>
      <c r="E15" s="105"/>
      <c r="F15" s="105"/>
      <c r="G15" s="105"/>
      <c r="H15" s="96"/>
      <c r="I15" s="96"/>
      <c r="J15" s="96"/>
      <c r="K15" s="96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K15" s="105"/>
      <c r="AL15" s="105"/>
      <c r="AM15" s="106"/>
      <c r="AO15" s="107"/>
    </row>
    <row r="16" spans="1:44">
      <c r="A16" s="108" t="s">
        <v>146</v>
      </c>
      <c r="B16" s="109">
        <v>12419431977.852041</v>
      </c>
      <c r="C16" s="109">
        <v>12419431977.852041</v>
      </c>
      <c r="D16" s="109">
        <v>12419431977.852041</v>
      </c>
      <c r="E16" s="109">
        <v>12585699247.137627</v>
      </c>
      <c r="F16" s="109">
        <v>12585699247.137627</v>
      </c>
      <c r="G16" s="109">
        <v>12306539250.120975</v>
      </c>
      <c r="H16" s="109">
        <v>12301381145.084024</v>
      </c>
      <c r="I16" s="109">
        <v>12301381145.084024</v>
      </c>
      <c r="J16" s="109">
        <v>12301381145.084024</v>
      </c>
      <c r="K16" s="109">
        <v>12301381145.084024</v>
      </c>
      <c r="L16" s="109">
        <v>12181182371.500427</v>
      </c>
      <c r="M16" s="109">
        <v>12281670519.005199</v>
      </c>
      <c r="N16" s="109">
        <v>12301297354.761225</v>
      </c>
      <c r="O16" s="109">
        <v>12247429306.882324</v>
      </c>
      <c r="P16" s="109">
        <v>12247429306.882324</v>
      </c>
      <c r="Q16" s="109">
        <v>12247429306.882324</v>
      </c>
      <c r="R16" s="109">
        <v>12247429306.882324</v>
      </c>
      <c r="S16" s="109">
        <v>12119592664.366175</v>
      </c>
      <c r="T16" s="109">
        <v>11801590898.698875</v>
      </c>
      <c r="U16" s="109">
        <v>11827335049.156475</v>
      </c>
      <c r="V16" s="109">
        <v>11936708509.076174</v>
      </c>
      <c r="W16" s="109">
        <v>11975000856.19985</v>
      </c>
      <c r="X16" s="109">
        <v>11975000856.19985</v>
      </c>
      <c r="Y16" s="109">
        <v>11975000856.19985</v>
      </c>
      <c r="Z16" s="109">
        <v>12077851197.525152</v>
      </c>
      <c r="AA16" s="109">
        <v>11975537626.6994</v>
      </c>
      <c r="AB16" s="109">
        <v>11948968877.307001</v>
      </c>
      <c r="AC16" s="109">
        <v>11901438298.720175</v>
      </c>
      <c r="AD16" s="109">
        <v>11931599178.325352</v>
      </c>
      <c r="AE16" s="109">
        <v>11931599178.325352</v>
      </c>
      <c r="AF16" s="109">
        <v>11713822904.486454</v>
      </c>
      <c r="AG16" s="109"/>
      <c r="AH16" s="109">
        <f>AVERAGE(B16:AG16)</f>
        <v>12154408796.205509</v>
      </c>
      <c r="AI16" s="109">
        <f>SUM(AI4:AI15)</f>
        <v>98356940.406258136</v>
      </c>
      <c r="AK16" s="109">
        <f>SUM(AK4:AK15)</f>
        <v>12154408796.205507</v>
      </c>
      <c r="AL16" s="109">
        <f>SUM(AL3:AL15)</f>
        <v>98356940.406258136</v>
      </c>
      <c r="AM16" s="110">
        <f>+AL16/AK16*366/30</f>
        <v>9.8725877422434882E-2</v>
      </c>
      <c r="AO16" s="111">
        <f>SUM(AO4:AO15)</f>
        <v>98356940.406258136</v>
      </c>
      <c r="AP16" s="86"/>
      <c r="AQ16" s="86"/>
      <c r="AR16" s="86"/>
    </row>
    <row r="17" spans="1:44">
      <c r="G17" s="86"/>
      <c r="L17" s="86"/>
      <c r="N17" s="86"/>
      <c r="O17" s="86"/>
      <c r="U17" s="86"/>
      <c r="AA17" s="86"/>
      <c r="AB17" s="86"/>
      <c r="AQ17" s="86"/>
    </row>
    <row r="18" spans="1:44" s="89" customFormat="1">
      <c r="A18" s="87" t="s">
        <v>167</v>
      </c>
      <c r="B18" s="88"/>
      <c r="C18" s="88">
        <v>45047</v>
      </c>
      <c r="D18" s="88">
        <f t="shared" ref="D18:AG18" si="3">C18+1</f>
        <v>45048</v>
      </c>
      <c r="E18" s="88">
        <f t="shared" si="3"/>
        <v>45049</v>
      </c>
      <c r="F18" s="88">
        <f t="shared" si="3"/>
        <v>45050</v>
      </c>
      <c r="G18" s="88">
        <f t="shared" si="3"/>
        <v>45051</v>
      </c>
      <c r="H18" s="88">
        <f t="shared" si="3"/>
        <v>45052</v>
      </c>
      <c r="I18" s="88">
        <f t="shared" si="3"/>
        <v>45053</v>
      </c>
      <c r="J18" s="88">
        <f t="shared" si="3"/>
        <v>45054</v>
      </c>
      <c r="K18" s="88">
        <f t="shared" si="3"/>
        <v>45055</v>
      </c>
      <c r="L18" s="88">
        <f t="shared" si="3"/>
        <v>45056</v>
      </c>
      <c r="M18" s="88">
        <f t="shared" si="3"/>
        <v>45057</v>
      </c>
      <c r="N18" s="88">
        <f t="shared" si="3"/>
        <v>45058</v>
      </c>
      <c r="O18" s="88">
        <f t="shared" si="3"/>
        <v>45059</v>
      </c>
      <c r="P18" s="88">
        <f t="shared" si="3"/>
        <v>45060</v>
      </c>
      <c r="Q18" s="88">
        <f t="shared" si="3"/>
        <v>45061</v>
      </c>
      <c r="R18" s="88">
        <f t="shared" si="3"/>
        <v>45062</v>
      </c>
      <c r="S18" s="88">
        <f t="shared" si="3"/>
        <v>45063</v>
      </c>
      <c r="T18" s="88">
        <f t="shared" si="3"/>
        <v>45064</v>
      </c>
      <c r="U18" s="88">
        <f t="shared" si="3"/>
        <v>45065</v>
      </c>
      <c r="V18" s="88">
        <f t="shared" si="3"/>
        <v>45066</v>
      </c>
      <c r="W18" s="88">
        <f t="shared" si="3"/>
        <v>45067</v>
      </c>
      <c r="X18" s="88">
        <f t="shared" si="3"/>
        <v>45068</v>
      </c>
      <c r="Y18" s="88">
        <f t="shared" si="3"/>
        <v>45069</v>
      </c>
      <c r="Z18" s="88">
        <f t="shared" si="3"/>
        <v>45070</v>
      </c>
      <c r="AA18" s="88">
        <f t="shared" si="3"/>
        <v>45071</v>
      </c>
      <c r="AB18" s="88">
        <f t="shared" si="3"/>
        <v>45072</v>
      </c>
      <c r="AC18" s="88">
        <f t="shared" si="3"/>
        <v>45073</v>
      </c>
      <c r="AD18" s="88">
        <f t="shared" si="3"/>
        <v>45074</v>
      </c>
      <c r="AE18" s="88">
        <f t="shared" si="3"/>
        <v>45075</v>
      </c>
      <c r="AF18" s="88">
        <f t="shared" si="3"/>
        <v>45076</v>
      </c>
      <c r="AG18" s="88">
        <f t="shared" si="3"/>
        <v>45077</v>
      </c>
      <c r="AL18" s="90"/>
      <c r="AM18" s="90"/>
    </row>
    <row r="19" spans="1:44" s="89" customFormat="1">
      <c r="A19" s="91" t="s">
        <v>168</v>
      </c>
      <c r="B19" s="92"/>
      <c r="C19" s="92" t="s">
        <v>169</v>
      </c>
      <c r="D19" s="92" t="s">
        <v>169</v>
      </c>
      <c r="E19" s="92" t="s">
        <v>169</v>
      </c>
      <c r="F19" s="92" t="s">
        <v>169</v>
      </c>
      <c r="G19" s="92" t="s">
        <v>169</v>
      </c>
      <c r="H19" s="92" t="s">
        <v>169</v>
      </c>
      <c r="I19" s="92" t="s">
        <v>169</v>
      </c>
      <c r="J19" s="92" t="s">
        <v>169</v>
      </c>
      <c r="K19" s="92" t="s">
        <v>169</v>
      </c>
      <c r="L19" s="92" t="s">
        <v>169</v>
      </c>
      <c r="M19" s="92" t="s">
        <v>169</v>
      </c>
      <c r="N19" s="92" t="s">
        <v>169</v>
      </c>
      <c r="O19" s="92" t="s">
        <v>169</v>
      </c>
      <c r="P19" s="92" t="s">
        <v>169</v>
      </c>
      <c r="Q19" s="92" t="s">
        <v>169</v>
      </c>
      <c r="R19" s="92" t="s">
        <v>169</v>
      </c>
      <c r="S19" s="92" t="s">
        <v>169</v>
      </c>
      <c r="T19" s="92" t="s">
        <v>169</v>
      </c>
      <c r="U19" s="92" t="s">
        <v>169</v>
      </c>
      <c r="V19" s="92" t="s">
        <v>169</v>
      </c>
      <c r="W19" s="92" t="s">
        <v>169</v>
      </c>
      <c r="X19" s="92" t="s">
        <v>169</v>
      </c>
      <c r="Y19" s="92" t="s">
        <v>169</v>
      </c>
      <c r="Z19" s="92" t="s">
        <v>169</v>
      </c>
      <c r="AA19" s="92" t="s">
        <v>169</v>
      </c>
      <c r="AB19" s="92" t="s">
        <v>169</v>
      </c>
      <c r="AC19" s="92" t="s">
        <v>169</v>
      </c>
      <c r="AD19" s="92" t="s">
        <v>169</v>
      </c>
      <c r="AE19" s="92" t="s">
        <v>169</v>
      </c>
      <c r="AF19" s="92" t="s">
        <v>169</v>
      </c>
      <c r="AG19" s="92" t="s">
        <v>169</v>
      </c>
      <c r="AH19" s="93" t="s">
        <v>170</v>
      </c>
      <c r="AI19" s="93" t="s">
        <v>171</v>
      </c>
      <c r="AK19" s="92" t="s">
        <v>172</v>
      </c>
      <c r="AL19" s="92" t="s">
        <v>173</v>
      </c>
      <c r="AM19" s="92" t="s">
        <v>174</v>
      </c>
      <c r="AO19" s="94" t="s">
        <v>175</v>
      </c>
    </row>
    <row r="20" spans="1:44">
      <c r="A20" s="95" t="s">
        <v>176</v>
      </c>
      <c r="B20" s="96"/>
      <c r="C20" s="96">
        <v>4030235664.9300003</v>
      </c>
      <c r="D20" s="96">
        <v>4143325528.1399999</v>
      </c>
      <c r="E20" s="96">
        <v>4125213538.9000001</v>
      </c>
      <c r="F20" s="96">
        <v>4178049342.29</v>
      </c>
      <c r="G20" s="96">
        <v>4178049342.29</v>
      </c>
      <c r="H20" s="96">
        <v>4178049342.29</v>
      </c>
      <c r="I20" s="96">
        <v>4178049342.29</v>
      </c>
      <c r="J20" s="96">
        <v>4223146856.5700002</v>
      </c>
      <c r="K20" s="96">
        <v>4210174838.3800001</v>
      </c>
      <c r="L20" s="96">
        <v>4268809422.0999999</v>
      </c>
      <c r="M20" s="96">
        <v>4325976526.5200005</v>
      </c>
      <c r="N20" s="96">
        <v>4239726429.02</v>
      </c>
      <c r="O20" s="96">
        <v>4239726429.02</v>
      </c>
      <c r="P20" s="96">
        <v>4239726429.02</v>
      </c>
      <c r="Q20" s="96">
        <v>4414436045.4800005</v>
      </c>
      <c r="R20" s="96">
        <v>4213954614.3600001</v>
      </c>
      <c r="S20" s="96">
        <v>4244973487.98</v>
      </c>
      <c r="T20" s="96">
        <v>4295124724.0799999</v>
      </c>
      <c r="U20" s="96">
        <v>4284175278.54</v>
      </c>
      <c r="V20" s="96">
        <v>4284175278.54</v>
      </c>
      <c r="W20" s="96">
        <v>4284175278.54</v>
      </c>
      <c r="X20" s="96">
        <v>4295125522.4300003</v>
      </c>
      <c r="Y20" s="96">
        <v>4201754486.1199999</v>
      </c>
      <c r="Z20" s="96">
        <v>4033526201.1599998</v>
      </c>
      <c r="AA20" s="96">
        <v>4140133517.9300003</v>
      </c>
      <c r="AB20" s="96">
        <v>4135471831.3600001</v>
      </c>
      <c r="AC20" s="96">
        <v>4135471831.3600001</v>
      </c>
      <c r="AD20" s="96">
        <v>4135471831.3600001</v>
      </c>
      <c r="AE20" s="96">
        <v>4157991865.02</v>
      </c>
      <c r="AF20" s="96">
        <v>4011049391.1399999</v>
      </c>
      <c r="AG20" s="96">
        <v>3842115972.4400001</v>
      </c>
      <c r="AH20" s="97">
        <f>AVERAGE(B20:AG20)</f>
        <v>4189270522.2451601</v>
      </c>
      <c r="AI20" s="97">
        <f>AO20-AO4</f>
        <v>40386893.894233733</v>
      </c>
      <c r="AJ20" s="98" t="s">
        <v>177</v>
      </c>
      <c r="AK20" s="97">
        <f>+AH20</f>
        <v>4189270522.2451601</v>
      </c>
      <c r="AL20" s="97">
        <f>+AI20</f>
        <v>40386893.894233733</v>
      </c>
      <c r="AM20" s="99">
        <f>+AL20/AK20*366/31</f>
        <v>0.11382074898858083</v>
      </c>
      <c r="AO20" s="97">
        <v>79164793.055646732</v>
      </c>
    </row>
    <row r="21" spans="1:44">
      <c r="A21" s="100" t="s">
        <v>178</v>
      </c>
      <c r="B21" s="96"/>
      <c r="C21" s="96">
        <v>1661369614.5148051</v>
      </c>
      <c r="D21" s="96">
        <v>1655092518.95</v>
      </c>
      <c r="E21" s="96">
        <v>1655092518.95</v>
      </c>
      <c r="F21" s="96">
        <v>1655092518.95</v>
      </c>
      <c r="G21" s="96">
        <v>1655092518.95</v>
      </c>
      <c r="H21" s="96">
        <v>1655092518.95</v>
      </c>
      <c r="I21" s="96">
        <v>1655092518.95</v>
      </c>
      <c r="J21" s="96">
        <v>1655092518.95</v>
      </c>
      <c r="K21" s="96">
        <v>1655092518.95</v>
      </c>
      <c r="L21" s="96">
        <v>1655092518.95</v>
      </c>
      <c r="M21" s="96">
        <v>2196069441.9499998</v>
      </c>
      <c r="N21" s="96">
        <v>2196069441.9499998</v>
      </c>
      <c r="O21" s="96">
        <v>2196069441.9499998</v>
      </c>
      <c r="P21" s="96">
        <v>2196069441.9499998</v>
      </c>
      <c r="Q21" s="96">
        <v>2196069441.9499998</v>
      </c>
      <c r="R21" s="96">
        <v>1829166522.05</v>
      </c>
      <c r="S21" s="96">
        <v>1829166522.05</v>
      </c>
      <c r="T21" s="96">
        <v>1829166522.05</v>
      </c>
      <c r="U21" s="96">
        <v>1829166522.05</v>
      </c>
      <c r="V21" s="96">
        <v>1829166522.05</v>
      </c>
      <c r="W21" s="96">
        <v>1829166522.05</v>
      </c>
      <c r="X21" s="96">
        <v>1829166522.05</v>
      </c>
      <c r="Y21" s="96">
        <v>1829166522.05</v>
      </c>
      <c r="Z21" s="96">
        <v>1829166522.05</v>
      </c>
      <c r="AA21" s="96">
        <v>1829166522.05</v>
      </c>
      <c r="AB21" s="96">
        <v>1829166522.05</v>
      </c>
      <c r="AC21" s="96">
        <v>1829166522.05</v>
      </c>
      <c r="AD21" s="96">
        <v>1829166522.05</v>
      </c>
      <c r="AE21" s="96">
        <v>1829166522.05</v>
      </c>
      <c r="AF21" s="96">
        <v>1829166522.05</v>
      </c>
      <c r="AG21" s="96">
        <v>1836725069.8299999</v>
      </c>
      <c r="AH21" s="97">
        <f>AVERAGE(B21:AG21)</f>
        <v>1832637819.2062852</v>
      </c>
      <c r="AI21" s="97">
        <f>AO21-AO5</f>
        <v>16680700.824000001</v>
      </c>
      <c r="AJ21" s="98" t="s">
        <v>179</v>
      </c>
      <c r="AK21" s="101">
        <f>+AH24</f>
        <v>547772770.85967767</v>
      </c>
      <c r="AL21" s="101">
        <f>+AI24</f>
        <v>4811360.1278724642</v>
      </c>
      <c r="AM21" s="99">
        <f>+AL21/AK21*366/31</f>
        <v>0.10370192452762465</v>
      </c>
      <c r="AO21" s="97">
        <v>32773297.25</v>
      </c>
      <c r="AP21" s="103"/>
    </row>
    <row r="22" spans="1:44">
      <c r="A22" s="100" t="s">
        <v>180</v>
      </c>
      <c r="B22" s="96"/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7">
        <f>AVERAGE(B22:AG22)</f>
        <v>0</v>
      </c>
      <c r="AI22" s="97">
        <f>AO22-AO6</f>
        <v>0</v>
      </c>
      <c r="AJ22" s="98" t="s">
        <v>181</v>
      </c>
      <c r="AK22" s="101">
        <f>AH22</f>
        <v>0</v>
      </c>
      <c r="AL22" s="101">
        <f>AI22</f>
        <v>0</v>
      </c>
      <c r="AM22" s="99" t="e">
        <f>+AL22/AK22*366/30</f>
        <v>#DIV/0!</v>
      </c>
      <c r="AO22" s="97">
        <v>0</v>
      </c>
    </row>
    <row r="23" spans="1:44">
      <c r="A23" s="100" t="s">
        <v>182</v>
      </c>
      <c r="B23" s="96"/>
      <c r="C23" s="96">
        <v>531264344.20000005</v>
      </c>
      <c r="D23" s="96">
        <v>548506728.22000003</v>
      </c>
      <c r="E23" s="96">
        <v>550139117.78999996</v>
      </c>
      <c r="F23" s="96">
        <v>595704153.88999999</v>
      </c>
      <c r="G23" s="96">
        <v>595704153.88999999</v>
      </c>
      <c r="H23" s="96">
        <v>595704153.88999999</v>
      </c>
      <c r="I23" s="96">
        <v>595704153.88999999</v>
      </c>
      <c r="J23" s="96">
        <v>593685070.01999998</v>
      </c>
      <c r="K23" s="96">
        <v>565125206.82000005</v>
      </c>
      <c r="L23" s="96">
        <v>567388782.24000001</v>
      </c>
      <c r="M23" s="96">
        <v>575571451.87</v>
      </c>
      <c r="N23" s="96">
        <v>587477607.96000004</v>
      </c>
      <c r="O23" s="96">
        <v>587477607.96000004</v>
      </c>
      <c r="P23" s="96">
        <v>587477607.96000004</v>
      </c>
      <c r="Q23" s="96">
        <v>589907796.38</v>
      </c>
      <c r="R23" s="96">
        <v>559183496.03999996</v>
      </c>
      <c r="S23" s="96">
        <v>544103608.20000005</v>
      </c>
      <c r="T23" s="96">
        <v>533967719.79000002</v>
      </c>
      <c r="U23" s="96">
        <v>550445137.53999996</v>
      </c>
      <c r="V23" s="96">
        <v>550445137.53999996</v>
      </c>
      <c r="W23" s="96">
        <v>550445137.53999996</v>
      </c>
      <c r="X23" s="96">
        <v>597998810.20000005</v>
      </c>
      <c r="Y23" s="96">
        <v>618439588.56000006</v>
      </c>
      <c r="Z23" s="96">
        <v>629290512.27999997</v>
      </c>
      <c r="AA23" s="96">
        <v>694860151.13</v>
      </c>
      <c r="AB23" s="96">
        <v>698758542.38</v>
      </c>
      <c r="AC23" s="96">
        <v>698758542.38</v>
      </c>
      <c r="AD23" s="96">
        <v>698758542.38</v>
      </c>
      <c r="AE23" s="96">
        <v>688499335.90999997</v>
      </c>
      <c r="AF23" s="96">
        <v>672513849.19000006</v>
      </c>
      <c r="AG23" s="96">
        <v>695913066.84000003</v>
      </c>
      <c r="AH23" s="97">
        <f t="shared" ref="AH23:AH28" si="4">AVERAGE(B23:AG23)</f>
        <v>601587713.38322568</v>
      </c>
      <c r="AI23" s="97">
        <f>+AO23-AO7</f>
        <v>4073990.0349999582</v>
      </c>
      <c r="AJ23" s="98" t="s">
        <v>144</v>
      </c>
      <c r="AK23" s="101">
        <f>+AH23</f>
        <v>601587713.38322568</v>
      </c>
      <c r="AL23" s="101">
        <f>+AI23</f>
        <v>4073990.0349999582</v>
      </c>
      <c r="AM23" s="99">
        <f>+AL23/AK23*366/31</f>
        <v>7.9954036875478016E-2</v>
      </c>
      <c r="AO23" s="97">
        <v>7822646.4923961638</v>
      </c>
    </row>
    <row r="24" spans="1:44">
      <c r="A24" s="100" t="s">
        <v>143</v>
      </c>
      <c r="B24" s="96"/>
      <c r="C24" s="96">
        <v>542759267.07999992</v>
      </c>
      <c r="D24" s="96">
        <v>526380393.21000004</v>
      </c>
      <c r="E24" s="96">
        <v>539137212.22000027</v>
      </c>
      <c r="F24" s="96">
        <v>544225672.97000027</v>
      </c>
      <c r="G24" s="96">
        <v>544225672.97000027</v>
      </c>
      <c r="H24" s="96">
        <v>544225672.97000027</v>
      </c>
      <c r="I24" s="96">
        <v>544225672.97000027</v>
      </c>
      <c r="J24" s="96">
        <v>551961882.49000025</v>
      </c>
      <c r="K24" s="96">
        <v>555156280.90999985</v>
      </c>
      <c r="L24" s="96">
        <v>546838061.17000008</v>
      </c>
      <c r="M24" s="96">
        <v>554581418.07000065</v>
      </c>
      <c r="N24" s="96">
        <v>556772777.46000004</v>
      </c>
      <c r="O24" s="96">
        <v>556772777.46000004</v>
      </c>
      <c r="P24" s="96">
        <v>556772777.46000004</v>
      </c>
      <c r="Q24" s="96">
        <v>564759061.32999992</v>
      </c>
      <c r="R24" s="96">
        <v>543373097.11999989</v>
      </c>
      <c r="S24" s="96">
        <v>551076359.90000057</v>
      </c>
      <c r="T24" s="96">
        <v>559121965.70000076</v>
      </c>
      <c r="U24" s="96">
        <v>549079371.36000061</v>
      </c>
      <c r="V24" s="96">
        <v>549079371.36000061</v>
      </c>
      <c r="W24" s="96">
        <v>549079371.36000061</v>
      </c>
      <c r="X24" s="96">
        <v>518146680.21000004</v>
      </c>
      <c r="Y24" s="96">
        <v>540944760.39000034</v>
      </c>
      <c r="Z24" s="96">
        <v>546257409.65999985</v>
      </c>
      <c r="AA24" s="96">
        <v>545895105.63000011</v>
      </c>
      <c r="AB24" s="96">
        <v>546964500.02000046</v>
      </c>
      <c r="AC24" s="96">
        <v>546964500.02000046</v>
      </c>
      <c r="AD24" s="96">
        <v>546964500.02000046</v>
      </c>
      <c r="AE24" s="96">
        <v>548746824.72000027</v>
      </c>
      <c r="AF24" s="96">
        <v>547896297.44999981</v>
      </c>
      <c r="AG24" s="96">
        <v>562571180.99000072</v>
      </c>
      <c r="AH24" s="97">
        <f t="shared" si="4"/>
        <v>547772770.85967767</v>
      </c>
      <c r="AI24" s="97">
        <f>+AO24-AO8</f>
        <v>4811360.1278724642</v>
      </c>
      <c r="AJ24" s="98" t="s">
        <v>183</v>
      </c>
      <c r="AK24" s="101">
        <f>+AH26+AH27+AH28</f>
        <v>581006592.76748216</v>
      </c>
      <c r="AL24" s="101">
        <f>+AI26+AI27+AI28</f>
        <v>3726809.0824000002</v>
      </c>
      <c r="AM24" s="99">
        <f>+AL24/AK24*366/31</f>
        <v>7.5731311227121914E-2</v>
      </c>
      <c r="AO24" s="97">
        <v>9925249.0079565737</v>
      </c>
    </row>
    <row r="25" spans="1:44">
      <c r="A25" s="100" t="s">
        <v>184</v>
      </c>
      <c r="B25" s="96"/>
      <c r="C25" s="96">
        <v>4412496220.9300003</v>
      </c>
      <c r="D25" s="96">
        <v>4329262411.1099997</v>
      </c>
      <c r="E25" s="96">
        <v>4490845517.1800003</v>
      </c>
      <c r="F25" s="96">
        <v>4405064568.4300003</v>
      </c>
      <c r="G25" s="96">
        <v>4405064568.4300003</v>
      </c>
      <c r="H25" s="96">
        <v>4405064568.4300003</v>
      </c>
      <c r="I25" s="96">
        <v>4405064568.4300003</v>
      </c>
      <c r="J25" s="96">
        <v>4275960253.2000003</v>
      </c>
      <c r="K25" s="96">
        <v>4323262745.71</v>
      </c>
      <c r="L25" s="96">
        <v>4407415236.2700005</v>
      </c>
      <c r="M25" s="96">
        <v>4452302015.6099997</v>
      </c>
      <c r="N25" s="96">
        <v>4388288810.9300003</v>
      </c>
      <c r="O25" s="96">
        <v>4388288810.9300003</v>
      </c>
      <c r="P25" s="96">
        <v>4388288810.9300003</v>
      </c>
      <c r="Q25" s="96">
        <v>4355186397.4200001</v>
      </c>
      <c r="R25" s="96">
        <v>4397063485.0200005</v>
      </c>
      <c r="S25" s="96">
        <v>4380077669.3999996</v>
      </c>
      <c r="T25" s="96">
        <v>4444847604.7799997</v>
      </c>
      <c r="U25" s="96">
        <v>4488159031.8299999</v>
      </c>
      <c r="V25" s="96">
        <v>4488159031.8299999</v>
      </c>
      <c r="W25" s="96">
        <v>4488159031.8299999</v>
      </c>
      <c r="X25" s="96">
        <v>4491111321.6300001</v>
      </c>
      <c r="Y25" s="96">
        <v>4464950197.5299997</v>
      </c>
      <c r="Z25" s="96">
        <v>4419559378.5900002</v>
      </c>
      <c r="AA25" s="96">
        <v>4437665838.3199997</v>
      </c>
      <c r="AB25" s="96">
        <v>4438798721.1700001</v>
      </c>
      <c r="AC25" s="96">
        <v>4438798721.1700001</v>
      </c>
      <c r="AD25" s="96">
        <v>4438798721.1700001</v>
      </c>
      <c r="AE25" s="96">
        <v>4425167092.3400002</v>
      </c>
      <c r="AF25" s="96">
        <v>4450058501.3100004</v>
      </c>
      <c r="AG25" s="96">
        <v>4480447274.6499996</v>
      </c>
      <c r="AH25" s="97">
        <f t="shared" si="4"/>
        <v>4419473455.6938696</v>
      </c>
      <c r="AI25" s="97">
        <f>+AO25-AO9</f>
        <v>30852273.888833754</v>
      </c>
      <c r="AJ25" s="98" t="s">
        <v>142</v>
      </c>
      <c r="AK25" s="101">
        <f>AH25</f>
        <v>4419473455.6938696</v>
      </c>
      <c r="AL25" s="101">
        <f>AI25</f>
        <v>30852273.888833754</v>
      </c>
      <c r="AM25" s="99">
        <f>+AL25/AK25*366/31</f>
        <v>8.2420650891626229E-2</v>
      </c>
      <c r="AO25" s="97">
        <v>62102539.689098574</v>
      </c>
    </row>
    <row r="26" spans="1:44">
      <c r="A26" s="100" t="s">
        <v>185</v>
      </c>
      <c r="B26" s="96"/>
      <c r="C26" s="96">
        <v>535697792.83164978</v>
      </c>
      <c r="D26" s="96">
        <v>565594732.98994994</v>
      </c>
      <c r="E26" s="96">
        <v>567801186.8076998</v>
      </c>
      <c r="F26" s="96">
        <v>582662343.31129992</v>
      </c>
      <c r="G26" s="96">
        <v>582662343.31129992</v>
      </c>
      <c r="H26" s="96">
        <v>582662343.31129992</v>
      </c>
      <c r="I26" s="96">
        <v>582662343.31129992</v>
      </c>
      <c r="J26" s="96">
        <v>580908749.91664982</v>
      </c>
      <c r="K26" s="96">
        <v>581492533.07644987</v>
      </c>
      <c r="L26" s="96">
        <v>580190845.88479996</v>
      </c>
      <c r="M26" s="96">
        <v>591649637.44089985</v>
      </c>
      <c r="N26" s="96">
        <v>575196102.25329995</v>
      </c>
      <c r="O26" s="96">
        <v>575196102.25329995</v>
      </c>
      <c r="P26" s="96">
        <v>575196102.25329995</v>
      </c>
      <c r="Q26" s="96">
        <v>586932732.05854988</v>
      </c>
      <c r="R26" s="96">
        <v>584360572.94174993</v>
      </c>
      <c r="S26" s="96">
        <v>585238956.7775501</v>
      </c>
      <c r="T26" s="96">
        <v>587556770.46000004</v>
      </c>
      <c r="U26" s="96">
        <v>574676452.61589992</v>
      </c>
      <c r="V26" s="96">
        <v>574676452.61589992</v>
      </c>
      <c r="W26" s="96">
        <v>574676452.61589992</v>
      </c>
      <c r="X26" s="96">
        <v>583851242.74335003</v>
      </c>
      <c r="Y26" s="96">
        <v>581319480.64265001</v>
      </c>
      <c r="Z26" s="96">
        <v>597831638.40369999</v>
      </c>
      <c r="AA26" s="96">
        <v>592102832.21080005</v>
      </c>
      <c r="AB26" s="96">
        <v>586835739.69480002</v>
      </c>
      <c r="AC26" s="96">
        <v>586835739.69480002</v>
      </c>
      <c r="AD26" s="96">
        <v>586835739.69480002</v>
      </c>
      <c r="AE26" s="96">
        <v>597785652.80774999</v>
      </c>
      <c r="AF26" s="96">
        <v>599913232.80774999</v>
      </c>
      <c r="AG26" s="96">
        <v>570201528.05280006</v>
      </c>
      <c r="AH26" s="97">
        <f t="shared" si="4"/>
        <v>581006592.76748216</v>
      </c>
      <c r="AI26" s="97">
        <f>AO26-AO10</f>
        <v>3726809.0824000002</v>
      </c>
      <c r="AJ26" s="98" t="s">
        <v>186</v>
      </c>
      <c r="AK26" s="101">
        <v>0</v>
      </c>
      <c r="AL26" s="101">
        <v>0</v>
      </c>
      <c r="AM26" s="99"/>
      <c r="AO26" s="101">
        <v>7100442.7635000004</v>
      </c>
    </row>
    <row r="27" spans="1:44">
      <c r="A27" s="100" t="s">
        <v>187</v>
      </c>
      <c r="B27" s="96"/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v>0</v>
      </c>
      <c r="AG27" s="96">
        <v>0</v>
      </c>
      <c r="AH27" s="97">
        <f t="shared" si="4"/>
        <v>0</v>
      </c>
      <c r="AI27" s="97">
        <f>AO27-AO11</f>
        <v>0</v>
      </c>
      <c r="AJ27" s="98" t="s">
        <v>145</v>
      </c>
      <c r="AK27" s="101">
        <f>AH21</f>
        <v>1832637819.2062852</v>
      </c>
      <c r="AL27" s="101">
        <f>AI21</f>
        <v>16680700.824000001</v>
      </c>
      <c r="AM27" s="99">
        <f>+AL27/AK27*366/31</f>
        <v>0.10746252482837312</v>
      </c>
      <c r="AO27" s="101">
        <v>0</v>
      </c>
    </row>
    <row r="28" spans="1:44">
      <c r="A28" s="100" t="s">
        <v>188</v>
      </c>
      <c r="B28" s="96"/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96">
        <v>0</v>
      </c>
      <c r="S28" s="96">
        <v>0</v>
      </c>
      <c r="T28" s="96">
        <v>0</v>
      </c>
      <c r="U28" s="96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  <c r="AD28" s="96">
        <v>0</v>
      </c>
      <c r="AE28" s="96">
        <v>0</v>
      </c>
      <c r="AF28" s="96">
        <v>0</v>
      </c>
      <c r="AG28" s="96">
        <v>0</v>
      </c>
      <c r="AH28" s="97">
        <f t="shared" si="4"/>
        <v>0</v>
      </c>
      <c r="AI28" s="97">
        <f>+AO28-AO12</f>
        <v>0</v>
      </c>
      <c r="AJ28" s="98"/>
      <c r="AK28" s="101"/>
      <c r="AL28" s="101"/>
      <c r="AM28" s="101"/>
      <c r="AO28" s="101">
        <v>0</v>
      </c>
    </row>
    <row r="29" spans="1:44">
      <c r="A29" s="100" t="s">
        <v>189</v>
      </c>
      <c r="B29" s="96"/>
      <c r="C29" s="96"/>
      <c r="D29" s="96"/>
      <c r="E29" s="96"/>
      <c r="F29" s="96"/>
      <c r="G29" s="96"/>
      <c r="H29" s="96"/>
      <c r="I29" s="96"/>
      <c r="J29" s="96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96"/>
      <c r="Z29" s="96"/>
      <c r="AA29" s="96"/>
      <c r="AB29" s="96"/>
      <c r="AC29" s="96"/>
      <c r="AD29" s="96"/>
      <c r="AE29" s="96"/>
      <c r="AF29" s="96"/>
      <c r="AG29" s="96"/>
      <c r="AH29" s="97">
        <v>359542812.63</v>
      </c>
      <c r="AI29" s="97"/>
      <c r="AJ29" s="98"/>
      <c r="AK29" s="101"/>
      <c r="AL29" s="101"/>
      <c r="AM29" s="101"/>
      <c r="AO29" s="101"/>
    </row>
    <row r="30" spans="1:44">
      <c r="A30" s="100" t="s">
        <v>190</v>
      </c>
      <c r="B30" s="96"/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6">
        <v>0</v>
      </c>
      <c r="AG30" s="96">
        <v>0</v>
      </c>
      <c r="AH30" s="97">
        <f>AVERAGE(B30:AG30)</f>
        <v>0</v>
      </c>
      <c r="AI30" s="97"/>
      <c r="AK30" s="101"/>
      <c r="AL30" s="101"/>
      <c r="AM30" s="101"/>
      <c r="AO30" s="101"/>
    </row>
    <row r="31" spans="1:44">
      <c r="A31" s="105"/>
      <c r="B31" s="105"/>
      <c r="C31" s="105"/>
      <c r="D31" s="105"/>
      <c r="E31" s="105"/>
      <c r="F31" s="105"/>
      <c r="G31" s="96"/>
      <c r="H31" s="96"/>
      <c r="I31" s="96"/>
      <c r="J31" s="96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97">
        <v>0</v>
      </c>
      <c r="AK31" s="105"/>
      <c r="AL31" s="105"/>
      <c r="AM31" s="106"/>
      <c r="AO31" s="107"/>
    </row>
    <row r="32" spans="1:44">
      <c r="A32" s="108" t="s">
        <v>146</v>
      </c>
      <c r="B32" s="109"/>
      <c r="C32" s="109">
        <v>11713822904.486454</v>
      </c>
      <c r="D32" s="109">
        <v>11768162312.619951</v>
      </c>
      <c r="E32" s="109">
        <v>11928229091.8477</v>
      </c>
      <c r="F32" s="109">
        <v>11960798599.841301</v>
      </c>
      <c r="G32" s="109">
        <v>11960798599.841301</v>
      </c>
      <c r="H32" s="109">
        <v>11960798599.841301</v>
      </c>
      <c r="I32" s="109">
        <v>11960798599.841301</v>
      </c>
      <c r="J32" s="109">
        <v>11880755331.146652</v>
      </c>
      <c r="K32" s="109">
        <v>11890304123.846451</v>
      </c>
      <c r="L32" s="109">
        <v>12025734866.614799</v>
      </c>
      <c r="M32" s="109">
        <v>12696150491.460899</v>
      </c>
      <c r="N32" s="109">
        <v>12543531169.573299</v>
      </c>
      <c r="O32" s="109">
        <v>12543531169.573299</v>
      </c>
      <c r="P32" s="109">
        <v>12543531169.573299</v>
      </c>
      <c r="Q32" s="109">
        <v>12707291474.618551</v>
      </c>
      <c r="R32" s="109">
        <v>12127101787.53175</v>
      </c>
      <c r="S32" s="109">
        <v>12134636604.307549</v>
      </c>
      <c r="T32" s="109">
        <v>12249785306.860001</v>
      </c>
      <c r="U32" s="109">
        <v>12275701793.9359</v>
      </c>
      <c r="V32" s="109">
        <v>12275701793.9359</v>
      </c>
      <c r="W32" s="109">
        <v>12275701793.9359</v>
      </c>
      <c r="X32" s="109">
        <v>12315400099.263351</v>
      </c>
      <c r="Y32" s="109">
        <v>12236575035.292652</v>
      </c>
      <c r="Z32" s="109">
        <v>12055631662.1437</v>
      </c>
      <c r="AA32" s="109">
        <v>12239823967.270802</v>
      </c>
      <c r="AB32" s="109">
        <v>12235995856.674799</v>
      </c>
      <c r="AC32" s="109">
        <v>12235995856.674799</v>
      </c>
      <c r="AD32" s="109">
        <v>12235995856.674799</v>
      </c>
      <c r="AE32" s="109">
        <v>12247357292.847752</v>
      </c>
      <c r="AF32" s="109">
        <v>12110597793.94775</v>
      </c>
      <c r="AG32" s="109">
        <v>11987974092.802799</v>
      </c>
      <c r="AH32" s="109">
        <f>AVERAGE(B32:AG32)</f>
        <v>12171748874.155706</v>
      </c>
      <c r="AI32" s="109">
        <f>SUM(AI20:AI31)</f>
        <v>100532027.85233991</v>
      </c>
      <c r="AK32" s="109">
        <f>SUM(AK20:AK31)</f>
        <v>12171748874.155699</v>
      </c>
      <c r="AL32" s="109">
        <f>SUM(AL19:AL31)</f>
        <v>100532027.85233992</v>
      </c>
      <c r="AM32" s="110">
        <f>+AL32/AK32*366/31</f>
        <v>9.7514871088565963E-2</v>
      </c>
      <c r="AO32" s="111">
        <f>SUM(AO20:AO31)</f>
        <v>198888968.25859806</v>
      </c>
      <c r="AP32" s="86"/>
      <c r="AQ32" s="86"/>
      <c r="AR32" s="86"/>
    </row>
    <row r="33" spans="1:44">
      <c r="G33" s="86"/>
      <c r="L33" s="86"/>
      <c r="N33" s="86"/>
      <c r="O33" s="86"/>
      <c r="U33" s="86"/>
      <c r="AA33" s="86"/>
      <c r="AB33" s="86"/>
      <c r="AQ33" s="86"/>
    </row>
    <row r="34" spans="1:44" s="89" customFormat="1">
      <c r="A34" s="87" t="s">
        <v>167</v>
      </c>
      <c r="B34" s="88"/>
      <c r="C34" s="88">
        <v>45078</v>
      </c>
      <c r="D34" s="88">
        <f t="shared" ref="D34:AF34" si="5">C34+1</f>
        <v>45079</v>
      </c>
      <c r="E34" s="88">
        <f t="shared" si="5"/>
        <v>45080</v>
      </c>
      <c r="F34" s="88">
        <f t="shared" si="5"/>
        <v>45081</v>
      </c>
      <c r="G34" s="88">
        <f t="shared" si="5"/>
        <v>45082</v>
      </c>
      <c r="H34" s="88">
        <f t="shared" si="5"/>
        <v>45083</v>
      </c>
      <c r="I34" s="88">
        <f t="shared" si="5"/>
        <v>45084</v>
      </c>
      <c r="J34" s="88">
        <f t="shared" si="5"/>
        <v>45085</v>
      </c>
      <c r="K34" s="88">
        <f t="shared" si="5"/>
        <v>45086</v>
      </c>
      <c r="L34" s="88">
        <f t="shared" si="5"/>
        <v>45087</v>
      </c>
      <c r="M34" s="88">
        <f t="shared" si="5"/>
        <v>45088</v>
      </c>
      <c r="N34" s="88">
        <f t="shared" si="5"/>
        <v>45089</v>
      </c>
      <c r="O34" s="88">
        <f t="shared" si="5"/>
        <v>45090</v>
      </c>
      <c r="P34" s="88">
        <f t="shared" si="5"/>
        <v>45091</v>
      </c>
      <c r="Q34" s="88">
        <f t="shared" si="5"/>
        <v>45092</v>
      </c>
      <c r="R34" s="88">
        <f t="shared" si="5"/>
        <v>45093</v>
      </c>
      <c r="S34" s="88">
        <f t="shared" si="5"/>
        <v>45094</v>
      </c>
      <c r="T34" s="88">
        <f t="shared" si="5"/>
        <v>45095</v>
      </c>
      <c r="U34" s="88">
        <f t="shared" si="5"/>
        <v>45096</v>
      </c>
      <c r="V34" s="88">
        <f t="shared" si="5"/>
        <v>45097</v>
      </c>
      <c r="W34" s="88">
        <f t="shared" si="5"/>
        <v>45098</v>
      </c>
      <c r="X34" s="88">
        <f t="shared" si="5"/>
        <v>45099</v>
      </c>
      <c r="Y34" s="88">
        <f t="shared" si="5"/>
        <v>45100</v>
      </c>
      <c r="Z34" s="88">
        <f t="shared" si="5"/>
        <v>45101</v>
      </c>
      <c r="AA34" s="88">
        <f t="shared" si="5"/>
        <v>45102</v>
      </c>
      <c r="AB34" s="88">
        <f t="shared" si="5"/>
        <v>45103</v>
      </c>
      <c r="AC34" s="88">
        <f t="shared" si="5"/>
        <v>45104</v>
      </c>
      <c r="AD34" s="88">
        <f t="shared" si="5"/>
        <v>45105</v>
      </c>
      <c r="AE34" s="88">
        <f t="shared" si="5"/>
        <v>45106</v>
      </c>
      <c r="AF34" s="88">
        <f t="shared" si="5"/>
        <v>45107</v>
      </c>
      <c r="AG34" s="88"/>
      <c r="AL34" s="90"/>
      <c r="AM34" s="90"/>
    </row>
    <row r="35" spans="1:44" s="89" customFormat="1">
      <c r="A35" s="91" t="s">
        <v>168</v>
      </c>
      <c r="B35" s="92"/>
      <c r="C35" s="92" t="s">
        <v>169</v>
      </c>
      <c r="D35" s="92" t="s">
        <v>169</v>
      </c>
      <c r="E35" s="92" t="s">
        <v>169</v>
      </c>
      <c r="F35" s="92" t="s">
        <v>169</v>
      </c>
      <c r="G35" s="92" t="s">
        <v>169</v>
      </c>
      <c r="H35" s="92" t="s">
        <v>169</v>
      </c>
      <c r="I35" s="92" t="s">
        <v>169</v>
      </c>
      <c r="J35" s="92" t="s">
        <v>169</v>
      </c>
      <c r="K35" s="92" t="s">
        <v>169</v>
      </c>
      <c r="L35" s="92" t="s">
        <v>169</v>
      </c>
      <c r="M35" s="92" t="s">
        <v>169</v>
      </c>
      <c r="N35" s="92" t="s">
        <v>169</v>
      </c>
      <c r="O35" s="92" t="s">
        <v>169</v>
      </c>
      <c r="P35" s="92" t="s">
        <v>169</v>
      </c>
      <c r="Q35" s="92" t="s">
        <v>169</v>
      </c>
      <c r="R35" s="92" t="s">
        <v>169</v>
      </c>
      <c r="S35" s="92" t="s">
        <v>169</v>
      </c>
      <c r="T35" s="92" t="s">
        <v>169</v>
      </c>
      <c r="U35" s="92" t="s">
        <v>169</v>
      </c>
      <c r="V35" s="92" t="s">
        <v>169</v>
      </c>
      <c r="W35" s="92" t="s">
        <v>169</v>
      </c>
      <c r="X35" s="92" t="s">
        <v>169</v>
      </c>
      <c r="Y35" s="92" t="s">
        <v>169</v>
      </c>
      <c r="Z35" s="92" t="s">
        <v>169</v>
      </c>
      <c r="AA35" s="92" t="s">
        <v>169</v>
      </c>
      <c r="AB35" s="92" t="s">
        <v>169</v>
      </c>
      <c r="AC35" s="92" t="s">
        <v>169</v>
      </c>
      <c r="AD35" s="92" t="s">
        <v>169</v>
      </c>
      <c r="AE35" s="92" t="s">
        <v>169</v>
      </c>
      <c r="AF35" s="92" t="s">
        <v>169</v>
      </c>
      <c r="AG35" s="92" t="s">
        <v>169</v>
      </c>
      <c r="AH35" s="93" t="s">
        <v>170</v>
      </c>
      <c r="AI35" s="93" t="s">
        <v>171</v>
      </c>
      <c r="AK35" s="92" t="s">
        <v>172</v>
      </c>
      <c r="AL35" s="92" t="s">
        <v>173</v>
      </c>
      <c r="AM35" s="92" t="s">
        <v>174</v>
      </c>
      <c r="AO35" s="94" t="s">
        <v>175</v>
      </c>
    </row>
    <row r="36" spans="1:44">
      <c r="A36" s="95" t="s">
        <v>176</v>
      </c>
      <c r="B36" s="96"/>
      <c r="C36" s="96">
        <v>3959175946.6399999</v>
      </c>
      <c r="D36" s="96">
        <v>4042160551.4500003</v>
      </c>
      <c r="E36" s="96">
        <v>4042160551.4500003</v>
      </c>
      <c r="F36" s="96">
        <v>4042160551.4500003</v>
      </c>
      <c r="G36" s="96">
        <v>4123934372.9200001</v>
      </c>
      <c r="H36" s="96">
        <v>4200233414.9700003</v>
      </c>
      <c r="I36" s="96">
        <v>4148495524.4000001</v>
      </c>
      <c r="J36" s="96">
        <v>4114990713.8299999</v>
      </c>
      <c r="K36" s="96">
        <v>4049750901.1700001</v>
      </c>
      <c r="L36" s="96">
        <v>4049750901.1700001</v>
      </c>
      <c r="M36" s="96">
        <v>4049750901.1700001</v>
      </c>
      <c r="N36" s="96">
        <v>4092827293.9400001</v>
      </c>
      <c r="O36" s="96">
        <v>4115884509.2000003</v>
      </c>
      <c r="P36" s="96">
        <v>4133407591.4400001</v>
      </c>
      <c r="Q36" s="96">
        <v>4075227128.6700001</v>
      </c>
      <c r="R36" s="96">
        <v>4012911023</v>
      </c>
      <c r="S36" s="96">
        <v>4012911023</v>
      </c>
      <c r="T36" s="96">
        <v>4012911023</v>
      </c>
      <c r="U36" s="96">
        <v>3868464632.5599999</v>
      </c>
      <c r="V36" s="96">
        <v>3882845193.4099998</v>
      </c>
      <c r="W36" s="96">
        <v>3875427194.7000003</v>
      </c>
      <c r="X36" s="96">
        <v>3928672081.0500002</v>
      </c>
      <c r="Y36" s="96">
        <v>3922995129.5700002</v>
      </c>
      <c r="Z36" s="96">
        <v>3922995129.5700002</v>
      </c>
      <c r="AA36" s="96">
        <v>3922995129.5700002</v>
      </c>
      <c r="AB36" s="96">
        <v>3953257637.3400002</v>
      </c>
      <c r="AC36" s="96">
        <v>3920292474.3400002</v>
      </c>
      <c r="AD36" s="96">
        <v>3908198401.8699999</v>
      </c>
      <c r="AE36" s="96">
        <v>3908198401.8699999</v>
      </c>
      <c r="AF36" s="96">
        <v>3693456468.5100002</v>
      </c>
      <c r="AG36" s="96"/>
      <c r="AH36" s="97">
        <f>AVERAGE(B36:AG36)</f>
        <v>3999548059.9076667</v>
      </c>
      <c r="AI36" s="97">
        <f>AO36-AO20</f>
        <v>37045700.853666902</v>
      </c>
      <c r="AJ36" s="98" t="s">
        <v>177</v>
      </c>
      <c r="AK36" s="97">
        <f>+AH36</f>
        <v>3999548059.9076667</v>
      </c>
      <c r="AL36" s="97">
        <f>+AI36</f>
        <v>37045700.853666902</v>
      </c>
      <c r="AM36" s="99">
        <f>+AL36/AK36*366/30</f>
        <v>0.11300215515479269</v>
      </c>
      <c r="AO36" s="97">
        <v>116210493.90931363</v>
      </c>
    </row>
    <row r="37" spans="1:44">
      <c r="A37" s="100" t="s">
        <v>178</v>
      </c>
      <c r="B37" s="96"/>
      <c r="C37" s="96">
        <v>1829166522.05</v>
      </c>
      <c r="D37" s="96">
        <v>1829166522.05</v>
      </c>
      <c r="E37" s="96">
        <v>1829166522.05</v>
      </c>
      <c r="F37" s="96">
        <v>1829166522.05</v>
      </c>
      <c r="G37" s="96">
        <v>1829166522.05</v>
      </c>
      <c r="H37" s="96">
        <v>1829166522.05</v>
      </c>
      <c r="I37" s="96">
        <v>1829166522.05</v>
      </c>
      <c r="J37" s="96">
        <v>1829166522.05</v>
      </c>
      <c r="K37" s="96">
        <v>1829166522.05</v>
      </c>
      <c r="L37" s="96">
        <v>1829166522.05</v>
      </c>
      <c r="M37" s="96">
        <v>1829166522.05</v>
      </c>
      <c r="N37" s="96">
        <v>1829166522.05</v>
      </c>
      <c r="O37" s="96">
        <v>1829166522.05</v>
      </c>
      <c r="P37" s="96">
        <v>1829166522.05</v>
      </c>
      <c r="Q37" s="96">
        <v>1829166522.05</v>
      </c>
      <c r="R37" s="96">
        <v>1442143320.05</v>
      </c>
      <c r="S37" s="96">
        <v>1442143320.05</v>
      </c>
      <c r="T37" s="96">
        <v>1442143320.05</v>
      </c>
      <c r="U37" s="96">
        <v>1410361995.3500001</v>
      </c>
      <c r="V37" s="96">
        <v>1410361995.3500001</v>
      </c>
      <c r="W37" s="96">
        <v>1410361995.3500001</v>
      </c>
      <c r="X37" s="96">
        <v>1410361995.3500001</v>
      </c>
      <c r="Y37" s="96">
        <v>1410361995.3500001</v>
      </c>
      <c r="Z37" s="96">
        <v>1410361995.3500001</v>
      </c>
      <c r="AA37" s="96">
        <v>1410361995.3500001</v>
      </c>
      <c r="AB37" s="96">
        <v>1410361995.3500001</v>
      </c>
      <c r="AC37" s="96">
        <v>1410361995.3500001</v>
      </c>
      <c r="AD37" s="96">
        <v>1912908010.3500001</v>
      </c>
      <c r="AE37" s="96">
        <v>1912908010.3500001</v>
      </c>
      <c r="AF37" s="96">
        <v>1917470963.9100001</v>
      </c>
      <c r="AG37" s="96"/>
      <c r="AH37" s="97">
        <f>AVERAGE(B37:AG37)</f>
        <v>1673349091.1219993</v>
      </c>
      <c r="AI37" s="97">
        <f>AO37-AO21</f>
        <v>14861015.18</v>
      </c>
      <c r="AJ37" s="98" t="s">
        <v>179</v>
      </c>
      <c r="AK37" s="101">
        <f>+AH40</f>
        <v>542201035.06133318</v>
      </c>
      <c r="AL37" s="101">
        <f>+AI40</f>
        <v>4657927.9317516442</v>
      </c>
      <c r="AM37" s="99">
        <f t="shared" ref="AM37:AM43" si="6">+AL37/AK37*366/30</f>
        <v>0.10480747378311789</v>
      </c>
      <c r="AO37" s="97">
        <v>47634312.43</v>
      </c>
      <c r="AP37" s="103"/>
    </row>
    <row r="38" spans="1:44">
      <c r="A38" s="100" t="s">
        <v>180</v>
      </c>
      <c r="B38" s="96"/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v>0</v>
      </c>
      <c r="AG38" s="96"/>
      <c r="AH38" s="97">
        <f>AVERAGE(B38:AG38)</f>
        <v>0</v>
      </c>
      <c r="AI38" s="97">
        <f>AO38-AO22</f>
        <v>0</v>
      </c>
      <c r="AJ38" s="98" t="s">
        <v>181</v>
      </c>
      <c r="AK38" s="101">
        <f>AH38</f>
        <v>0</v>
      </c>
      <c r="AL38" s="101">
        <f>AI38</f>
        <v>0</v>
      </c>
      <c r="AM38" s="99" t="e">
        <f t="shared" si="6"/>
        <v>#DIV/0!</v>
      </c>
      <c r="AO38" s="97">
        <v>0</v>
      </c>
    </row>
    <row r="39" spans="1:44">
      <c r="A39" s="100" t="s">
        <v>182</v>
      </c>
      <c r="B39" s="96"/>
      <c r="C39" s="96">
        <v>713586909.84000003</v>
      </c>
      <c r="D39" s="96">
        <v>757032771.84000003</v>
      </c>
      <c r="E39" s="96">
        <v>757032771.84000003</v>
      </c>
      <c r="F39" s="96">
        <v>757032771.84000003</v>
      </c>
      <c r="G39" s="96">
        <v>757032771.84000003</v>
      </c>
      <c r="H39" s="96">
        <v>739799302.25</v>
      </c>
      <c r="I39" s="96">
        <v>778935142.95000005</v>
      </c>
      <c r="J39" s="96">
        <v>828173775.80000007</v>
      </c>
      <c r="K39" s="96">
        <v>848237701.86000001</v>
      </c>
      <c r="L39" s="96">
        <v>848237701.86000001</v>
      </c>
      <c r="M39" s="96">
        <v>848237701.86000001</v>
      </c>
      <c r="N39" s="96">
        <v>852029425.44000006</v>
      </c>
      <c r="O39" s="96">
        <v>1202949608.53</v>
      </c>
      <c r="P39" s="96">
        <v>1208278019.53</v>
      </c>
      <c r="Q39" s="96">
        <v>1188113970.1900001</v>
      </c>
      <c r="R39" s="96">
        <v>1213301871.1900001</v>
      </c>
      <c r="S39" s="96">
        <v>1213301871.1900001</v>
      </c>
      <c r="T39" s="96">
        <v>1213301871.1900001</v>
      </c>
      <c r="U39" s="96">
        <v>1672533332.9100001</v>
      </c>
      <c r="V39" s="96">
        <v>1682311480.5</v>
      </c>
      <c r="W39" s="96">
        <v>1696109186.4100001</v>
      </c>
      <c r="X39" s="96">
        <v>1691772533.1800001</v>
      </c>
      <c r="Y39" s="96">
        <v>1763592027.1800001</v>
      </c>
      <c r="Z39" s="96">
        <v>1763592027.1800001</v>
      </c>
      <c r="AA39" s="96">
        <v>1763592027.1800001</v>
      </c>
      <c r="AB39" s="96">
        <v>1798231872.04</v>
      </c>
      <c r="AC39" s="96">
        <v>1784772128</v>
      </c>
      <c r="AD39" s="96">
        <v>1796254682.49</v>
      </c>
      <c r="AE39" s="96">
        <v>1796254682.49</v>
      </c>
      <c r="AF39" s="96">
        <v>1788382671.3199999</v>
      </c>
      <c r="AG39" s="96"/>
      <c r="AH39" s="97">
        <f t="shared" ref="AH39:AH44" si="7">AVERAGE(B39:AG39)</f>
        <v>1257400487.0640001</v>
      </c>
      <c r="AI39" s="97">
        <f>+AO39-AO23</f>
        <v>8206444.674659458</v>
      </c>
      <c r="AJ39" s="98" t="s">
        <v>144</v>
      </c>
      <c r="AK39" s="101">
        <f>+AH39</f>
        <v>1257400487.0640001</v>
      </c>
      <c r="AL39" s="101">
        <f>+AI39</f>
        <v>8206444.674659458</v>
      </c>
      <c r="AM39" s="99">
        <f t="shared" si="6"/>
        <v>7.9623497891765552E-2</v>
      </c>
      <c r="AO39" s="97">
        <v>16029091.167055622</v>
      </c>
    </row>
    <row r="40" spans="1:44">
      <c r="A40" s="100" t="s">
        <v>143</v>
      </c>
      <c r="B40" s="96"/>
      <c r="C40" s="96">
        <v>564394762.92999935</v>
      </c>
      <c r="D40" s="96">
        <v>563620300.91999912</v>
      </c>
      <c r="E40" s="96">
        <v>563620300.91999912</v>
      </c>
      <c r="F40" s="96">
        <v>563620300.91999912</v>
      </c>
      <c r="G40" s="96">
        <v>561951056.72999954</v>
      </c>
      <c r="H40" s="96">
        <v>571715109.71000004</v>
      </c>
      <c r="I40" s="96">
        <v>571674359.80000019</v>
      </c>
      <c r="J40" s="96">
        <v>570473419.80000019</v>
      </c>
      <c r="K40" s="96">
        <v>549432349.80000019</v>
      </c>
      <c r="L40" s="96">
        <v>549432349.80000019</v>
      </c>
      <c r="M40" s="96">
        <v>549432349.80000019</v>
      </c>
      <c r="N40" s="96">
        <v>535845787.2699995</v>
      </c>
      <c r="O40" s="96">
        <v>550669110.30000019</v>
      </c>
      <c r="P40" s="96">
        <v>539139021.81999969</v>
      </c>
      <c r="Q40" s="96">
        <v>537728481.53999996</v>
      </c>
      <c r="R40" s="96">
        <v>530170698.90999985</v>
      </c>
      <c r="S40" s="96">
        <v>530170698.90999985</v>
      </c>
      <c r="T40" s="96">
        <v>530170698.90999985</v>
      </c>
      <c r="U40" s="96">
        <v>531048239.43999958</v>
      </c>
      <c r="V40" s="96">
        <v>544735389.00000048</v>
      </c>
      <c r="W40" s="96">
        <v>552028087.97999954</v>
      </c>
      <c r="X40" s="96">
        <v>526948037.78999996</v>
      </c>
      <c r="Y40" s="96">
        <v>525945900.18000031</v>
      </c>
      <c r="Z40" s="96">
        <v>525945900.18000031</v>
      </c>
      <c r="AA40" s="96">
        <v>525945900.18000031</v>
      </c>
      <c r="AB40" s="96">
        <v>525945900.18000031</v>
      </c>
      <c r="AC40" s="96">
        <v>513014527.30999994</v>
      </c>
      <c r="AD40" s="96">
        <v>515107614.30999947</v>
      </c>
      <c r="AE40" s="96">
        <v>515107614.30999947</v>
      </c>
      <c r="AF40" s="96">
        <v>530996782.19000053</v>
      </c>
      <c r="AG40" s="96"/>
      <c r="AH40" s="97">
        <f t="shared" si="7"/>
        <v>542201035.06133318</v>
      </c>
      <c r="AI40" s="97">
        <f>+AO40-AO24</f>
        <v>4657927.9317516442</v>
      </c>
      <c r="AJ40" s="98" t="s">
        <v>183</v>
      </c>
      <c r="AK40" s="101">
        <f>+AH42+AH43+AH44</f>
        <v>555064427.68844998</v>
      </c>
      <c r="AL40" s="101">
        <f>+AI42+AI43+AI44</f>
        <v>3476677.2644000007</v>
      </c>
      <c r="AM40" s="99">
        <f t="shared" si="6"/>
        <v>7.6415386232401891E-2</v>
      </c>
      <c r="AO40" s="97">
        <v>14583176.939708218</v>
      </c>
    </row>
    <row r="41" spans="1:44">
      <c r="A41" s="100" t="s">
        <v>184</v>
      </c>
      <c r="B41" s="96"/>
      <c r="C41" s="96">
        <v>4542138638.8100004</v>
      </c>
      <c r="D41" s="96">
        <v>4682077787.4000006</v>
      </c>
      <c r="E41" s="96">
        <v>4682077787.4000006</v>
      </c>
      <c r="F41" s="96">
        <v>4682077787.4000006</v>
      </c>
      <c r="G41" s="96">
        <v>4678863828.0900002</v>
      </c>
      <c r="H41" s="96">
        <v>4636034054.1800003</v>
      </c>
      <c r="I41" s="96">
        <v>4633000316.2600002</v>
      </c>
      <c r="J41" s="96">
        <v>4549745110.8000002</v>
      </c>
      <c r="K41" s="96">
        <v>4476594311.0900002</v>
      </c>
      <c r="L41" s="96">
        <v>4476594311.0900002</v>
      </c>
      <c r="M41" s="96">
        <v>4476594311.0900002</v>
      </c>
      <c r="N41" s="96">
        <v>4379637538.9300003</v>
      </c>
      <c r="O41" s="96">
        <v>4324647518</v>
      </c>
      <c r="P41" s="96">
        <v>4329560141.8500004</v>
      </c>
      <c r="Q41" s="96">
        <v>4356605756.9899998</v>
      </c>
      <c r="R41" s="96">
        <v>4344314975.1800003</v>
      </c>
      <c r="S41" s="96">
        <v>4344314975.1800003</v>
      </c>
      <c r="T41" s="96">
        <v>4344314975.1800003</v>
      </c>
      <c r="U41" s="96">
        <v>4200831775.2200003</v>
      </c>
      <c r="V41" s="96">
        <v>4114438187.8899999</v>
      </c>
      <c r="W41" s="96">
        <v>4135055652.4700003</v>
      </c>
      <c r="X41" s="96">
        <v>4110399140.3400002</v>
      </c>
      <c r="Y41" s="96">
        <v>4056295747.8400002</v>
      </c>
      <c r="Z41" s="96">
        <v>4056295747.8400002</v>
      </c>
      <c r="AA41" s="96">
        <v>4056295747.8400002</v>
      </c>
      <c r="AB41" s="96">
        <v>4045209214.96</v>
      </c>
      <c r="AC41" s="96">
        <v>4002118674.6500001</v>
      </c>
      <c r="AD41" s="96">
        <v>4139643177.5100002</v>
      </c>
      <c r="AE41" s="96">
        <v>4139643177.5100002</v>
      </c>
      <c r="AF41" s="96">
        <v>4133323280.5900002</v>
      </c>
      <c r="AG41" s="96"/>
      <c r="AH41" s="97">
        <f t="shared" si="7"/>
        <v>4337624788.3193321</v>
      </c>
      <c r="AI41" s="97">
        <f>+AO41-AO25</f>
        <v>29839307.188965552</v>
      </c>
      <c r="AJ41" s="98" t="s">
        <v>142</v>
      </c>
      <c r="AK41" s="101">
        <f>AH41</f>
        <v>4337624788.3193321</v>
      </c>
      <c r="AL41" s="101">
        <f>AI41</f>
        <v>29839307.188965552</v>
      </c>
      <c r="AM41" s="99">
        <f t="shared" si="6"/>
        <v>8.3926011462699943E-2</v>
      </c>
      <c r="AO41" s="97">
        <v>91941846.878064126</v>
      </c>
    </row>
    <row r="42" spans="1:44">
      <c r="A42" s="100" t="s">
        <v>185</v>
      </c>
      <c r="B42" s="96"/>
      <c r="C42" s="96">
        <v>572015125.89024997</v>
      </c>
      <c r="D42" s="96">
        <v>587302563.78382504</v>
      </c>
      <c r="E42" s="96">
        <v>587302563.78382504</v>
      </c>
      <c r="F42" s="96">
        <v>587302563.78382504</v>
      </c>
      <c r="G42" s="96">
        <v>563725711.57474995</v>
      </c>
      <c r="H42" s="96">
        <v>561386435.29737484</v>
      </c>
      <c r="I42" s="96">
        <v>550797692.5347749</v>
      </c>
      <c r="J42" s="96">
        <v>539196103.41484976</v>
      </c>
      <c r="K42" s="96">
        <v>557243638.18017483</v>
      </c>
      <c r="L42" s="96">
        <v>557243638.18017483</v>
      </c>
      <c r="M42" s="96">
        <v>557243638.18017483</v>
      </c>
      <c r="N42" s="96">
        <v>555906134.45832491</v>
      </c>
      <c r="O42" s="96">
        <v>570219667.11084986</v>
      </c>
      <c r="P42" s="96">
        <v>583076442.80467498</v>
      </c>
      <c r="Q42" s="96">
        <v>583076442.80467498</v>
      </c>
      <c r="R42" s="96">
        <v>564621509.3865248</v>
      </c>
      <c r="S42" s="96">
        <v>564621509.3865248</v>
      </c>
      <c r="T42" s="96">
        <v>564621509.3865248</v>
      </c>
      <c r="U42" s="96">
        <v>540303326.69394994</v>
      </c>
      <c r="V42" s="96">
        <v>545796119.15672493</v>
      </c>
      <c r="W42" s="96">
        <v>554172742.6329999</v>
      </c>
      <c r="X42" s="96">
        <v>552852588.03079998</v>
      </c>
      <c r="Y42" s="96">
        <v>528330801.61657494</v>
      </c>
      <c r="Z42" s="96">
        <v>528330801.61657494</v>
      </c>
      <c r="AA42" s="96">
        <v>528330801.61657494</v>
      </c>
      <c r="AB42" s="96">
        <v>531497583.01650006</v>
      </c>
      <c r="AC42" s="96">
        <v>545386185.26820004</v>
      </c>
      <c r="AD42" s="96">
        <v>554676334.60870004</v>
      </c>
      <c r="AE42" s="96">
        <v>554676334.60870004</v>
      </c>
      <c r="AF42" s="96">
        <v>480676321.84510005</v>
      </c>
      <c r="AG42" s="96"/>
      <c r="AH42" s="97">
        <f t="shared" si="7"/>
        <v>555064427.68844998</v>
      </c>
      <c r="AI42" s="97">
        <f>AO42-AO26</f>
        <v>3476677.2644000007</v>
      </c>
      <c r="AJ42" s="98" t="s">
        <v>186</v>
      </c>
      <c r="AK42" s="101">
        <v>0</v>
      </c>
      <c r="AL42" s="101">
        <v>0</v>
      </c>
      <c r="AM42" s="99"/>
      <c r="AO42" s="101">
        <v>10577120.027900001</v>
      </c>
    </row>
    <row r="43" spans="1:44">
      <c r="A43" s="100" t="s">
        <v>187</v>
      </c>
      <c r="B43" s="96"/>
      <c r="C43" s="96">
        <v>0</v>
      </c>
      <c r="D43" s="96">
        <v>0</v>
      </c>
      <c r="E43" s="96">
        <v>0</v>
      </c>
      <c r="F43" s="96">
        <v>0</v>
      </c>
      <c r="G43" s="96">
        <v>0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96">
        <v>0</v>
      </c>
      <c r="S43" s="96">
        <v>0</v>
      </c>
      <c r="T43" s="96">
        <v>0</v>
      </c>
      <c r="U43" s="96">
        <v>0</v>
      </c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96">
        <v>0</v>
      </c>
      <c r="AF43" s="96">
        <v>0</v>
      </c>
      <c r="AG43" s="96"/>
      <c r="AH43" s="97">
        <f t="shared" si="7"/>
        <v>0</v>
      </c>
      <c r="AI43" s="97">
        <f>AO43-AO27</f>
        <v>0</v>
      </c>
      <c r="AJ43" s="98" t="s">
        <v>145</v>
      </c>
      <c r="AK43" s="101">
        <f>AH37</f>
        <v>1673349091.1219993</v>
      </c>
      <c r="AL43" s="101">
        <f>AI37</f>
        <v>14861015.18</v>
      </c>
      <c r="AM43" s="99">
        <f t="shared" si="6"/>
        <v>0.10834821386518541</v>
      </c>
      <c r="AO43" s="101"/>
    </row>
    <row r="44" spans="1:44">
      <c r="A44" s="100" t="s">
        <v>188</v>
      </c>
      <c r="B44" s="96"/>
      <c r="C44" s="96">
        <v>0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v>0</v>
      </c>
      <c r="W44" s="96">
        <v>0</v>
      </c>
      <c r="X44" s="96">
        <v>0</v>
      </c>
      <c r="Y44" s="96">
        <v>0</v>
      </c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96">
        <v>0</v>
      </c>
      <c r="AF44" s="96">
        <v>0</v>
      </c>
      <c r="AG44" s="96"/>
      <c r="AH44" s="97">
        <f t="shared" si="7"/>
        <v>0</v>
      </c>
      <c r="AI44" s="97">
        <f>+AO44-AO28</f>
        <v>0</v>
      </c>
      <c r="AJ44" s="98"/>
      <c r="AK44" s="101"/>
      <c r="AL44" s="101"/>
      <c r="AM44" s="101"/>
      <c r="AO44" s="101"/>
    </row>
    <row r="45" spans="1:44">
      <c r="A45" s="100" t="s">
        <v>189</v>
      </c>
      <c r="B45" s="96"/>
      <c r="C45" s="96"/>
      <c r="D45" s="96"/>
      <c r="E45" s="96"/>
      <c r="F45" s="96"/>
      <c r="G45" s="96"/>
      <c r="H45" s="96"/>
      <c r="I45" s="96"/>
      <c r="J45" s="96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96"/>
      <c r="Z45" s="96"/>
      <c r="AA45" s="96"/>
      <c r="AB45" s="96"/>
      <c r="AC45" s="96"/>
      <c r="AD45" s="96"/>
      <c r="AE45" s="96"/>
      <c r="AF45" s="96"/>
      <c r="AG45" s="96"/>
      <c r="AH45" s="97">
        <v>365724643.87</v>
      </c>
      <c r="AI45" s="97"/>
      <c r="AJ45" s="98"/>
      <c r="AK45" s="101"/>
      <c r="AL45" s="101"/>
      <c r="AM45" s="101"/>
      <c r="AO45" s="101"/>
    </row>
    <row r="46" spans="1:44">
      <c r="A46" s="100" t="s">
        <v>190</v>
      </c>
      <c r="B46" s="96"/>
      <c r="C46" s="96">
        <v>0</v>
      </c>
      <c r="D46" s="96">
        <v>0</v>
      </c>
      <c r="E46" s="96">
        <v>0</v>
      </c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  <c r="AD46" s="96">
        <v>0</v>
      </c>
      <c r="AE46" s="96">
        <v>0</v>
      </c>
      <c r="AF46" s="96">
        <v>0</v>
      </c>
      <c r="AG46" s="96"/>
      <c r="AH46" s="97">
        <f>AVERAGE(B46:AG46)</f>
        <v>0</v>
      </c>
      <c r="AI46" s="97"/>
      <c r="AK46" s="101"/>
      <c r="AL46" s="101"/>
      <c r="AM46" s="101"/>
      <c r="AO46" s="101"/>
    </row>
    <row r="47" spans="1:44">
      <c r="A47" s="105"/>
      <c r="B47" s="105"/>
      <c r="C47" s="105"/>
      <c r="D47" s="105"/>
      <c r="E47" s="105"/>
      <c r="F47" s="105"/>
      <c r="G47" s="96"/>
      <c r="H47" s="96"/>
      <c r="I47" s="96"/>
      <c r="J47" s="96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97">
        <v>0</v>
      </c>
      <c r="AK47" s="105"/>
      <c r="AL47" s="105"/>
      <c r="AM47" s="106"/>
      <c r="AO47" s="107"/>
    </row>
    <row r="48" spans="1:44">
      <c r="A48" s="108" t="s">
        <v>146</v>
      </c>
      <c r="B48" s="109"/>
      <c r="C48" s="109">
        <v>12180477906.16025</v>
      </c>
      <c r="D48" s="109">
        <v>12461360497.443825</v>
      </c>
      <c r="E48" s="109">
        <v>12461360497.443825</v>
      </c>
      <c r="F48" s="109">
        <v>12461360497.443825</v>
      </c>
      <c r="G48" s="109">
        <v>12514674263.20475</v>
      </c>
      <c r="H48" s="109">
        <v>12538334838.457375</v>
      </c>
      <c r="I48" s="109">
        <v>12512069557.994774</v>
      </c>
      <c r="J48" s="109">
        <v>12431745645.694851</v>
      </c>
      <c r="K48" s="109">
        <v>12310425424.150177</v>
      </c>
      <c r="L48" s="109">
        <v>12310425424.150177</v>
      </c>
      <c r="M48" s="109">
        <v>12310425424.150177</v>
      </c>
      <c r="N48" s="109">
        <v>12245412702.088326</v>
      </c>
      <c r="O48" s="109">
        <v>12593536935.190849</v>
      </c>
      <c r="P48" s="109">
        <v>12622627739.494673</v>
      </c>
      <c r="Q48" s="109">
        <v>12569918302.244673</v>
      </c>
      <c r="R48" s="109">
        <v>12107463397.716524</v>
      </c>
      <c r="S48" s="109">
        <v>12107463397.716524</v>
      </c>
      <c r="T48" s="109">
        <v>12107463397.716524</v>
      </c>
      <c r="U48" s="109">
        <v>12223543302.17395</v>
      </c>
      <c r="V48" s="109">
        <v>12180488365.306725</v>
      </c>
      <c r="W48" s="109">
        <v>12223154859.542999</v>
      </c>
      <c r="X48" s="109">
        <v>12221006375.740801</v>
      </c>
      <c r="Y48" s="109">
        <v>12207521601.736576</v>
      </c>
      <c r="Z48" s="109">
        <v>12207521601.736576</v>
      </c>
      <c r="AA48" s="109">
        <v>12207521601.736576</v>
      </c>
      <c r="AB48" s="109">
        <v>12264504202.886501</v>
      </c>
      <c r="AC48" s="109">
        <v>12175945984.9182</v>
      </c>
      <c r="AD48" s="109">
        <v>12826788221.138699</v>
      </c>
      <c r="AE48" s="109">
        <v>12826788221.138699</v>
      </c>
      <c r="AF48" s="109">
        <v>12544306488.365101</v>
      </c>
      <c r="AG48" s="109"/>
      <c r="AH48" s="109">
        <f>AVERAGE(B48:AG48)</f>
        <v>12365187889.162781</v>
      </c>
      <c r="AI48" s="109">
        <f>SUM(AI36:AI47)</f>
        <v>98087073.093443573</v>
      </c>
      <c r="AK48" s="109">
        <f>SUM(AK36:AK47)</f>
        <v>12365187889.162783</v>
      </c>
      <c r="AL48" s="109">
        <f>SUM(AL35:AL47)</f>
        <v>98087073.093443573</v>
      </c>
      <c r="AM48" s="110">
        <f>+AL48/AK48*366/30</f>
        <v>9.67767172214829E-2</v>
      </c>
      <c r="AO48" s="111">
        <f>SUM(AO36:AO47)</f>
        <v>296976041.3520416</v>
      </c>
      <c r="AP48" s="86"/>
      <c r="AQ48" s="86"/>
      <c r="AR48" s="86"/>
    </row>
    <row r="49" spans="1:44">
      <c r="G49" s="86"/>
      <c r="L49" s="86"/>
      <c r="N49" s="86"/>
      <c r="O49" s="86"/>
      <c r="U49" s="86"/>
      <c r="AA49" s="86"/>
      <c r="AB49" s="86"/>
      <c r="AQ49" s="86"/>
    </row>
    <row r="50" spans="1:44" s="89" customFormat="1">
      <c r="A50" s="87" t="s">
        <v>167</v>
      </c>
      <c r="B50" s="88"/>
      <c r="C50" s="88">
        <v>45108</v>
      </c>
      <c r="D50" s="88">
        <f t="shared" ref="D50:AG50" si="8">C50+1</f>
        <v>45109</v>
      </c>
      <c r="E50" s="88">
        <f t="shared" si="8"/>
        <v>45110</v>
      </c>
      <c r="F50" s="88">
        <f t="shared" si="8"/>
        <v>45111</v>
      </c>
      <c r="G50" s="88">
        <f t="shared" si="8"/>
        <v>45112</v>
      </c>
      <c r="H50" s="88">
        <f t="shared" si="8"/>
        <v>45113</v>
      </c>
      <c r="I50" s="88">
        <f t="shared" si="8"/>
        <v>45114</v>
      </c>
      <c r="J50" s="88">
        <f t="shared" si="8"/>
        <v>45115</v>
      </c>
      <c r="K50" s="88">
        <f t="shared" si="8"/>
        <v>45116</v>
      </c>
      <c r="L50" s="88">
        <f t="shared" si="8"/>
        <v>45117</v>
      </c>
      <c r="M50" s="88">
        <f t="shared" si="8"/>
        <v>45118</v>
      </c>
      <c r="N50" s="88">
        <f t="shared" si="8"/>
        <v>45119</v>
      </c>
      <c r="O50" s="88">
        <f t="shared" si="8"/>
        <v>45120</v>
      </c>
      <c r="P50" s="88">
        <f t="shared" si="8"/>
        <v>45121</v>
      </c>
      <c r="Q50" s="88">
        <f t="shared" si="8"/>
        <v>45122</v>
      </c>
      <c r="R50" s="88">
        <f t="shared" si="8"/>
        <v>45123</v>
      </c>
      <c r="S50" s="88">
        <f t="shared" si="8"/>
        <v>45124</v>
      </c>
      <c r="T50" s="88">
        <f t="shared" si="8"/>
        <v>45125</v>
      </c>
      <c r="U50" s="88">
        <f t="shared" si="8"/>
        <v>45126</v>
      </c>
      <c r="V50" s="88">
        <f t="shared" si="8"/>
        <v>45127</v>
      </c>
      <c r="W50" s="88">
        <f t="shared" si="8"/>
        <v>45128</v>
      </c>
      <c r="X50" s="88">
        <f t="shared" si="8"/>
        <v>45129</v>
      </c>
      <c r="Y50" s="88">
        <f t="shared" si="8"/>
        <v>45130</v>
      </c>
      <c r="Z50" s="88">
        <f t="shared" si="8"/>
        <v>45131</v>
      </c>
      <c r="AA50" s="88">
        <f t="shared" si="8"/>
        <v>45132</v>
      </c>
      <c r="AB50" s="88">
        <f t="shared" si="8"/>
        <v>45133</v>
      </c>
      <c r="AC50" s="88">
        <f t="shared" si="8"/>
        <v>45134</v>
      </c>
      <c r="AD50" s="88">
        <f t="shared" si="8"/>
        <v>45135</v>
      </c>
      <c r="AE50" s="88">
        <f t="shared" si="8"/>
        <v>45136</v>
      </c>
      <c r="AF50" s="88">
        <f t="shared" si="8"/>
        <v>45137</v>
      </c>
      <c r="AG50" s="88">
        <f t="shared" si="8"/>
        <v>45138</v>
      </c>
      <c r="AL50" s="90"/>
      <c r="AM50" s="90"/>
    </row>
    <row r="51" spans="1:44" s="89" customFormat="1">
      <c r="A51" s="91" t="s">
        <v>168</v>
      </c>
      <c r="B51" s="92"/>
      <c r="C51" s="92" t="s">
        <v>169</v>
      </c>
      <c r="D51" s="92" t="s">
        <v>169</v>
      </c>
      <c r="E51" s="92" t="s">
        <v>169</v>
      </c>
      <c r="F51" s="92" t="s">
        <v>169</v>
      </c>
      <c r="G51" s="92" t="s">
        <v>169</v>
      </c>
      <c r="H51" s="92" t="s">
        <v>169</v>
      </c>
      <c r="I51" s="92" t="s">
        <v>169</v>
      </c>
      <c r="J51" s="92" t="s">
        <v>169</v>
      </c>
      <c r="K51" s="92" t="s">
        <v>169</v>
      </c>
      <c r="L51" s="92" t="s">
        <v>169</v>
      </c>
      <c r="M51" s="92" t="s">
        <v>169</v>
      </c>
      <c r="N51" s="92" t="s">
        <v>169</v>
      </c>
      <c r="O51" s="92" t="s">
        <v>169</v>
      </c>
      <c r="P51" s="92" t="s">
        <v>169</v>
      </c>
      <c r="Q51" s="92" t="s">
        <v>169</v>
      </c>
      <c r="R51" s="92" t="s">
        <v>169</v>
      </c>
      <c r="S51" s="92" t="s">
        <v>169</v>
      </c>
      <c r="T51" s="92" t="s">
        <v>169</v>
      </c>
      <c r="U51" s="92" t="s">
        <v>169</v>
      </c>
      <c r="V51" s="92" t="s">
        <v>169</v>
      </c>
      <c r="W51" s="92" t="s">
        <v>169</v>
      </c>
      <c r="X51" s="92" t="s">
        <v>169</v>
      </c>
      <c r="Y51" s="92" t="s">
        <v>169</v>
      </c>
      <c r="Z51" s="92" t="s">
        <v>169</v>
      </c>
      <c r="AA51" s="92" t="s">
        <v>169</v>
      </c>
      <c r="AB51" s="92" t="s">
        <v>169</v>
      </c>
      <c r="AC51" s="92" t="s">
        <v>169</v>
      </c>
      <c r="AD51" s="92" t="s">
        <v>169</v>
      </c>
      <c r="AE51" s="92" t="s">
        <v>169</v>
      </c>
      <c r="AF51" s="92" t="s">
        <v>169</v>
      </c>
      <c r="AG51" s="92" t="s">
        <v>169</v>
      </c>
      <c r="AH51" s="93" t="s">
        <v>170</v>
      </c>
      <c r="AI51" s="93" t="s">
        <v>171</v>
      </c>
      <c r="AK51" s="92" t="s">
        <v>172</v>
      </c>
      <c r="AL51" s="92" t="s">
        <v>173</v>
      </c>
      <c r="AM51" s="92" t="s">
        <v>174</v>
      </c>
      <c r="AO51" s="94" t="s">
        <v>175</v>
      </c>
    </row>
    <row r="52" spans="1:44">
      <c r="A52" s="95" t="s">
        <v>176</v>
      </c>
      <c r="B52" s="96"/>
      <c r="C52" s="96">
        <v>3693456468.5100002</v>
      </c>
      <c r="D52" s="96">
        <v>3693456468.5100002</v>
      </c>
      <c r="E52" s="96">
        <v>3876482735.48</v>
      </c>
      <c r="F52" s="96">
        <v>3894757934.6800003</v>
      </c>
      <c r="G52" s="96">
        <v>3918071115.8600001</v>
      </c>
      <c r="H52" s="96">
        <v>3878440358.4900002</v>
      </c>
      <c r="I52" s="96">
        <v>3895870523.5700002</v>
      </c>
      <c r="J52" s="96">
        <v>3895870523.5700002</v>
      </c>
      <c r="K52" s="96">
        <v>3895870523.5700002</v>
      </c>
      <c r="L52" s="96">
        <v>3860614398.4400001</v>
      </c>
      <c r="M52" s="96">
        <v>3885595631.6300001</v>
      </c>
      <c r="N52" s="96">
        <v>3980124136.2800002</v>
      </c>
      <c r="O52" s="96">
        <v>3955025572.3299999</v>
      </c>
      <c r="P52" s="96">
        <v>3947462672.2000003</v>
      </c>
      <c r="Q52" s="96">
        <v>3947462672.2000003</v>
      </c>
      <c r="R52" s="96">
        <v>3947462672.2000003</v>
      </c>
      <c r="S52" s="96">
        <v>3894039970.9300003</v>
      </c>
      <c r="T52" s="96">
        <v>3754078499.1300001</v>
      </c>
      <c r="U52" s="96">
        <v>3736966282.5700002</v>
      </c>
      <c r="V52" s="96">
        <v>3769208871.1300001</v>
      </c>
      <c r="W52" s="96">
        <v>3735295785.5799999</v>
      </c>
      <c r="X52" s="96">
        <v>3735295785.5799999</v>
      </c>
      <c r="Y52" s="96">
        <v>3735295785.5799999</v>
      </c>
      <c r="Z52" s="96">
        <v>3746470476.3400002</v>
      </c>
      <c r="AA52" s="96">
        <v>3716902183.4099998</v>
      </c>
      <c r="AB52" s="96">
        <v>3757018578.4500003</v>
      </c>
      <c r="AC52" s="96">
        <v>3797845334.4200001</v>
      </c>
      <c r="AD52" s="96">
        <v>3811085443.73</v>
      </c>
      <c r="AE52" s="96">
        <v>3811085443.73</v>
      </c>
      <c r="AF52" s="96">
        <v>3811085443.73</v>
      </c>
      <c r="AG52" s="96">
        <v>3502000186.1000004</v>
      </c>
      <c r="AH52" s="97">
        <f>AVERAGE(B52:AG52)</f>
        <v>3821925757.352581</v>
      </c>
      <c r="AI52" s="97">
        <f>AO52-AO36</f>
        <v>36327769.656499848</v>
      </c>
      <c r="AJ52" s="98" t="s">
        <v>177</v>
      </c>
      <c r="AK52" s="97">
        <f>+AH52</f>
        <v>3821925757.352581</v>
      </c>
      <c r="AL52" s="97">
        <f>+AI52</f>
        <v>36327769.656499848</v>
      </c>
      <c r="AM52" s="99">
        <f t="shared" ref="AM52:AM57" si="9">+AL52/AK52*366/31</f>
        <v>0.11222145114384867</v>
      </c>
      <c r="AO52" s="97">
        <v>152538263.56581348</v>
      </c>
    </row>
    <row r="53" spans="1:44">
      <c r="A53" s="100" t="s">
        <v>178</v>
      </c>
      <c r="B53" s="96"/>
      <c r="C53" s="96">
        <v>1917470963.9100001</v>
      </c>
      <c r="D53" s="96">
        <v>1917470963.9100001</v>
      </c>
      <c r="E53" s="96">
        <v>1912908010.3500001</v>
      </c>
      <c r="F53" s="96">
        <v>1912908010.3500001</v>
      </c>
      <c r="G53" s="96">
        <v>1912908010.3500001</v>
      </c>
      <c r="H53" s="96">
        <v>1912908010.3500001</v>
      </c>
      <c r="I53" s="96">
        <v>1912908010.3500001</v>
      </c>
      <c r="J53" s="96">
        <v>1912908010.3500001</v>
      </c>
      <c r="K53" s="96">
        <v>1912908010.3500001</v>
      </c>
      <c r="L53" s="96">
        <v>1912908010.3500001</v>
      </c>
      <c r="M53" s="96">
        <v>1912908010.3500001</v>
      </c>
      <c r="N53" s="96">
        <v>1912908010.3500001</v>
      </c>
      <c r="O53" s="96">
        <v>1912908010.3500001</v>
      </c>
      <c r="P53" s="96">
        <v>1912908010.3500001</v>
      </c>
      <c r="Q53" s="96">
        <v>1912908010.3500001</v>
      </c>
      <c r="R53" s="96">
        <v>1912908010.3500001</v>
      </c>
      <c r="S53" s="96">
        <v>1912908010.3500001</v>
      </c>
      <c r="T53" s="96">
        <v>1573381870.05</v>
      </c>
      <c r="U53" s="96">
        <v>1573381870.05</v>
      </c>
      <c r="V53" s="96">
        <v>1573381870.05</v>
      </c>
      <c r="W53" s="96">
        <v>1573381870.05</v>
      </c>
      <c r="X53" s="96">
        <v>1573381870.05</v>
      </c>
      <c r="Y53" s="96">
        <v>1573381870.05</v>
      </c>
      <c r="Z53" s="96">
        <v>1573381870.05</v>
      </c>
      <c r="AA53" s="96">
        <v>1573381870.05</v>
      </c>
      <c r="AB53" s="96">
        <v>1573381870.05</v>
      </c>
      <c r="AC53" s="96">
        <v>1573381870.05</v>
      </c>
      <c r="AD53" s="96">
        <v>1573381870.05</v>
      </c>
      <c r="AE53" s="96">
        <v>1573381870.05</v>
      </c>
      <c r="AF53" s="96">
        <v>1573381870.05</v>
      </c>
      <c r="AG53" s="96">
        <v>1579086013.7635832</v>
      </c>
      <c r="AH53" s="97">
        <f>AVERAGE(B53:AG53)</f>
        <v>1760052013.1446323</v>
      </c>
      <c r="AI53" s="97">
        <f>AO53-AO37</f>
        <v>16073260.530000001</v>
      </c>
      <c r="AJ53" s="98" t="s">
        <v>179</v>
      </c>
      <c r="AK53" s="101">
        <f>+AH56</f>
        <v>537228614.14225793</v>
      </c>
      <c r="AL53" s="101">
        <f>+AI56</f>
        <v>4726959.5969758928</v>
      </c>
      <c r="AM53" s="99">
        <f t="shared" si="9"/>
        <v>0.10388244089892484</v>
      </c>
      <c r="AO53" s="97">
        <v>63707572.960000001</v>
      </c>
      <c r="AP53" s="103"/>
    </row>
    <row r="54" spans="1:44">
      <c r="A54" s="100" t="s">
        <v>180</v>
      </c>
      <c r="B54" s="96"/>
      <c r="C54" s="96">
        <v>0</v>
      </c>
      <c r="D54" s="96">
        <v>0</v>
      </c>
      <c r="E54" s="96">
        <v>0</v>
      </c>
      <c r="F54" s="96">
        <v>0</v>
      </c>
      <c r="G54" s="96">
        <v>0</v>
      </c>
      <c r="H54" s="96">
        <v>0</v>
      </c>
      <c r="I54" s="96">
        <v>0</v>
      </c>
      <c r="J54" s="9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6">
        <v>0</v>
      </c>
      <c r="AG54" s="96">
        <v>0</v>
      </c>
      <c r="AH54" s="97">
        <f>AVERAGE(B54:AG54)</f>
        <v>0</v>
      </c>
      <c r="AI54" s="97">
        <f>AO54-AO38</f>
        <v>0</v>
      </c>
      <c r="AJ54" s="98" t="s">
        <v>181</v>
      </c>
      <c r="AK54" s="101">
        <f>AH54</f>
        <v>0</v>
      </c>
      <c r="AL54" s="101">
        <f>AI54</f>
        <v>0</v>
      </c>
      <c r="AM54" s="99" t="e">
        <f t="shared" si="9"/>
        <v>#DIV/0!</v>
      </c>
      <c r="AO54" s="97">
        <v>0</v>
      </c>
    </row>
    <row r="55" spans="1:44">
      <c r="A55" s="100" t="s">
        <v>182</v>
      </c>
      <c r="B55" s="96"/>
      <c r="C55" s="96">
        <v>1788382671.3199999</v>
      </c>
      <c r="D55" s="96">
        <v>1788382671.3199999</v>
      </c>
      <c r="E55" s="96">
        <v>1804448617.3199999</v>
      </c>
      <c r="F55" s="96">
        <v>1814759772.45</v>
      </c>
      <c r="G55" s="96">
        <v>1807784565.54</v>
      </c>
      <c r="H55" s="96">
        <v>1821179748.02</v>
      </c>
      <c r="I55" s="96">
        <v>1821308986.1900001</v>
      </c>
      <c r="J55" s="96">
        <v>1821308986.1900001</v>
      </c>
      <c r="K55" s="96">
        <v>1821308986.1900001</v>
      </c>
      <c r="L55" s="96">
        <v>1818950964.3800001</v>
      </c>
      <c r="M55" s="96">
        <v>1846656654.3700001</v>
      </c>
      <c r="N55" s="96">
        <v>1846546590.4200001</v>
      </c>
      <c r="O55" s="96">
        <v>1834995667.6400001</v>
      </c>
      <c r="P55" s="96">
        <v>1840088502.0599999</v>
      </c>
      <c r="Q55" s="96">
        <v>1840088502.0599999</v>
      </c>
      <c r="R55" s="96">
        <v>1840088502.0599999</v>
      </c>
      <c r="S55" s="96">
        <v>1872554104.72</v>
      </c>
      <c r="T55" s="96">
        <v>1873454104.72</v>
      </c>
      <c r="U55" s="96">
        <v>1873352539.8500001</v>
      </c>
      <c r="V55" s="96">
        <v>1862671233.3099999</v>
      </c>
      <c r="W55" s="96">
        <v>1897403282.3099999</v>
      </c>
      <c r="X55" s="96">
        <v>1897403282.3099999</v>
      </c>
      <c r="Y55" s="96">
        <v>1897403282.3099999</v>
      </c>
      <c r="Z55" s="96">
        <v>1875949873.55</v>
      </c>
      <c r="AA55" s="96">
        <v>1861511726.5799999</v>
      </c>
      <c r="AB55" s="96">
        <v>1873248556.54</v>
      </c>
      <c r="AC55" s="96">
        <v>1872498874.55</v>
      </c>
      <c r="AD55" s="96">
        <v>1901266751.76</v>
      </c>
      <c r="AE55" s="96">
        <v>1901266751.76</v>
      </c>
      <c r="AF55" s="96">
        <v>1901266751.76</v>
      </c>
      <c r="AG55" s="96">
        <v>1917283906.6900001</v>
      </c>
      <c r="AH55" s="97">
        <f t="shared" ref="AH55:AH60" si="10">AVERAGE(B55:AG55)</f>
        <v>1852735980.975807</v>
      </c>
      <c r="AI55" s="97">
        <f>+AO55-AO39</f>
        <v>12547780.600839224</v>
      </c>
      <c r="AJ55" s="98" t="s">
        <v>144</v>
      </c>
      <c r="AK55" s="101">
        <f>+AH55</f>
        <v>1852735980.975807</v>
      </c>
      <c r="AL55" s="101">
        <f>+AI55</f>
        <v>12547780.600839224</v>
      </c>
      <c r="AM55" s="99">
        <f t="shared" si="9"/>
        <v>7.9959997557292828E-2</v>
      </c>
      <c r="AO55" s="97">
        <v>28576871.767894845</v>
      </c>
    </row>
    <row r="56" spans="1:44">
      <c r="A56" s="100" t="s">
        <v>143</v>
      </c>
      <c r="B56" s="96"/>
      <c r="C56" s="96">
        <v>530996782.19000053</v>
      </c>
      <c r="D56" s="96">
        <v>530996782.19000053</v>
      </c>
      <c r="E56" s="96">
        <v>531181285.18999958</v>
      </c>
      <c r="F56" s="96">
        <v>532355485.36000013</v>
      </c>
      <c r="G56" s="96">
        <v>531870622.36000013</v>
      </c>
      <c r="H56" s="96">
        <v>539911351.72000027</v>
      </c>
      <c r="I56" s="96">
        <v>539911351.72000027</v>
      </c>
      <c r="J56" s="96">
        <v>539911351.72000027</v>
      </c>
      <c r="K56" s="96">
        <v>539911351.72000027</v>
      </c>
      <c r="L56" s="96">
        <v>539905465.12999964</v>
      </c>
      <c r="M56" s="96">
        <v>545723415.12999964</v>
      </c>
      <c r="N56" s="96">
        <v>544920806.13000011</v>
      </c>
      <c r="O56" s="96">
        <v>530316920.98999977</v>
      </c>
      <c r="P56" s="96">
        <v>542487162.40999985</v>
      </c>
      <c r="Q56" s="96">
        <v>542487162.40999985</v>
      </c>
      <c r="R56" s="96">
        <v>542487162.40999985</v>
      </c>
      <c r="S56" s="96">
        <v>542484161.5</v>
      </c>
      <c r="T56" s="96">
        <v>542488587.06999969</v>
      </c>
      <c r="U56" s="96">
        <v>541241014.06999969</v>
      </c>
      <c r="V56" s="96">
        <v>541224758.06999969</v>
      </c>
      <c r="W56" s="96">
        <v>538676278.06999969</v>
      </c>
      <c r="X56" s="96">
        <v>538676278.06999969</v>
      </c>
      <c r="Y56" s="96">
        <v>538676278.06999969</v>
      </c>
      <c r="Z56" s="96">
        <v>538676278.07000065</v>
      </c>
      <c r="AA56" s="96">
        <v>529195231.07000065</v>
      </c>
      <c r="AB56" s="96">
        <v>532059070.21000004</v>
      </c>
      <c r="AC56" s="96">
        <v>529342000.56999969</v>
      </c>
      <c r="AD56" s="96">
        <v>534299105.18000031</v>
      </c>
      <c r="AE56" s="96">
        <v>534299105.18000031</v>
      </c>
      <c r="AF56" s="96">
        <v>534299105.18000031</v>
      </c>
      <c r="AG56" s="96">
        <v>533075329.25</v>
      </c>
      <c r="AH56" s="97">
        <f t="shared" si="10"/>
        <v>537228614.14225793</v>
      </c>
      <c r="AI56" s="97">
        <f>+AO56-AO40</f>
        <v>4726959.5969758928</v>
      </c>
      <c r="AJ56" s="98" t="s">
        <v>183</v>
      </c>
      <c r="AK56" s="101">
        <f>+AH58+AH59+AH60</f>
        <v>540726274.179021</v>
      </c>
      <c r="AL56" s="101">
        <f>+AI58+AI59+AI60</f>
        <v>3502511.0697000008</v>
      </c>
      <c r="AM56" s="99">
        <f t="shared" si="9"/>
        <v>7.647534333495376E-2</v>
      </c>
      <c r="AO56" s="97">
        <v>19310136.536684111</v>
      </c>
    </row>
    <row r="57" spans="1:44">
      <c r="A57" s="100" t="s">
        <v>184</v>
      </c>
      <c r="B57" s="96"/>
      <c r="C57" s="96">
        <v>4133323280.5900002</v>
      </c>
      <c r="D57" s="96">
        <v>4133323280.5900002</v>
      </c>
      <c r="E57" s="96">
        <v>4103402178.9300003</v>
      </c>
      <c r="F57" s="96">
        <v>4041687376.4000001</v>
      </c>
      <c r="G57" s="96">
        <v>4085179585.1100001</v>
      </c>
      <c r="H57" s="96">
        <v>4166135610.0799999</v>
      </c>
      <c r="I57" s="96">
        <v>4173696567.4700003</v>
      </c>
      <c r="J57" s="96">
        <v>4173696567.4700003</v>
      </c>
      <c r="K57" s="96">
        <v>4173696567.4700003</v>
      </c>
      <c r="L57" s="96">
        <v>4124356958.8200002</v>
      </c>
      <c r="M57" s="96">
        <v>4177577959.5700002</v>
      </c>
      <c r="N57" s="96">
        <v>4264122496.0500002</v>
      </c>
      <c r="O57" s="96">
        <v>4289887930.1700001</v>
      </c>
      <c r="P57" s="96">
        <v>4377499388.9400005</v>
      </c>
      <c r="Q57" s="96">
        <v>4377499388.9400005</v>
      </c>
      <c r="R57" s="96">
        <v>4377499388.9400005</v>
      </c>
      <c r="S57" s="96">
        <v>4376244810.04</v>
      </c>
      <c r="T57" s="96">
        <v>4410402449.4700003</v>
      </c>
      <c r="U57" s="96">
        <v>4414036724.9400005</v>
      </c>
      <c r="V57" s="96">
        <v>4528006348.0900002</v>
      </c>
      <c r="W57" s="96">
        <v>4585226105.29</v>
      </c>
      <c r="X57" s="96">
        <v>4585226105.29</v>
      </c>
      <c r="Y57" s="96">
        <v>4585226105.29</v>
      </c>
      <c r="Z57" s="96">
        <v>4493236750.6499996</v>
      </c>
      <c r="AA57" s="96">
        <v>4547923273.6599998</v>
      </c>
      <c r="AB57" s="96">
        <v>4562426844.3999996</v>
      </c>
      <c r="AC57" s="96">
        <v>4612351312.4700003</v>
      </c>
      <c r="AD57" s="96">
        <v>4629070766.8599997</v>
      </c>
      <c r="AE57" s="96">
        <v>4629070766.8599997</v>
      </c>
      <c r="AF57" s="96">
        <v>4629070766.8599997</v>
      </c>
      <c r="AG57" s="96">
        <v>4698625727.0799999</v>
      </c>
      <c r="AH57" s="97">
        <f t="shared" si="10"/>
        <v>4369636431.7029028</v>
      </c>
      <c r="AI57" s="97">
        <f>+AO57-AO41</f>
        <v>29933896.082381085</v>
      </c>
      <c r="AJ57" s="98" t="s">
        <v>142</v>
      </c>
      <c r="AK57" s="101">
        <f>AH57</f>
        <v>4369636431.7029028</v>
      </c>
      <c r="AL57" s="101">
        <f>AI57</f>
        <v>29933896.082381085</v>
      </c>
      <c r="AM57" s="99">
        <f t="shared" si="9"/>
        <v>8.0879290807399307E-2</v>
      </c>
      <c r="AO57" s="97">
        <v>121875742.96044521</v>
      </c>
    </row>
    <row r="58" spans="1:44">
      <c r="A58" s="100" t="s">
        <v>185</v>
      </c>
      <c r="B58" s="96"/>
      <c r="C58" s="96">
        <v>480676321.84510005</v>
      </c>
      <c r="D58" s="96">
        <v>480676321.84510005</v>
      </c>
      <c r="E58" s="96">
        <v>505586684.29554981</v>
      </c>
      <c r="F58" s="96">
        <v>520644283.8265748</v>
      </c>
      <c r="G58" s="96">
        <v>548251115.54937482</v>
      </c>
      <c r="H58" s="96">
        <v>519179697.80532479</v>
      </c>
      <c r="I58" s="96">
        <v>531526944.39349985</v>
      </c>
      <c r="J58" s="96">
        <v>531526944.39349985</v>
      </c>
      <c r="K58" s="96">
        <v>531526944.39349985</v>
      </c>
      <c r="L58" s="96">
        <v>548294575.66544986</v>
      </c>
      <c r="M58" s="96">
        <v>551623485.41562486</v>
      </c>
      <c r="N58" s="96">
        <v>553569847.68867481</v>
      </c>
      <c r="O58" s="96">
        <v>559010228.88002491</v>
      </c>
      <c r="P58" s="96">
        <v>543453032.83082485</v>
      </c>
      <c r="Q58" s="96">
        <v>543453032.83082485</v>
      </c>
      <c r="R58" s="96">
        <v>543453032.83082485</v>
      </c>
      <c r="S58" s="96">
        <v>530619619.27209985</v>
      </c>
      <c r="T58" s="96">
        <v>531090105.52299982</v>
      </c>
      <c r="U58" s="96">
        <v>540167662.65722477</v>
      </c>
      <c r="V58" s="96">
        <v>531916142.65327483</v>
      </c>
      <c r="W58" s="96">
        <v>547390705.08947492</v>
      </c>
      <c r="X58" s="96">
        <v>547390705.08947492</v>
      </c>
      <c r="Y58" s="96">
        <v>547390705.08947492</v>
      </c>
      <c r="Z58" s="96">
        <v>548676794.07917488</v>
      </c>
      <c r="AA58" s="96">
        <v>567803308.7807498</v>
      </c>
      <c r="AB58" s="96">
        <v>567803308.7807498</v>
      </c>
      <c r="AC58" s="96">
        <v>555528399.93902493</v>
      </c>
      <c r="AD58" s="96">
        <v>566843506.38387489</v>
      </c>
      <c r="AE58" s="96">
        <v>566843506.38387489</v>
      </c>
      <c r="AF58" s="96">
        <v>566843506.38387489</v>
      </c>
      <c r="AG58" s="96">
        <v>553754028.95452499</v>
      </c>
      <c r="AH58" s="97">
        <f t="shared" si="10"/>
        <v>540726274.179021</v>
      </c>
      <c r="AI58" s="97">
        <f>AO58-AO42</f>
        <v>3502511.0697000008</v>
      </c>
      <c r="AJ58" s="98" t="s">
        <v>186</v>
      </c>
      <c r="AK58" s="101">
        <v>0</v>
      </c>
      <c r="AL58" s="101">
        <v>0</v>
      </c>
      <c r="AM58" s="99"/>
      <c r="AO58" s="101">
        <v>14079631.097600002</v>
      </c>
    </row>
    <row r="59" spans="1:44">
      <c r="A59" s="100" t="s">
        <v>187</v>
      </c>
      <c r="B59" s="96"/>
      <c r="C59" s="96">
        <v>0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6">
        <v>0</v>
      </c>
      <c r="T59" s="96">
        <v>0</v>
      </c>
      <c r="U59" s="96">
        <v>0</v>
      </c>
      <c r="V59" s="96">
        <v>0</v>
      </c>
      <c r="W59" s="96">
        <v>0</v>
      </c>
      <c r="X59" s="96">
        <v>0</v>
      </c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6">
        <v>0</v>
      </c>
      <c r="AE59" s="96">
        <v>0</v>
      </c>
      <c r="AF59" s="96">
        <v>0</v>
      </c>
      <c r="AG59" s="96">
        <v>0</v>
      </c>
      <c r="AH59" s="97">
        <f t="shared" si="10"/>
        <v>0</v>
      </c>
      <c r="AI59" s="97">
        <f>AO59-AO43</f>
        <v>0</v>
      </c>
      <c r="AJ59" s="98" t="s">
        <v>145</v>
      </c>
      <c r="AK59" s="101">
        <f>AH53</f>
        <v>1760052013.1446323</v>
      </c>
      <c r="AL59" s="101">
        <f>AI53</f>
        <v>16073260.530000001</v>
      </c>
      <c r="AM59" s="99">
        <f>+AL59/AK59*366/31</f>
        <v>0.10781963901736014</v>
      </c>
      <c r="AO59" s="101"/>
    </row>
    <row r="60" spans="1:44">
      <c r="A60" s="100" t="s">
        <v>188</v>
      </c>
      <c r="B60" s="96"/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96">
        <v>0</v>
      </c>
      <c r="U60" s="96">
        <v>0</v>
      </c>
      <c r="V60" s="96">
        <v>0</v>
      </c>
      <c r="W60" s="96">
        <v>0</v>
      </c>
      <c r="X60" s="96">
        <v>0</v>
      </c>
      <c r="Y60" s="96">
        <v>0</v>
      </c>
      <c r="Z60" s="96">
        <v>0</v>
      </c>
      <c r="AA60" s="96">
        <v>0</v>
      </c>
      <c r="AB60" s="96">
        <v>0</v>
      </c>
      <c r="AC60" s="96">
        <v>0</v>
      </c>
      <c r="AD60" s="96">
        <v>0</v>
      </c>
      <c r="AE60" s="96">
        <v>0</v>
      </c>
      <c r="AF60" s="96">
        <v>0</v>
      </c>
      <c r="AG60" s="96">
        <v>0</v>
      </c>
      <c r="AH60" s="97">
        <f t="shared" si="10"/>
        <v>0</v>
      </c>
      <c r="AI60" s="97">
        <f>+AO60-AO44</f>
        <v>0</v>
      </c>
      <c r="AJ60" s="98"/>
      <c r="AK60" s="101"/>
      <c r="AL60" s="101"/>
      <c r="AM60" s="101"/>
      <c r="AO60" s="101"/>
    </row>
    <row r="61" spans="1:44">
      <c r="A61" s="100" t="s">
        <v>189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96"/>
      <c r="AA61" s="96"/>
      <c r="AB61" s="96"/>
      <c r="AC61" s="96"/>
      <c r="AD61" s="96"/>
      <c r="AE61" s="96"/>
      <c r="AF61" s="96"/>
      <c r="AG61" s="96"/>
      <c r="AH61" s="97">
        <v>364724643.87</v>
      </c>
      <c r="AI61" s="97"/>
      <c r="AJ61" s="98"/>
      <c r="AK61" s="101"/>
      <c r="AL61" s="101"/>
      <c r="AM61" s="101"/>
      <c r="AO61" s="101"/>
    </row>
    <row r="62" spans="1:44">
      <c r="A62" s="100" t="s">
        <v>190</v>
      </c>
      <c r="B62" s="96"/>
      <c r="C62" s="96">
        <v>0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96">
        <v>0</v>
      </c>
      <c r="AA62" s="96">
        <v>0</v>
      </c>
      <c r="AB62" s="96">
        <v>0</v>
      </c>
      <c r="AC62" s="96">
        <v>0</v>
      </c>
      <c r="AD62" s="96">
        <v>0</v>
      </c>
      <c r="AE62" s="96">
        <v>0</v>
      </c>
      <c r="AF62" s="96">
        <v>0</v>
      </c>
      <c r="AG62" s="96">
        <v>0</v>
      </c>
      <c r="AH62" s="97">
        <f>AVERAGE(B62:AG62)</f>
        <v>0</v>
      </c>
      <c r="AI62" s="97"/>
      <c r="AK62" s="101"/>
      <c r="AL62" s="101"/>
      <c r="AM62" s="101"/>
      <c r="AO62" s="101"/>
    </row>
    <row r="63" spans="1:44">
      <c r="A63" s="105"/>
      <c r="B63" s="105"/>
      <c r="C63" s="105"/>
      <c r="D63" s="105"/>
      <c r="E63" s="105"/>
      <c r="F63" s="105"/>
      <c r="G63" s="96"/>
      <c r="H63" s="96"/>
      <c r="I63" s="96"/>
      <c r="J63" s="96"/>
      <c r="K63" s="96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97">
        <v>0</v>
      </c>
      <c r="AK63" s="105"/>
      <c r="AL63" s="105"/>
      <c r="AM63" s="106"/>
      <c r="AO63" s="107"/>
    </row>
    <row r="64" spans="1:44">
      <c r="A64" s="108" t="s">
        <v>146</v>
      </c>
      <c r="B64" s="109"/>
      <c r="C64" s="109">
        <v>12544306488.365101</v>
      </c>
      <c r="D64" s="109">
        <v>12544306488.365101</v>
      </c>
      <c r="E64" s="109">
        <v>12734009511.56555</v>
      </c>
      <c r="F64" s="109">
        <v>12717112863.066574</v>
      </c>
      <c r="G64" s="109">
        <v>12804065014.769377</v>
      </c>
      <c r="H64" s="109">
        <v>12837754776.465324</v>
      </c>
      <c r="I64" s="109">
        <v>12875222383.693501</v>
      </c>
      <c r="J64" s="109">
        <v>12875222383.693501</v>
      </c>
      <c r="K64" s="109">
        <v>12875222383.693501</v>
      </c>
      <c r="L64" s="109">
        <v>12805030372.785448</v>
      </c>
      <c r="M64" s="109">
        <v>12920085156.465624</v>
      </c>
      <c r="N64" s="109">
        <v>13102191886.918674</v>
      </c>
      <c r="O64" s="109">
        <v>13082144330.360023</v>
      </c>
      <c r="P64" s="109">
        <v>13163898768.790825</v>
      </c>
      <c r="Q64" s="109">
        <v>13163898768.790825</v>
      </c>
      <c r="R64" s="109">
        <v>13163898768.790825</v>
      </c>
      <c r="S64" s="109">
        <v>13128850676.812101</v>
      </c>
      <c r="T64" s="109">
        <v>12684895615.963001</v>
      </c>
      <c r="U64" s="109">
        <v>12679146094.137224</v>
      </c>
      <c r="V64" s="109">
        <v>12806409223.303274</v>
      </c>
      <c r="W64" s="109">
        <v>12877374026.389475</v>
      </c>
      <c r="X64" s="109">
        <v>12877374026.389475</v>
      </c>
      <c r="Y64" s="109">
        <v>12877374026.389475</v>
      </c>
      <c r="Z64" s="109">
        <v>12776392042.739174</v>
      </c>
      <c r="AA64" s="109">
        <v>12796717593.550751</v>
      </c>
      <c r="AB64" s="109">
        <v>12865938228.43075</v>
      </c>
      <c r="AC64" s="109">
        <v>12940947791.999027</v>
      </c>
      <c r="AD64" s="109">
        <v>13015947443.963875</v>
      </c>
      <c r="AE64" s="109">
        <v>13015947443.963875</v>
      </c>
      <c r="AF64" s="109">
        <v>13015947443.963875</v>
      </c>
      <c r="AG64" s="109">
        <v>12783825191.838108</v>
      </c>
      <c r="AH64" s="109">
        <f>AVERAGE(B64:AG64)</f>
        <v>12882305071.497202</v>
      </c>
      <c r="AI64" s="109">
        <f>SUM(AI52:AI63)</f>
        <v>103112177.53639606</v>
      </c>
      <c r="AK64" s="109">
        <f>SUM(AK52:AK63)</f>
        <v>12882305071.497202</v>
      </c>
      <c r="AL64" s="109">
        <f>SUM(AL51:AL63)</f>
        <v>103112177.53639606</v>
      </c>
      <c r="AM64" s="110">
        <f>+AL64/AK64*366/31</f>
        <v>9.4500862076157946E-2</v>
      </c>
      <c r="AO64" s="111">
        <f>SUM(AO52:AO63)</f>
        <v>400088218.88843763</v>
      </c>
      <c r="AP64" s="86"/>
      <c r="AQ64" s="86"/>
      <c r="AR64" s="86"/>
    </row>
    <row r="65" spans="1:44">
      <c r="G65" s="86"/>
      <c r="L65" s="86"/>
      <c r="N65" s="86"/>
      <c r="O65" s="86"/>
      <c r="U65" s="86"/>
      <c r="AA65" s="86"/>
      <c r="AB65" s="86"/>
      <c r="AQ65" s="86"/>
    </row>
    <row r="66" spans="1:44" s="89" customFormat="1">
      <c r="A66" s="87" t="s">
        <v>167</v>
      </c>
      <c r="B66" s="88"/>
      <c r="C66" s="88">
        <v>45139</v>
      </c>
      <c r="D66" s="88">
        <f t="shared" ref="D66:AG66" si="11">C66+1</f>
        <v>45140</v>
      </c>
      <c r="E66" s="88">
        <f t="shared" si="11"/>
        <v>45141</v>
      </c>
      <c r="F66" s="88">
        <f t="shared" si="11"/>
        <v>45142</v>
      </c>
      <c r="G66" s="88">
        <f t="shared" si="11"/>
        <v>45143</v>
      </c>
      <c r="H66" s="88">
        <f t="shared" si="11"/>
        <v>45144</v>
      </c>
      <c r="I66" s="88">
        <f t="shared" si="11"/>
        <v>45145</v>
      </c>
      <c r="J66" s="88">
        <f t="shared" si="11"/>
        <v>45146</v>
      </c>
      <c r="K66" s="88">
        <f t="shared" si="11"/>
        <v>45147</v>
      </c>
      <c r="L66" s="88">
        <f t="shared" si="11"/>
        <v>45148</v>
      </c>
      <c r="M66" s="88">
        <f t="shared" si="11"/>
        <v>45149</v>
      </c>
      <c r="N66" s="88">
        <f t="shared" si="11"/>
        <v>45150</v>
      </c>
      <c r="O66" s="88">
        <f t="shared" si="11"/>
        <v>45151</v>
      </c>
      <c r="P66" s="88">
        <f t="shared" si="11"/>
        <v>45152</v>
      </c>
      <c r="Q66" s="88">
        <f t="shared" si="11"/>
        <v>45153</v>
      </c>
      <c r="R66" s="88">
        <f t="shared" si="11"/>
        <v>45154</v>
      </c>
      <c r="S66" s="88">
        <f t="shared" si="11"/>
        <v>45155</v>
      </c>
      <c r="T66" s="88">
        <f t="shared" si="11"/>
        <v>45156</v>
      </c>
      <c r="U66" s="88">
        <f t="shared" si="11"/>
        <v>45157</v>
      </c>
      <c r="V66" s="88">
        <f t="shared" si="11"/>
        <v>45158</v>
      </c>
      <c r="W66" s="88">
        <f t="shared" si="11"/>
        <v>45159</v>
      </c>
      <c r="X66" s="88">
        <f t="shared" si="11"/>
        <v>45160</v>
      </c>
      <c r="Y66" s="88">
        <f t="shared" si="11"/>
        <v>45161</v>
      </c>
      <c r="Z66" s="88">
        <f t="shared" si="11"/>
        <v>45162</v>
      </c>
      <c r="AA66" s="88">
        <f t="shared" si="11"/>
        <v>45163</v>
      </c>
      <c r="AB66" s="88">
        <f t="shared" si="11"/>
        <v>45164</v>
      </c>
      <c r="AC66" s="88">
        <f t="shared" si="11"/>
        <v>45165</v>
      </c>
      <c r="AD66" s="88">
        <f t="shared" si="11"/>
        <v>45166</v>
      </c>
      <c r="AE66" s="88">
        <f t="shared" si="11"/>
        <v>45167</v>
      </c>
      <c r="AF66" s="88">
        <f t="shared" si="11"/>
        <v>45168</v>
      </c>
      <c r="AG66" s="88">
        <f t="shared" si="11"/>
        <v>45169</v>
      </c>
      <c r="AL66" s="90"/>
      <c r="AM66" s="90"/>
    </row>
    <row r="67" spans="1:44" s="89" customFormat="1">
      <c r="A67" s="91" t="s">
        <v>168</v>
      </c>
      <c r="B67" s="92"/>
      <c r="C67" s="92" t="s">
        <v>169</v>
      </c>
      <c r="D67" s="92" t="s">
        <v>169</v>
      </c>
      <c r="E67" s="92" t="s">
        <v>169</v>
      </c>
      <c r="F67" s="92" t="s">
        <v>169</v>
      </c>
      <c r="G67" s="92" t="s">
        <v>169</v>
      </c>
      <c r="H67" s="92" t="s">
        <v>169</v>
      </c>
      <c r="I67" s="92" t="s">
        <v>169</v>
      </c>
      <c r="J67" s="92" t="s">
        <v>169</v>
      </c>
      <c r="K67" s="92" t="s">
        <v>169</v>
      </c>
      <c r="L67" s="92" t="s">
        <v>169</v>
      </c>
      <c r="M67" s="92" t="s">
        <v>169</v>
      </c>
      <c r="N67" s="92" t="s">
        <v>169</v>
      </c>
      <c r="O67" s="92" t="s">
        <v>169</v>
      </c>
      <c r="P67" s="92" t="s">
        <v>169</v>
      </c>
      <c r="Q67" s="92" t="s">
        <v>169</v>
      </c>
      <c r="R67" s="92" t="s">
        <v>169</v>
      </c>
      <c r="S67" s="92" t="s">
        <v>169</v>
      </c>
      <c r="T67" s="92" t="s">
        <v>169</v>
      </c>
      <c r="U67" s="92" t="s">
        <v>169</v>
      </c>
      <c r="V67" s="92" t="s">
        <v>169</v>
      </c>
      <c r="W67" s="92" t="s">
        <v>169</v>
      </c>
      <c r="X67" s="92" t="s">
        <v>169</v>
      </c>
      <c r="Y67" s="92" t="s">
        <v>169</v>
      </c>
      <c r="Z67" s="92" t="s">
        <v>169</v>
      </c>
      <c r="AA67" s="92" t="s">
        <v>169</v>
      </c>
      <c r="AB67" s="92" t="s">
        <v>169</v>
      </c>
      <c r="AC67" s="92" t="s">
        <v>169</v>
      </c>
      <c r="AD67" s="92" t="s">
        <v>169</v>
      </c>
      <c r="AE67" s="92" t="s">
        <v>169</v>
      </c>
      <c r="AF67" s="92" t="s">
        <v>169</v>
      </c>
      <c r="AG67" s="92" t="s">
        <v>169</v>
      </c>
      <c r="AH67" s="93" t="s">
        <v>170</v>
      </c>
      <c r="AI67" s="93" t="s">
        <v>171</v>
      </c>
      <c r="AK67" s="92" t="s">
        <v>172</v>
      </c>
      <c r="AL67" s="92" t="s">
        <v>173</v>
      </c>
      <c r="AM67" s="92" t="s">
        <v>174</v>
      </c>
      <c r="AO67" s="94" t="s">
        <v>175</v>
      </c>
    </row>
    <row r="68" spans="1:44">
      <c r="A68" s="95" t="s">
        <v>176</v>
      </c>
      <c r="B68" s="96"/>
      <c r="C68" s="96">
        <v>3743112202.7200003</v>
      </c>
      <c r="D68" s="96">
        <v>3725791150.3499999</v>
      </c>
      <c r="E68" s="96">
        <v>3770924635.5599999</v>
      </c>
      <c r="F68" s="96">
        <v>3770036259.6399999</v>
      </c>
      <c r="G68" s="96">
        <v>3770036259.6399999</v>
      </c>
      <c r="H68" s="96">
        <v>3770036259.6399999</v>
      </c>
      <c r="I68" s="96">
        <v>3882235110.23</v>
      </c>
      <c r="J68" s="96">
        <v>3849027890.3899999</v>
      </c>
      <c r="K68" s="96">
        <v>3860896198.5100002</v>
      </c>
      <c r="L68" s="96">
        <v>3839525918.9200001</v>
      </c>
      <c r="M68" s="96">
        <v>3887089820.1599998</v>
      </c>
      <c r="N68" s="96">
        <v>3887089820.1599998</v>
      </c>
      <c r="O68" s="96">
        <v>3887089820.1599998</v>
      </c>
      <c r="P68" s="96">
        <v>3864804145.9300003</v>
      </c>
      <c r="Q68" s="96">
        <v>3864804145.9300003</v>
      </c>
      <c r="R68" s="96">
        <v>3864804145.9300003</v>
      </c>
      <c r="S68" s="96">
        <v>3895713036.7600002</v>
      </c>
      <c r="T68" s="96">
        <v>3916509972.2000003</v>
      </c>
      <c r="U68" s="96">
        <v>3916509972.2000003</v>
      </c>
      <c r="V68" s="96">
        <v>3916509972.2000003</v>
      </c>
      <c r="W68" s="96">
        <v>3836474575.0900002</v>
      </c>
      <c r="X68" s="96">
        <v>3958126785.8200002</v>
      </c>
      <c r="Y68" s="96">
        <v>4037814020.7200003</v>
      </c>
      <c r="Z68" s="96">
        <v>4082790345.1199999</v>
      </c>
      <c r="AA68" s="96">
        <v>3973406298.1199999</v>
      </c>
      <c r="AB68" s="96">
        <v>3973406298.1199999</v>
      </c>
      <c r="AC68" s="96">
        <v>3973406298.1199999</v>
      </c>
      <c r="AD68" s="96">
        <v>4006408811.3699999</v>
      </c>
      <c r="AE68" s="96">
        <v>3954863680.5900002</v>
      </c>
      <c r="AF68" s="96">
        <v>3955157483.8000002</v>
      </c>
      <c r="AG68" s="96">
        <v>3836212910.7000003</v>
      </c>
      <c r="AH68" s="97">
        <f>AVERAGE(B68:AG68)</f>
        <v>3886148846.6064506</v>
      </c>
      <c r="AI68" s="97">
        <f>AO68-AO52</f>
        <v>36695404.421499878</v>
      </c>
      <c r="AJ68" s="98" t="s">
        <v>177</v>
      </c>
      <c r="AK68" s="97">
        <f>+AH68</f>
        <v>3886148846.6064506</v>
      </c>
      <c r="AL68" s="97">
        <f>+AI68</f>
        <v>36695404.421499878</v>
      </c>
      <c r="AM68" s="99">
        <f t="shared" ref="AM68:AM74" si="12">+AL68/AK68*366/31</f>
        <v>0.1114837680745757</v>
      </c>
      <c r="AO68" s="97">
        <v>189233667.98731336</v>
      </c>
    </row>
    <row r="69" spans="1:44">
      <c r="A69" s="100" t="s">
        <v>178</v>
      </c>
      <c r="B69" s="96"/>
      <c r="C69" s="96">
        <v>1573381870.05</v>
      </c>
      <c r="D69" s="96">
        <v>1573271893.6500001</v>
      </c>
      <c r="E69" s="96">
        <v>1573271893.6500001</v>
      </c>
      <c r="F69" s="96">
        <v>1573271893.6500001</v>
      </c>
      <c r="G69" s="96">
        <v>1573271893.6500001</v>
      </c>
      <c r="H69" s="96">
        <v>1573271893.6500001</v>
      </c>
      <c r="I69" s="96">
        <v>1573271893.6500001</v>
      </c>
      <c r="J69" s="96">
        <v>1573271893.6500001</v>
      </c>
      <c r="K69" s="96">
        <v>1573271893.6500001</v>
      </c>
      <c r="L69" s="96">
        <v>1573271893.6500001</v>
      </c>
      <c r="M69" s="96">
        <v>1573271893.6500001</v>
      </c>
      <c r="N69" s="96">
        <v>1573271893.6500001</v>
      </c>
      <c r="O69" s="96">
        <v>1573271893.6500001</v>
      </c>
      <c r="P69" s="96">
        <v>1573271893.6500001</v>
      </c>
      <c r="Q69" s="96">
        <v>1573271893.6500001</v>
      </c>
      <c r="R69" s="96">
        <v>1573271893.6500001</v>
      </c>
      <c r="S69" s="96">
        <v>1522880800.8500001</v>
      </c>
      <c r="T69" s="96">
        <v>1215973328.1500001</v>
      </c>
      <c r="U69" s="96">
        <v>1215973328.1500001</v>
      </c>
      <c r="V69" s="96">
        <v>1215973328.1500001</v>
      </c>
      <c r="W69" s="96">
        <v>1215973328.1500001</v>
      </c>
      <c r="X69" s="96">
        <v>1215973328.1500001</v>
      </c>
      <c r="Y69" s="96">
        <v>1215973328.1500001</v>
      </c>
      <c r="Z69" s="96">
        <v>1720076920.1500001</v>
      </c>
      <c r="AA69" s="96">
        <v>1720076920.1500001</v>
      </c>
      <c r="AB69" s="96">
        <v>1720076920.1500001</v>
      </c>
      <c r="AC69" s="96">
        <v>1720076920.1500001</v>
      </c>
      <c r="AD69" s="96">
        <v>1720076920.1500001</v>
      </c>
      <c r="AE69" s="96">
        <v>1720076920.1500001</v>
      </c>
      <c r="AF69" s="96">
        <v>1720076920.1500001</v>
      </c>
      <c r="AG69" s="96">
        <v>1725116379.2755442</v>
      </c>
      <c r="AH69" s="97">
        <f>AVERAGE(B69:AG69)</f>
        <v>1540543092.4153409</v>
      </c>
      <c r="AI69" s="97">
        <f>AO69-AO53</f>
        <v>14123789.759999998</v>
      </c>
      <c r="AJ69" s="98" t="s">
        <v>145</v>
      </c>
      <c r="AK69" s="101">
        <f>AH69</f>
        <v>1540543092.4153409</v>
      </c>
      <c r="AL69" s="101">
        <f>AI69</f>
        <v>14123789.759999998</v>
      </c>
      <c r="AM69" s="99">
        <f t="shared" si="12"/>
        <v>0.10824224340963816</v>
      </c>
      <c r="AO69" s="97">
        <v>77831362.719999999</v>
      </c>
      <c r="AP69" s="103"/>
    </row>
    <row r="70" spans="1:44">
      <c r="A70" s="100" t="s">
        <v>180</v>
      </c>
      <c r="B70" s="96"/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  <c r="R70" s="96">
        <v>0</v>
      </c>
      <c r="S70" s="96">
        <v>0</v>
      </c>
      <c r="T70" s="96">
        <v>0</v>
      </c>
      <c r="U70" s="96">
        <v>0</v>
      </c>
      <c r="V70" s="96">
        <v>0</v>
      </c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0</v>
      </c>
      <c r="AD70" s="96">
        <v>0</v>
      </c>
      <c r="AE70" s="96">
        <v>0</v>
      </c>
      <c r="AF70" s="96">
        <v>0</v>
      </c>
      <c r="AG70" s="96">
        <v>0</v>
      </c>
      <c r="AH70" s="97">
        <f>AVERAGE(B70:AG70)</f>
        <v>0</v>
      </c>
      <c r="AI70" s="97">
        <f>AO70-AO54</f>
        <v>0</v>
      </c>
      <c r="AJ70" s="98" t="s">
        <v>181</v>
      </c>
      <c r="AK70" s="101">
        <f>AH70</f>
        <v>0</v>
      </c>
      <c r="AL70" s="101">
        <f>AI70</f>
        <v>0</v>
      </c>
      <c r="AM70" s="99" t="e">
        <f t="shared" si="12"/>
        <v>#DIV/0!</v>
      </c>
      <c r="AO70" s="97">
        <v>0</v>
      </c>
    </row>
    <row r="71" spans="1:44">
      <c r="A71" s="100" t="s">
        <v>182</v>
      </c>
      <c r="B71" s="96"/>
      <c r="C71" s="96">
        <v>1946729683.6200001</v>
      </c>
      <c r="D71" s="96">
        <v>1941663334.8700001</v>
      </c>
      <c r="E71" s="96">
        <v>1954133675.4100001</v>
      </c>
      <c r="F71" s="96">
        <v>1960279126.01</v>
      </c>
      <c r="G71" s="96">
        <v>1960279126.01</v>
      </c>
      <c r="H71" s="96">
        <v>1960279126.01</v>
      </c>
      <c r="I71" s="96">
        <v>1946662107.5699999</v>
      </c>
      <c r="J71" s="96">
        <v>1952438672.3400002</v>
      </c>
      <c r="K71" s="96">
        <v>1931804290.21</v>
      </c>
      <c r="L71" s="96">
        <v>1952753560.6600001</v>
      </c>
      <c r="M71" s="96">
        <v>1910342971.3900001</v>
      </c>
      <c r="N71" s="96">
        <v>1910342971.3900001</v>
      </c>
      <c r="O71" s="96">
        <v>1910342971.3900001</v>
      </c>
      <c r="P71" s="96">
        <v>1880437347.8400002</v>
      </c>
      <c r="Q71" s="96">
        <v>1880437347.8400002</v>
      </c>
      <c r="R71" s="96">
        <v>1880437347.8400002</v>
      </c>
      <c r="S71" s="96">
        <v>1870394638.52</v>
      </c>
      <c r="T71" s="96">
        <v>1808655144.04</v>
      </c>
      <c r="U71" s="96">
        <v>1808655144.04</v>
      </c>
      <c r="V71" s="96">
        <v>1808655144.04</v>
      </c>
      <c r="W71" s="96">
        <v>1838167594.26</v>
      </c>
      <c r="X71" s="96">
        <v>1800448477.4000001</v>
      </c>
      <c r="Y71" s="96">
        <v>1788268702.6700001</v>
      </c>
      <c r="Z71" s="96">
        <v>1761299536.8299999</v>
      </c>
      <c r="AA71" s="96">
        <v>1717905611.22</v>
      </c>
      <c r="AB71" s="96">
        <v>1717905611.22</v>
      </c>
      <c r="AC71" s="96">
        <v>1717905611.22</v>
      </c>
      <c r="AD71" s="96">
        <v>1723871610.51</v>
      </c>
      <c r="AE71" s="96">
        <v>1699964695.4100001</v>
      </c>
      <c r="AF71" s="96">
        <v>1707458697.23</v>
      </c>
      <c r="AG71" s="96">
        <v>1670751481.0799999</v>
      </c>
      <c r="AH71" s="97">
        <f t="shared" ref="AH71:AH76" si="13">AVERAGE(B71:AG71)</f>
        <v>1849021656.7770975</v>
      </c>
      <c r="AI71" s="97">
        <f>+AO71-AO55</f>
        <v>12397624.164444264</v>
      </c>
      <c r="AJ71" s="98" t="s">
        <v>144</v>
      </c>
      <c r="AK71" s="101">
        <f>+AH71</f>
        <v>1849021656.7770975</v>
      </c>
      <c r="AL71" s="101">
        <f>+AI71</f>
        <v>12397624.164444264</v>
      </c>
      <c r="AM71" s="99">
        <f t="shared" si="12"/>
        <v>7.9161836355990473E-2</v>
      </c>
      <c r="AO71" s="97">
        <v>40974495.932339109</v>
      </c>
    </row>
    <row r="72" spans="1:44">
      <c r="A72" s="100" t="s">
        <v>143</v>
      </c>
      <c r="B72" s="96"/>
      <c r="C72" s="96">
        <v>537543896.25</v>
      </c>
      <c r="D72" s="96">
        <v>501892936.25</v>
      </c>
      <c r="E72" s="96">
        <v>520257114.10000038</v>
      </c>
      <c r="F72" s="96">
        <v>520257114.10000002</v>
      </c>
      <c r="G72" s="96">
        <v>520257114.10000038</v>
      </c>
      <c r="H72" s="96">
        <v>520257114.10000038</v>
      </c>
      <c r="I72" s="96">
        <v>523691159.93999958</v>
      </c>
      <c r="J72" s="96">
        <v>502260809.46000004</v>
      </c>
      <c r="K72" s="96">
        <v>524268138.93999958</v>
      </c>
      <c r="L72" s="96">
        <v>529081924.25</v>
      </c>
      <c r="M72" s="96">
        <v>529494924.18000031</v>
      </c>
      <c r="N72" s="96">
        <v>529494924.18000031</v>
      </c>
      <c r="O72" s="96">
        <v>529494924.18000031</v>
      </c>
      <c r="P72" s="96">
        <v>536166074.5199995</v>
      </c>
      <c r="Q72" s="96">
        <v>536166074.5199995</v>
      </c>
      <c r="R72" s="96">
        <v>536166074.5199995</v>
      </c>
      <c r="S72" s="96">
        <v>535926973.5199995</v>
      </c>
      <c r="T72" s="96">
        <v>536535752.5</v>
      </c>
      <c r="U72" s="96">
        <v>536535752.5</v>
      </c>
      <c r="V72" s="96">
        <v>536535752.5</v>
      </c>
      <c r="W72" s="96">
        <v>536234208.68000031</v>
      </c>
      <c r="X72" s="96">
        <v>533750246.47999954</v>
      </c>
      <c r="Y72" s="96">
        <v>531322234.90999985</v>
      </c>
      <c r="Z72" s="96">
        <v>537333326.98999977</v>
      </c>
      <c r="AA72" s="96">
        <v>537333326.99000072</v>
      </c>
      <c r="AB72" s="96">
        <v>537333326.99000072</v>
      </c>
      <c r="AC72" s="96">
        <v>537333326.99000072</v>
      </c>
      <c r="AD72" s="96">
        <v>537004207.98999977</v>
      </c>
      <c r="AE72" s="96">
        <v>528286628.98999977</v>
      </c>
      <c r="AF72" s="96">
        <v>532833241.27000046</v>
      </c>
      <c r="AG72" s="96">
        <v>536452660.46000004</v>
      </c>
      <c r="AH72" s="97">
        <f t="shared" si="13"/>
        <v>529919396.30161297</v>
      </c>
      <c r="AI72" s="97">
        <f>+AO72-AO56</f>
        <v>4602891.8813024648</v>
      </c>
      <c r="AJ72" s="98" t="s">
        <v>179</v>
      </c>
      <c r="AK72" s="101">
        <f>+AH72</f>
        <v>529919396.30161297</v>
      </c>
      <c r="AL72" s="101">
        <f>+AI72</f>
        <v>4602891.8813024648</v>
      </c>
      <c r="AM72" s="99">
        <f t="shared" si="12"/>
        <v>0.10255110617821565</v>
      </c>
      <c r="AO72" s="97">
        <v>23913028.417986576</v>
      </c>
    </row>
    <row r="73" spans="1:44">
      <c r="A73" s="100" t="s">
        <v>184</v>
      </c>
      <c r="B73" s="96"/>
      <c r="C73" s="96">
        <v>4690549967.8800001</v>
      </c>
      <c r="D73" s="96">
        <v>4711765020.9099998</v>
      </c>
      <c r="E73" s="96">
        <v>4803937343.0500002</v>
      </c>
      <c r="F73" s="96">
        <v>4785557437.9699993</v>
      </c>
      <c r="G73" s="96">
        <v>4785557437.9699993</v>
      </c>
      <c r="H73" s="96">
        <v>4785557437.9699993</v>
      </c>
      <c r="I73" s="96">
        <v>4742976729.9400005</v>
      </c>
      <c r="J73" s="96">
        <v>4764634043.46</v>
      </c>
      <c r="K73" s="96">
        <v>4753401593.5500002</v>
      </c>
      <c r="L73" s="96">
        <v>4737213618.6400003</v>
      </c>
      <c r="M73" s="96">
        <v>4766953332.3599997</v>
      </c>
      <c r="N73" s="96">
        <v>4766953332.3599997</v>
      </c>
      <c r="O73" s="96">
        <v>4766953332.3599997</v>
      </c>
      <c r="P73" s="96">
        <v>4785271506.3000002</v>
      </c>
      <c r="Q73" s="96">
        <v>4785271506.3000002</v>
      </c>
      <c r="R73" s="96">
        <v>4785271506.3000002</v>
      </c>
      <c r="S73" s="96">
        <v>4795286689.1500006</v>
      </c>
      <c r="T73" s="96">
        <v>4805340046.6199999</v>
      </c>
      <c r="U73" s="96">
        <v>4805340046.6199999</v>
      </c>
      <c r="V73" s="96">
        <v>4805340046.6199999</v>
      </c>
      <c r="W73" s="96">
        <v>4808245534.8299999</v>
      </c>
      <c r="X73" s="96">
        <v>4840225715.3100004</v>
      </c>
      <c r="Y73" s="96">
        <v>4828473435.5900002</v>
      </c>
      <c r="Z73" s="96">
        <v>4940732979.0600004</v>
      </c>
      <c r="AA73" s="96">
        <v>4769482630.4899998</v>
      </c>
      <c r="AB73" s="96">
        <v>4769482630.4899998</v>
      </c>
      <c r="AC73" s="96">
        <v>4769482630.4899998</v>
      </c>
      <c r="AD73" s="96">
        <v>4768945592.5100002</v>
      </c>
      <c r="AE73" s="96">
        <v>4871779554.3299999</v>
      </c>
      <c r="AF73" s="96">
        <v>4875953490.6700001</v>
      </c>
      <c r="AG73" s="96">
        <v>4860103551.3000002</v>
      </c>
      <c r="AH73" s="97">
        <f t="shared" si="13"/>
        <v>4791356120.0451612</v>
      </c>
      <c r="AI73" s="97">
        <f>+AO73-AO57</f>
        <v>34431625.222953483</v>
      </c>
      <c r="AJ73" s="98" t="s">
        <v>142</v>
      </c>
      <c r="AK73" s="101">
        <f>AH73</f>
        <v>4791356120.0451612</v>
      </c>
      <c r="AL73" s="101">
        <f>AI73</f>
        <v>34431625.222953483</v>
      </c>
      <c r="AM73" s="99">
        <f t="shared" si="12"/>
        <v>8.4843477913845181E-2</v>
      </c>
      <c r="AO73" s="97">
        <v>156307368.18339869</v>
      </c>
    </row>
    <row r="74" spans="1:44">
      <c r="A74" s="100" t="s">
        <v>185</v>
      </c>
      <c r="B74" s="96"/>
      <c r="C74" s="96">
        <v>559905849.43702495</v>
      </c>
      <c r="D74" s="96">
        <v>624668274.22527492</v>
      </c>
      <c r="E74" s="96">
        <v>595301302.59389997</v>
      </c>
      <c r="F74" s="96">
        <v>597209475.45139992</v>
      </c>
      <c r="G74" s="96">
        <v>597209475.45139992</v>
      </c>
      <c r="H74" s="96">
        <v>597209475.45139992</v>
      </c>
      <c r="I74" s="96">
        <v>597530469.23639989</v>
      </c>
      <c r="J74" s="96">
        <v>594945833.56127501</v>
      </c>
      <c r="K74" s="96">
        <v>597856592.80075002</v>
      </c>
      <c r="L74" s="96">
        <v>593924843.51067495</v>
      </c>
      <c r="M74" s="96">
        <v>592897396.98494995</v>
      </c>
      <c r="N74" s="96">
        <v>592897396.98494995</v>
      </c>
      <c r="O74" s="96">
        <v>592897396.98494995</v>
      </c>
      <c r="P74" s="96">
        <v>589665195.70494998</v>
      </c>
      <c r="Q74" s="96">
        <v>589665195.70494998</v>
      </c>
      <c r="R74" s="96">
        <v>589665195.70494998</v>
      </c>
      <c r="S74" s="96">
        <v>570021673.030375</v>
      </c>
      <c r="T74" s="96">
        <v>538603505.82099998</v>
      </c>
      <c r="U74" s="96">
        <v>538603505.82099998</v>
      </c>
      <c r="V74" s="96">
        <v>538603505.82099998</v>
      </c>
      <c r="W74" s="96">
        <v>552715595.11475003</v>
      </c>
      <c r="X74" s="96">
        <v>555617725.42974997</v>
      </c>
      <c r="Y74" s="96">
        <v>565356359.5977</v>
      </c>
      <c r="Z74" s="96">
        <v>557667988.20770001</v>
      </c>
      <c r="AA74" s="96">
        <v>555208350.48519993</v>
      </c>
      <c r="AB74" s="96">
        <v>555208350.48519993</v>
      </c>
      <c r="AC74" s="96">
        <v>555208350.48519993</v>
      </c>
      <c r="AD74" s="96">
        <v>554089360.62019992</v>
      </c>
      <c r="AE74" s="96">
        <v>582787406.32237494</v>
      </c>
      <c r="AF74" s="96">
        <v>597979515.03237498</v>
      </c>
      <c r="AG74" s="96">
        <v>504771745.47684997</v>
      </c>
      <c r="AH74" s="97">
        <f t="shared" si="13"/>
        <v>575028784.11418927</v>
      </c>
      <c r="AI74" s="97">
        <f>AO74-AO58</f>
        <v>3954651.6291926987</v>
      </c>
      <c r="AJ74" s="98" t="s">
        <v>183</v>
      </c>
      <c r="AK74" s="101">
        <f>+AH74+AH75+AH76</f>
        <v>575028784.11418927</v>
      </c>
      <c r="AL74" s="101">
        <f>+AI74+AI75+AI76</f>
        <v>3954651.6291926987</v>
      </c>
      <c r="AM74" s="99">
        <f t="shared" si="12"/>
        <v>8.1196636404692948E-2</v>
      </c>
      <c r="AO74" s="101">
        <f>18034282.7267927</f>
        <v>18034282.726792701</v>
      </c>
    </row>
    <row r="75" spans="1:44">
      <c r="A75" s="100" t="s">
        <v>187</v>
      </c>
      <c r="B75" s="96"/>
      <c r="C75" s="96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96">
        <v>0</v>
      </c>
      <c r="S75" s="96">
        <v>0</v>
      </c>
      <c r="T75" s="96">
        <v>0</v>
      </c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6">
        <v>0</v>
      </c>
      <c r="AD75" s="96">
        <v>0</v>
      </c>
      <c r="AE75" s="96">
        <v>0</v>
      </c>
      <c r="AF75" s="96">
        <v>0</v>
      </c>
      <c r="AG75" s="96">
        <v>0</v>
      </c>
      <c r="AH75" s="97">
        <f t="shared" si="13"/>
        <v>0</v>
      </c>
      <c r="AI75" s="97">
        <f>AO75-AO59</f>
        <v>0</v>
      </c>
      <c r="AJ75" s="98"/>
      <c r="AK75" s="101"/>
      <c r="AL75" s="101"/>
      <c r="AM75" s="99"/>
      <c r="AO75" s="101">
        <v>0</v>
      </c>
    </row>
    <row r="76" spans="1:44">
      <c r="A76" s="100" t="s">
        <v>188</v>
      </c>
      <c r="B76" s="96"/>
      <c r="C76" s="96">
        <v>0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96">
        <v>0</v>
      </c>
      <c r="S76" s="96">
        <v>0</v>
      </c>
      <c r="T76" s="96">
        <v>0</v>
      </c>
      <c r="U76" s="96">
        <v>0</v>
      </c>
      <c r="V76" s="96">
        <v>0</v>
      </c>
      <c r="W76" s="96">
        <v>0</v>
      </c>
      <c r="X76" s="96">
        <v>0</v>
      </c>
      <c r="Y76" s="96">
        <v>0</v>
      </c>
      <c r="Z76" s="96">
        <v>0</v>
      </c>
      <c r="AA76" s="96">
        <v>0</v>
      </c>
      <c r="AB76" s="96">
        <v>0</v>
      </c>
      <c r="AC76" s="96">
        <v>0</v>
      </c>
      <c r="AD76" s="96">
        <v>0</v>
      </c>
      <c r="AE76" s="96">
        <v>0</v>
      </c>
      <c r="AF76" s="96">
        <v>0</v>
      </c>
      <c r="AG76" s="96">
        <v>0</v>
      </c>
      <c r="AH76" s="97">
        <f t="shared" si="13"/>
        <v>0</v>
      </c>
      <c r="AI76" s="97">
        <f>+AO76-AO60</f>
        <v>0</v>
      </c>
      <c r="AJ76" s="98"/>
      <c r="AK76" s="101"/>
      <c r="AL76" s="101"/>
      <c r="AM76" s="101"/>
      <c r="AO76" s="101">
        <v>0</v>
      </c>
    </row>
    <row r="77" spans="1:44">
      <c r="A77" s="100" t="s">
        <v>189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96"/>
      <c r="AA77" s="96"/>
      <c r="AB77" s="96"/>
      <c r="AC77" s="96"/>
      <c r="AD77" s="96"/>
      <c r="AE77" s="96"/>
      <c r="AF77" s="96"/>
      <c r="AG77" s="96"/>
      <c r="AH77" s="97">
        <v>431828670.34790003</v>
      </c>
      <c r="AI77" s="97"/>
      <c r="AJ77" s="98"/>
      <c r="AK77" s="101"/>
      <c r="AL77" s="101"/>
      <c r="AM77" s="101"/>
      <c r="AO77" s="101"/>
    </row>
    <row r="78" spans="1:44">
      <c r="A78" s="100" t="s">
        <v>190</v>
      </c>
      <c r="B78" s="96"/>
      <c r="C78" s="96">
        <v>0</v>
      </c>
      <c r="D78" s="96">
        <v>0</v>
      </c>
      <c r="E78" s="96">
        <v>0</v>
      </c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96">
        <v>0</v>
      </c>
      <c r="AA78" s="96">
        <v>0</v>
      </c>
      <c r="AB78" s="96">
        <v>0</v>
      </c>
      <c r="AC78" s="96">
        <v>0</v>
      </c>
      <c r="AD78" s="96">
        <v>0</v>
      </c>
      <c r="AE78" s="96">
        <v>0</v>
      </c>
      <c r="AF78" s="96">
        <v>0</v>
      </c>
      <c r="AG78" s="96">
        <v>0</v>
      </c>
      <c r="AH78" s="97">
        <f>AVERAGE(B78:AG78)</f>
        <v>0</v>
      </c>
      <c r="AI78" s="97"/>
      <c r="AJ78" s="98" t="s">
        <v>186</v>
      </c>
      <c r="AK78" s="101">
        <v>0</v>
      </c>
      <c r="AL78" s="101">
        <v>0</v>
      </c>
      <c r="AM78" s="99"/>
      <c r="AO78" s="101">
        <v>0</v>
      </c>
    </row>
    <row r="79" spans="1:44">
      <c r="A79" s="105"/>
      <c r="B79" s="105"/>
      <c r="C79" s="105"/>
      <c r="D79" s="105"/>
      <c r="E79" s="105"/>
      <c r="F79" s="105"/>
      <c r="G79" s="105"/>
      <c r="H79" s="105"/>
      <c r="I79" s="96"/>
      <c r="J79" s="96"/>
      <c r="K79" s="96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>
        <v>0</v>
      </c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97">
        <v>0</v>
      </c>
      <c r="AK79" s="105"/>
      <c r="AL79" s="105"/>
      <c r="AM79" s="106"/>
      <c r="AO79" s="107"/>
    </row>
    <row r="80" spans="1:44">
      <c r="A80" s="108" t="s">
        <v>146</v>
      </c>
      <c r="B80" s="109"/>
      <c r="C80" s="109">
        <v>13051223469.957026</v>
      </c>
      <c r="D80" s="109">
        <v>13079052610.255274</v>
      </c>
      <c r="E80" s="109">
        <v>13217825964.363901</v>
      </c>
      <c r="F80" s="109">
        <v>13206611306.8214</v>
      </c>
      <c r="G80" s="109">
        <v>13206611306.8214</v>
      </c>
      <c r="H80" s="109">
        <v>13206611306.8214</v>
      </c>
      <c r="I80" s="109">
        <v>13266367470.566401</v>
      </c>
      <c r="J80" s="109">
        <v>13236579142.861275</v>
      </c>
      <c r="K80" s="109">
        <v>13241498707.660751</v>
      </c>
      <c r="L80" s="109">
        <v>13225771759.630674</v>
      </c>
      <c r="M80" s="109">
        <v>13260050338.724949</v>
      </c>
      <c r="N80" s="109">
        <v>13260050338.724949</v>
      </c>
      <c r="O80" s="109">
        <v>13260050338.724949</v>
      </c>
      <c r="P80" s="109">
        <v>13229616163.94495</v>
      </c>
      <c r="Q80" s="109">
        <v>13229616163.94495</v>
      </c>
      <c r="R80" s="109">
        <v>13229616163.94495</v>
      </c>
      <c r="S80" s="109">
        <v>13190223811.830376</v>
      </c>
      <c r="T80" s="109">
        <v>12821617749.330999</v>
      </c>
      <c r="U80" s="109">
        <v>12821617749.330999</v>
      </c>
      <c r="V80" s="109">
        <v>12821617749.330999</v>
      </c>
      <c r="W80" s="109">
        <v>12787810836.12475</v>
      </c>
      <c r="X80" s="109">
        <v>12904142278.58975</v>
      </c>
      <c r="Y80" s="109">
        <v>12967208081.637701</v>
      </c>
      <c r="Z80" s="109">
        <v>13599901096.357702</v>
      </c>
      <c r="AA80" s="109">
        <v>13273413137.4552</v>
      </c>
      <c r="AB80" s="109">
        <v>13273413137.4552</v>
      </c>
      <c r="AC80" s="109">
        <v>13273413137.4552</v>
      </c>
      <c r="AD80" s="109">
        <v>13310396503.1502</v>
      </c>
      <c r="AE80" s="109">
        <v>13357758885.792374</v>
      </c>
      <c r="AF80" s="109">
        <v>13389459348.152376</v>
      </c>
      <c r="AG80" s="109">
        <v>13133408728.292395</v>
      </c>
      <c r="AH80" s="109">
        <f>AVERAGE(B80:AG80)</f>
        <v>13172017896.259851</v>
      </c>
      <c r="AI80" s="109">
        <f>SUM(AI68:AI79)</f>
        <v>106205987.07939278</v>
      </c>
      <c r="AK80" s="109">
        <f>SUM(AK68:AK79)</f>
        <v>13172017896.259853</v>
      </c>
      <c r="AL80" s="109">
        <f>SUM(AL67:AL79)</f>
        <v>106205987.07939278</v>
      </c>
      <c r="AM80" s="110">
        <f>+AL80/AK80*366/31</f>
        <v>9.5195425433602002E-2</v>
      </c>
      <c r="AO80" s="111">
        <f>SUM(AO68:AO79)</f>
        <v>506294205.96783042</v>
      </c>
      <c r="AP80" s="86"/>
      <c r="AQ80" s="86"/>
      <c r="AR80" s="86"/>
    </row>
    <row r="81" spans="1:44">
      <c r="G81" s="86"/>
      <c r="L81" s="86"/>
      <c r="N81" s="86"/>
      <c r="O81" s="86"/>
      <c r="U81" s="86"/>
      <c r="AA81" s="86"/>
      <c r="AB81" s="86"/>
      <c r="AQ81" s="86"/>
    </row>
    <row r="82" spans="1:44" s="89" customFormat="1">
      <c r="A82" s="87" t="s">
        <v>167</v>
      </c>
      <c r="B82" s="88"/>
      <c r="C82" s="88">
        <v>45170</v>
      </c>
      <c r="D82" s="88">
        <f t="shared" ref="D82:AF82" si="14">C82+1</f>
        <v>45171</v>
      </c>
      <c r="E82" s="88">
        <f t="shared" si="14"/>
        <v>45172</v>
      </c>
      <c r="F82" s="88">
        <f t="shared" si="14"/>
        <v>45173</v>
      </c>
      <c r="G82" s="88">
        <f t="shared" si="14"/>
        <v>45174</v>
      </c>
      <c r="H82" s="88">
        <f t="shared" si="14"/>
        <v>45175</v>
      </c>
      <c r="I82" s="88">
        <f t="shared" si="14"/>
        <v>45176</v>
      </c>
      <c r="J82" s="88">
        <f t="shared" si="14"/>
        <v>45177</v>
      </c>
      <c r="K82" s="88">
        <f t="shared" si="14"/>
        <v>45178</v>
      </c>
      <c r="L82" s="88">
        <f t="shared" si="14"/>
        <v>45179</v>
      </c>
      <c r="M82" s="88">
        <f t="shared" si="14"/>
        <v>45180</v>
      </c>
      <c r="N82" s="88">
        <f t="shared" si="14"/>
        <v>45181</v>
      </c>
      <c r="O82" s="88">
        <f t="shared" si="14"/>
        <v>45182</v>
      </c>
      <c r="P82" s="88">
        <f t="shared" si="14"/>
        <v>45183</v>
      </c>
      <c r="Q82" s="88">
        <f t="shared" si="14"/>
        <v>45184</v>
      </c>
      <c r="R82" s="88">
        <f t="shared" si="14"/>
        <v>45185</v>
      </c>
      <c r="S82" s="88">
        <f t="shared" si="14"/>
        <v>45186</v>
      </c>
      <c r="T82" s="88">
        <f t="shared" si="14"/>
        <v>45187</v>
      </c>
      <c r="U82" s="88">
        <f t="shared" si="14"/>
        <v>45188</v>
      </c>
      <c r="V82" s="88">
        <f t="shared" si="14"/>
        <v>45189</v>
      </c>
      <c r="W82" s="88">
        <f t="shared" si="14"/>
        <v>45190</v>
      </c>
      <c r="X82" s="88">
        <f t="shared" si="14"/>
        <v>45191</v>
      </c>
      <c r="Y82" s="88">
        <f t="shared" si="14"/>
        <v>45192</v>
      </c>
      <c r="Z82" s="88">
        <f t="shared" si="14"/>
        <v>45193</v>
      </c>
      <c r="AA82" s="88">
        <f t="shared" si="14"/>
        <v>45194</v>
      </c>
      <c r="AB82" s="88">
        <f t="shared" si="14"/>
        <v>45195</v>
      </c>
      <c r="AC82" s="88">
        <f t="shared" si="14"/>
        <v>45196</v>
      </c>
      <c r="AD82" s="88">
        <f t="shared" si="14"/>
        <v>45197</v>
      </c>
      <c r="AE82" s="88">
        <f t="shared" si="14"/>
        <v>45198</v>
      </c>
      <c r="AF82" s="88">
        <f t="shared" si="14"/>
        <v>45199</v>
      </c>
      <c r="AG82" s="88"/>
      <c r="AL82" s="90"/>
      <c r="AM82" s="90"/>
    </row>
    <row r="83" spans="1:44" s="89" customFormat="1">
      <c r="A83" s="91" t="s">
        <v>168</v>
      </c>
      <c r="B83" s="92"/>
      <c r="C83" s="92" t="s">
        <v>169</v>
      </c>
      <c r="D83" s="92" t="s">
        <v>169</v>
      </c>
      <c r="E83" s="92" t="s">
        <v>169</v>
      </c>
      <c r="F83" s="92" t="s">
        <v>169</v>
      </c>
      <c r="G83" s="92" t="s">
        <v>169</v>
      </c>
      <c r="H83" s="92" t="s">
        <v>169</v>
      </c>
      <c r="I83" s="92" t="s">
        <v>169</v>
      </c>
      <c r="J83" s="92" t="s">
        <v>169</v>
      </c>
      <c r="K83" s="92" t="s">
        <v>169</v>
      </c>
      <c r="L83" s="92" t="s">
        <v>169</v>
      </c>
      <c r="M83" s="92" t="s">
        <v>169</v>
      </c>
      <c r="N83" s="92" t="s">
        <v>169</v>
      </c>
      <c r="O83" s="92" t="s">
        <v>169</v>
      </c>
      <c r="P83" s="92" t="s">
        <v>169</v>
      </c>
      <c r="Q83" s="92" t="s">
        <v>169</v>
      </c>
      <c r="R83" s="92" t="s">
        <v>169</v>
      </c>
      <c r="S83" s="92" t="s">
        <v>169</v>
      </c>
      <c r="T83" s="92" t="s">
        <v>169</v>
      </c>
      <c r="U83" s="92" t="s">
        <v>169</v>
      </c>
      <c r="V83" s="92" t="s">
        <v>169</v>
      </c>
      <c r="W83" s="92" t="s">
        <v>169</v>
      </c>
      <c r="X83" s="92" t="s">
        <v>169</v>
      </c>
      <c r="Y83" s="92" t="s">
        <v>169</v>
      </c>
      <c r="Z83" s="92" t="s">
        <v>169</v>
      </c>
      <c r="AA83" s="92" t="s">
        <v>169</v>
      </c>
      <c r="AB83" s="92" t="s">
        <v>169</v>
      </c>
      <c r="AC83" s="92" t="s">
        <v>169</v>
      </c>
      <c r="AD83" s="92" t="s">
        <v>169</v>
      </c>
      <c r="AE83" s="92" t="s">
        <v>169</v>
      </c>
      <c r="AF83" s="92" t="s">
        <v>169</v>
      </c>
      <c r="AG83" s="92" t="s">
        <v>169</v>
      </c>
      <c r="AH83" s="93" t="s">
        <v>170</v>
      </c>
      <c r="AI83" s="93" t="s">
        <v>171</v>
      </c>
      <c r="AK83" s="92" t="s">
        <v>172</v>
      </c>
      <c r="AL83" s="92" t="s">
        <v>173</v>
      </c>
      <c r="AM83" s="92" t="s">
        <v>174</v>
      </c>
      <c r="AO83" s="94" t="s">
        <v>175</v>
      </c>
    </row>
    <row r="84" spans="1:44">
      <c r="A84" s="95" t="s">
        <v>176</v>
      </c>
      <c r="B84" s="96"/>
      <c r="C84" s="96">
        <v>4009047645.7600002</v>
      </c>
      <c r="D84" s="96">
        <v>4009047645.7600002</v>
      </c>
      <c r="E84" s="96">
        <v>4009047645.7600002</v>
      </c>
      <c r="F84" s="96">
        <v>3891839066.6399999</v>
      </c>
      <c r="G84" s="96">
        <v>3870361086.5500002</v>
      </c>
      <c r="H84" s="96">
        <v>3961877933.5500002</v>
      </c>
      <c r="I84" s="96">
        <v>3997196632.8200002</v>
      </c>
      <c r="J84" s="96">
        <v>3990816243.7400002</v>
      </c>
      <c r="K84" s="96">
        <v>3990816243.7400002</v>
      </c>
      <c r="L84" s="96">
        <v>3990816243.7400002</v>
      </c>
      <c r="M84" s="96">
        <v>3944293079.02</v>
      </c>
      <c r="N84" s="96">
        <v>3965388135.0100002</v>
      </c>
      <c r="O84" s="96">
        <v>4002725386.7000003</v>
      </c>
      <c r="P84" s="96">
        <v>3978906948.5999999</v>
      </c>
      <c r="Q84" s="96">
        <v>4019723231.8000002</v>
      </c>
      <c r="R84" s="96">
        <v>4019723231.8000002</v>
      </c>
      <c r="S84" s="96">
        <v>4019723231.8000002</v>
      </c>
      <c r="T84" s="96">
        <v>3916629190.1100001</v>
      </c>
      <c r="U84" s="96">
        <v>3916629190.1100001</v>
      </c>
      <c r="V84" s="96">
        <v>4004045030.0500002</v>
      </c>
      <c r="W84" s="96">
        <v>4021822214.3099999</v>
      </c>
      <c r="X84" s="96">
        <v>4009170829.8699999</v>
      </c>
      <c r="Y84" s="96">
        <v>4009170829.8699999</v>
      </c>
      <c r="Z84" s="96">
        <v>4009170829.8699999</v>
      </c>
      <c r="AA84" s="96">
        <v>4077323554.21</v>
      </c>
      <c r="AB84" s="96">
        <v>4100045860.3099999</v>
      </c>
      <c r="AC84" s="96">
        <v>4203167544.0700002</v>
      </c>
      <c r="AD84" s="96">
        <v>4203167544.0700002</v>
      </c>
      <c r="AE84" s="96">
        <v>4198420740.1800003</v>
      </c>
      <c r="AF84" s="96">
        <v>3482649390.7800007</v>
      </c>
      <c r="AG84" s="96"/>
      <c r="AH84" s="97">
        <f>AVERAGE(B84:AG84)</f>
        <v>3994092079.3533335</v>
      </c>
      <c r="AI84" s="97">
        <f>AO84-AO68</f>
        <v>37108870.588058889</v>
      </c>
      <c r="AJ84" s="98" t="s">
        <v>177</v>
      </c>
      <c r="AK84" s="97">
        <f>+AH84</f>
        <v>3994092079.3533335</v>
      </c>
      <c r="AL84" s="97">
        <f>+AI84</f>
        <v>37108870.588058889</v>
      </c>
      <c r="AM84" s="99">
        <f t="shared" ref="AM84:AM90" si="15">+AL84/AK84*366/30</f>
        <v>0.11334947021241876</v>
      </c>
      <c r="AO84" s="97">
        <v>226342538.57537225</v>
      </c>
      <c r="AQ84" s="85">
        <v>30</v>
      </c>
    </row>
    <row r="85" spans="1:44">
      <c r="A85" s="100" t="s">
        <v>178</v>
      </c>
      <c r="B85" s="96"/>
      <c r="C85" s="96">
        <v>1720076920.1500001</v>
      </c>
      <c r="D85" s="96">
        <v>1720076920.1500001</v>
      </c>
      <c r="E85" s="96">
        <v>1720076920.1500001</v>
      </c>
      <c r="F85" s="96">
        <v>1720076920.1500001</v>
      </c>
      <c r="G85" s="96">
        <v>1720076920.1500001</v>
      </c>
      <c r="H85" s="96">
        <v>1720076920.1500001</v>
      </c>
      <c r="I85" s="96">
        <v>1720076920.1500001</v>
      </c>
      <c r="J85" s="96">
        <v>1720076920.1500001</v>
      </c>
      <c r="K85" s="96">
        <v>1720076920.1500001</v>
      </c>
      <c r="L85" s="96">
        <v>1720076920.1500001</v>
      </c>
      <c r="M85" s="96">
        <v>1720076920.1500001</v>
      </c>
      <c r="N85" s="96">
        <v>1720076920.1500001</v>
      </c>
      <c r="O85" s="96">
        <v>1720076920.1500001</v>
      </c>
      <c r="P85" s="96">
        <v>1720076920.1500001</v>
      </c>
      <c r="Q85" s="96">
        <v>1720076920.1500001</v>
      </c>
      <c r="R85" s="96">
        <v>1720076920.1500001</v>
      </c>
      <c r="S85" s="96">
        <v>1720076920.1500001</v>
      </c>
      <c r="T85" s="96">
        <v>1363959832.45</v>
      </c>
      <c r="U85" s="96">
        <v>1363959832.45</v>
      </c>
      <c r="V85" s="96">
        <v>1363959832.45</v>
      </c>
      <c r="W85" s="96">
        <v>1363959832.45</v>
      </c>
      <c r="X85" s="96">
        <v>1363959832.45</v>
      </c>
      <c r="Y85" s="96">
        <v>1363959832.45</v>
      </c>
      <c r="Z85" s="96">
        <v>1363959832.45</v>
      </c>
      <c r="AA85" s="96">
        <v>1363959832.45</v>
      </c>
      <c r="AB85" s="96">
        <v>1363959832.45</v>
      </c>
      <c r="AC85" s="96">
        <v>1363959832.45</v>
      </c>
      <c r="AD85" s="96">
        <v>1363959832.45</v>
      </c>
      <c r="AE85" s="96">
        <v>1363959832.45</v>
      </c>
      <c r="AF85" s="96">
        <v>1368585743.3300002</v>
      </c>
      <c r="AG85" s="96"/>
      <c r="AH85" s="97">
        <f>AVERAGE(B85:AG85)</f>
        <v>1565913712.5093331</v>
      </c>
      <c r="AI85" s="97">
        <f>AO85-AO69</f>
        <v>13624635.100000009</v>
      </c>
      <c r="AJ85" s="98" t="s">
        <v>145</v>
      </c>
      <c r="AK85" s="101">
        <f>AH85</f>
        <v>1565913712.5093331</v>
      </c>
      <c r="AL85" s="101">
        <f>AI85</f>
        <v>13624635.100000009</v>
      </c>
      <c r="AM85" s="99">
        <f t="shared" si="15"/>
        <v>0.10614923855136073</v>
      </c>
      <c r="AO85" s="97">
        <v>91455997.820000008</v>
      </c>
      <c r="AP85" s="103"/>
      <c r="AQ85" s="85">
        <v>31</v>
      </c>
    </row>
    <row r="86" spans="1:44">
      <c r="A86" s="100" t="s">
        <v>180</v>
      </c>
      <c r="B86" s="96"/>
      <c r="C86" s="96">
        <v>0</v>
      </c>
      <c r="D86" s="96">
        <v>0</v>
      </c>
      <c r="E86" s="96">
        <v>0</v>
      </c>
      <c r="F86" s="96">
        <v>0</v>
      </c>
      <c r="G86" s="96">
        <v>0</v>
      </c>
      <c r="H86" s="96">
        <v>0</v>
      </c>
      <c r="I86" s="96">
        <v>0</v>
      </c>
      <c r="J86" s="96">
        <v>0</v>
      </c>
      <c r="K86" s="96">
        <v>0</v>
      </c>
      <c r="L86" s="96">
        <v>0</v>
      </c>
      <c r="M86" s="96">
        <v>0</v>
      </c>
      <c r="N86" s="96">
        <v>0</v>
      </c>
      <c r="O86" s="96">
        <v>0</v>
      </c>
      <c r="P86" s="96">
        <v>0</v>
      </c>
      <c r="Q86" s="96">
        <v>0</v>
      </c>
      <c r="R86" s="96">
        <v>0</v>
      </c>
      <c r="S86" s="96">
        <v>0</v>
      </c>
      <c r="T86" s="96">
        <v>0</v>
      </c>
      <c r="U86" s="96">
        <v>0</v>
      </c>
      <c r="V86" s="96">
        <v>0</v>
      </c>
      <c r="W86" s="96">
        <v>0</v>
      </c>
      <c r="X86" s="96">
        <v>0</v>
      </c>
      <c r="Y86" s="96">
        <v>0</v>
      </c>
      <c r="Z86" s="96">
        <v>0</v>
      </c>
      <c r="AA86" s="96">
        <v>0</v>
      </c>
      <c r="AB86" s="96">
        <v>0</v>
      </c>
      <c r="AC86" s="96">
        <v>0</v>
      </c>
      <c r="AD86" s="96">
        <v>0</v>
      </c>
      <c r="AE86" s="96">
        <v>0</v>
      </c>
      <c r="AF86" s="96">
        <v>0</v>
      </c>
      <c r="AG86" s="96"/>
      <c r="AH86" s="97">
        <f>AVERAGE(B86:AG86)</f>
        <v>0</v>
      </c>
      <c r="AI86" s="97">
        <f>AO86-AO70</f>
        <v>0</v>
      </c>
      <c r="AJ86" s="98" t="s">
        <v>181</v>
      </c>
      <c r="AK86" s="101">
        <f>AH86</f>
        <v>0</v>
      </c>
      <c r="AL86" s="101">
        <f>AI86</f>
        <v>0</v>
      </c>
      <c r="AM86" s="99" t="e">
        <f t="shared" si="15"/>
        <v>#DIV/0!</v>
      </c>
      <c r="AO86" s="97">
        <v>0</v>
      </c>
      <c r="AQ86" s="85">
        <v>30</v>
      </c>
    </row>
    <row r="87" spans="1:44">
      <c r="A87" s="100" t="s">
        <v>182</v>
      </c>
      <c r="B87" s="96"/>
      <c r="C87" s="96">
        <v>1675354875.0799999</v>
      </c>
      <c r="D87" s="96">
        <v>1675354875.0799999</v>
      </c>
      <c r="E87" s="96">
        <v>1675354875.0799999</v>
      </c>
      <c r="F87" s="96">
        <v>1307841716.1000001</v>
      </c>
      <c r="G87" s="96">
        <v>1282280763.03</v>
      </c>
      <c r="H87" s="96">
        <v>1339979992.53</v>
      </c>
      <c r="I87" s="96">
        <v>1347937431.04</v>
      </c>
      <c r="J87" s="96">
        <v>1292971087.6200001</v>
      </c>
      <c r="K87" s="96">
        <v>1292971087.6200001</v>
      </c>
      <c r="L87" s="96">
        <v>1292971087.6200001</v>
      </c>
      <c r="M87" s="96">
        <v>846373292.80000007</v>
      </c>
      <c r="N87" s="96">
        <v>798755742.70000005</v>
      </c>
      <c r="O87" s="96">
        <v>791214320.28999996</v>
      </c>
      <c r="P87" s="96">
        <v>786888883.64999998</v>
      </c>
      <c r="Q87" s="96">
        <v>743033374.77999997</v>
      </c>
      <c r="R87" s="96">
        <v>743033374.77999997</v>
      </c>
      <c r="S87" s="96">
        <v>743033374.77999997</v>
      </c>
      <c r="T87" s="96">
        <v>745643599.36000001</v>
      </c>
      <c r="U87" s="96">
        <v>745643599.36000001</v>
      </c>
      <c r="V87" s="96">
        <v>739903722.40999997</v>
      </c>
      <c r="W87" s="96">
        <v>756493131.89999998</v>
      </c>
      <c r="X87" s="96">
        <v>760196801.31000006</v>
      </c>
      <c r="Y87" s="96">
        <v>760196801.31000006</v>
      </c>
      <c r="Z87" s="96">
        <v>760196801.31000006</v>
      </c>
      <c r="AA87" s="96">
        <v>758118369.69000006</v>
      </c>
      <c r="AB87" s="96">
        <v>764040152.20000005</v>
      </c>
      <c r="AC87" s="96">
        <v>776512719.71000004</v>
      </c>
      <c r="AD87" s="96">
        <v>776512719.71000004</v>
      </c>
      <c r="AE87" s="96">
        <v>786285087.49000001</v>
      </c>
      <c r="AF87" s="96">
        <v>778136746.49000001</v>
      </c>
      <c r="AG87" s="96"/>
      <c r="AH87" s="97">
        <f t="shared" ref="AH87:AH92" si="16">AVERAGE(B87:AG87)</f>
        <v>984774346.89433348</v>
      </c>
      <c r="AI87" s="97">
        <f>+AO87-AO71</f>
        <v>7673681.6811855361</v>
      </c>
      <c r="AJ87" s="98" t="s">
        <v>144</v>
      </c>
      <c r="AK87" s="101">
        <f>+AH87</f>
        <v>984774346.89433348</v>
      </c>
      <c r="AL87" s="101">
        <f>+AI87</f>
        <v>7673681.6811855361</v>
      </c>
      <c r="AM87" s="99">
        <f t="shared" si="15"/>
        <v>9.5066363990601463E-2</v>
      </c>
      <c r="AO87" s="97">
        <v>48648177.613524646</v>
      </c>
      <c r="AQ87" s="85">
        <v>31</v>
      </c>
    </row>
    <row r="88" spans="1:44">
      <c r="A88" s="100" t="s">
        <v>143</v>
      </c>
      <c r="B88" s="96"/>
      <c r="C88" s="96">
        <v>536452660.46000004</v>
      </c>
      <c r="D88" s="96">
        <v>536452660.46000004</v>
      </c>
      <c r="E88" s="96">
        <v>536452660.46000004</v>
      </c>
      <c r="F88" s="96">
        <v>531929943.46000004</v>
      </c>
      <c r="G88" s="96">
        <v>532718850.46000004</v>
      </c>
      <c r="H88" s="96">
        <v>532678295.05000019</v>
      </c>
      <c r="I88" s="96">
        <v>532294968.15999985</v>
      </c>
      <c r="J88" s="96">
        <v>532294967.56000042</v>
      </c>
      <c r="K88" s="96">
        <v>532294967.56000042</v>
      </c>
      <c r="L88" s="96">
        <v>532294967.56000042</v>
      </c>
      <c r="M88" s="96">
        <v>532141567.55999947</v>
      </c>
      <c r="N88" s="96">
        <v>531079567.56000042</v>
      </c>
      <c r="O88" s="96">
        <v>525461878.64999962</v>
      </c>
      <c r="P88" s="96">
        <v>493658647.13000011</v>
      </c>
      <c r="Q88" s="96">
        <v>497222475.90999985</v>
      </c>
      <c r="R88" s="96">
        <v>497222475.90999985</v>
      </c>
      <c r="S88" s="96">
        <v>497222475.90999985</v>
      </c>
      <c r="T88" s="96">
        <v>493469339.61999989</v>
      </c>
      <c r="U88" s="96">
        <v>493469339.61999989</v>
      </c>
      <c r="V88" s="96">
        <v>488202928.5899992</v>
      </c>
      <c r="W88" s="96">
        <v>491328391.81000042</v>
      </c>
      <c r="X88" s="96">
        <v>491328391.81000042</v>
      </c>
      <c r="Y88" s="96">
        <v>491328391.81000042</v>
      </c>
      <c r="Z88" s="96">
        <v>491328391.81000042</v>
      </c>
      <c r="AA88" s="96">
        <v>483642138.02999973</v>
      </c>
      <c r="AB88" s="96">
        <v>483642138.02999973</v>
      </c>
      <c r="AC88" s="96">
        <v>489131581.17000008</v>
      </c>
      <c r="AD88" s="96">
        <v>489131581.17000008</v>
      </c>
      <c r="AE88" s="96">
        <v>496229375.21999931</v>
      </c>
      <c r="AF88" s="96">
        <v>494665494.21999931</v>
      </c>
      <c r="AG88" s="96"/>
      <c r="AH88" s="97">
        <f>AVERAGE(B88:AG88)</f>
        <v>509559050.42433333</v>
      </c>
      <c r="AI88" s="97">
        <f>+AO88-AO72</f>
        <v>4246331.6035421938</v>
      </c>
      <c r="AJ88" s="98" t="s">
        <v>179</v>
      </c>
      <c r="AK88" s="101">
        <f>+AH88</f>
        <v>509559050.42433333</v>
      </c>
      <c r="AL88" s="101">
        <f>+AI88</f>
        <v>4246331.6035421938</v>
      </c>
      <c r="AM88" s="99">
        <f t="shared" si="15"/>
        <v>0.10166681470984403</v>
      </c>
      <c r="AO88" s="97">
        <v>28159360.021528769</v>
      </c>
      <c r="AQ88" s="85">
        <v>31</v>
      </c>
    </row>
    <row r="89" spans="1:44">
      <c r="A89" s="100" t="s">
        <v>184</v>
      </c>
      <c r="B89" s="96"/>
      <c r="C89" s="96">
        <v>4865696259.71</v>
      </c>
      <c r="D89" s="96">
        <v>4865696259.71</v>
      </c>
      <c r="E89" s="96">
        <v>4865696259.71</v>
      </c>
      <c r="F89" s="96">
        <v>4785103713.1900005</v>
      </c>
      <c r="G89" s="96">
        <v>4756463445.4899998</v>
      </c>
      <c r="H89" s="96">
        <v>4821348667.46</v>
      </c>
      <c r="I89" s="96">
        <v>4854246531.3800001</v>
      </c>
      <c r="J89" s="96">
        <v>4787247061.6700001</v>
      </c>
      <c r="K89" s="96">
        <v>4787247061.6700001</v>
      </c>
      <c r="L89" s="96">
        <v>4787247061.6700001</v>
      </c>
      <c r="M89" s="96">
        <v>4753720283.2200003</v>
      </c>
      <c r="N89" s="96">
        <v>4739208164.9200001</v>
      </c>
      <c r="O89" s="96">
        <v>4752512190.7300005</v>
      </c>
      <c r="P89" s="96">
        <v>4813367045.0600004</v>
      </c>
      <c r="Q89" s="96">
        <v>4810666726.9499998</v>
      </c>
      <c r="R89" s="96">
        <v>4810666726.9499998</v>
      </c>
      <c r="S89" s="96">
        <v>4810666726.9499998</v>
      </c>
      <c r="T89" s="96">
        <v>4839531108.0100002</v>
      </c>
      <c r="U89" s="96">
        <v>4839531108.0100002</v>
      </c>
      <c r="V89" s="96">
        <v>4854942096.1500006</v>
      </c>
      <c r="W89" s="96">
        <v>4876305703.96</v>
      </c>
      <c r="X89" s="96">
        <v>4935715467.9099998</v>
      </c>
      <c r="Y89" s="96">
        <v>4935715467.9099998</v>
      </c>
      <c r="Z89" s="96">
        <v>4935715467.9099998</v>
      </c>
      <c r="AA89" s="96">
        <v>4907082823.1300001</v>
      </c>
      <c r="AB89" s="96">
        <v>4757843499.1400003</v>
      </c>
      <c r="AC89" s="96">
        <v>4771966323.4200001</v>
      </c>
      <c r="AD89" s="96">
        <v>4771966323.4200001</v>
      </c>
      <c r="AE89" s="96">
        <v>4899088638.6500006</v>
      </c>
      <c r="AF89" s="96">
        <v>4817089571.8500004</v>
      </c>
      <c r="AG89" s="96"/>
      <c r="AH89" s="97">
        <f t="shared" si="16"/>
        <v>4826976459.5303335</v>
      </c>
      <c r="AI89" s="97">
        <f>+AO89-AO73</f>
        <v>35505976.399470329</v>
      </c>
      <c r="AJ89" s="98" t="s">
        <v>142</v>
      </c>
      <c r="AK89" s="101">
        <f>AH89</f>
        <v>4826976459.5303335</v>
      </c>
      <c r="AL89" s="101">
        <f>AI89</f>
        <v>35505976.399470329</v>
      </c>
      <c r="AM89" s="99">
        <f t="shared" si="15"/>
        <v>8.9740009238761839E-2</v>
      </c>
      <c r="AO89" s="97">
        <v>191813344.58286902</v>
      </c>
      <c r="AQ89" s="85">
        <v>30</v>
      </c>
    </row>
    <row r="90" spans="1:44">
      <c r="A90" s="100" t="s">
        <v>185</v>
      </c>
      <c r="B90" s="96"/>
      <c r="C90" s="96">
        <v>506295081.47684997</v>
      </c>
      <c r="D90" s="96">
        <v>506295081.47684997</v>
      </c>
      <c r="E90" s="96">
        <v>506295081.47684997</v>
      </c>
      <c r="F90" s="96">
        <v>506016002.28805</v>
      </c>
      <c r="G90" s="96">
        <v>524542203.78694993</v>
      </c>
      <c r="H90" s="96">
        <v>500666949.20660007</v>
      </c>
      <c r="I90" s="96">
        <v>502106925.96699989</v>
      </c>
      <c r="J90" s="96">
        <v>501326997.23989993</v>
      </c>
      <c r="K90" s="96">
        <v>501326997.23989993</v>
      </c>
      <c r="L90" s="96">
        <v>501326997.23989993</v>
      </c>
      <c r="M90" s="96">
        <v>514324405.80654991</v>
      </c>
      <c r="N90" s="96">
        <v>520716805.29474992</v>
      </c>
      <c r="O90" s="96">
        <v>516373435.53944987</v>
      </c>
      <c r="P90" s="96">
        <v>528615276.26074988</v>
      </c>
      <c r="Q90" s="96">
        <v>504872657.40114993</v>
      </c>
      <c r="R90" s="96">
        <v>504872657.40114993</v>
      </c>
      <c r="S90" s="96">
        <v>504872657.40114993</v>
      </c>
      <c r="T90" s="96">
        <v>523880879.56094992</v>
      </c>
      <c r="U90" s="96">
        <v>523880879.56094992</v>
      </c>
      <c r="V90" s="96">
        <v>516000045.79464996</v>
      </c>
      <c r="W90" s="96">
        <v>526831708.04789984</v>
      </c>
      <c r="X90" s="96">
        <v>526853811.28389984</v>
      </c>
      <c r="Y90" s="96">
        <v>526853811.28389984</v>
      </c>
      <c r="Z90" s="96">
        <v>526853811.28389984</v>
      </c>
      <c r="AA90" s="96">
        <v>529379095.70289993</v>
      </c>
      <c r="AB90" s="96">
        <v>520136332.34549999</v>
      </c>
      <c r="AC90" s="96">
        <v>562029650.79964995</v>
      </c>
      <c r="AD90" s="96">
        <v>562029650.79964995</v>
      </c>
      <c r="AE90" s="96">
        <v>566413858.88082516</v>
      </c>
      <c r="AF90" s="96">
        <v>562287218.20082521</v>
      </c>
      <c r="AG90" s="96"/>
      <c r="AH90" s="97">
        <f t="shared" si="16"/>
        <v>520809232.20164311</v>
      </c>
      <c r="AI90" s="97">
        <f>AO90-AO74+650397.39</f>
        <v>3333673.0190073024</v>
      </c>
      <c r="AJ90" s="98" t="s">
        <v>183</v>
      </c>
      <c r="AK90" s="101">
        <f>+AH90+AH91+AH92</f>
        <v>520809232.20164311</v>
      </c>
      <c r="AL90" s="101">
        <f>+AI90+AI91+AI92</f>
        <v>3333673.0190073024</v>
      </c>
      <c r="AM90" s="99">
        <f t="shared" si="15"/>
        <v>7.8091570420054421E-2</v>
      </c>
      <c r="AO90" s="101">
        <v>20717558.355800003</v>
      </c>
      <c r="AQ90" s="85">
        <f>SUM(AQ84:AQ89)</f>
        <v>183</v>
      </c>
    </row>
    <row r="91" spans="1:44">
      <c r="A91" s="100" t="s">
        <v>187</v>
      </c>
      <c r="B91" s="96"/>
      <c r="C91" s="96">
        <v>0</v>
      </c>
      <c r="D91" s="96">
        <v>0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96">
        <v>0</v>
      </c>
      <c r="Q91" s="96">
        <v>0</v>
      </c>
      <c r="R91" s="96">
        <v>0</v>
      </c>
      <c r="S91" s="96">
        <v>0</v>
      </c>
      <c r="T91" s="96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  <c r="AD91" s="96">
        <v>0</v>
      </c>
      <c r="AE91" s="96">
        <v>0</v>
      </c>
      <c r="AF91" s="96">
        <v>0</v>
      </c>
      <c r="AG91" s="96"/>
      <c r="AH91" s="97">
        <f t="shared" si="16"/>
        <v>0</v>
      </c>
      <c r="AI91" s="97">
        <f>AO91-AO75</f>
        <v>0</v>
      </c>
      <c r="AJ91" s="98"/>
      <c r="AK91" s="97"/>
      <c r="AL91" s="97"/>
      <c r="AM91" s="99"/>
      <c r="AO91" s="101"/>
    </row>
    <row r="92" spans="1:44">
      <c r="A92" s="100" t="s">
        <v>188</v>
      </c>
      <c r="B92" s="96"/>
      <c r="C92" s="96">
        <v>0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96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96">
        <v>0</v>
      </c>
      <c r="S92" s="96">
        <v>0</v>
      </c>
      <c r="T92" s="96">
        <v>0</v>
      </c>
      <c r="U92" s="96">
        <v>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  <c r="AD92" s="96">
        <v>0</v>
      </c>
      <c r="AE92" s="96">
        <v>0</v>
      </c>
      <c r="AF92" s="96">
        <v>0</v>
      </c>
      <c r="AG92" s="96"/>
      <c r="AH92" s="97">
        <f t="shared" si="16"/>
        <v>0</v>
      </c>
      <c r="AI92" s="97">
        <f>+AO92-AO76</f>
        <v>0</v>
      </c>
      <c r="AJ92" s="98" t="s">
        <v>186</v>
      </c>
      <c r="AK92" s="101">
        <v>0</v>
      </c>
      <c r="AL92" s="101">
        <v>0</v>
      </c>
      <c r="AM92" s="99"/>
      <c r="AO92" s="101"/>
    </row>
    <row r="93" spans="1:44">
      <c r="A93" s="100" t="s">
        <v>189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7">
        <v>431753669.87</v>
      </c>
      <c r="AI93" s="97"/>
      <c r="AJ93" s="98"/>
      <c r="AK93" s="101"/>
      <c r="AL93" s="101"/>
      <c r="AM93" s="101"/>
      <c r="AO93" s="101"/>
    </row>
    <row r="94" spans="1:44">
      <c r="A94" s="100" t="s">
        <v>190</v>
      </c>
      <c r="B94" s="96"/>
      <c r="C94" s="96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96">
        <v>0</v>
      </c>
      <c r="S94" s="96">
        <v>0</v>
      </c>
      <c r="T94" s="96">
        <v>0</v>
      </c>
      <c r="U94" s="96">
        <v>0</v>
      </c>
      <c r="V94" s="96">
        <v>0</v>
      </c>
      <c r="W94" s="96">
        <v>0</v>
      </c>
      <c r="X94" s="96">
        <v>0</v>
      </c>
      <c r="Y94" s="96">
        <v>0</v>
      </c>
      <c r="Z94" s="96">
        <v>0</v>
      </c>
      <c r="AA94" s="96">
        <v>0</v>
      </c>
      <c r="AB94" s="96">
        <v>0</v>
      </c>
      <c r="AC94" s="96">
        <v>0</v>
      </c>
      <c r="AD94" s="96">
        <v>0</v>
      </c>
      <c r="AE94" s="96">
        <v>0</v>
      </c>
      <c r="AF94" s="96">
        <v>0</v>
      </c>
      <c r="AG94" s="96"/>
      <c r="AH94" s="97">
        <f>AVERAGE(B94:AG94)</f>
        <v>0</v>
      </c>
      <c r="AI94" s="97"/>
      <c r="AK94" s="101"/>
      <c r="AL94" s="101"/>
      <c r="AM94" s="101"/>
      <c r="AO94" s="101"/>
    </row>
    <row r="95" spans="1:44">
      <c r="A95" s="105"/>
      <c r="B95" s="105"/>
      <c r="C95" s="105"/>
      <c r="D95" s="105"/>
      <c r="E95" s="105"/>
      <c r="F95" s="105"/>
      <c r="G95" s="105"/>
      <c r="H95" s="105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105"/>
      <c r="AI95" s="97">
        <v>0</v>
      </c>
      <c r="AK95" s="105"/>
      <c r="AL95" s="105"/>
      <c r="AM95" s="106"/>
      <c r="AO95" s="107"/>
    </row>
    <row r="96" spans="1:44">
      <c r="A96" s="108" t="s">
        <v>146</v>
      </c>
      <c r="B96" s="109"/>
      <c r="C96" s="109">
        <v>13312923442.63685</v>
      </c>
      <c r="D96" s="109">
        <v>13312923442.63685</v>
      </c>
      <c r="E96" s="109">
        <v>13312923442.63685</v>
      </c>
      <c r="F96" s="109">
        <v>12742807361.828051</v>
      </c>
      <c r="G96" s="109">
        <v>12686443269.466949</v>
      </c>
      <c r="H96" s="109">
        <v>12876628757.946602</v>
      </c>
      <c r="I96" s="109">
        <v>12953859409.516998</v>
      </c>
      <c r="J96" s="109">
        <v>12824733277.979902</v>
      </c>
      <c r="K96" s="109">
        <v>12824733277.979902</v>
      </c>
      <c r="L96" s="109">
        <v>12824733277.979902</v>
      </c>
      <c r="M96" s="109">
        <v>12310929548.556549</v>
      </c>
      <c r="N96" s="109">
        <v>12275225335.63475</v>
      </c>
      <c r="O96" s="109">
        <v>12308364132.05945</v>
      </c>
      <c r="P96" s="109">
        <v>12321513720.85075</v>
      </c>
      <c r="Q96" s="109">
        <v>12295595386.99115</v>
      </c>
      <c r="R96" s="109">
        <v>12295595386.99115</v>
      </c>
      <c r="S96" s="109">
        <v>12295595386.99115</v>
      </c>
      <c r="T96" s="109">
        <v>11883113949.110949</v>
      </c>
      <c r="U96" s="109">
        <v>11883113949.110949</v>
      </c>
      <c r="V96" s="109">
        <v>11967053655.444649</v>
      </c>
      <c r="W96" s="109">
        <v>12036740982.4779</v>
      </c>
      <c r="X96" s="109">
        <v>12087225134.6339</v>
      </c>
      <c r="Y96" s="109">
        <v>12087225134.6339</v>
      </c>
      <c r="Z96" s="109">
        <v>12087225134.6339</v>
      </c>
      <c r="AA96" s="109">
        <v>12119505813.2129</v>
      </c>
      <c r="AB96" s="109">
        <v>11989667814.475502</v>
      </c>
      <c r="AC96" s="109">
        <v>12166767651.61965</v>
      </c>
      <c r="AD96" s="109">
        <v>12166767651.61965</v>
      </c>
      <c r="AE96" s="109">
        <v>12310397532.870825</v>
      </c>
      <c r="AF96" s="109">
        <v>11503414164.870825</v>
      </c>
      <c r="AG96" s="109"/>
      <c r="AH96" s="109">
        <f>AVERAGE(B96:AG96)</f>
        <v>12402124880.913311</v>
      </c>
      <c r="AI96" s="109">
        <f>SUM(AI84:AI95)</f>
        <v>101493168.39126426</v>
      </c>
      <c r="AK96" s="109">
        <f>SUM(AK84:AK95)</f>
        <v>12402124880.913311</v>
      </c>
      <c r="AL96" s="109">
        <f>SUM(AL83:AL95)</f>
        <v>101493168.39126426</v>
      </c>
      <c r="AM96" s="110">
        <f>+AL96/AK96*366/30</f>
        <v>9.9839073244539028E-2</v>
      </c>
      <c r="AO96" s="111">
        <f>SUM(AO84:AO95)</f>
        <v>607136976.96909475</v>
      </c>
      <c r="AP96" s="86"/>
      <c r="AQ96" s="86"/>
      <c r="AR96" s="86"/>
    </row>
    <row r="97" spans="1:44">
      <c r="G97" s="86"/>
      <c r="L97" s="86"/>
      <c r="N97" s="86"/>
      <c r="O97" s="86"/>
      <c r="U97" s="86"/>
      <c r="AA97" s="86"/>
      <c r="AB97" s="86"/>
      <c r="AQ97" s="86"/>
    </row>
    <row r="98" spans="1:44" s="89" customFormat="1">
      <c r="A98" s="87" t="s">
        <v>167</v>
      </c>
      <c r="B98" s="88"/>
      <c r="C98" s="88">
        <v>45200</v>
      </c>
      <c r="D98" s="88">
        <f t="shared" ref="D98:AG98" si="17">C98+1</f>
        <v>45201</v>
      </c>
      <c r="E98" s="88">
        <f t="shared" si="17"/>
        <v>45202</v>
      </c>
      <c r="F98" s="88">
        <f t="shared" si="17"/>
        <v>45203</v>
      </c>
      <c r="G98" s="88">
        <f t="shared" si="17"/>
        <v>45204</v>
      </c>
      <c r="H98" s="88">
        <f t="shared" si="17"/>
        <v>45205</v>
      </c>
      <c r="I98" s="88">
        <f t="shared" si="17"/>
        <v>45206</v>
      </c>
      <c r="J98" s="88">
        <f t="shared" si="17"/>
        <v>45207</v>
      </c>
      <c r="K98" s="88">
        <f t="shared" si="17"/>
        <v>45208</v>
      </c>
      <c r="L98" s="88">
        <f t="shared" si="17"/>
        <v>45209</v>
      </c>
      <c r="M98" s="88">
        <f t="shared" si="17"/>
        <v>45210</v>
      </c>
      <c r="N98" s="88">
        <f t="shared" si="17"/>
        <v>45211</v>
      </c>
      <c r="O98" s="88">
        <f t="shared" si="17"/>
        <v>45212</v>
      </c>
      <c r="P98" s="88">
        <f t="shared" si="17"/>
        <v>45213</v>
      </c>
      <c r="Q98" s="88">
        <f t="shared" si="17"/>
        <v>45214</v>
      </c>
      <c r="R98" s="88">
        <f t="shared" si="17"/>
        <v>45215</v>
      </c>
      <c r="S98" s="88">
        <f t="shared" si="17"/>
        <v>45216</v>
      </c>
      <c r="T98" s="88">
        <f t="shared" si="17"/>
        <v>45217</v>
      </c>
      <c r="U98" s="88">
        <f t="shared" si="17"/>
        <v>45218</v>
      </c>
      <c r="V98" s="88">
        <f t="shared" si="17"/>
        <v>45219</v>
      </c>
      <c r="W98" s="88">
        <f t="shared" si="17"/>
        <v>45220</v>
      </c>
      <c r="X98" s="88">
        <f t="shared" si="17"/>
        <v>45221</v>
      </c>
      <c r="Y98" s="88">
        <f t="shared" si="17"/>
        <v>45222</v>
      </c>
      <c r="Z98" s="88">
        <f t="shared" si="17"/>
        <v>45223</v>
      </c>
      <c r="AA98" s="88">
        <f t="shared" si="17"/>
        <v>45224</v>
      </c>
      <c r="AB98" s="88">
        <f t="shared" si="17"/>
        <v>45225</v>
      </c>
      <c r="AC98" s="88">
        <f t="shared" si="17"/>
        <v>45226</v>
      </c>
      <c r="AD98" s="88">
        <f t="shared" si="17"/>
        <v>45227</v>
      </c>
      <c r="AE98" s="88">
        <f t="shared" si="17"/>
        <v>45228</v>
      </c>
      <c r="AF98" s="88">
        <f t="shared" si="17"/>
        <v>45229</v>
      </c>
      <c r="AG98" s="88">
        <f t="shared" si="17"/>
        <v>45230</v>
      </c>
      <c r="AL98" s="90"/>
      <c r="AM98" s="90"/>
    </row>
    <row r="99" spans="1:44" s="89" customFormat="1">
      <c r="A99" s="91" t="s">
        <v>168</v>
      </c>
      <c r="B99" s="92"/>
      <c r="C99" s="92" t="s">
        <v>169</v>
      </c>
      <c r="D99" s="92" t="s">
        <v>169</v>
      </c>
      <c r="E99" s="92" t="s">
        <v>169</v>
      </c>
      <c r="F99" s="92" t="s">
        <v>169</v>
      </c>
      <c r="G99" s="92" t="s">
        <v>169</v>
      </c>
      <c r="H99" s="92" t="s">
        <v>169</v>
      </c>
      <c r="I99" s="92" t="s">
        <v>169</v>
      </c>
      <c r="J99" s="92" t="s">
        <v>169</v>
      </c>
      <c r="K99" s="92" t="s">
        <v>169</v>
      </c>
      <c r="L99" s="92" t="s">
        <v>169</v>
      </c>
      <c r="M99" s="92" t="s">
        <v>169</v>
      </c>
      <c r="N99" s="92" t="s">
        <v>169</v>
      </c>
      <c r="O99" s="92" t="s">
        <v>169</v>
      </c>
      <c r="P99" s="92" t="s">
        <v>169</v>
      </c>
      <c r="Q99" s="92" t="s">
        <v>169</v>
      </c>
      <c r="R99" s="92" t="s">
        <v>169</v>
      </c>
      <c r="S99" s="92" t="s">
        <v>169</v>
      </c>
      <c r="T99" s="92" t="s">
        <v>169</v>
      </c>
      <c r="U99" s="92" t="s">
        <v>169</v>
      </c>
      <c r="V99" s="92" t="s">
        <v>169</v>
      </c>
      <c r="W99" s="92" t="s">
        <v>169</v>
      </c>
      <c r="X99" s="92" t="s">
        <v>169</v>
      </c>
      <c r="Y99" s="92" t="s">
        <v>169</v>
      </c>
      <c r="Z99" s="92" t="s">
        <v>169</v>
      </c>
      <c r="AA99" s="92" t="s">
        <v>169</v>
      </c>
      <c r="AB99" s="92" t="s">
        <v>169</v>
      </c>
      <c r="AC99" s="92" t="s">
        <v>169</v>
      </c>
      <c r="AD99" s="92" t="s">
        <v>169</v>
      </c>
      <c r="AE99" s="92" t="s">
        <v>169</v>
      </c>
      <c r="AF99" s="92" t="s">
        <v>169</v>
      </c>
      <c r="AG99" s="92" t="s">
        <v>169</v>
      </c>
      <c r="AH99" s="93" t="s">
        <v>170</v>
      </c>
      <c r="AI99" s="93" t="s">
        <v>171</v>
      </c>
      <c r="AK99" s="92" t="s">
        <v>172</v>
      </c>
      <c r="AL99" s="92" t="s">
        <v>173</v>
      </c>
      <c r="AM99" s="92" t="s">
        <v>174</v>
      </c>
      <c r="AO99" s="94" t="s">
        <v>175</v>
      </c>
      <c r="AQ99" s="89">
        <v>5578094.8458964499</v>
      </c>
    </row>
    <row r="100" spans="1:44">
      <c r="A100" s="95" t="s">
        <v>176</v>
      </c>
      <c r="B100" s="96"/>
      <c r="C100" s="96">
        <v>3482649390.7800007</v>
      </c>
      <c r="D100" s="96">
        <v>3482649390.7800007</v>
      </c>
      <c r="E100" s="96">
        <v>3893840646.8600001</v>
      </c>
      <c r="F100" s="96">
        <v>3947778508.3600001</v>
      </c>
      <c r="G100" s="96">
        <v>3863451085.9400001</v>
      </c>
      <c r="H100" s="96">
        <v>3995238428.6599998</v>
      </c>
      <c r="I100" s="96">
        <v>3995238428.6599998</v>
      </c>
      <c r="J100" s="96">
        <v>3995238428.6599998</v>
      </c>
      <c r="K100" s="96">
        <v>3982807935.6100001</v>
      </c>
      <c r="L100" s="96">
        <v>3997032452.4400001</v>
      </c>
      <c r="M100" s="96">
        <v>3943191580.6500001</v>
      </c>
      <c r="N100" s="96">
        <v>3955055654.1100001</v>
      </c>
      <c r="O100" s="96">
        <v>3939533837.1800003</v>
      </c>
      <c r="P100" s="96">
        <v>3939533837.1800003</v>
      </c>
      <c r="Q100" s="96">
        <v>3939533837.1800003</v>
      </c>
      <c r="R100" s="96">
        <v>3974941401.8899999</v>
      </c>
      <c r="S100" s="96">
        <v>3923256646.0599999</v>
      </c>
      <c r="T100" s="96">
        <v>3858252035.8800001</v>
      </c>
      <c r="U100" s="96">
        <v>3853178580.1100001</v>
      </c>
      <c r="V100" s="96">
        <v>3867299294.5999999</v>
      </c>
      <c r="W100" s="96">
        <v>3867299294.5999999</v>
      </c>
      <c r="X100" s="96">
        <v>3867299294.5999999</v>
      </c>
      <c r="Y100" s="96">
        <v>3904837795.4900002</v>
      </c>
      <c r="Z100" s="96">
        <v>3904837795.4900002</v>
      </c>
      <c r="AA100" s="96">
        <v>3851648250.52</v>
      </c>
      <c r="AB100" s="96">
        <v>3807254952.0799999</v>
      </c>
      <c r="AC100" s="96">
        <v>3781362819.0799999</v>
      </c>
      <c r="AD100" s="96">
        <v>3781362819.0799999</v>
      </c>
      <c r="AE100" s="96">
        <v>3781362819.0799999</v>
      </c>
      <c r="AF100" s="96">
        <v>3897450858.5799999</v>
      </c>
      <c r="AG100" s="96">
        <v>3645499503.6599998</v>
      </c>
      <c r="AH100" s="97">
        <f>AVERAGE(B100:AG100)</f>
        <v>3868384438.8338728</v>
      </c>
      <c r="AI100" s="97">
        <f>AO100-AO84</f>
        <v>38214893.821979284</v>
      </c>
      <c r="AJ100" s="98" t="s">
        <v>177</v>
      </c>
      <c r="AK100" s="97">
        <f>+AH100</f>
        <v>3868384438.8338728</v>
      </c>
      <c r="AL100" s="97">
        <f>+AI100</f>
        <v>38214893.821979284</v>
      </c>
      <c r="AM100" s="99">
        <f>+AL100/AK100*366/31</f>
        <v>0.11663326174930072</v>
      </c>
      <c r="AO100" s="97">
        <f>270135527.243248-5578094.84589645</f>
        <v>264557432.39735153</v>
      </c>
      <c r="AQ100" s="85">
        <v>30</v>
      </c>
    </row>
    <row r="101" spans="1:44">
      <c r="A101" s="100" t="s">
        <v>178</v>
      </c>
      <c r="B101" s="96"/>
      <c r="C101" s="96">
        <v>1368585743.3300002</v>
      </c>
      <c r="D101" s="96">
        <v>1368585743.3300002</v>
      </c>
      <c r="E101" s="96">
        <v>1363959832.45</v>
      </c>
      <c r="F101" s="96">
        <v>1363959832.45</v>
      </c>
      <c r="G101" s="96">
        <v>1363959832.45</v>
      </c>
      <c r="H101" s="96">
        <v>1363959832.45</v>
      </c>
      <c r="I101" s="96">
        <v>1363959832.45</v>
      </c>
      <c r="J101" s="96">
        <v>1363959832.45</v>
      </c>
      <c r="K101" s="96">
        <v>1363959832.45</v>
      </c>
      <c r="L101" s="96">
        <v>1363959832.45</v>
      </c>
      <c r="M101" s="96">
        <v>1363959832.45</v>
      </c>
      <c r="N101" s="96">
        <v>1363959832.45</v>
      </c>
      <c r="O101" s="96">
        <v>1363959832.45</v>
      </c>
      <c r="P101" s="96">
        <v>1363959832.45</v>
      </c>
      <c r="Q101" s="96">
        <v>1363959832.45</v>
      </c>
      <c r="R101" s="96">
        <v>1281176183.6500001</v>
      </c>
      <c r="S101" s="96">
        <v>1040487649.0500001</v>
      </c>
      <c r="T101" s="96">
        <v>1040487649.0500001</v>
      </c>
      <c r="U101" s="96">
        <v>1040487649.0500001</v>
      </c>
      <c r="V101" s="96">
        <v>1040487649.0500001</v>
      </c>
      <c r="W101" s="96">
        <v>1040487649.0500001</v>
      </c>
      <c r="X101" s="96">
        <v>1040487649.0500001</v>
      </c>
      <c r="Y101" s="96">
        <v>1040487649.0500001</v>
      </c>
      <c r="Z101" s="96">
        <v>1040487649.0500001</v>
      </c>
      <c r="AA101" s="96">
        <v>1040487649.0500001</v>
      </c>
      <c r="AB101" s="96">
        <v>1040487649.0500001</v>
      </c>
      <c r="AC101" s="96">
        <v>1040487649.0500001</v>
      </c>
      <c r="AD101" s="96">
        <v>1040487649.0500001</v>
      </c>
      <c r="AE101" s="96">
        <v>1040487649.0500001</v>
      </c>
      <c r="AF101" s="96">
        <v>1040487649.0500001</v>
      </c>
      <c r="AG101" s="96">
        <v>1044669790.7569267</v>
      </c>
      <c r="AH101" s="97">
        <f>AVERAGE(B101:AG101)</f>
        <v>1205203947.4069977</v>
      </c>
      <c r="AI101" s="97">
        <f>AO101-AO85</f>
        <v>11120872.520000011</v>
      </c>
      <c r="AJ101" s="98" t="s">
        <v>145</v>
      </c>
      <c r="AK101" s="101">
        <f>AH101</f>
        <v>1205203947.4069977</v>
      </c>
      <c r="AL101" s="101">
        <f>AI101</f>
        <v>11120872.520000011</v>
      </c>
      <c r="AM101" s="99">
        <f t="shared" ref="AM101:AM106" si="18">+AL101/AK101*366/31</f>
        <v>0.10894259314627511</v>
      </c>
      <c r="AO101" s="97">
        <v>102576870.34000002</v>
      </c>
      <c r="AP101" s="103"/>
      <c r="AQ101" s="85">
        <v>31</v>
      </c>
    </row>
    <row r="102" spans="1:44">
      <c r="A102" s="100" t="s">
        <v>180</v>
      </c>
      <c r="B102" s="96"/>
      <c r="C102" s="96">
        <v>0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0</v>
      </c>
      <c r="AA102" s="96">
        <v>0</v>
      </c>
      <c r="AB102" s="96">
        <v>0</v>
      </c>
      <c r="AC102" s="96">
        <v>0</v>
      </c>
      <c r="AD102" s="96">
        <v>0</v>
      </c>
      <c r="AE102" s="96">
        <v>0</v>
      </c>
      <c r="AF102" s="96">
        <v>0</v>
      </c>
      <c r="AG102" s="96">
        <v>0</v>
      </c>
      <c r="AH102" s="97">
        <f>AVERAGE(B102:AG102)</f>
        <v>0</v>
      </c>
      <c r="AI102" s="97">
        <f>AO102-AO86</f>
        <v>0</v>
      </c>
      <c r="AJ102" s="98" t="s">
        <v>181</v>
      </c>
      <c r="AK102" s="101">
        <f>AH102</f>
        <v>0</v>
      </c>
      <c r="AL102" s="101">
        <f>AI102</f>
        <v>0</v>
      </c>
      <c r="AM102" s="99" t="e">
        <f t="shared" si="18"/>
        <v>#DIV/0!</v>
      </c>
      <c r="AO102" s="97">
        <v>0</v>
      </c>
      <c r="AQ102" s="85">
        <v>30</v>
      </c>
    </row>
    <row r="103" spans="1:44">
      <c r="A103" s="100" t="s">
        <v>182</v>
      </c>
      <c r="B103" s="96"/>
      <c r="C103" s="96">
        <v>778136746.49000001</v>
      </c>
      <c r="D103" s="96">
        <v>778136746.49000001</v>
      </c>
      <c r="E103" s="96">
        <v>787285087.49000001</v>
      </c>
      <c r="F103" s="96">
        <v>731548958.23000002</v>
      </c>
      <c r="G103" s="96">
        <v>784118504.16999996</v>
      </c>
      <c r="H103" s="96">
        <v>826385415</v>
      </c>
      <c r="I103" s="96">
        <v>826385415</v>
      </c>
      <c r="J103" s="96">
        <v>826385415</v>
      </c>
      <c r="K103" s="96">
        <v>805859050.22000003</v>
      </c>
      <c r="L103" s="96">
        <v>863112014.44000006</v>
      </c>
      <c r="M103" s="96">
        <v>844144325.77999997</v>
      </c>
      <c r="N103" s="96">
        <v>839122701.24000001</v>
      </c>
      <c r="O103" s="96">
        <v>820542800.83000004</v>
      </c>
      <c r="P103" s="96">
        <v>820542800.83000004</v>
      </c>
      <c r="Q103" s="96">
        <v>820542800.83000004</v>
      </c>
      <c r="R103" s="96">
        <v>815698976.67000008</v>
      </c>
      <c r="S103" s="96">
        <v>816497324.67000008</v>
      </c>
      <c r="T103" s="96">
        <v>817122280.82000005</v>
      </c>
      <c r="U103" s="96">
        <v>780137938.00999999</v>
      </c>
      <c r="V103" s="96">
        <v>774724185.36000001</v>
      </c>
      <c r="W103" s="96">
        <v>774724185.36000001</v>
      </c>
      <c r="X103" s="96">
        <v>774724185.36000001</v>
      </c>
      <c r="Y103" s="96">
        <v>751850222.10000002</v>
      </c>
      <c r="Z103" s="96">
        <v>751850222.10000002</v>
      </c>
      <c r="AA103" s="96">
        <v>736208152.34000003</v>
      </c>
      <c r="AB103" s="96">
        <v>744699608.52999997</v>
      </c>
      <c r="AC103" s="96">
        <v>762485931.09000003</v>
      </c>
      <c r="AD103" s="96">
        <v>762485931.09000003</v>
      </c>
      <c r="AE103" s="96">
        <v>762485931.09000003</v>
      </c>
      <c r="AF103" s="96">
        <v>784251445.09000003</v>
      </c>
      <c r="AG103" s="96">
        <v>736959403.32000005</v>
      </c>
      <c r="AH103" s="97">
        <f t="shared" ref="AH103" si="19">AVERAGE(B103:AG103)</f>
        <v>790295313.06580639</v>
      </c>
      <c r="AI103" s="97">
        <f>+AO103-AO87</f>
        <v>5375093.7742243409</v>
      </c>
      <c r="AJ103" s="98" t="s">
        <v>144</v>
      </c>
      <c r="AK103" s="101">
        <f>+AH103</f>
        <v>790295313.06580639</v>
      </c>
      <c r="AL103" s="101">
        <f>+AI103</f>
        <v>5375093.7742243409</v>
      </c>
      <c r="AM103" s="99">
        <f t="shared" si="18"/>
        <v>8.0300089739887892E-2</v>
      </c>
      <c r="AO103" s="97">
        <v>54023271.387748986</v>
      </c>
      <c r="AQ103" s="85">
        <v>31</v>
      </c>
    </row>
    <row r="104" spans="1:44">
      <c r="A104" s="100" t="s">
        <v>143</v>
      </c>
      <c r="B104" s="96"/>
      <c r="C104" s="96">
        <v>494665494.21999931</v>
      </c>
      <c r="D104" s="96">
        <v>494665494.21999931</v>
      </c>
      <c r="E104" s="96">
        <v>496919798.1600008</v>
      </c>
      <c r="F104" s="96">
        <v>499259149.5</v>
      </c>
      <c r="G104" s="96">
        <v>492106400.65000057</v>
      </c>
      <c r="H104" s="96">
        <v>496648484.84999943</v>
      </c>
      <c r="I104" s="96">
        <v>496648484.84999943</v>
      </c>
      <c r="J104" s="96">
        <v>496648484.84999943</v>
      </c>
      <c r="K104" s="96">
        <v>496816832.59999943</v>
      </c>
      <c r="L104" s="96">
        <v>496816832.60000038</v>
      </c>
      <c r="M104" s="96">
        <v>484211588.77999973</v>
      </c>
      <c r="N104" s="96">
        <v>487460372.77000046</v>
      </c>
      <c r="O104" s="96">
        <v>489099075.82000065</v>
      </c>
      <c r="P104" s="96">
        <v>489099075.82000065</v>
      </c>
      <c r="Q104" s="96">
        <v>489099075.82000065</v>
      </c>
      <c r="R104" s="96">
        <v>498365299.43000031</v>
      </c>
      <c r="S104" s="96">
        <v>499211340.95000076</v>
      </c>
      <c r="T104" s="96">
        <v>499211340.94999981</v>
      </c>
      <c r="U104" s="96">
        <v>497286047.28999996</v>
      </c>
      <c r="V104" s="96">
        <v>501898727.29999924</v>
      </c>
      <c r="W104" s="96">
        <v>501898727.29999924</v>
      </c>
      <c r="X104" s="96">
        <v>501898727.29999924</v>
      </c>
      <c r="Y104" s="96">
        <v>499602600.30000019</v>
      </c>
      <c r="Z104" s="96">
        <v>499602600.30000019</v>
      </c>
      <c r="AA104" s="96">
        <v>502696959.34000015</v>
      </c>
      <c r="AB104" s="96">
        <v>502696958.52999973</v>
      </c>
      <c r="AC104" s="96">
        <v>498595744.32999992</v>
      </c>
      <c r="AD104" s="96">
        <v>498595744.32999992</v>
      </c>
      <c r="AE104" s="96">
        <v>498595744.32999992</v>
      </c>
      <c r="AF104" s="96">
        <v>494706915.73999977</v>
      </c>
      <c r="AG104" s="96">
        <v>505498388.57999992</v>
      </c>
      <c r="AH104" s="97">
        <f>AVERAGE(B104:AG104)</f>
        <v>496791177.80032241</v>
      </c>
      <c r="AI104" s="97">
        <f>+AO104-AO88</f>
        <v>4289018.8678294495</v>
      </c>
      <c r="AJ104" s="98" t="s">
        <v>179</v>
      </c>
      <c r="AK104" s="101">
        <f>+AH104</f>
        <v>496791177.80032241</v>
      </c>
      <c r="AL104" s="101">
        <f>+AI104</f>
        <v>4289018.8678294495</v>
      </c>
      <c r="AM104" s="99">
        <f t="shared" si="18"/>
        <v>0.10193034013621428</v>
      </c>
      <c r="AO104" s="97">
        <v>32448378.889358219</v>
      </c>
      <c r="AQ104" s="85">
        <v>31</v>
      </c>
    </row>
    <row r="105" spans="1:44">
      <c r="A105" s="100" t="s">
        <v>184</v>
      </c>
      <c r="B105" s="96"/>
      <c r="C105" s="96">
        <v>4817089571.8500004</v>
      </c>
      <c r="D105" s="96">
        <v>4817089571.8500004</v>
      </c>
      <c r="E105" s="96">
        <v>4739116177.6099997</v>
      </c>
      <c r="F105" s="96">
        <v>4766539521.1300001</v>
      </c>
      <c r="G105" s="96">
        <v>4716097831.29</v>
      </c>
      <c r="H105" s="96">
        <v>4693503132.1800003</v>
      </c>
      <c r="I105" s="96">
        <v>4693503132.1800003</v>
      </c>
      <c r="J105" s="96">
        <v>4693503132.1800003</v>
      </c>
      <c r="K105" s="96">
        <v>4693354122.1400003</v>
      </c>
      <c r="L105" s="96">
        <v>4709506083.5299997</v>
      </c>
      <c r="M105" s="96">
        <v>4692159094.3800001</v>
      </c>
      <c r="N105" s="96">
        <v>4722792528.9899998</v>
      </c>
      <c r="O105" s="96">
        <v>4600741740.7799997</v>
      </c>
      <c r="P105" s="96">
        <v>4600741740.7799997</v>
      </c>
      <c r="Q105" s="96">
        <v>4600741740.7799997</v>
      </c>
      <c r="R105" s="96">
        <v>4666750439.1300001</v>
      </c>
      <c r="S105" s="96">
        <v>4655371864.3599997</v>
      </c>
      <c r="T105" s="96">
        <v>4648540035.2600002</v>
      </c>
      <c r="U105" s="96">
        <v>4631507445.5600004</v>
      </c>
      <c r="V105" s="96">
        <v>4653657247.1500006</v>
      </c>
      <c r="W105" s="96">
        <v>4653657247.1500006</v>
      </c>
      <c r="X105" s="96">
        <v>4653657247.1500006</v>
      </c>
      <c r="Y105" s="96">
        <v>4673989116.6599998</v>
      </c>
      <c r="Z105" s="96">
        <v>4673989116.6599998</v>
      </c>
      <c r="AA105" s="96">
        <v>4651643992.1199999</v>
      </c>
      <c r="AB105" s="96">
        <v>4667005718.04</v>
      </c>
      <c r="AC105" s="96">
        <v>4759777666.7200003</v>
      </c>
      <c r="AD105" s="96">
        <v>4759777666.7200003</v>
      </c>
      <c r="AE105" s="96">
        <v>4759777666.7200003</v>
      </c>
      <c r="AF105" s="96">
        <v>4719105140.1500006</v>
      </c>
      <c r="AG105" s="96">
        <v>4809223459.5799999</v>
      </c>
      <c r="AH105" s="97">
        <f t="shared" ref="AH105:AH108" si="20">AVERAGE(B105:AG105)</f>
        <v>4696577748.0896769</v>
      </c>
      <c r="AI105" s="97">
        <f>+AO105-AO89</f>
        <v>33909217.465577453</v>
      </c>
      <c r="AJ105" s="98" t="s">
        <v>142</v>
      </c>
      <c r="AK105" s="101">
        <f>AH105</f>
        <v>4696577748.0896769</v>
      </c>
      <c r="AL105" s="101">
        <f>AI105</f>
        <v>33909217.465577453</v>
      </c>
      <c r="AM105" s="99">
        <f t="shared" si="18"/>
        <v>8.5242394933543617E-2</v>
      </c>
      <c r="AO105" s="97">
        <v>225722562.04844648</v>
      </c>
      <c r="AQ105" s="85">
        <v>30</v>
      </c>
    </row>
    <row r="106" spans="1:44">
      <c r="A106" s="100" t="s">
        <v>185</v>
      </c>
      <c r="B106" s="96"/>
      <c r="C106" s="96">
        <v>562287218.20082521</v>
      </c>
      <c r="D106" s="96">
        <v>562287218.20082521</v>
      </c>
      <c r="E106" s="96">
        <v>579253546.81527507</v>
      </c>
      <c r="F106" s="96">
        <v>571175871.77602518</v>
      </c>
      <c r="G106" s="96">
        <v>559681671.3438251</v>
      </c>
      <c r="H106" s="96">
        <v>582886152.63212514</v>
      </c>
      <c r="I106" s="96">
        <v>582886152.63212514</v>
      </c>
      <c r="J106" s="96">
        <v>582886152.63212514</v>
      </c>
      <c r="K106" s="96">
        <v>579386239.37702513</v>
      </c>
      <c r="L106" s="96">
        <v>565347948.85447502</v>
      </c>
      <c r="M106" s="96">
        <v>591296867.83087504</v>
      </c>
      <c r="N106" s="96">
        <v>603269313.74222505</v>
      </c>
      <c r="O106" s="96">
        <v>561643266.01537502</v>
      </c>
      <c r="P106" s="96">
        <v>561643266.01537502</v>
      </c>
      <c r="Q106" s="96">
        <v>561643266.01537502</v>
      </c>
      <c r="R106" s="96">
        <v>550372148.64992499</v>
      </c>
      <c r="S106" s="96">
        <v>542831430.12392497</v>
      </c>
      <c r="T106" s="96">
        <v>547204834.06522512</v>
      </c>
      <c r="U106" s="96">
        <v>556675926.16775</v>
      </c>
      <c r="V106" s="96">
        <v>539804599.37735009</v>
      </c>
      <c r="W106" s="96">
        <v>539804599.37735009</v>
      </c>
      <c r="X106" s="96">
        <v>539804599.37735009</v>
      </c>
      <c r="Y106" s="96">
        <v>524163470.58245009</v>
      </c>
      <c r="Z106" s="96">
        <v>524163470.58245009</v>
      </c>
      <c r="AA106" s="96">
        <v>536028681.31205004</v>
      </c>
      <c r="AB106" s="96">
        <v>536191295.87880003</v>
      </c>
      <c r="AC106" s="96">
        <v>526169280.78050005</v>
      </c>
      <c r="AD106" s="96">
        <v>526169280.78050005</v>
      </c>
      <c r="AE106" s="96">
        <v>526169280.78050005</v>
      </c>
      <c r="AF106" s="96">
        <v>534509784.64645004</v>
      </c>
      <c r="AG106" s="96">
        <v>535200914.10704994</v>
      </c>
      <c r="AH106" s="97">
        <f t="shared" si="20"/>
        <v>554607669.31204844</v>
      </c>
      <c r="AI106" s="97">
        <f>AO106-AO90</f>
        <v>3170831.234799996</v>
      </c>
      <c r="AJ106" s="98" t="s">
        <v>183</v>
      </c>
      <c r="AK106" s="101">
        <f>+AH106+AH107+AH108</f>
        <v>554607669.31204844</v>
      </c>
      <c r="AL106" s="101">
        <f>+AI106+AI107+AI108</f>
        <v>3170831.234799996</v>
      </c>
      <c r="AM106" s="99">
        <f t="shared" si="18"/>
        <v>6.7500446924553675E-2</v>
      </c>
      <c r="AO106" s="101">
        <v>23888389.590599999</v>
      </c>
      <c r="AQ106" s="85">
        <f>SUM(AQ100:AQ105)</f>
        <v>183</v>
      </c>
    </row>
    <row r="107" spans="1:44">
      <c r="A107" s="100" t="s">
        <v>187</v>
      </c>
      <c r="B107" s="96"/>
      <c r="C107" s="96">
        <v>0</v>
      </c>
      <c r="D107" s="96">
        <v>0</v>
      </c>
      <c r="E107" s="96">
        <v>0</v>
      </c>
      <c r="F107" s="96">
        <v>0</v>
      </c>
      <c r="G107" s="96">
        <v>0</v>
      </c>
      <c r="H107" s="96">
        <v>0</v>
      </c>
      <c r="I107" s="96">
        <v>0</v>
      </c>
      <c r="J107" s="96">
        <v>0</v>
      </c>
      <c r="K107" s="96">
        <v>0</v>
      </c>
      <c r="L107" s="96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96">
        <v>0</v>
      </c>
      <c r="S107" s="96">
        <v>0</v>
      </c>
      <c r="T107" s="96">
        <v>0</v>
      </c>
      <c r="U107" s="96">
        <v>0</v>
      </c>
      <c r="V107" s="96">
        <v>0</v>
      </c>
      <c r="W107" s="96">
        <v>0</v>
      </c>
      <c r="X107" s="96">
        <v>0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96">
        <v>0</v>
      </c>
      <c r="AE107" s="96">
        <v>0</v>
      </c>
      <c r="AF107" s="96">
        <v>0</v>
      </c>
      <c r="AG107" s="96">
        <v>0</v>
      </c>
      <c r="AH107" s="97">
        <f t="shared" si="20"/>
        <v>0</v>
      </c>
      <c r="AI107" s="97">
        <f>AO107-AO91</f>
        <v>0</v>
      </c>
      <c r="AJ107" s="98"/>
      <c r="AK107" s="97"/>
      <c r="AL107" s="97"/>
      <c r="AM107" s="99"/>
      <c r="AO107" s="101"/>
    </row>
    <row r="108" spans="1:44">
      <c r="A108" s="100" t="s">
        <v>188</v>
      </c>
      <c r="B108" s="96"/>
      <c r="C108" s="96">
        <v>0</v>
      </c>
      <c r="D108" s="96">
        <v>0</v>
      </c>
      <c r="E108" s="96">
        <v>0</v>
      </c>
      <c r="F108" s="96">
        <v>0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96">
        <v>0</v>
      </c>
      <c r="S108" s="96">
        <v>0</v>
      </c>
      <c r="T108" s="96">
        <v>0</v>
      </c>
      <c r="U108" s="96">
        <v>0</v>
      </c>
      <c r="V108" s="96">
        <v>0</v>
      </c>
      <c r="W108" s="96">
        <v>0</v>
      </c>
      <c r="X108" s="96">
        <v>0</v>
      </c>
      <c r="Y108" s="96">
        <v>0</v>
      </c>
      <c r="Z108" s="96">
        <v>0</v>
      </c>
      <c r="AA108" s="96">
        <v>0</v>
      </c>
      <c r="AB108" s="96">
        <v>0</v>
      </c>
      <c r="AC108" s="96">
        <v>0</v>
      </c>
      <c r="AD108" s="96">
        <v>0</v>
      </c>
      <c r="AE108" s="96">
        <v>0</v>
      </c>
      <c r="AF108" s="96">
        <v>0</v>
      </c>
      <c r="AG108" s="96">
        <v>0</v>
      </c>
      <c r="AH108" s="97">
        <f t="shared" si="20"/>
        <v>0</v>
      </c>
      <c r="AI108" s="97">
        <f>+AO108-AO92</f>
        <v>0</v>
      </c>
      <c r="AJ108" s="98" t="s">
        <v>186</v>
      </c>
      <c r="AK108" s="101">
        <v>0</v>
      </c>
      <c r="AL108" s="101">
        <v>0</v>
      </c>
      <c r="AM108" s="99"/>
      <c r="AO108" s="101"/>
    </row>
    <row r="109" spans="1:44">
      <c r="A109" s="100" t="s">
        <v>189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7">
        <v>431628669.87</v>
      </c>
      <c r="AI109" s="97"/>
      <c r="AJ109" s="98"/>
      <c r="AK109" s="101"/>
      <c r="AL109" s="101"/>
      <c r="AM109" s="99"/>
      <c r="AO109" s="101"/>
    </row>
    <row r="110" spans="1:44">
      <c r="A110" s="100" t="s">
        <v>190</v>
      </c>
      <c r="B110" s="96"/>
      <c r="C110" s="96">
        <v>0</v>
      </c>
      <c r="D110" s="96">
        <v>0</v>
      </c>
      <c r="E110" s="96">
        <v>0</v>
      </c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  <c r="T110" s="96">
        <v>0</v>
      </c>
      <c r="U110" s="96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0</v>
      </c>
      <c r="AA110" s="96">
        <v>0</v>
      </c>
      <c r="AB110" s="96">
        <v>0</v>
      </c>
      <c r="AC110" s="96">
        <v>0</v>
      </c>
      <c r="AD110" s="96">
        <v>0</v>
      </c>
      <c r="AE110" s="96">
        <v>0</v>
      </c>
      <c r="AF110" s="96">
        <v>0</v>
      </c>
      <c r="AG110" s="96">
        <v>0</v>
      </c>
      <c r="AH110" s="97">
        <f>AVERAGE(B110:AG110)</f>
        <v>0</v>
      </c>
      <c r="AI110" s="97"/>
      <c r="AK110" s="101"/>
      <c r="AL110" s="101"/>
      <c r="AM110" s="101"/>
      <c r="AO110" s="101"/>
    </row>
    <row r="111" spans="1:44">
      <c r="A111" s="105"/>
      <c r="B111" s="105"/>
      <c r="C111" s="105"/>
      <c r="D111" s="105"/>
      <c r="E111" s="105"/>
      <c r="F111" s="105"/>
      <c r="G111" s="105"/>
      <c r="H111" s="105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105"/>
      <c r="AI111" s="97">
        <v>0</v>
      </c>
      <c r="AK111" s="105"/>
      <c r="AL111" s="105"/>
      <c r="AM111" s="106"/>
      <c r="AO111" s="107"/>
    </row>
    <row r="112" spans="1:44">
      <c r="A112" s="108" t="s">
        <v>146</v>
      </c>
      <c r="B112" s="109"/>
      <c r="C112" s="109">
        <v>11503414164.870825</v>
      </c>
      <c r="D112" s="109">
        <v>11503414164.870825</v>
      </c>
      <c r="E112" s="109">
        <v>11860375089.385275</v>
      </c>
      <c r="F112" s="109">
        <v>11880261841.446028</v>
      </c>
      <c r="G112" s="109">
        <v>11779415325.843824</v>
      </c>
      <c r="H112" s="109">
        <v>11958621445.772125</v>
      </c>
      <c r="I112" s="109">
        <v>11958621445.772125</v>
      </c>
      <c r="J112" s="109">
        <v>11958621445.772125</v>
      </c>
      <c r="K112" s="109">
        <v>11922184012.397026</v>
      </c>
      <c r="L112" s="109">
        <v>11995775164.314474</v>
      </c>
      <c r="M112" s="109">
        <v>11918963289.870876</v>
      </c>
      <c r="N112" s="109">
        <v>11971660403.302227</v>
      </c>
      <c r="O112" s="109">
        <v>11775520553.075377</v>
      </c>
      <c r="P112" s="109">
        <v>11775520553.075377</v>
      </c>
      <c r="Q112" s="109">
        <v>11775520553.075377</v>
      </c>
      <c r="R112" s="109">
        <v>11787304449.419926</v>
      </c>
      <c r="S112" s="109">
        <v>11477656255.213924</v>
      </c>
      <c r="T112" s="109">
        <v>11410818176.025225</v>
      </c>
      <c r="U112" s="109">
        <v>11359273586.18775</v>
      </c>
      <c r="V112" s="109">
        <v>11377871702.837349</v>
      </c>
      <c r="W112" s="109">
        <v>11377871702.837349</v>
      </c>
      <c r="X112" s="109">
        <v>11377871702.837349</v>
      </c>
      <c r="Y112" s="109">
        <v>11394930854.182451</v>
      </c>
      <c r="Z112" s="109">
        <v>11394930854.182451</v>
      </c>
      <c r="AA112" s="109">
        <v>11318713684.682049</v>
      </c>
      <c r="AB112" s="109">
        <v>11298336182.108799</v>
      </c>
      <c r="AC112" s="109">
        <v>11368879091.050501</v>
      </c>
      <c r="AD112" s="109">
        <v>11368879091.050501</v>
      </c>
      <c r="AE112" s="109">
        <v>11368879091.050501</v>
      </c>
      <c r="AF112" s="109">
        <v>11470511793.256451</v>
      </c>
      <c r="AG112" s="109">
        <v>11277051460.003977</v>
      </c>
      <c r="AH112" s="109">
        <f>AVERAGE(B112:AG112)</f>
        <v>11611860294.508724</v>
      </c>
      <c r="AI112" s="109">
        <f>SUM(AI100:AI111)</f>
        <v>96079927.684410527</v>
      </c>
      <c r="AK112" s="109">
        <f>SUM(AK100:AK111)</f>
        <v>11611860294.508724</v>
      </c>
      <c r="AL112" s="109">
        <f>SUM(AL99:AL111)</f>
        <v>96079927.684410527</v>
      </c>
      <c r="AM112" s="110">
        <f>+AL112/AK112*366/31</f>
        <v>9.769003315633043E-2</v>
      </c>
      <c r="AO112" s="111">
        <f>SUM(AO100:AO111)</f>
        <v>703216904.65350521</v>
      </c>
      <c r="AP112" s="86"/>
      <c r="AQ112" s="86"/>
      <c r="AR112" s="86"/>
    </row>
    <row r="113" spans="1:44">
      <c r="G113" s="86"/>
      <c r="L113" s="86"/>
      <c r="N113" s="86"/>
      <c r="O113" s="86"/>
      <c r="U113" s="86"/>
      <c r="AA113" s="86"/>
      <c r="AB113" s="86"/>
      <c r="AQ113" s="86"/>
    </row>
    <row r="114" spans="1:44" s="89" customFormat="1">
      <c r="A114" s="87" t="s">
        <v>167</v>
      </c>
      <c r="B114" s="88"/>
      <c r="C114" s="88">
        <v>45231</v>
      </c>
      <c r="D114" s="88">
        <f t="shared" ref="D114:AF114" si="21">C114+1</f>
        <v>45232</v>
      </c>
      <c r="E114" s="88">
        <f t="shared" si="21"/>
        <v>45233</v>
      </c>
      <c r="F114" s="88">
        <f t="shared" si="21"/>
        <v>45234</v>
      </c>
      <c r="G114" s="88">
        <f t="shared" si="21"/>
        <v>45235</v>
      </c>
      <c r="H114" s="88">
        <f t="shared" si="21"/>
        <v>45236</v>
      </c>
      <c r="I114" s="88">
        <f t="shared" si="21"/>
        <v>45237</v>
      </c>
      <c r="J114" s="88">
        <f t="shared" si="21"/>
        <v>45238</v>
      </c>
      <c r="K114" s="88">
        <f t="shared" si="21"/>
        <v>45239</v>
      </c>
      <c r="L114" s="88">
        <f t="shared" si="21"/>
        <v>45240</v>
      </c>
      <c r="M114" s="88">
        <f t="shared" si="21"/>
        <v>45241</v>
      </c>
      <c r="N114" s="88">
        <f t="shared" si="21"/>
        <v>45242</v>
      </c>
      <c r="O114" s="88">
        <f t="shared" si="21"/>
        <v>45243</v>
      </c>
      <c r="P114" s="88">
        <f t="shared" si="21"/>
        <v>45244</v>
      </c>
      <c r="Q114" s="88">
        <f t="shared" si="21"/>
        <v>45245</v>
      </c>
      <c r="R114" s="88">
        <f t="shared" si="21"/>
        <v>45246</v>
      </c>
      <c r="S114" s="88">
        <f t="shared" si="21"/>
        <v>45247</v>
      </c>
      <c r="T114" s="88">
        <f t="shared" si="21"/>
        <v>45248</v>
      </c>
      <c r="U114" s="88">
        <f t="shared" si="21"/>
        <v>45249</v>
      </c>
      <c r="V114" s="88">
        <f t="shared" si="21"/>
        <v>45250</v>
      </c>
      <c r="W114" s="88">
        <f t="shared" si="21"/>
        <v>45251</v>
      </c>
      <c r="X114" s="88">
        <f t="shared" si="21"/>
        <v>45252</v>
      </c>
      <c r="Y114" s="88">
        <f t="shared" si="21"/>
        <v>45253</v>
      </c>
      <c r="Z114" s="88">
        <f t="shared" si="21"/>
        <v>45254</v>
      </c>
      <c r="AA114" s="88">
        <f t="shared" si="21"/>
        <v>45255</v>
      </c>
      <c r="AB114" s="88">
        <f t="shared" si="21"/>
        <v>45256</v>
      </c>
      <c r="AC114" s="88">
        <f t="shared" si="21"/>
        <v>45257</v>
      </c>
      <c r="AD114" s="88">
        <f t="shared" si="21"/>
        <v>45258</v>
      </c>
      <c r="AE114" s="88">
        <f t="shared" si="21"/>
        <v>45259</v>
      </c>
      <c r="AF114" s="88">
        <f t="shared" si="21"/>
        <v>45260</v>
      </c>
      <c r="AG114" s="88"/>
      <c r="AL114" s="90"/>
      <c r="AM114" s="90"/>
    </row>
    <row r="115" spans="1:44" s="89" customFormat="1">
      <c r="A115" s="91" t="s">
        <v>168</v>
      </c>
      <c r="B115" s="92"/>
      <c r="C115" s="92" t="s">
        <v>169</v>
      </c>
      <c r="D115" s="92" t="s">
        <v>169</v>
      </c>
      <c r="E115" s="92" t="s">
        <v>169</v>
      </c>
      <c r="F115" s="92" t="s">
        <v>169</v>
      </c>
      <c r="G115" s="92" t="s">
        <v>169</v>
      </c>
      <c r="H115" s="92" t="s">
        <v>169</v>
      </c>
      <c r="I115" s="92" t="s">
        <v>169</v>
      </c>
      <c r="J115" s="92" t="s">
        <v>169</v>
      </c>
      <c r="K115" s="92" t="s">
        <v>169</v>
      </c>
      <c r="L115" s="92" t="s">
        <v>169</v>
      </c>
      <c r="M115" s="92" t="s">
        <v>169</v>
      </c>
      <c r="N115" s="92" t="s">
        <v>169</v>
      </c>
      <c r="O115" s="92" t="s">
        <v>169</v>
      </c>
      <c r="P115" s="92" t="s">
        <v>169</v>
      </c>
      <c r="Q115" s="92" t="s">
        <v>169</v>
      </c>
      <c r="R115" s="92" t="s">
        <v>169</v>
      </c>
      <c r="S115" s="92" t="s">
        <v>169</v>
      </c>
      <c r="T115" s="92" t="s">
        <v>169</v>
      </c>
      <c r="U115" s="92" t="s">
        <v>169</v>
      </c>
      <c r="V115" s="92" t="s">
        <v>169</v>
      </c>
      <c r="W115" s="92" t="s">
        <v>169</v>
      </c>
      <c r="X115" s="92" t="s">
        <v>169</v>
      </c>
      <c r="Y115" s="92" t="s">
        <v>169</v>
      </c>
      <c r="Z115" s="92" t="s">
        <v>169</v>
      </c>
      <c r="AA115" s="92" t="s">
        <v>169</v>
      </c>
      <c r="AB115" s="92" t="s">
        <v>169</v>
      </c>
      <c r="AC115" s="92" t="s">
        <v>169</v>
      </c>
      <c r="AD115" s="92" t="s">
        <v>169</v>
      </c>
      <c r="AE115" s="92" t="s">
        <v>169</v>
      </c>
      <c r="AF115" s="92" t="s">
        <v>169</v>
      </c>
      <c r="AG115" s="92" t="s">
        <v>169</v>
      </c>
      <c r="AH115" s="93" t="s">
        <v>170</v>
      </c>
      <c r="AI115" s="93" t="s">
        <v>171</v>
      </c>
      <c r="AK115" s="92" t="s">
        <v>172</v>
      </c>
      <c r="AL115" s="92" t="s">
        <v>173</v>
      </c>
      <c r="AM115" s="92" t="s">
        <v>174</v>
      </c>
      <c r="AO115" s="94" t="s">
        <v>175</v>
      </c>
      <c r="AQ115" s="89">
        <v>5578094.8458964499</v>
      </c>
    </row>
    <row r="116" spans="1:44">
      <c r="A116" s="95" t="s">
        <v>176</v>
      </c>
      <c r="B116" s="96"/>
      <c r="C116" s="96">
        <v>3758738636.2800002</v>
      </c>
      <c r="D116" s="96">
        <v>3777008788.98</v>
      </c>
      <c r="E116" s="96">
        <v>3748835127.1700001</v>
      </c>
      <c r="F116" s="96">
        <v>3748835127.1700001</v>
      </c>
      <c r="G116" s="96">
        <v>3748835127.1700001</v>
      </c>
      <c r="H116" s="96">
        <v>3767363993.1300001</v>
      </c>
      <c r="I116" s="96">
        <v>3770194266.2200003</v>
      </c>
      <c r="J116" s="96">
        <v>3823187216.8400002</v>
      </c>
      <c r="K116" s="96">
        <v>3815242829.1599998</v>
      </c>
      <c r="L116" s="96">
        <v>3832342014.0500002</v>
      </c>
      <c r="M116" s="96">
        <v>3832342014.0500002</v>
      </c>
      <c r="N116" s="96">
        <v>3832342014.0500002</v>
      </c>
      <c r="O116" s="96">
        <v>3785178431.75</v>
      </c>
      <c r="P116" s="96">
        <v>3785178431.75</v>
      </c>
      <c r="Q116" s="96">
        <v>3754978777.6900001</v>
      </c>
      <c r="R116" s="96">
        <v>3758625707.8699999</v>
      </c>
      <c r="S116" s="96">
        <v>3602804686.9099998</v>
      </c>
      <c r="T116" s="96">
        <v>3602804686.9099998</v>
      </c>
      <c r="U116" s="96">
        <v>3602804686.9099998</v>
      </c>
      <c r="V116" s="96">
        <v>3576062948.6199999</v>
      </c>
      <c r="W116" s="96">
        <v>3600272579.7400002</v>
      </c>
      <c r="X116" s="96">
        <v>3563037061.5100002</v>
      </c>
      <c r="Y116" s="96">
        <v>3511433261.1900001</v>
      </c>
      <c r="Z116" s="96">
        <v>3511433261.1900001</v>
      </c>
      <c r="AA116" s="96">
        <v>3511433261.1900001</v>
      </c>
      <c r="AB116" s="96">
        <v>3511433261.1900001</v>
      </c>
      <c r="AC116" s="96">
        <v>3511433261.1900001</v>
      </c>
      <c r="AD116" s="96">
        <v>3636370291.7800002</v>
      </c>
      <c r="AE116" s="96">
        <v>3668155954.9000001</v>
      </c>
      <c r="AF116" s="96">
        <v>3540345240.8699999</v>
      </c>
      <c r="AG116" s="96"/>
      <c r="AH116" s="97">
        <f>AVERAGE(B116:AG116)</f>
        <v>3682968431.5810008</v>
      </c>
      <c r="AI116" s="97">
        <f>AO116-AO100</f>
        <v>33931376.649215072</v>
      </c>
      <c r="AJ116" s="98" t="s">
        <v>177</v>
      </c>
      <c r="AK116" s="97">
        <f>+AH116</f>
        <v>3682968431.5810008</v>
      </c>
      <c r="AL116" s="97">
        <f>+AI116</f>
        <v>33931376.649215072</v>
      </c>
      <c r="AM116" s="99">
        <f>+AL116/AK116*366/30</f>
        <v>0.11239922437855941</v>
      </c>
      <c r="AO116" s="97">
        <v>298488809.04656661</v>
      </c>
      <c r="AQ116" s="85">
        <v>30</v>
      </c>
      <c r="AR116" s="85" t="s">
        <v>191</v>
      </c>
    </row>
    <row r="117" spans="1:44">
      <c r="A117" s="100" t="s">
        <v>178</v>
      </c>
      <c r="B117" s="96"/>
      <c r="C117" s="96">
        <v>1040804586.25</v>
      </c>
      <c r="D117" s="96">
        <v>1040804586.25</v>
      </c>
      <c r="E117" s="96">
        <v>1523587501.25</v>
      </c>
      <c r="F117" s="96">
        <v>1523587501.25</v>
      </c>
      <c r="G117" s="96">
        <v>1523587501.25</v>
      </c>
      <c r="H117" s="96">
        <v>1523587501.25</v>
      </c>
      <c r="I117" s="96">
        <v>1523587501.25</v>
      </c>
      <c r="J117" s="96">
        <v>1523587501.25</v>
      </c>
      <c r="K117" s="96">
        <v>1523587501.25</v>
      </c>
      <c r="L117" s="96">
        <v>1523587501.25</v>
      </c>
      <c r="M117" s="96">
        <v>1523587501.25</v>
      </c>
      <c r="N117" s="96">
        <v>1523587501.25</v>
      </c>
      <c r="O117" s="96">
        <v>1523587501.25</v>
      </c>
      <c r="P117" s="96">
        <v>1523587501.25</v>
      </c>
      <c r="Q117" s="96">
        <v>1523587501.25</v>
      </c>
      <c r="R117" s="96">
        <v>1462429190.1500001</v>
      </c>
      <c r="S117" s="96">
        <v>1333471409.45</v>
      </c>
      <c r="T117" s="96">
        <v>1333471409.45</v>
      </c>
      <c r="U117" s="96">
        <v>1333471409.45</v>
      </c>
      <c r="V117" s="96">
        <v>1333471409.45</v>
      </c>
      <c r="W117" s="96">
        <v>1333471409.45</v>
      </c>
      <c r="X117" s="96">
        <v>1333471409.45</v>
      </c>
      <c r="Y117" s="96">
        <v>1333471409.45</v>
      </c>
      <c r="Z117" s="96">
        <v>1333471409.45</v>
      </c>
      <c r="AA117" s="96">
        <v>1333471409.45</v>
      </c>
      <c r="AB117" s="96">
        <v>1333471409.45</v>
      </c>
      <c r="AC117" s="96">
        <v>1333471409.45</v>
      </c>
      <c r="AD117" s="96">
        <v>1333471409.45</v>
      </c>
      <c r="AE117" s="96">
        <v>1333471409.45</v>
      </c>
      <c r="AF117" s="96">
        <v>1338001650.9858277</v>
      </c>
      <c r="AG117" s="96"/>
      <c r="AH117" s="97">
        <f>AVERAGE(B117:AG117)</f>
        <v>1400793528.4245272</v>
      </c>
      <c r="AI117" s="97">
        <f>AO117-AO101</f>
        <v>12256526.719999999</v>
      </c>
      <c r="AJ117" s="98" t="s">
        <v>145</v>
      </c>
      <c r="AK117" s="101">
        <f>AH117</f>
        <v>1400793528.4245272</v>
      </c>
      <c r="AL117" s="101">
        <f>AI117</f>
        <v>12256526.719999999</v>
      </c>
      <c r="AM117" s="99">
        <f t="shared" ref="AM117:AM122" si="22">+AL117/AK117*366/30</f>
        <v>0.10674637121730281</v>
      </c>
      <c r="AO117" s="97">
        <v>114833397.06000002</v>
      </c>
      <c r="AP117" s="103"/>
      <c r="AQ117" s="85">
        <v>31</v>
      </c>
      <c r="AR117" s="85" t="s">
        <v>192</v>
      </c>
    </row>
    <row r="118" spans="1:44">
      <c r="A118" s="100" t="s">
        <v>180</v>
      </c>
      <c r="B118" s="96"/>
      <c r="C118" s="96">
        <v>0</v>
      </c>
      <c r="D118" s="96">
        <v>0</v>
      </c>
      <c r="E118" s="96">
        <v>0</v>
      </c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0</v>
      </c>
      <c r="Y118" s="96">
        <v>0</v>
      </c>
      <c r="Z118" s="96">
        <v>0</v>
      </c>
      <c r="AA118" s="96">
        <v>0</v>
      </c>
      <c r="AB118" s="96">
        <v>0</v>
      </c>
      <c r="AC118" s="96">
        <v>0</v>
      </c>
      <c r="AD118" s="96">
        <v>0</v>
      </c>
      <c r="AE118" s="96">
        <v>0</v>
      </c>
      <c r="AF118" s="96">
        <v>0</v>
      </c>
      <c r="AG118" s="96"/>
      <c r="AH118" s="97">
        <f>AVERAGE(B118:AG118)</f>
        <v>0</v>
      </c>
      <c r="AI118" s="97">
        <f>AO118-AO102</f>
        <v>0</v>
      </c>
      <c r="AJ118" s="98" t="s">
        <v>181</v>
      </c>
      <c r="AK118" s="101">
        <f>AH118</f>
        <v>0</v>
      </c>
      <c r="AL118" s="101">
        <f>AI118</f>
        <v>0</v>
      </c>
      <c r="AM118" s="99" t="e">
        <f t="shared" si="22"/>
        <v>#DIV/0!</v>
      </c>
      <c r="AO118" s="97">
        <v>0</v>
      </c>
      <c r="AQ118" s="85">
        <v>30</v>
      </c>
      <c r="AR118" s="85" t="s">
        <v>193</v>
      </c>
    </row>
    <row r="119" spans="1:44">
      <c r="A119" s="100" t="s">
        <v>182</v>
      </c>
      <c r="B119" s="96"/>
      <c r="C119" s="96">
        <v>762882047.23000002</v>
      </c>
      <c r="D119" s="96">
        <v>777577863.78999996</v>
      </c>
      <c r="E119" s="96">
        <v>827614808.00999999</v>
      </c>
      <c r="F119" s="96">
        <v>827614808.00999999</v>
      </c>
      <c r="G119" s="96">
        <v>827614808.00999999</v>
      </c>
      <c r="H119" s="96">
        <v>1019970714.4400001</v>
      </c>
      <c r="I119" s="96">
        <v>1349069938.3700001</v>
      </c>
      <c r="J119" s="96">
        <v>1349117816.8099999</v>
      </c>
      <c r="K119" s="96">
        <v>1410139786.6600001</v>
      </c>
      <c r="L119" s="96">
        <v>1408794058.5799999</v>
      </c>
      <c r="M119" s="96">
        <v>1408794058.5799999</v>
      </c>
      <c r="N119" s="96">
        <v>1408794058.5799999</v>
      </c>
      <c r="O119" s="96">
        <v>1402110276.3800001</v>
      </c>
      <c r="P119" s="96">
        <v>1402110276.3800001</v>
      </c>
      <c r="Q119" s="96">
        <v>1402156929.6500001</v>
      </c>
      <c r="R119" s="96">
        <v>1405651881.5899999</v>
      </c>
      <c r="S119" s="96">
        <v>1399399975.51</v>
      </c>
      <c r="T119" s="96">
        <v>1399399975.51</v>
      </c>
      <c r="U119" s="96">
        <v>1399399975.51</v>
      </c>
      <c r="V119" s="96">
        <v>1389263277.03</v>
      </c>
      <c r="W119" s="96">
        <v>1353023815.6500001</v>
      </c>
      <c r="X119" s="96">
        <v>1388649553.3900001</v>
      </c>
      <c r="Y119" s="96">
        <v>1420217858.45</v>
      </c>
      <c r="Z119" s="96">
        <v>1420217858.45</v>
      </c>
      <c r="AA119" s="96">
        <v>1420217858.45</v>
      </c>
      <c r="AB119" s="96">
        <v>1420217858.45</v>
      </c>
      <c r="AC119" s="96">
        <v>1420217858.45</v>
      </c>
      <c r="AD119" s="96">
        <v>1390344159.3500001</v>
      </c>
      <c r="AE119" s="96">
        <v>1379170383.45</v>
      </c>
      <c r="AF119" s="96">
        <v>1370186253.1100001</v>
      </c>
      <c r="AG119" s="96"/>
      <c r="AH119" s="97">
        <f t="shared" ref="AH119" si="23">AVERAGE(B119:AG119)</f>
        <v>1285331359.7276664</v>
      </c>
      <c r="AI119" s="97">
        <f>+AO119-AO103</f>
        <v>8414043.0679024905</v>
      </c>
      <c r="AJ119" s="98" t="s">
        <v>144</v>
      </c>
      <c r="AK119" s="101">
        <f>+AH119</f>
        <v>1285331359.7276664</v>
      </c>
      <c r="AL119" s="101">
        <f>+AI119</f>
        <v>8414043.0679024905</v>
      </c>
      <c r="AM119" s="99">
        <f t="shared" si="22"/>
        <v>7.9863705690772196E-2</v>
      </c>
      <c r="AO119" s="97">
        <v>62437314.455651477</v>
      </c>
      <c r="AQ119" s="85">
        <v>31</v>
      </c>
      <c r="AR119" s="85" t="s">
        <v>194</v>
      </c>
    </row>
    <row r="120" spans="1:44">
      <c r="A120" s="100" t="s">
        <v>143</v>
      </c>
      <c r="B120" s="96"/>
      <c r="C120" s="96">
        <v>505520735.77000046</v>
      </c>
      <c r="D120" s="96">
        <v>514515340.03000069</v>
      </c>
      <c r="E120" s="96">
        <v>511304519.02999973</v>
      </c>
      <c r="F120" s="96">
        <v>511304519.02999973</v>
      </c>
      <c r="G120" s="96">
        <v>511304519.02999973</v>
      </c>
      <c r="H120" s="96">
        <v>509362745.59000015</v>
      </c>
      <c r="I120" s="96">
        <v>510087388.67000008</v>
      </c>
      <c r="J120" s="96">
        <v>509006048.67000008</v>
      </c>
      <c r="K120" s="96">
        <v>499250721.86999989</v>
      </c>
      <c r="L120" s="96">
        <v>499250721.40999985</v>
      </c>
      <c r="M120" s="96">
        <v>499250721.40999985</v>
      </c>
      <c r="N120" s="96">
        <v>499250721.40999985</v>
      </c>
      <c r="O120" s="96">
        <v>484515206.97000027</v>
      </c>
      <c r="P120" s="96">
        <v>484515206.97000027</v>
      </c>
      <c r="Q120" s="96">
        <v>480553440.68999958</v>
      </c>
      <c r="R120" s="96">
        <v>468003632.29999924</v>
      </c>
      <c r="S120" s="96">
        <v>472962866.62999916</v>
      </c>
      <c r="T120" s="96">
        <v>472962866.62999916</v>
      </c>
      <c r="U120" s="96">
        <v>472962866.62999916</v>
      </c>
      <c r="V120" s="96">
        <v>447350135.01000023</v>
      </c>
      <c r="W120" s="96">
        <v>445365205.01000023</v>
      </c>
      <c r="X120" s="96">
        <v>436715553.34999943</v>
      </c>
      <c r="Y120" s="96">
        <v>436717913.35000038</v>
      </c>
      <c r="Z120" s="96">
        <v>436717913.35000038</v>
      </c>
      <c r="AA120" s="96">
        <v>436717913.35000038</v>
      </c>
      <c r="AB120" s="96">
        <v>436717913.35000038</v>
      </c>
      <c r="AC120" s="96">
        <v>436717913.35000038</v>
      </c>
      <c r="AD120" s="96">
        <v>431648607.86000061</v>
      </c>
      <c r="AE120" s="96">
        <v>435600494.48999977</v>
      </c>
      <c r="AF120" s="96">
        <v>429757987.85999966</v>
      </c>
      <c r="AG120" s="96"/>
      <c r="AH120" s="97">
        <f>AVERAGE(B120:AG120)</f>
        <v>474197077.96899998</v>
      </c>
      <c r="AI120" s="97">
        <f>+AO120-AO104</f>
        <v>3860968.1615474708</v>
      </c>
      <c r="AJ120" s="98" t="s">
        <v>179</v>
      </c>
      <c r="AK120" s="101">
        <f>+AH120</f>
        <v>474197077.96899998</v>
      </c>
      <c r="AL120" s="101">
        <f>+AI120</f>
        <v>3860968.1615474708</v>
      </c>
      <c r="AM120" s="99">
        <f t="shared" si="22"/>
        <v>9.9333829243794899E-2</v>
      </c>
      <c r="AO120" s="97">
        <v>36309347.05090569</v>
      </c>
      <c r="AQ120" s="85">
        <v>31</v>
      </c>
      <c r="AR120" s="85" t="s">
        <v>195</v>
      </c>
    </row>
    <row r="121" spans="1:44">
      <c r="A121" s="100" t="s">
        <v>184</v>
      </c>
      <c r="B121" s="96"/>
      <c r="C121" s="96">
        <v>4814729681.0799999</v>
      </c>
      <c r="D121" s="96">
        <v>4787787866.1999998</v>
      </c>
      <c r="E121" s="96">
        <v>4767731695.0500002</v>
      </c>
      <c r="F121" s="96">
        <v>4767731695.0500002</v>
      </c>
      <c r="G121" s="96">
        <v>4767731695.0500002</v>
      </c>
      <c r="H121" s="96">
        <v>4657539636.8599997</v>
      </c>
      <c r="I121" s="96">
        <v>4624105185.6599998</v>
      </c>
      <c r="J121" s="96">
        <v>4706723363.1800003</v>
      </c>
      <c r="K121" s="96">
        <v>4807919784.3500004</v>
      </c>
      <c r="L121" s="96">
        <v>4893887831.21</v>
      </c>
      <c r="M121" s="96">
        <v>4893887831.21</v>
      </c>
      <c r="N121" s="96">
        <v>4893887831.21</v>
      </c>
      <c r="O121" s="96">
        <v>4858517080.8599997</v>
      </c>
      <c r="P121" s="96">
        <v>4858517080.8599997</v>
      </c>
      <c r="Q121" s="96">
        <v>4800392691.6300001</v>
      </c>
      <c r="R121" s="96">
        <v>4873276292.1500006</v>
      </c>
      <c r="S121" s="96">
        <v>4865681081.9000006</v>
      </c>
      <c r="T121" s="96">
        <v>4865681081.9000006</v>
      </c>
      <c r="U121" s="96">
        <v>4865681081.9000006</v>
      </c>
      <c r="V121" s="96">
        <v>4872594440.3000002</v>
      </c>
      <c r="W121" s="96">
        <v>4952149367.1199999</v>
      </c>
      <c r="X121" s="96">
        <v>5027460159.4000006</v>
      </c>
      <c r="Y121" s="96">
        <v>5018824824.4200001</v>
      </c>
      <c r="Z121" s="96">
        <v>5018824824.4200001</v>
      </c>
      <c r="AA121" s="96">
        <v>5018824824.4200001</v>
      </c>
      <c r="AB121" s="96">
        <v>5018824824.4200001</v>
      </c>
      <c r="AC121" s="96">
        <v>5018824824.4200001</v>
      </c>
      <c r="AD121" s="96">
        <v>4948733693.8199997</v>
      </c>
      <c r="AE121" s="96">
        <v>5016924293.54</v>
      </c>
      <c r="AF121" s="96">
        <v>5091054470.6700001</v>
      </c>
      <c r="AG121" s="96"/>
      <c r="AH121" s="97">
        <f t="shared" ref="AH121:AH124" si="24">AVERAGE(B121:AG121)</f>
        <v>4879148367.8086662</v>
      </c>
      <c r="AI121" s="97">
        <f>+AO121-AO105</f>
        <v>34506453.741702884</v>
      </c>
      <c r="AJ121" s="98" t="s">
        <v>142</v>
      </c>
      <c r="AK121" s="101">
        <f>AH121</f>
        <v>4879148367.8086662</v>
      </c>
      <c r="AL121" s="101">
        <f>AI121</f>
        <v>34506453.741702884</v>
      </c>
      <c r="AM121" s="99">
        <f t="shared" si="22"/>
        <v>8.6281191698592691E-2</v>
      </c>
      <c r="AO121" s="97">
        <v>260229015.79014936</v>
      </c>
      <c r="AQ121" s="85">
        <v>30</v>
      </c>
      <c r="AR121" s="85" t="s">
        <v>196</v>
      </c>
    </row>
    <row r="122" spans="1:44">
      <c r="A122" s="100" t="s">
        <v>185</v>
      </c>
      <c r="B122" s="96"/>
      <c r="C122" s="96">
        <v>535200914.10705</v>
      </c>
      <c r="D122" s="96">
        <v>534678469.00085002</v>
      </c>
      <c r="E122" s="96">
        <v>535232329.878425</v>
      </c>
      <c r="F122" s="96">
        <v>535232329.878425</v>
      </c>
      <c r="G122" s="96">
        <v>535232329.878425</v>
      </c>
      <c r="H122" s="96">
        <v>532135540.26622504</v>
      </c>
      <c r="I122" s="96">
        <v>524033191.138825</v>
      </c>
      <c r="J122" s="96">
        <v>533125661.55932498</v>
      </c>
      <c r="K122" s="96">
        <v>547612031.55932498</v>
      </c>
      <c r="L122" s="96">
        <v>548087726.48537493</v>
      </c>
      <c r="M122" s="96">
        <v>548087726.48537493</v>
      </c>
      <c r="N122" s="96">
        <v>548087726.48537493</v>
      </c>
      <c r="O122" s="96">
        <v>567022961.1441251</v>
      </c>
      <c r="P122" s="96">
        <v>567022961.1441251</v>
      </c>
      <c r="Q122" s="96">
        <v>552714502.08382499</v>
      </c>
      <c r="R122" s="96">
        <v>557210272.08382499</v>
      </c>
      <c r="S122" s="96">
        <v>552429097.36677504</v>
      </c>
      <c r="T122" s="96">
        <v>552429097.36677504</v>
      </c>
      <c r="U122" s="96">
        <v>552429097.36677504</v>
      </c>
      <c r="V122" s="96">
        <v>541269428.52682507</v>
      </c>
      <c r="W122" s="96">
        <v>561549846.99682498</v>
      </c>
      <c r="X122" s="96">
        <v>554929891.88445008</v>
      </c>
      <c r="Y122" s="96">
        <v>547888949.09790003</v>
      </c>
      <c r="Z122" s="96">
        <v>547888949.09790003</v>
      </c>
      <c r="AA122" s="96">
        <v>547888949.09790003</v>
      </c>
      <c r="AB122" s="96">
        <v>547888949.09790003</v>
      </c>
      <c r="AC122" s="96">
        <v>547888949.09790003</v>
      </c>
      <c r="AD122" s="96">
        <v>558139819.21380007</v>
      </c>
      <c r="AE122" s="96">
        <v>533014144.46930003</v>
      </c>
      <c r="AF122" s="96">
        <v>544728802.17375004</v>
      </c>
      <c r="AG122" s="96"/>
      <c r="AH122" s="97">
        <f t="shared" si="24"/>
        <v>546369354.80112255</v>
      </c>
      <c r="AI122" s="97">
        <f>AO122-AO106</f>
        <v>3670850.4987426773</v>
      </c>
      <c r="AJ122" s="98" t="s">
        <v>183</v>
      </c>
      <c r="AK122" s="101">
        <f>+AH122+AH123+AH124</f>
        <v>546369354.80112255</v>
      </c>
      <c r="AL122" s="101">
        <f>+AI122+AI123+AI124</f>
        <v>3670850.4987426773</v>
      </c>
      <c r="AM122" s="99">
        <f t="shared" si="22"/>
        <v>8.1967218130237357E-2</v>
      </c>
      <c r="AO122" s="101">
        <v>27559240.089342676</v>
      </c>
      <c r="AQ122" s="85">
        <v>31</v>
      </c>
      <c r="AR122" s="85" t="s">
        <v>197</v>
      </c>
    </row>
    <row r="123" spans="1:44">
      <c r="A123" s="100" t="s">
        <v>187</v>
      </c>
      <c r="B123" s="96"/>
      <c r="C123" s="96">
        <v>0</v>
      </c>
      <c r="D123" s="96">
        <v>0</v>
      </c>
      <c r="E123" s="96">
        <v>0</v>
      </c>
      <c r="F123" s="96">
        <v>0</v>
      </c>
      <c r="G123" s="96">
        <v>0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  <c r="T123" s="96">
        <v>0</v>
      </c>
      <c r="U123" s="96">
        <v>0</v>
      </c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6">
        <v>0</v>
      </c>
      <c r="AD123" s="96">
        <v>0</v>
      </c>
      <c r="AE123" s="96">
        <v>0</v>
      </c>
      <c r="AF123" s="96">
        <v>0</v>
      </c>
      <c r="AG123" s="96"/>
      <c r="AH123" s="97">
        <f t="shared" si="24"/>
        <v>0</v>
      </c>
      <c r="AI123" s="97">
        <f>AO123-AO107</f>
        <v>0</v>
      </c>
      <c r="AJ123" s="98"/>
      <c r="AK123" s="97"/>
      <c r="AL123" s="97"/>
      <c r="AM123" s="99"/>
      <c r="AO123" s="101"/>
      <c r="AQ123" s="85">
        <v>30</v>
      </c>
      <c r="AR123" s="85" t="s">
        <v>198</v>
      </c>
    </row>
    <row r="124" spans="1:44">
      <c r="A124" s="100" t="s">
        <v>188</v>
      </c>
      <c r="B124" s="96"/>
      <c r="C124" s="96">
        <v>0</v>
      </c>
      <c r="D124" s="96">
        <v>0</v>
      </c>
      <c r="E124" s="96">
        <v>0</v>
      </c>
      <c r="F124" s="96">
        <v>0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  <c r="T124" s="96">
        <v>0</v>
      </c>
      <c r="U124" s="96">
        <v>0</v>
      </c>
      <c r="V124" s="96">
        <v>0</v>
      </c>
      <c r="W124" s="96">
        <v>0</v>
      </c>
      <c r="X124" s="96">
        <v>0</v>
      </c>
      <c r="Y124" s="96">
        <v>0</v>
      </c>
      <c r="Z124" s="96">
        <v>0</v>
      </c>
      <c r="AA124" s="96">
        <v>0</v>
      </c>
      <c r="AB124" s="96">
        <v>0</v>
      </c>
      <c r="AC124" s="96">
        <v>0</v>
      </c>
      <c r="AD124" s="96">
        <v>0</v>
      </c>
      <c r="AE124" s="96">
        <v>0</v>
      </c>
      <c r="AF124" s="96">
        <v>0</v>
      </c>
      <c r="AG124" s="96"/>
      <c r="AH124" s="97">
        <f t="shared" si="24"/>
        <v>0</v>
      </c>
      <c r="AI124" s="97">
        <f>+AO124-AO108</f>
        <v>0</v>
      </c>
      <c r="AJ124" s="98" t="s">
        <v>186</v>
      </c>
      <c r="AK124" s="101">
        <v>0</v>
      </c>
      <c r="AL124" s="101">
        <v>0</v>
      </c>
      <c r="AM124" s="99"/>
      <c r="AO124" s="101">
        <v>0</v>
      </c>
      <c r="AQ124" s="85">
        <v>31</v>
      </c>
      <c r="AR124" s="85" t="s">
        <v>199</v>
      </c>
    </row>
    <row r="125" spans="1:44">
      <c r="A125" s="100" t="s">
        <v>189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7">
        <v>455636883.49000001</v>
      </c>
      <c r="AI125" s="97"/>
      <c r="AJ125" s="98"/>
      <c r="AK125" s="101"/>
      <c r="AL125" s="101"/>
      <c r="AM125" s="99"/>
      <c r="AO125" s="101"/>
      <c r="AQ125" s="85">
        <f>SUM(AQ116:AQ124)</f>
        <v>275</v>
      </c>
    </row>
    <row r="126" spans="1:44">
      <c r="A126" s="100" t="s">
        <v>190</v>
      </c>
      <c r="B126" s="96"/>
      <c r="C126" s="96">
        <v>0</v>
      </c>
      <c r="D126" s="96">
        <v>0</v>
      </c>
      <c r="E126" s="96">
        <v>0</v>
      </c>
      <c r="F126" s="96">
        <v>0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96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96">
        <v>0</v>
      </c>
      <c r="S126" s="96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  <c r="AD126" s="96">
        <v>0</v>
      </c>
      <c r="AE126" s="96">
        <v>0</v>
      </c>
      <c r="AF126" s="96">
        <v>0</v>
      </c>
      <c r="AG126" s="96"/>
      <c r="AH126" s="97">
        <f>AVERAGE(B126:AG126)</f>
        <v>0</v>
      </c>
      <c r="AI126" s="97"/>
      <c r="AK126" s="101"/>
      <c r="AL126" s="101"/>
      <c r="AM126" s="101"/>
      <c r="AO126" s="101"/>
    </row>
    <row r="127" spans="1:44">
      <c r="A127" s="105"/>
      <c r="B127" s="105"/>
      <c r="C127" s="105"/>
      <c r="D127" s="105"/>
      <c r="E127" s="105"/>
      <c r="F127" s="105"/>
      <c r="G127" s="105"/>
      <c r="H127" s="105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105"/>
      <c r="AI127" s="97">
        <v>0</v>
      </c>
      <c r="AK127" s="105"/>
      <c r="AL127" s="105"/>
      <c r="AM127" s="106"/>
      <c r="AO127" s="107"/>
    </row>
    <row r="128" spans="1:44">
      <c r="A128" s="108" t="s">
        <v>146</v>
      </c>
      <c r="B128" s="109"/>
      <c r="C128" s="109">
        <v>11417876600.717051</v>
      </c>
      <c r="D128" s="109">
        <v>11432372914.250851</v>
      </c>
      <c r="E128" s="109">
        <v>11914305980.388426</v>
      </c>
      <c r="F128" s="109">
        <v>11914305980.388426</v>
      </c>
      <c r="G128" s="109">
        <v>11914305980.388426</v>
      </c>
      <c r="H128" s="109">
        <v>12009960131.536226</v>
      </c>
      <c r="I128" s="109">
        <v>12301077471.308825</v>
      </c>
      <c r="J128" s="109">
        <v>12444747608.309324</v>
      </c>
      <c r="K128" s="109">
        <v>12603752654.849325</v>
      </c>
      <c r="L128" s="109">
        <v>12705949852.985374</v>
      </c>
      <c r="M128" s="109">
        <v>12705949852.985374</v>
      </c>
      <c r="N128" s="109">
        <v>12705949852.985374</v>
      </c>
      <c r="O128" s="109">
        <v>12620931458.354124</v>
      </c>
      <c r="P128" s="109">
        <v>12620931458.354124</v>
      </c>
      <c r="Q128" s="109">
        <v>12514383842.993824</v>
      </c>
      <c r="R128" s="109">
        <v>12525196976.143826</v>
      </c>
      <c r="S128" s="109">
        <v>12226749117.766775</v>
      </c>
      <c r="T128" s="109">
        <v>12226749117.766775</v>
      </c>
      <c r="U128" s="109">
        <v>12226749117.766775</v>
      </c>
      <c r="V128" s="109">
        <v>12160011638.936825</v>
      </c>
      <c r="W128" s="109">
        <v>12245832223.966825</v>
      </c>
      <c r="X128" s="109">
        <v>12304263628.984451</v>
      </c>
      <c r="Y128" s="109">
        <v>12268554215.957901</v>
      </c>
      <c r="Z128" s="109">
        <v>12268554215.957901</v>
      </c>
      <c r="AA128" s="109">
        <v>12268554215.957901</v>
      </c>
      <c r="AB128" s="109">
        <v>12268554215.957901</v>
      </c>
      <c r="AC128" s="109">
        <v>12268554215.957901</v>
      </c>
      <c r="AD128" s="109">
        <v>12298707981.473803</v>
      </c>
      <c r="AE128" s="109">
        <v>12366336680.299299</v>
      </c>
      <c r="AF128" s="109">
        <v>12314074405.669577</v>
      </c>
      <c r="AG128" s="109"/>
      <c r="AH128" s="109"/>
      <c r="AI128" s="109"/>
      <c r="AK128" s="109">
        <f>SUM(AK116:AK127)</f>
        <v>12268808120.311983</v>
      </c>
      <c r="AL128" s="109">
        <f>SUM(AL115:AL127)</f>
        <v>96640218.839110583</v>
      </c>
      <c r="AM128" s="110">
        <f>+AL128/AK128*366/30</f>
        <v>9.6098223908580305E-2</v>
      </c>
      <c r="AO128" s="111">
        <f>SUM(AO116:AO127)</f>
        <v>799857123.49261582</v>
      </c>
      <c r="AP128" s="86"/>
      <c r="AQ128" s="86"/>
      <c r="AR128" s="86"/>
    </row>
    <row r="129" spans="1:44">
      <c r="G129" s="86"/>
      <c r="L129" s="86"/>
      <c r="N129" s="86"/>
      <c r="O129" s="86"/>
      <c r="U129" s="86"/>
      <c r="AA129" s="86"/>
      <c r="AB129" s="86"/>
      <c r="AQ129" s="86"/>
    </row>
    <row r="130" spans="1:44" s="89" customFormat="1">
      <c r="A130" s="87" t="s">
        <v>167</v>
      </c>
      <c r="B130" s="88"/>
      <c r="C130" s="88">
        <v>45261</v>
      </c>
      <c r="D130" s="88">
        <f t="shared" ref="D130:AG130" si="25">C130+1</f>
        <v>45262</v>
      </c>
      <c r="E130" s="88">
        <f t="shared" si="25"/>
        <v>45263</v>
      </c>
      <c r="F130" s="88">
        <f t="shared" si="25"/>
        <v>45264</v>
      </c>
      <c r="G130" s="88">
        <f t="shared" si="25"/>
        <v>45265</v>
      </c>
      <c r="H130" s="88">
        <f t="shared" si="25"/>
        <v>45266</v>
      </c>
      <c r="I130" s="88">
        <f t="shared" si="25"/>
        <v>45267</v>
      </c>
      <c r="J130" s="88">
        <f t="shared" si="25"/>
        <v>45268</v>
      </c>
      <c r="K130" s="88">
        <f t="shared" si="25"/>
        <v>45269</v>
      </c>
      <c r="L130" s="88">
        <f t="shared" si="25"/>
        <v>45270</v>
      </c>
      <c r="M130" s="88">
        <f t="shared" si="25"/>
        <v>45271</v>
      </c>
      <c r="N130" s="88">
        <f t="shared" si="25"/>
        <v>45272</v>
      </c>
      <c r="O130" s="88">
        <f t="shared" si="25"/>
        <v>45273</v>
      </c>
      <c r="P130" s="88">
        <f t="shared" si="25"/>
        <v>45274</v>
      </c>
      <c r="Q130" s="88">
        <f t="shared" si="25"/>
        <v>45275</v>
      </c>
      <c r="R130" s="88">
        <f t="shared" si="25"/>
        <v>45276</v>
      </c>
      <c r="S130" s="88">
        <f t="shared" si="25"/>
        <v>45277</v>
      </c>
      <c r="T130" s="88">
        <f t="shared" si="25"/>
        <v>45278</v>
      </c>
      <c r="U130" s="88">
        <f t="shared" si="25"/>
        <v>45279</v>
      </c>
      <c r="V130" s="88">
        <f t="shared" si="25"/>
        <v>45280</v>
      </c>
      <c r="W130" s="88">
        <f t="shared" si="25"/>
        <v>45281</v>
      </c>
      <c r="X130" s="88">
        <f t="shared" si="25"/>
        <v>45282</v>
      </c>
      <c r="Y130" s="88">
        <f t="shared" si="25"/>
        <v>45283</v>
      </c>
      <c r="Z130" s="88">
        <f t="shared" si="25"/>
        <v>45284</v>
      </c>
      <c r="AA130" s="88">
        <f t="shared" si="25"/>
        <v>45285</v>
      </c>
      <c r="AB130" s="88">
        <f t="shared" si="25"/>
        <v>45286</v>
      </c>
      <c r="AC130" s="88">
        <f t="shared" si="25"/>
        <v>45287</v>
      </c>
      <c r="AD130" s="88">
        <f t="shared" si="25"/>
        <v>45288</v>
      </c>
      <c r="AE130" s="88">
        <f t="shared" si="25"/>
        <v>45289</v>
      </c>
      <c r="AF130" s="88">
        <f t="shared" si="25"/>
        <v>45290</v>
      </c>
      <c r="AG130" s="88">
        <f t="shared" si="25"/>
        <v>45291</v>
      </c>
      <c r="AL130" s="90"/>
      <c r="AM130" s="90"/>
    </row>
    <row r="131" spans="1:44" s="89" customFormat="1">
      <c r="A131" s="91" t="s">
        <v>168</v>
      </c>
      <c r="B131" s="92"/>
      <c r="C131" s="92" t="s">
        <v>169</v>
      </c>
      <c r="D131" s="92" t="s">
        <v>169</v>
      </c>
      <c r="E131" s="92" t="s">
        <v>169</v>
      </c>
      <c r="F131" s="92" t="s">
        <v>169</v>
      </c>
      <c r="G131" s="92" t="s">
        <v>169</v>
      </c>
      <c r="H131" s="92" t="s">
        <v>169</v>
      </c>
      <c r="I131" s="92" t="s">
        <v>169</v>
      </c>
      <c r="J131" s="92" t="s">
        <v>169</v>
      </c>
      <c r="K131" s="92" t="s">
        <v>169</v>
      </c>
      <c r="L131" s="92" t="s">
        <v>169</v>
      </c>
      <c r="M131" s="92" t="s">
        <v>169</v>
      </c>
      <c r="N131" s="92" t="s">
        <v>169</v>
      </c>
      <c r="O131" s="92" t="s">
        <v>169</v>
      </c>
      <c r="P131" s="92" t="s">
        <v>169</v>
      </c>
      <c r="Q131" s="92" t="s">
        <v>169</v>
      </c>
      <c r="R131" s="92" t="s">
        <v>169</v>
      </c>
      <c r="S131" s="92" t="s">
        <v>169</v>
      </c>
      <c r="T131" s="92" t="s">
        <v>169</v>
      </c>
      <c r="U131" s="92" t="s">
        <v>169</v>
      </c>
      <c r="V131" s="92" t="s">
        <v>169</v>
      </c>
      <c r="W131" s="92" t="s">
        <v>169</v>
      </c>
      <c r="X131" s="92" t="s">
        <v>169</v>
      </c>
      <c r="Y131" s="92" t="s">
        <v>169</v>
      </c>
      <c r="Z131" s="92" t="s">
        <v>169</v>
      </c>
      <c r="AA131" s="92" t="s">
        <v>169</v>
      </c>
      <c r="AB131" s="92" t="s">
        <v>169</v>
      </c>
      <c r="AC131" s="92" t="s">
        <v>169</v>
      </c>
      <c r="AD131" s="92" t="s">
        <v>169</v>
      </c>
      <c r="AE131" s="92" t="s">
        <v>169</v>
      </c>
      <c r="AF131" s="92" t="s">
        <v>169</v>
      </c>
      <c r="AG131" s="92" t="s">
        <v>169</v>
      </c>
      <c r="AH131" s="93" t="s">
        <v>170</v>
      </c>
      <c r="AI131" s="93" t="s">
        <v>171</v>
      </c>
      <c r="AK131" s="92" t="s">
        <v>172</v>
      </c>
      <c r="AL131" s="92" t="s">
        <v>173</v>
      </c>
      <c r="AM131" s="92" t="s">
        <v>174</v>
      </c>
      <c r="AO131" s="94" t="s">
        <v>175</v>
      </c>
    </row>
    <row r="132" spans="1:44">
      <c r="A132" s="95" t="s">
        <v>176</v>
      </c>
      <c r="B132" s="96"/>
      <c r="C132" s="96">
        <v>3677111697.48</v>
      </c>
      <c r="D132" s="96">
        <v>3677111697.48</v>
      </c>
      <c r="E132" s="96">
        <v>3677111697.48</v>
      </c>
      <c r="F132" s="96">
        <v>3659216019.96</v>
      </c>
      <c r="G132" s="96">
        <v>3631799958.7400002</v>
      </c>
      <c r="H132" s="96">
        <v>3627747013.4000001</v>
      </c>
      <c r="I132" s="96">
        <v>3667133254.4900002</v>
      </c>
      <c r="J132" s="96">
        <v>3713707036.9400001</v>
      </c>
      <c r="K132" s="96">
        <v>3713707036.9400001</v>
      </c>
      <c r="L132" s="96">
        <v>3713707036.9400001</v>
      </c>
      <c r="M132" s="96">
        <v>3765504064.9400001</v>
      </c>
      <c r="N132" s="96">
        <v>3773744540.7800002</v>
      </c>
      <c r="O132" s="96">
        <v>3794446598.8000002</v>
      </c>
      <c r="P132" s="96">
        <v>3753764557.8800001</v>
      </c>
      <c r="Q132" s="96">
        <v>3782985062.2200003</v>
      </c>
      <c r="R132" s="96">
        <v>3782985062.2200003</v>
      </c>
      <c r="S132" s="96">
        <v>3782985062.2200003</v>
      </c>
      <c r="T132" s="96">
        <v>3751359532.1700001</v>
      </c>
      <c r="U132" s="96">
        <v>3766815822.9200001</v>
      </c>
      <c r="V132" s="96">
        <v>3708994943.4099998</v>
      </c>
      <c r="W132" s="96">
        <v>3732189390.5599999</v>
      </c>
      <c r="X132" s="96">
        <v>3714453369.23</v>
      </c>
      <c r="Y132" s="96">
        <v>3714453369.23</v>
      </c>
      <c r="Z132" s="96">
        <v>3714453369.23</v>
      </c>
      <c r="AA132" s="96">
        <v>3714453369.23</v>
      </c>
      <c r="AB132" s="96">
        <v>3738506045.8699999</v>
      </c>
      <c r="AC132" s="96">
        <v>3757029440.8099999</v>
      </c>
      <c r="AD132" s="96">
        <v>3730967333.3400002</v>
      </c>
      <c r="AE132" s="96">
        <v>3770069035.6900001</v>
      </c>
      <c r="AF132" s="96">
        <v>3631570357.75</v>
      </c>
      <c r="AG132" s="96">
        <v>3553408376.8000002</v>
      </c>
      <c r="AH132" s="97">
        <f>AVERAGE(B132:AG132)</f>
        <v>3715919069.5209675</v>
      </c>
      <c r="AI132" s="97">
        <f>AO132-AO116</f>
        <v>36479460.83433342</v>
      </c>
      <c r="AJ132" s="98" t="s">
        <v>177</v>
      </c>
      <c r="AK132" s="97">
        <f>+AH132</f>
        <v>3715919069.5209675</v>
      </c>
      <c r="AL132" s="97">
        <f>+AI132</f>
        <v>36479460.83433342</v>
      </c>
      <c r="AM132" s="99">
        <f t="shared" ref="AM132:AM137" si="26">+AL132/AK132*366/31</f>
        <v>0.11590483569408792</v>
      </c>
      <c r="AO132" s="97">
        <v>334968269.88090003</v>
      </c>
      <c r="AQ132" s="85">
        <v>30</v>
      </c>
      <c r="AR132" s="85" t="s">
        <v>191</v>
      </c>
    </row>
    <row r="133" spans="1:44">
      <c r="A133" s="100" t="s">
        <v>178</v>
      </c>
      <c r="B133" s="96"/>
      <c r="C133" s="96">
        <v>1333471409.45</v>
      </c>
      <c r="D133" s="96">
        <v>1333471409.45</v>
      </c>
      <c r="E133" s="96">
        <v>1333471409.45</v>
      </c>
      <c r="F133" s="96">
        <v>1333471409.45</v>
      </c>
      <c r="G133" s="96">
        <v>1333471409.45</v>
      </c>
      <c r="H133" s="96">
        <v>1333471409.45</v>
      </c>
      <c r="I133" s="96">
        <v>1830114958.45</v>
      </c>
      <c r="J133" s="96">
        <v>1830114958.45</v>
      </c>
      <c r="K133" s="96">
        <v>1830114958.45</v>
      </c>
      <c r="L133" s="96">
        <v>1830114958.45</v>
      </c>
      <c r="M133" s="96">
        <v>1830114958.45</v>
      </c>
      <c r="N133" s="96">
        <v>1830114958.45</v>
      </c>
      <c r="O133" s="96">
        <v>1830114958.45</v>
      </c>
      <c r="P133" s="96">
        <v>1830114958.45</v>
      </c>
      <c r="Q133" s="96">
        <v>1830114958.45</v>
      </c>
      <c r="R133" s="96">
        <v>1830114958.45</v>
      </c>
      <c r="S133" s="96">
        <v>1830114958.45</v>
      </c>
      <c r="T133" s="96">
        <v>1712532191.4000001</v>
      </c>
      <c r="U133" s="96">
        <v>1712532191.4000001</v>
      </c>
      <c r="V133" s="96">
        <v>1640298840.1200001</v>
      </c>
      <c r="W133" s="96">
        <v>1640298840.1200001</v>
      </c>
      <c r="X133" s="96">
        <v>1640298840.1200001</v>
      </c>
      <c r="Y133" s="96">
        <v>1640298840.1200001</v>
      </c>
      <c r="Z133" s="96">
        <v>1640298840.1200001</v>
      </c>
      <c r="AA133" s="96">
        <v>1640298840.1200001</v>
      </c>
      <c r="AB133" s="96">
        <v>1640298840.1200001</v>
      </c>
      <c r="AC133" s="96">
        <v>1640298840.1200001</v>
      </c>
      <c r="AD133" s="96">
        <v>1640298840.1200001</v>
      </c>
      <c r="AE133" s="96">
        <v>1640298840.1200001</v>
      </c>
      <c r="AF133" s="96">
        <v>2136056165.1200001</v>
      </c>
      <c r="AG133" s="96">
        <v>2141801805.9040504</v>
      </c>
      <c r="AH133" s="97">
        <f>AVERAGE(B133:AG133)</f>
        <v>1685096895.3120673</v>
      </c>
      <c r="AI133" s="97">
        <f>AO133-AO117</f>
        <v>14945270.390000001</v>
      </c>
      <c r="AJ133" s="98" t="s">
        <v>145</v>
      </c>
      <c r="AK133" s="101">
        <f>AH133</f>
        <v>1685096895.3120673</v>
      </c>
      <c r="AL133" s="101">
        <f>AI133</f>
        <v>14945270.390000001</v>
      </c>
      <c r="AM133" s="99">
        <f t="shared" si="26"/>
        <v>0.10471244246676568</v>
      </c>
      <c r="AO133" s="97">
        <v>129778667.45000002</v>
      </c>
      <c r="AP133" s="103"/>
      <c r="AQ133" s="85">
        <v>31</v>
      </c>
      <c r="AR133" s="85" t="s">
        <v>192</v>
      </c>
    </row>
    <row r="134" spans="1:44">
      <c r="A134" s="100" t="s">
        <v>180</v>
      </c>
      <c r="B134" s="96"/>
      <c r="C134" s="96">
        <v>0</v>
      </c>
      <c r="D134" s="96">
        <v>0</v>
      </c>
      <c r="E134" s="96">
        <v>0</v>
      </c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96">
        <v>0</v>
      </c>
      <c r="S134" s="96">
        <v>0</v>
      </c>
      <c r="T134" s="96">
        <v>0</v>
      </c>
      <c r="U134" s="96">
        <v>0</v>
      </c>
      <c r="V134" s="96">
        <v>0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0</v>
      </c>
      <c r="AC134" s="96">
        <v>0</v>
      </c>
      <c r="AD134" s="96">
        <v>0</v>
      </c>
      <c r="AE134" s="96">
        <v>0</v>
      </c>
      <c r="AF134" s="96">
        <v>0</v>
      </c>
      <c r="AG134" s="96">
        <v>0</v>
      </c>
      <c r="AH134" s="97">
        <f>AVERAGE(B134:AG134)</f>
        <v>0</v>
      </c>
      <c r="AI134" s="97">
        <f>AO134-AO118</f>
        <v>0</v>
      </c>
      <c r="AJ134" s="98" t="s">
        <v>181</v>
      </c>
      <c r="AK134" s="101">
        <f>AH134</f>
        <v>0</v>
      </c>
      <c r="AL134" s="101">
        <f>AI134</f>
        <v>0</v>
      </c>
      <c r="AM134" s="99" t="e">
        <f t="shared" si="26"/>
        <v>#DIV/0!</v>
      </c>
      <c r="AO134" s="97">
        <v>0</v>
      </c>
      <c r="AQ134" s="85">
        <v>30</v>
      </c>
      <c r="AR134" s="85" t="s">
        <v>193</v>
      </c>
    </row>
    <row r="135" spans="1:44">
      <c r="A135" s="100" t="s">
        <v>182</v>
      </c>
      <c r="B135" s="96"/>
      <c r="C135" s="96">
        <v>1375126481.1100001</v>
      </c>
      <c r="D135" s="96">
        <v>1375126481.1100001</v>
      </c>
      <c r="E135" s="96">
        <v>1375126481.1100001</v>
      </c>
      <c r="F135" s="96">
        <v>1366716982.6000001</v>
      </c>
      <c r="G135" s="96">
        <v>1355710373.03</v>
      </c>
      <c r="H135" s="96">
        <v>1357501576.99</v>
      </c>
      <c r="I135" s="96">
        <v>1361045998.1100001</v>
      </c>
      <c r="J135" s="96">
        <v>1371803775.01</v>
      </c>
      <c r="K135" s="96">
        <v>1371803775.01</v>
      </c>
      <c r="L135" s="96">
        <v>1371803775.01</v>
      </c>
      <c r="M135" s="96">
        <v>1346546594.04</v>
      </c>
      <c r="N135" s="96">
        <v>1364218025.73</v>
      </c>
      <c r="O135" s="96">
        <v>1366024481.9400001</v>
      </c>
      <c r="P135" s="96">
        <v>1377899393.8399999</v>
      </c>
      <c r="Q135" s="96">
        <v>1351135467.0599999</v>
      </c>
      <c r="R135" s="96">
        <v>1351135467.0599999</v>
      </c>
      <c r="S135" s="96">
        <v>1351135467.0599999</v>
      </c>
      <c r="T135" s="96">
        <v>1349087898.7</v>
      </c>
      <c r="U135" s="96">
        <v>1349087898.7</v>
      </c>
      <c r="V135" s="96">
        <v>1227019406.49</v>
      </c>
      <c r="W135" s="96">
        <v>1224749464.8399999</v>
      </c>
      <c r="X135" s="96">
        <v>1355092041.52</v>
      </c>
      <c r="Y135" s="96">
        <v>1355092041.52</v>
      </c>
      <c r="Z135" s="96">
        <v>1355092041.52</v>
      </c>
      <c r="AA135" s="96">
        <v>1355092041.52</v>
      </c>
      <c r="AB135" s="96">
        <v>1345121296.1100001</v>
      </c>
      <c r="AC135" s="96">
        <v>1335276769.01</v>
      </c>
      <c r="AD135" s="96">
        <v>1335276769.01</v>
      </c>
      <c r="AE135" s="96">
        <v>1360668547.3199999</v>
      </c>
      <c r="AF135" s="96">
        <v>1366290447</v>
      </c>
      <c r="AG135" s="96">
        <v>1366290447</v>
      </c>
      <c r="AH135" s="97">
        <f t="shared" ref="AH135" si="27">AVERAGE(B135:AG135)</f>
        <v>1350616055.0348389</v>
      </c>
      <c r="AI135" s="97">
        <f>+AO135-AO119</f>
        <v>9084387.2155485153</v>
      </c>
      <c r="AJ135" s="98" t="s">
        <v>144</v>
      </c>
      <c r="AK135" s="101">
        <f>+AH135</f>
        <v>1350616055.0348389</v>
      </c>
      <c r="AL135" s="101">
        <f>+AI135</f>
        <v>9084387.2155485153</v>
      </c>
      <c r="AM135" s="99">
        <f t="shared" si="26"/>
        <v>7.9411449089048181E-2</v>
      </c>
      <c r="AO135" s="97">
        <v>71521701.671199992</v>
      </c>
      <c r="AQ135" s="85">
        <v>31</v>
      </c>
      <c r="AR135" s="85" t="s">
        <v>194</v>
      </c>
    </row>
    <row r="136" spans="1:44">
      <c r="A136" s="100" t="s">
        <v>143</v>
      </c>
      <c r="B136" s="96"/>
      <c r="C136" s="96">
        <v>429910842.81000042</v>
      </c>
      <c r="D136" s="96">
        <v>429910842.81000042</v>
      </c>
      <c r="E136" s="96">
        <v>429910842.81000042</v>
      </c>
      <c r="F136" s="96">
        <v>417393962.80999947</v>
      </c>
      <c r="G136" s="96">
        <v>430763463.80000019</v>
      </c>
      <c r="H136" s="96">
        <v>426125052.21000004</v>
      </c>
      <c r="I136" s="96">
        <v>426780264.02000046</v>
      </c>
      <c r="J136" s="96">
        <v>416144162.02000046</v>
      </c>
      <c r="K136" s="96">
        <v>416144162.02000046</v>
      </c>
      <c r="L136" s="96">
        <v>416144162.02000046</v>
      </c>
      <c r="M136" s="96">
        <v>399573667.94999981</v>
      </c>
      <c r="N136" s="96">
        <v>390271838.1600008</v>
      </c>
      <c r="O136" s="96">
        <v>383590709.69999981</v>
      </c>
      <c r="P136" s="96">
        <v>395827932.85000038</v>
      </c>
      <c r="Q136" s="96">
        <v>396133885.36999989</v>
      </c>
      <c r="R136" s="96">
        <v>396133885.36999989</v>
      </c>
      <c r="S136" s="96">
        <v>396133885.36999989</v>
      </c>
      <c r="T136" s="96">
        <v>389659468.95000076</v>
      </c>
      <c r="U136" s="96">
        <v>389659468.94999981</v>
      </c>
      <c r="V136" s="96">
        <v>382165264.36999989</v>
      </c>
      <c r="W136" s="96">
        <v>377875977.5199995</v>
      </c>
      <c r="X136" s="96">
        <v>390801343.43000031</v>
      </c>
      <c r="Y136" s="96">
        <v>390801343.43000031</v>
      </c>
      <c r="Z136" s="96">
        <v>390801343.43000031</v>
      </c>
      <c r="AA136" s="96">
        <v>390801343.43000031</v>
      </c>
      <c r="AB136" s="96">
        <v>394313330.93000031</v>
      </c>
      <c r="AC136" s="96">
        <v>404610051.34000015</v>
      </c>
      <c r="AD136" s="96">
        <v>404610050.69000053</v>
      </c>
      <c r="AE136" s="96">
        <v>414552700.46999931</v>
      </c>
      <c r="AF136" s="96">
        <v>416831906.28999996</v>
      </c>
      <c r="AG136" s="96">
        <v>414548939.43999958</v>
      </c>
      <c r="AH136" s="97">
        <f>AVERAGE(B136:AG136)</f>
        <v>404804067.57322592</v>
      </c>
      <c r="AI136" s="97">
        <f>+AO136-AO120</f>
        <v>3462790.8877943158</v>
      </c>
      <c r="AJ136" s="98" t="s">
        <v>179</v>
      </c>
      <c r="AK136" s="101">
        <f>+AH136</f>
        <v>404804067.57322592</v>
      </c>
      <c r="AL136" s="101">
        <f>+AI136</f>
        <v>3462790.8877943158</v>
      </c>
      <c r="AM136" s="99">
        <f t="shared" si="26"/>
        <v>0.1009952130852794</v>
      </c>
      <c r="AO136" s="97">
        <v>39772137.938700005</v>
      </c>
      <c r="AQ136" s="85">
        <v>31</v>
      </c>
      <c r="AR136" s="85" t="s">
        <v>195</v>
      </c>
    </row>
    <row r="137" spans="1:44">
      <c r="A137" s="100" t="s">
        <v>184</v>
      </c>
      <c r="B137" s="96"/>
      <c r="C137" s="96">
        <v>5133437916.9899998</v>
      </c>
      <c r="D137" s="96">
        <v>5133437916.9899998</v>
      </c>
      <c r="E137" s="96">
        <v>5133437916.9899998</v>
      </c>
      <c r="F137" s="96">
        <v>5153673598.2700005</v>
      </c>
      <c r="G137" s="96">
        <v>5133334619.0799999</v>
      </c>
      <c r="H137" s="96">
        <v>5119109032.9099998</v>
      </c>
      <c r="I137" s="96">
        <v>5207590305.9099998</v>
      </c>
      <c r="J137" s="96">
        <v>5213313741.1700001</v>
      </c>
      <c r="K137" s="96">
        <v>5213313741.1700001</v>
      </c>
      <c r="L137" s="96">
        <v>5213313741.1700001</v>
      </c>
      <c r="M137" s="96">
        <v>5308840117.3800001</v>
      </c>
      <c r="N137" s="96">
        <v>5323365465.2799997</v>
      </c>
      <c r="O137" s="96">
        <v>5321755214.5100002</v>
      </c>
      <c r="P137" s="96">
        <v>5456441093.25</v>
      </c>
      <c r="Q137" s="96">
        <v>5542521579.9899998</v>
      </c>
      <c r="R137" s="96">
        <v>5542521579.9899998</v>
      </c>
      <c r="S137" s="96">
        <v>5542521579.9899998</v>
      </c>
      <c r="T137" s="96">
        <v>5644519762.6999998</v>
      </c>
      <c r="U137" s="96">
        <v>5567038163.9300003</v>
      </c>
      <c r="V137" s="96">
        <v>5562208327.7200003</v>
      </c>
      <c r="W137" s="96">
        <v>5653208753.3000002</v>
      </c>
      <c r="X137" s="96">
        <v>5657854921.9899998</v>
      </c>
      <c r="Y137" s="96">
        <v>5657854921.9899998</v>
      </c>
      <c r="Z137" s="96">
        <v>5657854921.9899998</v>
      </c>
      <c r="AA137" s="96">
        <v>5657854921.9899998</v>
      </c>
      <c r="AB137" s="96">
        <v>5799955306.1999998</v>
      </c>
      <c r="AC137" s="96">
        <v>5779113677.79</v>
      </c>
      <c r="AD137" s="96">
        <v>5776760321.2799997</v>
      </c>
      <c r="AE137" s="96">
        <v>5847019745.8900003</v>
      </c>
      <c r="AF137" s="96">
        <v>5854127669.1700001</v>
      </c>
      <c r="AG137" s="96">
        <v>5815136614.1700001</v>
      </c>
      <c r="AH137" s="97">
        <f t="shared" ref="AH137:AH140" si="28">AVERAGE(B137:AG137)</f>
        <v>5471691522.2951641</v>
      </c>
      <c r="AI137" s="97">
        <f>+AO137-AO121</f>
        <v>39471076.92996189</v>
      </c>
      <c r="AJ137" s="98" t="s">
        <v>142</v>
      </c>
      <c r="AK137" s="101">
        <f>AH137</f>
        <v>5471691522.2951641</v>
      </c>
      <c r="AL137" s="101">
        <f>AI137</f>
        <v>39471076.92996189</v>
      </c>
      <c r="AM137" s="99">
        <f t="shared" si="26"/>
        <v>8.5168061463980552E-2</v>
      </c>
      <c r="AO137" s="97">
        <v>299700092.72011125</v>
      </c>
      <c r="AQ137" s="85">
        <v>30</v>
      </c>
      <c r="AR137" s="85" t="s">
        <v>196</v>
      </c>
    </row>
    <row r="138" spans="1:44">
      <c r="A138" s="100" t="s">
        <v>185</v>
      </c>
      <c r="B138" s="96"/>
      <c r="C138" s="96">
        <v>552841598.08529997</v>
      </c>
      <c r="D138" s="96">
        <v>552841598.08529997</v>
      </c>
      <c r="E138" s="96">
        <v>552841598.08529997</v>
      </c>
      <c r="F138" s="96">
        <v>555689189.51370001</v>
      </c>
      <c r="G138" s="96">
        <v>543905058.95084989</v>
      </c>
      <c r="H138" s="96">
        <v>544002621.63405001</v>
      </c>
      <c r="I138" s="96">
        <v>545098722.76604998</v>
      </c>
      <c r="J138" s="96">
        <v>541141169.90664995</v>
      </c>
      <c r="K138" s="96">
        <v>541141169.90664995</v>
      </c>
      <c r="L138" s="96">
        <v>541141169.90664995</v>
      </c>
      <c r="M138" s="96">
        <v>538942911.03865004</v>
      </c>
      <c r="N138" s="96">
        <v>536080556.42619997</v>
      </c>
      <c r="O138" s="96">
        <v>539128552.94334996</v>
      </c>
      <c r="P138" s="96">
        <v>538499021.38734996</v>
      </c>
      <c r="Q138" s="96">
        <v>488972678.20344985</v>
      </c>
      <c r="R138" s="96">
        <v>488972678.20344985</v>
      </c>
      <c r="S138" s="96">
        <v>488972678.20344985</v>
      </c>
      <c r="T138" s="96">
        <v>495934872.75969994</v>
      </c>
      <c r="U138" s="96">
        <v>494505705.02634996</v>
      </c>
      <c r="V138" s="96">
        <v>496341021.27234995</v>
      </c>
      <c r="W138" s="96">
        <v>506046706.801</v>
      </c>
      <c r="X138" s="96">
        <v>505278983.40054995</v>
      </c>
      <c r="Y138" s="96">
        <v>505278983.40054995</v>
      </c>
      <c r="Z138" s="96">
        <v>505278983.40054995</v>
      </c>
      <c r="AA138" s="96">
        <v>505278983.40054995</v>
      </c>
      <c r="AB138" s="96">
        <v>513318761.97594994</v>
      </c>
      <c r="AC138" s="96">
        <v>513995487.61059994</v>
      </c>
      <c r="AD138" s="96">
        <v>521675521.50459993</v>
      </c>
      <c r="AE138" s="96">
        <v>536804866.69859993</v>
      </c>
      <c r="AF138" s="96">
        <v>533263003.89127499</v>
      </c>
      <c r="AG138" s="96">
        <v>533396731.37</v>
      </c>
      <c r="AH138" s="97">
        <f t="shared" si="28"/>
        <v>524406825.34706545</v>
      </c>
      <c r="AI138" s="97">
        <f>AO138-AO122-148365.404389545</f>
        <v>3909548.756367777</v>
      </c>
      <c r="AJ138" s="98" t="s">
        <v>183</v>
      </c>
      <c r="AK138" s="101">
        <f>+AH138+AH139+AH140</f>
        <v>524406825.34706545</v>
      </c>
      <c r="AL138" s="101">
        <f>+AI138+AI139+AI140</f>
        <v>3909548.756367777</v>
      </c>
      <c r="AM138" s="99">
        <f>+AL138/AK138*360/31</f>
        <v>8.6576316649241383E-2</v>
      </c>
      <c r="AO138" s="101">
        <v>31617154.250099998</v>
      </c>
      <c r="AQ138" s="85">
        <v>31</v>
      </c>
      <c r="AR138" s="85" t="s">
        <v>197</v>
      </c>
    </row>
    <row r="139" spans="1:44">
      <c r="A139" s="100" t="s">
        <v>187</v>
      </c>
      <c r="B139" s="96"/>
      <c r="C139" s="96">
        <v>0</v>
      </c>
      <c r="D139" s="96">
        <v>0</v>
      </c>
      <c r="E139" s="96">
        <v>0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6">
        <v>0</v>
      </c>
      <c r="L139" s="96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96">
        <v>0</v>
      </c>
      <c r="S139" s="96">
        <v>0</v>
      </c>
      <c r="T139" s="96">
        <v>0</v>
      </c>
      <c r="U139" s="96">
        <v>0</v>
      </c>
      <c r="V139" s="96">
        <v>0</v>
      </c>
      <c r="W139" s="96">
        <v>0</v>
      </c>
      <c r="X139" s="96">
        <v>0</v>
      </c>
      <c r="Y139" s="96">
        <v>0</v>
      </c>
      <c r="Z139" s="96">
        <v>0</v>
      </c>
      <c r="AA139" s="96">
        <v>0</v>
      </c>
      <c r="AB139" s="96">
        <v>0</v>
      </c>
      <c r="AC139" s="96">
        <v>0</v>
      </c>
      <c r="AD139" s="96">
        <v>0</v>
      </c>
      <c r="AE139" s="96">
        <v>0</v>
      </c>
      <c r="AF139" s="96">
        <v>0</v>
      </c>
      <c r="AG139" s="96">
        <v>0</v>
      </c>
      <c r="AH139" s="97">
        <f t="shared" si="28"/>
        <v>0</v>
      </c>
      <c r="AI139" s="97">
        <f>AO139-AO123</f>
        <v>0</v>
      </c>
      <c r="AJ139" s="98"/>
      <c r="AK139" s="97"/>
      <c r="AL139" s="97"/>
      <c r="AM139" s="99"/>
      <c r="AO139" s="101"/>
      <c r="AQ139" s="85">
        <v>30</v>
      </c>
      <c r="AR139" s="85" t="s">
        <v>198</v>
      </c>
    </row>
    <row r="140" spans="1:44">
      <c r="A140" s="100" t="s">
        <v>188</v>
      </c>
      <c r="B140" s="96"/>
      <c r="C140" s="96">
        <v>0</v>
      </c>
      <c r="D140" s="96">
        <v>0</v>
      </c>
      <c r="E140" s="96">
        <v>0</v>
      </c>
      <c r="F140" s="96">
        <v>0</v>
      </c>
      <c r="G140" s="96">
        <v>0</v>
      </c>
      <c r="H140" s="96">
        <v>0</v>
      </c>
      <c r="I140" s="96">
        <v>0</v>
      </c>
      <c r="J140" s="96">
        <v>0</v>
      </c>
      <c r="K140" s="96">
        <v>0</v>
      </c>
      <c r="L140" s="96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96">
        <v>0</v>
      </c>
      <c r="S140" s="96">
        <v>0</v>
      </c>
      <c r="T140" s="96">
        <v>0</v>
      </c>
      <c r="U140" s="96">
        <v>0</v>
      </c>
      <c r="V140" s="96">
        <v>0</v>
      </c>
      <c r="W140" s="96">
        <v>0</v>
      </c>
      <c r="X140" s="96">
        <v>0</v>
      </c>
      <c r="Y140" s="96">
        <v>0</v>
      </c>
      <c r="Z140" s="96">
        <v>0</v>
      </c>
      <c r="AA140" s="96">
        <v>0</v>
      </c>
      <c r="AB140" s="96">
        <v>0</v>
      </c>
      <c r="AC140" s="96">
        <v>0</v>
      </c>
      <c r="AD140" s="96">
        <v>0</v>
      </c>
      <c r="AE140" s="96">
        <v>0</v>
      </c>
      <c r="AF140" s="96">
        <v>0</v>
      </c>
      <c r="AG140" s="96">
        <v>0</v>
      </c>
      <c r="AH140" s="97">
        <f t="shared" si="28"/>
        <v>0</v>
      </c>
      <c r="AI140" s="97">
        <f>+AO140-AO124</f>
        <v>0</v>
      </c>
      <c r="AJ140" s="98" t="s">
        <v>186</v>
      </c>
      <c r="AK140" s="101">
        <v>0</v>
      </c>
      <c r="AL140" s="101">
        <v>0</v>
      </c>
      <c r="AM140" s="99"/>
      <c r="AO140" s="101"/>
      <c r="AQ140" s="85">
        <v>31</v>
      </c>
      <c r="AR140" s="85" t="s">
        <v>199</v>
      </c>
    </row>
    <row r="141" spans="1:44">
      <c r="A141" s="100" t="s">
        <v>189</v>
      </c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7">
        <v>455636883.49000001</v>
      </c>
      <c r="AI141" s="97"/>
      <c r="AJ141" s="98"/>
      <c r="AK141" s="101"/>
      <c r="AL141" s="101"/>
      <c r="AM141" s="99"/>
      <c r="AO141" s="101"/>
    </row>
    <row r="142" spans="1:44">
      <c r="A142" s="100" t="s">
        <v>190</v>
      </c>
      <c r="B142" s="96"/>
      <c r="C142" s="96">
        <v>0</v>
      </c>
      <c r="D142" s="96">
        <v>0</v>
      </c>
      <c r="E142" s="96">
        <v>0</v>
      </c>
      <c r="F142" s="96">
        <v>0</v>
      </c>
      <c r="G142" s="96">
        <v>0</v>
      </c>
      <c r="H142" s="96">
        <v>0</v>
      </c>
      <c r="I142" s="96">
        <v>0</v>
      </c>
      <c r="J142" s="96">
        <v>0</v>
      </c>
      <c r="K142" s="96">
        <v>0</v>
      </c>
      <c r="L142" s="96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96">
        <v>0</v>
      </c>
      <c r="S142" s="96">
        <v>0</v>
      </c>
      <c r="T142" s="96">
        <v>0</v>
      </c>
      <c r="U142" s="96">
        <v>0</v>
      </c>
      <c r="V142" s="96">
        <v>0</v>
      </c>
      <c r="W142" s="96">
        <v>0</v>
      </c>
      <c r="X142" s="96">
        <v>0</v>
      </c>
      <c r="Y142" s="96">
        <v>0</v>
      </c>
      <c r="Z142" s="96">
        <v>0</v>
      </c>
      <c r="AA142" s="96">
        <v>0</v>
      </c>
      <c r="AB142" s="96">
        <v>0</v>
      </c>
      <c r="AC142" s="96">
        <v>0</v>
      </c>
      <c r="AD142" s="96">
        <v>0</v>
      </c>
      <c r="AE142" s="96">
        <v>0</v>
      </c>
      <c r="AF142" s="96">
        <v>0</v>
      </c>
      <c r="AG142" s="96">
        <v>0</v>
      </c>
      <c r="AH142" s="97">
        <f>AVERAGE(B142:AG142)</f>
        <v>0</v>
      </c>
      <c r="AI142" s="97"/>
      <c r="AK142" s="101"/>
      <c r="AL142" s="101"/>
      <c r="AM142" s="101"/>
      <c r="AO142" s="101"/>
      <c r="AQ142" s="85">
        <f>SUM(AQ132:AQ140)</f>
        <v>275</v>
      </c>
    </row>
    <row r="143" spans="1:44">
      <c r="A143" s="105"/>
      <c r="B143" s="105"/>
      <c r="C143" s="105"/>
      <c r="D143" s="105"/>
      <c r="E143" s="105"/>
      <c r="F143" s="105"/>
      <c r="G143" s="105"/>
      <c r="H143" s="105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105"/>
      <c r="AI143" s="97">
        <v>0</v>
      </c>
      <c r="AK143" s="105"/>
      <c r="AL143" s="105"/>
      <c r="AM143" s="106"/>
      <c r="AO143" s="107"/>
    </row>
    <row r="144" spans="1:44">
      <c r="A144" s="108" t="s">
        <v>146</v>
      </c>
      <c r="B144" s="109"/>
      <c r="C144" s="109">
        <v>12501899945.925301</v>
      </c>
      <c r="D144" s="109">
        <v>12501899945.925301</v>
      </c>
      <c r="E144" s="109">
        <v>12501899945.925301</v>
      </c>
      <c r="F144" s="109">
        <v>12486161162.603701</v>
      </c>
      <c r="G144" s="109">
        <v>12428984883.05085</v>
      </c>
      <c r="H144" s="109">
        <v>12407956706.594049</v>
      </c>
      <c r="I144" s="109">
        <v>13037763503.746052</v>
      </c>
      <c r="J144" s="109">
        <v>13086224843.496651</v>
      </c>
      <c r="K144" s="109">
        <v>13086224843.496651</v>
      </c>
      <c r="L144" s="109">
        <v>13086224843.496651</v>
      </c>
      <c r="M144" s="109">
        <v>13189522313.798651</v>
      </c>
      <c r="N144" s="109">
        <v>13217795384.826202</v>
      </c>
      <c r="O144" s="109">
        <v>13235060516.343351</v>
      </c>
      <c r="P144" s="109">
        <v>13352546957.657351</v>
      </c>
      <c r="Q144" s="109">
        <v>13391863631.293449</v>
      </c>
      <c r="R144" s="109">
        <v>13391863631.293449</v>
      </c>
      <c r="S144" s="109">
        <v>13391863631.293449</v>
      </c>
      <c r="T144" s="109">
        <v>13343093726.679701</v>
      </c>
      <c r="U144" s="109">
        <v>13279639250.92635</v>
      </c>
      <c r="V144" s="109">
        <v>13017027803.382351</v>
      </c>
      <c r="W144" s="109">
        <v>13134369133.141001</v>
      </c>
      <c r="X144" s="109">
        <v>13263779499.690552</v>
      </c>
      <c r="Y144" s="109">
        <v>13263779499.690552</v>
      </c>
      <c r="Z144" s="109">
        <v>13263779499.690552</v>
      </c>
      <c r="AA144" s="109">
        <v>13263779499.690552</v>
      </c>
      <c r="AB144" s="109">
        <v>13431513581.20595</v>
      </c>
      <c r="AC144" s="109">
        <v>13430324266.680599</v>
      </c>
      <c r="AD144" s="109">
        <v>13409588835.944601</v>
      </c>
      <c r="AE144" s="109">
        <v>13569413736.188601</v>
      </c>
      <c r="AF144" s="109">
        <v>13938139549.221275</v>
      </c>
      <c r="AG144" s="109">
        <v>13824582914.68405</v>
      </c>
      <c r="AH144" s="109"/>
      <c r="AI144" s="109"/>
      <c r="AK144" s="109">
        <f>SUM(AK132:AK143)</f>
        <v>13152534435.083328</v>
      </c>
      <c r="AL144" s="109">
        <f>SUM(AL131:AL143)</f>
        <v>107352535.01400591</v>
      </c>
      <c r="AM144" s="110">
        <f>+AL144/AK144*366/31</f>
        <v>9.6365648493155237E-2</v>
      </c>
      <c r="AO144" s="111">
        <f>SUM(AO132:AO143)</f>
        <v>907358023.91101134</v>
      </c>
      <c r="AP144" s="86"/>
      <c r="AQ144" s="86"/>
      <c r="AR144" s="86"/>
    </row>
    <row r="145" spans="1:44">
      <c r="G145" s="86"/>
      <c r="L145" s="86"/>
      <c r="N145" s="86"/>
      <c r="O145" s="86"/>
      <c r="U145" s="86"/>
      <c r="AA145" s="86"/>
      <c r="AB145" s="86"/>
      <c r="AQ145" s="86"/>
    </row>
    <row r="146" spans="1:44" s="89" customFormat="1">
      <c r="A146" s="87" t="s">
        <v>167</v>
      </c>
      <c r="B146" s="88"/>
      <c r="C146" s="88">
        <v>45292</v>
      </c>
      <c r="D146" s="88">
        <f t="shared" ref="D146:AG146" si="29">C146+1</f>
        <v>45293</v>
      </c>
      <c r="E146" s="88">
        <f t="shared" si="29"/>
        <v>45294</v>
      </c>
      <c r="F146" s="88">
        <f t="shared" si="29"/>
        <v>45295</v>
      </c>
      <c r="G146" s="88">
        <f t="shared" si="29"/>
        <v>45296</v>
      </c>
      <c r="H146" s="88">
        <f t="shared" si="29"/>
        <v>45297</v>
      </c>
      <c r="I146" s="88">
        <f t="shared" si="29"/>
        <v>45298</v>
      </c>
      <c r="J146" s="88">
        <f t="shared" si="29"/>
        <v>45299</v>
      </c>
      <c r="K146" s="88">
        <f t="shared" si="29"/>
        <v>45300</v>
      </c>
      <c r="L146" s="88">
        <f t="shared" si="29"/>
        <v>45301</v>
      </c>
      <c r="M146" s="88">
        <f t="shared" si="29"/>
        <v>45302</v>
      </c>
      <c r="N146" s="88">
        <f t="shared" si="29"/>
        <v>45303</v>
      </c>
      <c r="O146" s="88">
        <f t="shared" si="29"/>
        <v>45304</v>
      </c>
      <c r="P146" s="88">
        <f t="shared" si="29"/>
        <v>45305</v>
      </c>
      <c r="Q146" s="88">
        <f t="shared" si="29"/>
        <v>45306</v>
      </c>
      <c r="R146" s="88">
        <f t="shared" si="29"/>
        <v>45307</v>
      </c>
      <c r="S146" s="88">
        <f t="shared" si="29"/>
        <v>45308</v>
      </c>
      <c r="T146" s="88">
        <f t="shared" si="29"/>
        <v>45309</v>
      </c>
      <c r="U146" s="88">
        <f t="shared" si="29"/>
        <v>45310</v>
      </c>
      <c r="V146" s="88">
        <f t="shared" si="29"/>
        <v>45311</v>
      </c>
      <c r="W146" s="88">
        <f t="shared" si="29"/>
        <v>45312</v>
      </c>
      <c r="X146" s="88">
        <f t="shared" si="29"/>
        <v>45313</v>
      </c>
      <c r="Y146" s="88">
        <f t="shared" si="29"/>
        <v>45314</v>
      </c>
      <c r="Z146" s="88">
        <f t="shared" si="29"/>
        <v>45315</v>
      </c>
      <c r="AA146" s="88">
        <f t="shared" si="29"/>
        <v>45316</v>
      </c>
      <c r="AB146" s="88">
        <f t="shared" si="29"/>
        <v>45317</v>
      </c>
      <c r="AC146" s="88">
        <f t="shared" si="29"/>
        <v>45318</v>
      </c>
      <c r="AD146" s="88">
        <f t="shared" si="29"/>
        <v>45319</v>
      </c>
      <c r="AE146" s="88">
        <f t="shared" si="29"/>
        <v>45320</v>
      </c>
      <c r="AF146" s="88">
        <f t="shared" si="29"/>
        <v>45321</v>
      </c>
      <c r="AG146" s="88">
        <f t="shared" si="29"/>
        <v>45322</v>
      </c>
      <c r="AL146" s="90"/>
      <c r="AM146" s="90"/>
    </row>
    <row r="147" spans="1:44" s="89" customFormat="1">
      <c r="A147" s="91" t="s">
        <v>168</v>
      </c>
      <c r="B147" s="92"/>
      <c r="C147" s="92" t="s">
        <v>169</v>
      </c>
      <c r="D147" s="92" t="s">
        <v>169</v>
      </c>
      <c r="E147" s="92" t="s">
        <v>169</v>
      </c>
      <c r="F147" s="92" t="s">
        <v>169</v>
      </c>
      <c r="G147" s="92" t="s">
        <v>169</v>
      </c>
      <c r="H147" s="92" t="s">
        <v>169</v>
      </c>
      <c r="I147" s="92" t="s">
        <v>169</v>
      </c>
      <c r="J147" s="92" t="s">
        <v>169</v>
      </c>
      <c r="K147" s="92" t="s">
        <v>169</v>
      </c>
      <c r="L147" s="92" t="s">
        <v>169</v>
      </c>
      <c r="M147" s="92" t="s">
        <v>169</v>
      </c>
      <c r="N147" s="92" t="s">
        <v>169</v>
      </c>
      <c r="O147" s="92" t="s">
        <v>169</v>
      </c>
      <c r="P147" s="92" t="s">
        <v>169</v>
      </c>
      <c r="Q147" s="92" t="s">
        <v>169</v>
      </c>
      <c r="R147" s="92" t="s">
        <v>169</v>
      </c>
      <c r="S147" s="92" t="s">
        <v>169</v>
      </c>
      <c r="T147" s="92" t="s">
        <v>169</v>
      </c>
      <c r="U147" s="92" t="s">
        <v>169</v>
      </c>
      <c r="V147" s="92" t="s">
        <v>169</v>
      </c>
      <c r="W147" s="92" t="s">
        <v>169</v>
      </c>
      <c r="X147" s="92" t="s">
        <v>169</v>
      </c>
      <c r="Y147" s="92" t="s">
        <v>169</v>
      </c>
      <c r="Z147" s="92" t="s">
        <v>169</v>
      </c>
      <c r="AA147" s="92" t="s">
        <v>169</v>
      </c>
      <c r="AB147" s="92" t="s">
        <v>169</v>
      </c>
      <c r="AC147" s="92" t="s">
        <v>169</v>
      </c>
      <c r="AD147" s="92" t="s">
        <v>169</v>
      </c>
      <c r="AE147" s="92" t="s">
        <v>169</v>
      </c>
      <c r="AF147" s="92" t="s">
        <v>169</v>
      </c>
      <c r="AG147" s="92" t="s">
        <v>169</v>
      </c>
      <c r="AH147" s="93" t="s">
        <v>170</v>
      </c>
      <c r="AI147" s="93" t="s">
        <v>171</v>
      </c>
      <c r="AK147" s="92" t="s">
        <v>172</v>
      </c>
      <c r="AL147" s="92" t="s">
        <v>173</v>
      </c>
      <c r="AM147" s="92" t="s">
        <v>174</v>
      </c>
      <c r="AO147" s="94" t="s">
        <v>175</v>
      </c>
    </row>
    <row r="148" spans="1:44">
      <c r="A148" s="95" t="s">
        <v>176</v>
      </c>
      <c r="B148" s="96"/>
      <c r="C148" s="96">
        <v>3689812722.3200002</v>
      </c>
      <c r="D148" s="96">
        <v>3731107083.48</v>
      </c>
      <c r="E148" s="96">
        <v>3721387705.0999999</v>
      </c>
      <c r="F148" s="96">
        <v>3765209771.98</v>
      </c>
      <c r="G148" s="96">
        <v>3863481202.5700002</v>
      </c>
      <c r="H148" s="96">
        <v>3863481202.5700002</v>
      </c>
      <c r="I148" s="96">
        <v>3863481202.5700002</v>
      </c>
      <c r="J148" s="96">
        <v>3934731541.46</v>
      </c>
      <c r="K148" s="96">
        <v>3970809193.8600001</v>
      </c>
      <c r="L148" s="96">
        <v>3896699599.9300003</v>
      </c>
      <c r="M148" s="96">
        <v>3861876398.0700002</v>
      </c>
      <c r="N148" s="96">
        <v>3855416788.5900002</v>
      </c>
      <c r="O148" s="96">
        <v>3855416788.5900002</v>
      </c>
      <c r="P148" s="96">
        <v>3855416788.5900002</v>
      </c>
      <c r="Q148" s="96">
        <v>3842807923.2400002</v>
      </c>
      <c r="R148" s="96">
        <v>3819891651.3000002</v>
      </c>
      <c r="S148" s="96">
        <v>3819936998.5900002</v>
      </c>
      <c r="T148" s="96">
        <v>3804194821.4099998</v>
      </c>
      <c r="U148" s="96">
        <v>3773026729.0799999</v>
      </c>
      <c r="V148" s="96">
        <v>3773026729.0799999</v>
      </c>
      <c r="W148" s="96">
        <v>3773026729.0799999</v>
      </c>
      <c r="X148" s="96">
        <v>3773026729.0799999</v>
      </c>
      <c r="Y148" s="96">
        <v>3749370366.23</v>
      </c>
      <c r="Z148" s="96">
        <v>3735918042.0900002</v>
      </c>
      <c r="AA148" s="96">
        <v>3746574972.0500002</v>
      </c>
      <c r="AB148" s="96">
        <v>3746574972.0500002</v>
      </c>
      <c r="AC148" s="96">
        <v>3746574972.0500002</v>
      </c>
      <c r="AD148" s="96">
        <v>3746574972.0500002</v>
      </c>
      <c r="AE148" s="96">
        <v>3830186611.79</v>
      </c>
      <c r="AF148" s="96">
        <v>3800640122.3200002</v>
      </c>
      <c r="AG148" s="96">
        <v>3696047017.2000003</v>
      </c>
      <c r="AH148" s="97">
        <f>AVERAGE(B148:AG148)</f>
        <v>3803410591.8829036</v>
      </c>
      <c r="AI148" s="97">
        <f>AO148-AO132</f>
        <v>30281591.192699969</v>
      </c>
      <c r="AJ148" s="98" t="s">
        <v>177</v>
      </c>
      <c r="AK148" s="97">
        <f>+AH148</f>
        <v>3803410591.8829036</v>
      </c>
      <c r="AL148" s="97">
        <f>+AI148</f>
        <v>30281591.192699969</v>
      </c>
      <c r="AM148" s="99">
        <f t="shared" ref="AM148" si="30">+AL148/AK148*366/31</f>
        <v>9.3999354669025342E-2</v>
      </c>
      <c r="AO148" s="97">
        <v>365249861.07359999</v>
      </c>
      <c r="AQ148" s="85">
        <v>30</v>
      </c>
      <c r="AR148" s="85" t="s">
        <v>191</v>
      </c>
    </row>
    <row r="149" spans="1:44">
      <c r="A149" s="100" t="s">
        <v>178</v>
      </c>
      <c r="B149" s="96"/>
      <c r="C149" s="96">
        <v>2136056165.1200001</v>
      </c>
      <c r="D149" s="96">
        <v>2136056165.1200001</v>
      </c>
      <c r="E149" s="96">
        <v>2136056165.1200001</v>
      </c>
      <c r="F149" s="96">
        <v>2136056165.1200001</v>
      </c>
      <c r="G149" s="96">
        <v>2136056165.1200001</v>
      </c>
      <c r="H149" s="96">
        <v>2136056165.1200001</v>
      </c>
      <c r="I149" s="96">
        <v>2136056165.1200001</v>
      </c>
      <c r="J149" s="96">
        <v>2136056165.1200001</v>
      </c>
      <c r="K149" s="96">
        <v>2136056165.1200001</v>
      </c>
      <c r="L149" s="96">
        <v>2136056165.1200001</v>
      </c>
      <c r="M149" s="96">
        <v>2136056165.1200001</v>
      </c>
      <c r="N149" s="96">
        <v>2136056165.1200001</v>
      </c>
      <c r="O149" s="96">
        <v>2136056165.1200001</v>
      </c>
      <c r="P149" s="96">
        <v>2136056165.1200001</v>
      </c>
      <c r="Q149" s="96">
        <v>2136056165.1200001</v>
      </c>
      <c r="R149" s="96">
        <v>2428122835.4200001</v>
      </c>
      <c r="S149" s="96">
        <v>2428122835.4200001</v>
      </c>
      <c r="T149" s="96">
        <v>2428122835.4200001</v>
      </c>
      <c r="U149" s="96">
        <v>2428122835.4200001</v>
      </c>
      <c r="V149" s="96">
        <v>2428122835.4200001</v>
      </c>
      <c r="W149" s="96">
        <v>2428122835.4200001</v>
      </c>
      <c r="X149" s="96">
        <v>2428122835.4200001</v>
      </c>
      <c r="Y149" s="96">
        <v>2428122835.4200001</v>
      </c>
      <c r="Z149" s="96">
        <v>2428122835.4200001</v>
      </c>
      <c r="AA149" s="96">
        <v>2428122835.4200001</v>
      </c>
      <c r="AB149" s="96">
        <v>2428122835.4200001</v>
      </c>
      <c r="AC149" s="96">
        <v>2428122835.4200001</v>
      </c>
      <c r="AD149" s="96">
        <v>2428122835.4200001</v>
      </c>
      <c r="AE149" s="96">
        <v>2428122835.4200001</v>
      </c>
      <c r="AF149" s="96">
        <v>2428122835.4200001</v>
      </c>
      <c r="AG149" s="96">
        <v>2439038924.3766699</v>
      </c>
      <c r="AH149" s="97">
        <f>AVERAGE(B149:AG149)</f>
        <v>2287152384.918601</v>
      </c>
      <c r="AI149" s="97">
        <f>AO149-AO133</f>
        <v>20759261.560000002</v>
      </c>
      <c r="AJ149" s="98" t="s">
        <v>145</v>
      </c>
      <c r="AK149" s="101">
        <f>AH149</f>
        <v>2287152384.918601</v>
      </c>
      <c r="AL149" s="101">
        <f>AI149</f>
        <v>20759261.560000002</v>
      </c>
      <c r="AM149" s="99">
        <f>+AL149/AK149*366/31</f>
        <v>0.1071608602661885</v>
      </c>
      <c r="AO149" s="97">
        <v>150537929.01000002</v>
      </c>
      <c r="AP149" s="103"/>
      <c r="AQ149" s="85">
        <v>31</v>
      </c>
      <c r="AR149" s="85" t="s">
        <v>192</v>
      </c>
    </row>
    <row r="150" spans="1:44">
      <c r="A150" s="100" t="s">
        <v>180</v>
      </c>
      <c r="B150" s="96"/>
      <c r="C150" s="96">
        <v>0</v>
      </c>
      <c r="D150" s="96">
        <v>0</v>
      </c>
      <c r="E150" s="96">
        <v>0</v>
      </c>
      <c r="F150" s="96">
        <v>0</v>
      </c>
      <c r="G150" s="96">
        <v>0</v>
      </c>
      <c r="H150" s="96">
        <v>0</v>
      </c>
      <c r="I150" s="96">
        <v>0</v>
      </c>
      <c r="J150" s="96">
        <v>0</v>
      </c>
      <c r="K150" s="96">
        <v>0</v>
      </c>
      <c r="L150" s="96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96">
        <v>0</v>
      </c>
      <c r="S150" s="96">
        <v>0</v>
      </c>
      <c r="T150" s="96">
        <v>0</v>
      </c>
      <c r="U150" s="96">
        <v>0</v>
      </c>
      <c r="V150" s="96">
        <v>0</v>
      </c>
      <c r="W150" s="96">
        <v>0</v>
      </c>
      <c r="X150" s="96">
        <v>0</v>
      </c>
      <c r="Y150" s="96">
        <v>0</v>
      </c>
      <c r="Z150" s="96">
        <v>0</v>
      </c>
      <c r="AA150" s="96">
        <v>0</v>
      </c>
      <c r="AB150" s="96">
        <v>0</v>
      </c>
      <c r="AC150" s="96">
        <v>0</v>
      </c>
      <c r="AD150" s="96">
        <v>0</v>
      </c>
      <c r="AE150" s="96">
        <v>0</v>
      </c>
      <c r="AF150" s="96">
        <v>0</v>
      </c>
      <c r="AG150" s="96">
        <v>0</v>
      </c>
      <c r="AH150" s="97">
        <f>AVERAGE(B150:AG150)</f>
        <v>0</v>
      </c>
      <c r="AI150" s="97">
        <f>AO150-AO134</f>
        <v>0</v>
      </c>
      <c r="AJ150" s="98" t="s">
        <v>181</v>
      </c>
      <c r="AK150" s="101">
        <f>AH150</f>
        <v>0</v>
      </c>
      <c r="AL150" s="101">
        <f>AI150</f>
        <v>0</v>
      </c>
      <c r="AM150" s="99" t="e">
        <f>+AL150/AK150*366/31</f>
        <v>#DIV/0!</v>
      </c>
      <c r="AO150" s="97">
        <v>0</v>
      </c>
      <c r="AQ150" s="85">
        <v>30</v>
      </c>
      <c r="AR150" s="85" t="s">
        <v>193</v>
      </c>
    </row>
    <row r="151" spans="1:44">
      <c r="A151" s="100" t="s">
        <v>182</v>
      </c>
      <c r="B151" s="96"/>
      <c r="C151" s="96">
        <v>1376691675</v>
      </c>
      <c r="D151" s="96">
        <v>1362730643.28</v>
      </c>
      <c r="E151" s="96">
        <v>1356990893.5799999</v>
      </c>
      <c r="F151" s="96">
        <v>1369625415.29</v>
      </c>
      <c r="G151" s="96">
        <v>1344555199.22</v>
      </c>
      <c r="H151" s="96">
        <v>1344555199.22</v>
      </c>
      <c r="I151" s="96">
        <v>1344555199.22</v>
      </c>
      <c r="J151" s="96">
        <v>1325258557.95</v>
      </c>
      <c r="K151" s="96">
        <v>1305339899</v>
      </c>
      <c r="L151" s="96">
        <v>1352234464</v>
      </c>
      <c r="M151" s="96">
        <v>1357662711.79</v>
      </c>
      <c r="N151" s="96">
        <v>1365136211.6600001</v>
      </c>
      <c r="O151" s="96">
        <v>1365136211.6600001</v>
      </c>
      <c r="P151" s="96">
        <v>1365136211.6600001</v>
      </c>
      <c r="Q151" s="96">
        <v>1399363561.9300001</v>
      </c>
      <c r="R151" s="96">
        <v>1398176535.8199999</v>
      </c>
      <c r="S151" s="96">
        <v>1393336241.95</v>
      </c>
      <c r="T151" s="96">
        <v>1381032132.4100001</v>
      </c>
      <c r="U151" s="96">
        <v>1380599530.96</v>
      </c>
      <c r="V151" s="96">
        <v>1380599530.96</v>
      </c>
      <c r="W151" s="96">
        <v>1380599530.96</v>
      </c>
      <c r="X151" s="96">
        <v>1380599530.96</v>
      </c>
      <c r="Y151" s="96">
        <v>1396285166.96</v>
      </c>
      <c r="Z151" s="96">
        <v>1383565418.6900001</v>
      </c>
      <c r="AA151" s="96">
        <v>1367338181.8900001</v>
      </c>
      <c r="AB151" s="96">
        <v>1367338181.8900001</v>
      </c>
      <c r="AC151" s="96">
        <v>1367338181.8900001</v>
      </c>
      <c r="AD151" s="96">
        <v>1367338181.8900001</v>
      </c>
      <c r="AE151" s="96">
        <v>1367338181.8900001</v>
      </c>
      <c r="AF151" s="96">
        <v>1401903341.47</v>
      </c>
      <c r="AG151" s="96">
        <v>1391489784.6599998</v>
      </c>
      <c r="AH151" s="97">
        <f t="shared" ref="AH151" si="31">AVERAGE(B151:AG151)</f>
        <v>1369027409.9906449</v>
      </c>
      <c r="AI151" s="97">
        <f>+AO151-AO135</f>
        <v>9046317.3773999959</v>
      </c>
      <c r="AJ151" s="98" t="s">
        <v>144</v>
      </c>
      <c r="AK151" s="101">
        <f>+AH151</f>
        <v>1369027409.9906449</v>
      </c>
      <c r="AL151" s="101">
        <f>+AI151</f>
        <v>9046317.3773999959</v>
      </c>
      <c r="AM151" s="99">
        <f>+AL151/AK151*366/31</f>
        <v>7.8015171655305637E-2</v>
      </c>
      <c r="AO151" s="97">
        <v>80568019.048599988</v>
      </c>
      <c r="AQ151" s="85">
        <v>31</v>
      </c>
      <c r="AR151" s="85" t="s">
        <v>194</v>
      </c>
    </row>
    <row r="152" spans="1:44">
      <c r="A152" s="100" t="s">
        <v>143</v>
      </c>
      <c r="B152" s="96"/>
      <c r="C152" s="96">
        <v>416831906.28999996</v>
      </c>
      <c r="D152" s="96">
        <v>416016247.73999977</v>
      </c>
      <c r="E152" s="96">
        <v>414218628.50999928</v>
      </c>
      <c r="F152" s="96">
        <v>410331552.96000004</v>
      </c>
      <c r="G152" s="96">
        <v>422906510.80000019</v>
      </c>
      <c r="H152" s="96">
        <v>422906510.80000019</v>
      </c>
      <c r="I152" s="96">
        <v>422906510.80000019</v>
      </c>
      <c r="J152" s="96">
        <v>421825170.80000019</v>
      </c>
      <c r="K152" s="96">
        <v>421825170.80000019</v>
      </c>
      <c r="L152" s="96">
        <v>421132570.52000046</v>
      </c>
      <c r="M152" s="96">
        <v>421132570.52000046</v>
      </c>
      <c r="N152" s="96">
        <v>433373803.67000008</v>
      </c>
      <c r="O152" s="96">
        <v>433373803.67000008</v>
      </c>
      <c r="P152" s="96">
        <v>433373803.67000008</v>
      </c>
      <c r="Q152" s="96">
        <v>431986243.14999962</v>
      </c>
      <c r="R152" s="96">
        <v>431779406.4800005</v>
      </c>
      <c r="S152" s="96">
        <v>431782946.4800005</v>
      </c>
      <c r="T152" s="96">
        <v>432762912.1600008</v>
      </c>
      <c r="U152" s="96">
        <v>433562910.69000053</v>
      </c>
      <c r="V152" s="96">
        <v>433562910.69000053</v>
      </c>
      <c r="W152" s="96">
        <v>433562910.69000053</v>
      </c>
      <c r="X152" s="96">
        <v>433562910.69000053</v>
      </c>
      <c r="Y152" s="96">
        <v>446089460.72000027</v>
      </c>
      <c r="Z152" s="96">
        <v>451448283.30999947</v>
      </c>
      <c r="AA152" s="96">
        <v>451400972.07000065</v>
      </c>
      <c r="AB152" s="96">
        <v>451400972.07000065</v>
      </c>
      <c r="AC152" s="96">
        <v>451400972.07000065</v>
      </c>
      <c r="AD152" s="96">
        <v>451400972.07000065</v>
      </c>
      <c r="AE152" s="96">
        <v>450400972.06999969</v>
      </c>
      <c r="AF152" s="96">
        <v>450400972.05999947</v>
      </c>
      <c r="AG152" s="96">
        <v>434983929.27999973</v>
      </c>
      <c r="AH152" s="97">
        <f>AVERAGE(B152:AG152)</f>
        <v>432698239.30000007</v>
      </c>
      <c r="AI152" s="97">
        <f>+AO152-AO136</f>
        <v>3307218.5144999996</v>
      </c>
      <c r="AJ152" s="98" t="s">
        <v>179</v>
      </c>
      <c r="AK152" s="101">
        <f>+AH152</f>
        <v>432698239.30000007</v>
      </c>
      <c r="AL152" s="101">
        <f>+AI152</f>
        <v>3307218.5144999996</v>
      </c>
      <c r="AM152" s="99">
        <f>+AL152/AK152*366/31</f>
        <v>9.0239598450665398E-2</v>
      </c>
      <c r="AO152" s="97">
        <v>43079356.453200005</v>
      </c>
      <c r="AQ152" s="85">
        <v>31</v>
      </c>
      <c r="AR152" s="85" t="s">
        <v>195</v>
      </c>
    </row>
    <row r="153" spans="1:44">
      <c r="A153" s="100" t="s">
        <v>184</v>
      </c>
      <c r="B153" s="96"/>
      <c r="C153" s="96">
        <v>5801073533.1199999</v>
      </c>
      <c r="D153" s="96">
        <v>5763605858</v>
      </c>
      <c r="E153" s="96">
        <v>5765268822.3500004</v>
      </c>
      <c r="F153" s="96">
        <v>5719897092.8400002</v>
      </c>
      <c r="G153" s="96">
        <v>5707119370.3599997</v>
      </c>
      <c r="H153" s="96">
        <v>5707119370.3599997</v>
      </c>
      <c r="I153" s="96">
        <v>5707119370.3599997</v>
      </c>
      <c r="J153" s="96">
        <v>5843512306.7200003</v>
      </c>
      <c r="K153" s="96">
        <v>5818933032.46</v>
      </c>
      <c r="L153" s="96">
        <v>6000035133.96</v>
      </c>
      <c r="M153" s="96">
        <v>6098396875.8800001</v>
      </c>
      <c r="N153" s="96">
        <v>6179402448.5500002</v>
      </c>
      <c r="O153" s="96">
        <v>6179402448.5500002</v>
      </c>
      <c r="P153" s="96">
        <v>6179402448.5500002</v>
      </c>
      <c r="Q153" s="96">
        <v>6142325265.4700003</v>
      </c>
      <c r="R153" s="96">
        <v>6125516149.5699997</v>
      </c>
      <c r="S153" s="96">
        <v>6166836415.7399998</v>
      </c>
      <c r="T153" s="96">
        <v>6135734155.7399998</v>
      </c>
      <c r="U153" s="96">
        <v>6157194338.1599998</v>
      </c>
      <c r="V153" s="96">
        <v>6157194338.1599998</v>
      </c>
      <c r="W153" s="96">
        <v>6157194338.1599998</v>
      </c>
      <c r="X153" s="96">
        <v>6157194338.1599998</v>
      </c>
      <c r="Y153" s="96">
        <v>6138372654.1999998</v>
      </c>
      <c r="Z153" s="96">
        <v>6195394971.6900005</v>
      </c>
      <c r="AA153" s="96">
        <v>6168703956.4099998</v>
      </c>
      <c r="AB153" s="96">
        <v>6168703956.4099998</v>
      </c>
      <c r="AC153" s="96">
        <v>6168703956.4099998</v>
      </c>
      <c r="AD153" s="96">
        <v>6168703956.4099998</v>
      </c>
      <c r="AE153" s="96">
        <v>6157597079.3400002</v>
      </c>
      <c r="AF153" s="96">
        <v>6208515557.1000004</v>
      </c>
      <c r="AG153" s="96">
        <v>6272031070.04</v>
      </c>
      <c r="AH153" s="97">
        <f t="shared" ref="AH153:AH156" si="32">AVERAGE(B153:AG153)</f>
        <v>6042458213.2009697</v>
      </c>
      <c r="AI153" s="97">
        <f>+AO153-AO137</f>
        <v>44611833.037888706</v>
      </c>
      <c r="AJ153" s="98" t="s">
        <v>142</v>
      </c>
      <c r="AK153" s="101">
        <f>AH153</f>
        <v>6042458213.2009697</v>
      </c>
      <c r="AL153" s="101">
        <f>AI153</f>
        <v>44611833.037888706</v>
      </c>
      <c r="AM153" s="99">
        <f>+AL153/AK153*366/31</f>
        <v>8.7167743580593052E-2</v>
      </c>
      <c r="AO153" s="97">
        <v>344311925.75799996</v>
      </c>
      <c r="AQ153" s="85">
        <v>30</v>
      </c>
      <c r="AR153" s="85" t="s">
        <v>196</v>
      </c>
    </row>
    <row r="154" spans="1:44">
      <c r="A154" s="100" t="s">
        <v>185</v>
      </c>
      <c r="B154" s="96"/>
      <c r="C154" s="96">
        <v>533327308.84702498</v>
      </c>
      <c r="D154" s="96">
        <v>534460575.72390002</v>
      </c>
      <c r="E154" s="96">
        <v>529679897.77289993</v>
      </c>
      <c r="F154" s="96">
        <v>531719921.54329985</v>
      </c>
      <c r="G154" s="96">
        <v>543688686.91339993</v>
      </c>
      <c r="H154" s="96">
        <v>543688686.91339993</v>
      </c>
      <c r="I154" s="96">
        <v>543688686.91339993</v>
      </c>
      <c r="J154" s="96">
        <v>541191536.34192491</v>
      </c>
      <c r="K154" s="96">
        <v>543898091.97079992</v>
      </c>
      <c r="L154" s="96">
        <v>545630636.96592486</v>
      </c>
      <c r="M154" s="96">
        <v>548319909.2349999</v>
      </c>
      <c r="N154" s="96">
        <v>547176640.21562481</v>
      </c>
      <c r="O154" s="96">
        <v>547176640.21562481</v>
      </c>
      <c r="P154" s="96">
        <v>547176640.21562481</v>
      </c>
      <c r="Q154" s="96">
        <v>520292180.12274987</v>
      </c>
      <c r="R154" s="96">
        <v>542509335.13524985</v>
      </c>
      <c r="S154" s="96">
        <v>536334594.01112491</v>
      </c>
      <c r="T154" s="96">
        <v>536422007.91024989</v>
      </c>
      <c r="U154" s="96">
        <v>536422007.91024989</v>
      </c>
      <c r="V154" s="96">
        <v>536422007.91024989</v>
      </c>
      <c r="W154" s="96">
        <v>536422007.91024989</v>
      </c>
      <c r="X154" s="96">
        <v>536422007.91024989</v>
      </c>
      <c r="Y154" s="96">
        <v>555782075.88137484</v>
      </c>
      <c r="Z154" s="96">
        <v>556013910.89912486</v>
      </c>
      <c r="AA154" s="96">
        <v>554461951.54804981</v>
      </c>
      <c r="AB154" s="96">
        <v>554461951.54804981</v>
      </c>
      <c r="AC154" s="96">
        <v>554461951.54804981</v>
      </c>
      <c r="AD154" s="96">
        <v>554461951.54804981</v>
      </c>
      <c r="AE154" s="96">
        <v>555697506.55842483</v>
      </c>
      <c r="AF154" s="96">
        <v>559216257.47049987</v>
      </c>
      <c r="AG154" s="96">
        <v>555094759.94987488</v>
      </c>
      <c r="AH154" s="97">
        <f t="shared" si="32"/>
        <v>543926526.63095868</v>
      </c>
      <c r="AI154" s="97">
        <f>AO154-AO138</f>
        <v>4195574.8956000023</v>
      </c>
      <c r="AJ154" s="98" t="s">
        <v>183</v>
      </c>
      <c r="AK154" s="101">
        <f>+AH154+AH155+AH156</f>
        <v>543926526.63095868</v>
      </c>
      <c r="AL154" s="101">
        <f>+AI154+AI155+AI156</f>
        <v>4195574.8956000023</v>
      </c>
      <c r="AM154" s="99">
        <f>+AL154/AK154*360/31</f>
        <v>8.9576078484370561E-2</v>
      </c>
      <c r="AO154" s="101">
        <v>35812729.1457</v>
      </c>
      <c r="AQ154" s="85">
        <v>31</v>
      </c>
      <c r="AR154" s="85" t="s">
        <v>197</v>
      </c>
    </row>
    <row r="155" spans="1:44">
      <c r="A155" s="100" t="s">
        <v>187</v>
      </c>
      <c r="B155" s="96"/>
      <c r="C155" s="96">
        <v>0</v>
      </c>
      <c r="D155" s="96">
        <v>0</v>
      </c>
      <c r="E155" s="96">
        <v>0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96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96">
        <v>0</v>
      </c>
      <c r="S155" s="96">
        <v>0</v>
      </c>
      <c r="T155" s="96">
        <v>0</v>
      </c>
      <c r="U155" s="96">
        <v>0</v>
      </c>
      <c r="V155" s="96">
        <v>0</v>
      </c>
      <c r="W155" s="96">
        <v>0</v>
      </c>
      <c r="X155" s="96">
        <v>0</v>
      </c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6">
        <v>0</v>
      </c>
      <c r="AE155" s="96">
        <v>0</v>
      </c>
      <c r="AF155" s="96">
        <v>0</v>
      </c>
      <c r="AG155" s="96">
        <v>0</v>
      </c>
      <c r="AH155" s="97">
        <f t="shared" si="32"/>
        <v>0</v>
      </c>
      <c r="AI155" s="97">
        <f>AO155-AO139</f>
        <v>0</v>
      </c>
      <c r="AJ155" s="98"/>
      <c r="AK155" s="97"/>
      <c r="AL155" s="97"/>
      <c r="AM155" s="99"/>
      <c r="AO155" s="101"/>
      <c r="AQ155" s="85">
        <v>30</v>
      </c>
      <c r="AR155" s="85" t="s">
        <v>198</v>
      </c>
    </row>
    <row r="156" spans="1:44">
      <c r="A156" s="100" t="s">
        <v>188</v>
      </c>
      <c r="B156" s="96"/>
      <c r="C156" s="96">
        <v>0</v>
      </c>
      <c r="D156" s="96">
        <v>0</v>
      </c>
      <c r="E156" s="96">
        <v>0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96">
        <v>0</v>
      </c>
      <c r="S156" s="96">
        <v>0</v>
      </c>
      <c r="T156" s="96">
        <v>0</v>
      </c>
      <c r="U156" s="96">
        <v>0</v>
      </c>
      <c r="V156" s="96">
        <v>0</v>
      </c>
      <c r="W156" s="96">
        <v>0</v>
      </c>
      <c r="X156" s="96">
        <v>0</v>
      </c>
      <c r="Y156" s="96">
        <v>0</v>
      </c>
      <c r="Z156" s="96">
        <v>0</v>
      </c>
      <c r="AA156" s="96">
        <v>0</v>
      </c>
      <c r="AB156" s="96">
        <v>0</v>
      </c>
      <c r="AC156" s="96">
        <v>0</v>
      </c>
      <c r="AD156" s="96">
        <v>0</v>
      </c>
      <c r="AE156" s="96">
        <v>0</v>
      </c>
      <c r="AF156" s="96">
        <v>0</v>
      </c>
      <c r="AG156" s="96">
        <v>0</v>
      </c>
      <c r="AH156" s="97">
        <f t="shared" si="32"/>
        <v>0</v>
      </c>
      <c r="AI156" s="97">
        <f>+AO156-AO140</f>
        <v>0</v>
      </c>
      <c r="AJ156" s="98" t="s">
        <v>186</v>
      </c>
      <c r="AK156" s="101">
        <v>0</v>
      </c>
      <c r="AL156" s="101">
        <v>0</v>
      </c>
      <c r="AM156" s="99"/>
      <c r="AO156" s="101"/>
      <c r="AQ156" s="85">
        <v>31</v>
      </c>
      <c r="AR156" s="85" t="s">
        <v>199</v>
      </c>
    </row>
    <row r="157" spans="1:44">
      <c r="A157" s="100" t="s">
        <v>189</v>
      </c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7">
        <v>455636883.49000001</v>
      </c>
      <c r="AI157" s="97"/>
      <c r="AJ157" s="98"/>
      <c r="AK157" s="101"/>
      <c r="AL157" s="101"/>
      <c r="AM157" s="99"/>
      <c r="AO157" s="101"/>
    </row>
    <row r="158" spans="1:44">
      <c r="A158" s="100" t="s">
        <v>190</v>
      </c>
      <c r="B158" s="96"/>
      <c r="C158" s="96">
        <v>0</v>
      </c>
      <c r="D158" s="96">
        <v>0</v>
      </c>
      <c r="E158" s="96">
        <v>0</v>
      </c>
      <c r="F158" s="96">
        <v>0</v>
      </c>
      <c r="G158" s="96">
        <v>0</v>
      </c>
      <c r="H158" s="96">
        <v>0</v>
      </c>
      <c r="I158" s="96">
        <v>0</v>
      </c>
      <c r="J158" s="96">
        <v>0</v>
      </c>
      <c r="K158" s="96">
        <v>0</v>
      </c>
      <c r="L158" s="96">
        <v>0</v>
      </c>
      <c r="M158" s="96">
        <v>0</v>
      </c>
      <c r="N158" s="96">
        <v>0</v>
      </c>
      <c r="O158" s="96">
        <v>0</v>
      </c>
      <c r="P158" s="96">
        <v>0</v>
      </c>
      <c r="Q158" s="96">
        <v>0</v>
      </c>
      <c r="R158" s="96">
        <v>0</v>
      </c>
      <c r="S158" s="96">
        <v>0</v>
      </c>
      <c r="T158" s="96">
        <v>0</v>
      </c>
      <c r="U158" s="96">
        <v>0</v>
      </c>
      <c r="V158" s="96">
        <v>0</v>
      </c>
      <c r="W158" s="96">
        <v>0</v>
      </c>
      <c r="X158" s="96">
        <v>0</v>
      </c>
      <c r="Y158" s="96">
        <v>0</v>
      </c>
      <c r="Z158" s="96">
        <v>0</v>
      </c>
      <c r="AA158" s="96">
        <v>0</v>
      </c>
      <c r="AB158" s="96">
        <v>0</v>
      </c>
      <c r="AC158" s="96">
        <v>0</v>
      </c>
      <c r="AD158" s="96">
        <v>0</v>
      </c>
      <c r="AE158" s="96">
        <v>0</v>
      </c>
      <c r="AF158" s="96">
        <v>0</v>
      </c>
      <c r="AG158" s="96">
        <v>0</v>
      </c>
      <c r="AH158" s="97">
        <f>AVERAGE(B158:AG158)</f>
        <v>0</v>
      </c>
      <c r="AI158" s="97"/>
      <c r="AK158" s="101"/>
      <c r="AL158" s="101"/>
      <c r="AM158" s="101"/>
      <c r="AO158" s="101"/>
      <c r="AQ158" s="85">
        <v>31</v>
      </c>
      <c r="AR158" s="85" t="s">
        <v>200</v>
      </c>
    </row>
    <row r="159" spans="1:44">
      <c r="A159" s="105"/>
      <c r="B159" s="105"/>
      <c r="C159" s="105"/>
      <c r="D159" s="105"/>
      <c r="E159" s="105"/>
      <c r="F159" s="105"/>
      <c r="G159" s="105"/>
      <c r="H159" s="105"/>
      <c r="I159" s="105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105"/>
      <c r="AI159" s="97">
        <v>0</v>
      </c>
      <c r="AK159" s="105"/>
      <c r="AL159" s="105"/>
      <c r="AM159" s="106"/>
      <c r="AO159" s="107"/>
      <c r="AQ159" s="85">
        <f>SUM(AQ148:AQ158)</f>
        <v>306</v>
      </c>
    </row>
    <row r="160" spans="1:44">
      <c r="A160" s="108" t="s">
        <v>146</v>
      </c>
      <c r="B160" s="109"/>
      <c r="C160" s="109">
        <v>13953793310.697025</v>
      </c>
      <c r="D160" s="109">
        <v>13943976573.343899</v>
      </c>
      <c r="E160" s="109">
        <v>13923602112.432899</v>
      </c>
      <c r="F160" s="109">
        <v>13932839919.733301</v>
      </c>
      <c r="G160" s="109">
        <v>14017807134.9834</v>
      </c>
      <c r="H160" s="109">
        <v>14017807134.9834</v>
      </c>
      <c r="I160" s="109">
        <v>14017807134.9834</v>
      </c>
      <c r="J160" s="109">
        <v>14202575278.391924</v>
      </c>
      <c r="K160" s="109">
        <v>14196861553.210802</v>
      </c>
      <c r="L160" s="109">
        <v>14351788570.495926</v>
      </c>
      <c r="M160" s="109">
        <v>14423444630.615002</v>
      </c>
      <c r="N160" s="109">
        <v>14516562057.805626</v>
      </c>
      <c r="O160" s="109">
        <v>14516562057.805626</v>
      </c>
      <c r="P160" s="109">
        <v>14516562057.805626</v>
      </c>
      <c r="Q160" s="109">
        <v>14472831339.032749</v>
      </c>
      <c r="R160" s="109">
        <v>14745995913.72525</v>
      </c>
      <c r="S160" s="109">
        <v>14776350032.191126</v>
      </c>
      <c r="T160" s="109">
        <v>14718268865.050249</v>
      </c>
      <c r="U160" s="109">
        <v>14708928352.220251</v>
      </c>
      <c r="V160" s="109">
        <v>14708928352.220251</v>
      </c>
      <c r="W160" s="109">
        <v>14708928352.220251</v>
      </c>
      <c r="X160" s="109">
        <v>14708928352.220251</v>
      </c>
      <c r="Y160" s="109">
        <v>14714022559.411373</v>
      </c>
      <c r="Z160" s="109">
        <v>14750463462.099125</v>
      </c>
      <c r="AA160" s="109">
        <v>14716602869.38805</v>
      </c>
      <c r="AB160" s="109">
        <v>14716602869.38805</v>
      </c>
      <c r="AC160" s="109">
        <v>14716602869.38805</v>
      </c>
      <c r="AD160" s="109">
        <v>14716602869.38805</v>
      </c>
      <c r="AE160" s="109">
        <v>14789343187.068424</v>
      </c>
      <c r="AF160" s="109">
        <v>14848799085.840498</v>
      </c>
      <c r="AG160" s="109">
        <v>14788685485.506544</v>
      </c>
      <c r="AH160" s="109"/>
      <c r="AI160" s="109"/>
      <c r="AK160" s="109">
        <f>SUM(AK148:AK159)</f>
        <v>14478673365.924076</v>
      </c>
      <c r="AL160" s="109">
        <f>SUM(AL147:AL159)</f>
        <v>112201796.57808869</v>
      </c>
      <c r="AM160" s="110">
        <f>+AL160/AK160*366/31</f>
        <v>9.1493540098621304E-2</v>
      </c>
      <c r="AO160" s="111">
        <f>SUM(AO148:AO159)</f>
        <v>1019559820.4891</v>
      </c>
      <c r="AP160" s="86"/>
      <c r="AQ160" s="86"/>
      <c r="AR160" s="86"/>
    </row>
    <row r="161" spans="1:45">
      <c r="A161" s="112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P161" s="86"/>
      <c r="AQ161" s="86"/>
    </row>
    <row r="162" spans="1:45">
      <c r="A162" s="112"/>
      <c r="B162" s="86"/>
      <c r="C162" s="86">
        <f t="shared" ref="C162:AF162" si="33">SUM(C132:C142)</f>
        <v>12501899945.925301</v>
      </c>
      <c r="D162" s="86">
        <f t="shared" si="33"/>
        <v>12501899945.925301</v>
      </c>
      <c r="E162" s="86">
        <f t="shared" si="33"/>
        <v>12501899945.925301</v>
      </c>
      <c r="F162" s="86">
        <f t="shared" si="33"/>
        <v>12486161162.603701</v>
      </c>
      <c r="G162" s="86">
        <f t="shared" si="33"/>
        <v>12428984883.05085</v>
      </c>
      <c r="H162" s="86">
        <f t="shared" si="33"/>
        <v>12407956706.594049</v>
      </c>
      <c r="I162" s="86">
        <f t="shared" si="33"/>
        <v>13037763503.746052</v>
      </c>
      <c r="J162" s="86">
        <f t="shared" si="33"/>
        <v>13086224843.496651</v>
      </c>
      <c r="K162" s="86">
        <f t="shared" si="33"/>
        <v>13086224843.496651</v>
      </c>
      <c r="L162" s="86">
        <f t="shared" si="33"/>
        <v>13086224843.496651</v>
      </c>
      <c r="M162" s="86">
        <f t="shared" si="33"/>
        <v>13189522313.798651</v>
      </c>
      <c r="N162" s="86">
        <f t="shared" si="33"/>
        <v>13217795384.826202</v>
      </c>
      <c r="O162" s="86">
        <f t="shared" si="33"/>
        <v>13235060516.343351</v>
      </c>
      <c r="P162" s="86">
        <f t="shared" si="33"/>
        <v>13352546957.657351</v>
      </c>
      <c r="Q162" s="86">
        <f t="shared" si="33"/>
        <v>13391863631.293449</v>
      </c>
      <c r="R162" s="86">
        <f t="shared" si="33"/>
        <v>13391863631.293449</v>
      </c>
      <c r="S162" s="86">
        <f t="shared" si="33"/>
        <v>13391863631.293449</v>
      </c>
      <c r="T162" s="86">
        <f t="shared" si="33"/>
        <v>13343093726.679701</v>
      </c>
      <c r="U162" s="86">
        <f t="shared" si="33"/>
        <v>13279639250.92635</v>
      </c>
      <c r="V162" s="86">
        <f t="shared" si="33"/>
        <v>13017027803.382351</v>
      </c>
      <c r="W162" s="86">
        <f t="shared" si="33"/>
        <v>13134369133.141001</v>
      </c>
      <c r="X162" s="86">
        <f t="shared" si="33"/>
        <v>13263779499.690552</v>
      </c>
      <c r="Y162" s="86">
        <f t="shared" si="33"/>
        <v>13263779499.690552</v>
      </c>
      <c r="Z162" s="86">
        <f t="shared" si="33"/>
        <v>13263779499.690552</v>
      </c>
      <c r="AA162" s="86">
        <f t="shared" si="33"/>
        <v>13263779499.690552</v>
      </c>
      <c r="AB162" s="86">
        <f t="shared" si="33"/>
        <v>13431513581.20595</v>
      </c>
      <c r="AC162" s="86">
        <f t="shared" si="33"/>
        <v>13430324266.680599</v>
      </c>
      <c r="AD162" s="86">
        <f t="shared" si="33"/>
        <v>13409588835.944601</v>
      </c>
      <c r="AE162" s="86">
        <f t="shared" si="33"/>
        <v>13569413736.188601</v>
      </c>
      <c r="AF162" s="86">
        <f t="shared" si="33"/>
        <v>13938139549.221275</v>
      </c>
      <c r="AG162" s="86">
        <f>SUM(AG148:AG159)</f>
        <v>14788685485.506544</v>
      </c>
      <c r="AH162" s="86"/>
      <c r="AI162" s="86"/>
      <c r="AK162" s="114" t="s">
        <v>172</v>
      </c>
      <c r="AL162" s="114" t="s">
        <v>173</v>
      </c>
      <c r="AM162" s="114" t="s">
        <v>174</v>
      </c>
      <c r="AO162" s="114" t="s">
        <v>175</v>
      </c>
      <c r="AP162" s="86"/>
      <c r="AQ162" s="86"/>
    </row>
    <row r="163" spans="1:45"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98" t="s">
        <v>177</v>
      </c>
      <c r="AK163" s="97">
        <f>(AK4+AK20+AK36+AK52+AK68+AK84+AK100+AK116+AK132+AK148)/10</f>
        <v>3918409452.8239417</v>
      </c>
      <c r="AL163" s="97">
        <f t="shared" ref="AL163:AL168" si="34">AO163</f>
        <v>365249861.07359999</v>
      </c>
      <c r="AM163" s="99">
        <f t="shared" ref="AM163:AM168" si="35">+AL163/AK163/306*366</f>
        <v>0.11149102362876059</v>
      </c>
      <c r="AO163" s="97">
        <v>365249861.07359999</v>
      </c>
      <c r="AQ163" s="85">
        <v>2105215.6342531275</v>
      </c>
      <c r="AS163" s="86">
        <f>AK163/10000000</f>
        <v>391.84094528239416</v>
      </c>
    </row>
    <row r="164" spans="1:45">
      <c r="B164" s="86"/>
      <c r="AH164" s="86"/>
      <c r="AI164" s="86"/>
      <c r="AJ164" s="98" t="s">
        <v>145</v>
      </c>
      <c r="AK164" s="97">
        <f>(AK11+AK27+AK43+AK59+AK69+AK85+AK101+AK117+AK133+AK149)/10</f>
        <v>1680633404.8650062</v>
      </c>
      <c r="AL164" s="101">
        <f t="shared" si="34"/>
        <v>150537929.01000002</v>
      </c>
      <c r="AM164" s="99">
        <f t="shared" si="35"/>
        <v>0.10713530355349302</v>
      </c>
      <c r="AO164" s="97">
        <v>150537929.01000002</v>
      </c>
      <c r="AS164" s="86">
        <f>AK165/10000000</f>
        <v>0</v>
      </c>
    </row>
    <row r="165" spans="1:45">
      <c r="C165" s="86">
        <f t="shared" ref="C165:AF165" si="36">+C144-C162</f>
        <v>0</v>
      </c>
      <c r="D165" s="86">
        <f t="shared" si="36"/>
        <v>0</v>
      </c>
      <c r="E165" s="86">
        <f t="shared" si="36"/>
        <v>0</v>
      </c>
      <c r="F165" s="86">
        <f t="shared" si="36"/>
        <v>0</v>
      </c>
      <c r="G165" s="86">
        <f t="shared" si="36"/>
        <v>0</v>
      </c>
      <c r="H165" s="86">
        <f t="shared" si="36"/>
        <v>0</v>
      </c>
      <c r="I165" s="86">
        <f t="shared" si="36"/>
        <v>0</v>
      </c>
      <c r="J165" s="86">
        <f t="shared" si="36"/>
        <v>0</v>
      </c>
      <c r="K165" s="86">
        <f t="shared" si="36"/>
        <v>0</v>
      </c>
      <c r="L165" s="86">
        <f t="shared" si="36"/>
        <v>0</v>
      </c>
      <c r="M165" s="86">
        <f t="shared" si="36"/>
        <v>0</v>
      </c>
      <c r="N165" s="86">
        <f t="shared" si="36"/>
        <v>0</v>
      </c>
      <c r="O165" s="86">
        <f t="shared" si="36"/>
        <v>0</v>
      </c>
      <c r="P165" s="86">
        <f t="shared" si="36"/>
        <v>0</v>
      </c>
      <c r="Q165" s="86">
        <f t="shared" si="36"/>
        <v>0</v>
      </c>
      <c r="R165" s="86">
        <f t="shared" si="36"/>
        <v>0</v>
      </c>
      <c r="S165" s="86">
        <f t="shared" si="36"/>
        <v>0</v>
      </c>
      <c r="T165" s="86">
        <f t="shared" si="36"/>
        <v>0</v>
      </c>
      <c r="U165" s="86">
        <f t="shared" si="36"/>
        <v>0</v>
      </c>
      <c r="V165" s="86">
        <f t="shared" si="36"/>
        <v>0</v>
      </c>
      <c r="W165" s="86">
        <f t="shared" si="36"/>
        <v>0</v>
      </c>
      <c r="X165" s="86">
        <f t="shared" si="36"/>
        <v>0</v>
      </c>
      <c r="Y165" s="86">
        <f t="shared" si="36"/>
        <v>0</v>
      </c>
      <c r="Z165" s="86">
        <f t="shared" si="36"/>
        <v>0</v>
      </c>
      <c r="AA165" s="86">
        <f t="shared" si="36"/>
        <v>0</v>
      </c>
      <c r="AB165" s="86">
        <f t="shared" si="36"/>
        <v>0</v>
      </c>
      <c r="AC165" s="86">
        <f t="shared" si="36"/>
        <v>0</v>
      </c>
      <c r="AD165" s="86">
        <f t="shared" si="36"/>
        <v>0</v>
      </c>
      <c r="AE165" s="86">
        <f t="shared" si="36"/>
        <v>0</v>
      </c>
      <c r="AF165" s="86">
        <f t="shared" si="36"/>
        <v>0</v>
      </c>
      <c r="AG165" s="86">
        <f>+AG160-AG162</f>
        <v>0</v>
      </c>
      <c r="AH165" s="86"/>
      <c r="AI165" s="86"/>
      <c r="AJ165" s="98" t="s">
        <v>181</v>
      </c>
      <c r="AK165" s="97">
        <f>(AK6+AK22+AK38+AK54+AK70+AK86+AK102+AK118+AK134+AK150)/10</f>
        <v>0</v>
      </c>
      <c r="AL165" s="97">
        <f t="shared" si="34"/>
        <v>0</v>
      </c>
      <c r="AM165" s="99" t="e">
        <f t="shared" si="35"/>
        <v>#DIV/0!</v>
      </c>
      <c r="AO165" s="97">
        <v>0</v>
      </c>
      <c r="AQ165" s="85">
        <v>984016.91788697219</v>
      </c>
      <c r="AR165" s="85">
        <f>+AQ163-AQ165</f>
        <v>1121198.7163661553</v>
      </c>
      <c r="AS165" s="86">
        <f>AK167/10000000</f>
        <v>50.68586068404344</v>
      </c>
    </row>
    <row r="166" spans="1:45">
      <c r="M166" s="115"/>
      <c r="AI166" s="116" t="s">
        <v>201</v>
      </c>
      <c r="AJ166" s="98" t="s">
        <v>144</v>
      </c>
      <c r="AK166" s="97">
        <f>(AK7+AK23+AK39+AK55+AK71+AK87+AK103+AK119+AK135+AK151)/10</f>
        <v>1190984283.529439</v>
      </c>
      <c r="AL166" s="101">
        <f t="shared" si="34"/>
        <v>80568019.048599988</v>
      </c>
      <c r="AM166" s="99">
        <f t="shared" si="35"/>
        <v>8.0912629305961062E-2</v>
      </c>
      <c r="AO166" s="97">
        <v>80568019.048599988</v>
      </c>
      <c r="AS166" s="86">
        <f>AK166/10000000</f>
        <v>119.0984283529439</v>
      </c>
    </row>
    <row r="167" spans="1:45">
      <c r="B167" s="86"/>
      <c r="E167" s="86"/>
      <c r="F167" s="86"/>
      <c r="G167" s="86"/>
      <c r="H167" s="86"/>
      <c r="I167" s="115"/>
      <c r="AH167" s="86"/>
      <c r="AI167" s="117"/>
      <c r="AJ167" s="98" t="s">
        <v>179</v>
      </c>
      <c r="AK167" s="97">
        <f>(AK5+AK21+AK37+AK53+AK72+AK88+AK104+AK120+AK136+AK152)/10</f>
        <v>506858606.84043443</v>
      </c>
      <c r="AL167" s="101">
        <f t="shared" si="34"/>
        <v>43079356.453200005</v>
      </c>
      <c r="AM167" s="99">
        <f t="shared" si="35"/>
        <v>0.10165811213560688</v>
      </c>
      <c r="AO167" s="97">
        <v>43079356.453200005</v>
      </c>
      <c r="AQ167" s="85">
        <v>148365.40438954491</v>
      </c>
      <c r="AS167" s="86">
        <f>AK169/10000000</f>
        <v>55.049874054749488</v>
      </c>
    </row>
    <row r="168" spans="1:45">
      <c r="B168" s="86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H168" s="86"/>
      <c r="AI168" s="117"/>
      <c r="AJ168" s="98" t="s">
        <v>142</v>
      </c>
      <c r="AK168" s="97">
        <f>(AK9+AK25+AK41+AK57+AK73+AK89+AK105+AK121+AK137+AK153)/10</f>
        <v>4818582473.7959309</v>
      </c>
      <c r="AL168" s="101">
        <f t="shared" si="34"/>
        <v>344311925.75799996</v>
      </c>
      <c r="AM168" s="99">
        <f t="shared" si="35"/>
        <v>8.5465812882324257E-2</v>
      </c>
      <c r="AO168" s="97">
        <v>344311925.75799996</v>
      </c>
      <c r="AS168" s="86">
        <f>AK168/10000000</f>
        <v>481.85824737959308</v>
      </c>
    </row>
    <row r="169" spans="1:45">
      <c r="AC169" s="86"/>
      <c r="AF169" s="86"/>
      <c r="AJ169" s="98" t="s">
        <v>183</v>
      </c>
      <c r="AK169" s="97">
        <f>(AK8+AK24+AK40+AK56+AK74+AK90+AK106+AK122+AK138+AK154)/10</f>
        <v>550498740.54749489</v>
      </c>
      <c r="AL169" s="101">
        <f>AO169+AO171</f>
        <v>35812729.1457</v>
      </c>
      <c r="AM169" s="99">
        <f>+AL169/AK169/306*360</f>
        <v>7.6535365880129394E-2</v>
      </c>
      <c r="AO169" s="101">
        <v>35812729.1457</v>
      </c>
      <c r="AS169" s="86">
        <f>AK171/10000000</f>
        <v>0</v>
      </c>
    </row>
    <row r="170" spans="1:45">
      <c r="S170" s="118"/>
      <c r="AE170" s="86"/>
      <c r="AH170" s="86"/>
      <c r="AJ170" s="98"/>
      <c r="AK170" s="97"/>
      <c r="AL170" s="97"/>
      <c r="AM170" s="99"/>
      <c r="AO170" s="101"/>
      <c r="AS170" s="86">
        <f>AK164/10000000</f>
        <v>168.06334048650061</v>
      </c>
    </row>
    <row r="171" spans="1:45"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86"/>
      <c r="AH171" s="86"/>
      <c r="AI171" s="119"/>
      <c r="AJ171" s="98" t="s">
        <v>186</v>
      </c>
      <c r="AK171" s="97">
        <f>(AK10+AK26+AK42+AK58+AK78+AK92+AK108+AK124+AK140+AK156)/10</f>
        <v>0</v>
      </c>
      <c r="AL171" s="101"/>
      <c r="AM171" s="101"/>
      <c r="AO171" s="101">
        <v>0</v>
      </c>
    </row>
    <row r="172" spans="1:45">
      <c r="AG172" s="86"/>
      <c r="AK172" s="101"/>
      <c r="AL172" s="101"/>
      <c r="AM172" s="101"/>
      <c r="AO172" s="101"/>
    </row>
    <row r="173" spans="1:45">
      <c r="AK173" s="105"/>
      <c r="AL173" s="105"/>
      <c r="AM173" s="105"/>
      <c r="AO173" s="97"/>
    </row>
    <row r="174" spans="1:45">
      <c r="AK174" s="109">
        <f>SUM(AK163:AK173)</f>
        <v>12665966962.402246</v>
      </c>
      <c r="AL174" s="109">
        <f>SUM(AL163:AL173)</f>
        <v>1019559820.4891</v>
      </c>
      <c r="AM174" s="110">
        <f>+AL174/AK174/306*366</f>
        <v>9.6279542999044204E-2</v>
      </c>
      <c r="AO174" s="113">
        <f>SUM(AO163:AO173)</f>
        <v>1019559820.4891</v>
      </c>
      <c r="AP174" s="86"/>
      <c r="AR174" s="86"/>
      <c r="AS174" s="86">
        <f>SUM(AS163:AS173)</f>
        <v>1266.5966962402249</v>
      </c>
    </row>
    <row r="176" spans="1:45">
      <c r="AK176" s="119"/>
      <c r="AL176" s="86"/>
      <c r="AO176" s="119"/>
    </row>
    <row r="177" spans="34:42" ht="17.25" customHeight="1">
      <c r="AH177" s="120"/>
      <c r="AL177" s="86"/>
      <c r="AO177" s="86"/>
    </row>
    <row r="178" spans="34:42" ht="18">
      <c r="AH178" s="121"/>
      <c r="AJ178" s="85" t="s">
        <v>202</v>
      </c>
      <c r="AK178" s="119">
        <f>(AH13+AH29+AH45+AH61+AH77+AH93+AH109+AH125+AH141+AH157)/10</f>
        <v>411165657.35578996</v>
      </c>
      <c r="AO178" s="86"/>
    </row>
    <row r="179" spans="34:42">
      <c r="AJ179" s="85" t="s">
        <v>146</v>
      </c>
      <c r="AK179" s="122">
        <f>AK174+AK178</f>
        <v>13077132619.758036</v>
      </c>
      <c r="AO179" s="119"/>
    </row>
    <row r="180" spans="34:42">
      <c r="AJ180" s="85" t="s">
        <v>203</v>
      </c>
      <c r="AK180" s="123">
        <f>AK179/10000000</f>
        <v>1307.7132619758036</v>
      </c>
    </row>
    <row r="181" spans="34:42">
      <c r="AO181" s="86"/>
    </row>
    <row r="183" spans="34:42">
      <c r="AO183" s="86"/>
    </row>
    <row r="184" spans="34:42">
      <c r="AK184" s="85" t="s">
        <v>172</v>
      </c>
      <c r="AL184" s="85" t="s">
        <v>173</v>
      </c>
      <c r="AM184" s="85" t="s">
        <v>174</v>
      </c>
    </row>
    <row r="185" spans="34:42">
      <c r="AH185" s="116" t="s">
        <v>204</v>
      </c>
      <c r="AJ185" s="85" t="s">
        <v>177</v>
      </c>
      <c r="AK185" s="86">
        <f>AK163</f>
        <v>3918409452.8239417</v>
      </c>
      <c r="AL185" s="86">
        <f>AL163</f>
        <v>365249861.07359999</v>
      </c>
      <c r="AM185" s="117">
        <f t="shared" ref="AM185:AM191" si="37">+AL185/AK185/306*366</f>
        <v>0.11149102362876059</v>
      </c>
      <c r="AP185" s="85">
        <v>30</v>
      </c>
    </row>
    <row r="186" spans="34:42" ht="18">
      <c r="AH186" s="121"/>
      <c r="AJ186" s="124" t="s">
        <v>181</v>
      </c>
      <c r="AK186" s="86">
        <f>AK165</f>
        <v>0</v>
      </c>
      <c r="AL186" s="86">
        <f>AL165</f>
        <v>0</v>
      </c>
      <c r="AM186" s="117" t="e">
        <f t="shared" si="37"/>
        <v>#DIV/0!</v>
      </c>
      <c r="AP186" s="85">
        <v>31</v>
      </c>
    </row>
    <row r="187" spans="34:42">
      <c r="AJ187" s="85" t="s">
        <v>179</v>
      </c>
      <c r="AK187" s="86">
        <f>AK167</f>
        <v>506858606.84043443</v>
      </c>
      <c r="AL187" s="86">
        <f>AL167</f>
        <v>43079356.453200005</v>
      </c>
      <c r="AM187" s="117">
        <f t="shared" si="37"/>
        <v>0.10165811213560688</v>
      </c>
      <c r="AP187" s="85">
        <v>30</v>
      </c>
    </row>
    <row r="188" spans="34:42">
      <c r="AJ188" s="85" t="s">
        <v>144</v>
      </c>
      <c r="AK188" s="86">
        <f>AK166</f>
        <v>1190984283.529439</v>
      </c>
      <c r="AL188" s="86">
        <f>AL166</f>
        <v>80568019.048599988</v>
      </c>
      <c r="AM188" s="117">
        <f t="shared" si="37"/>
        <v>8.0912629305961062E-2</v>
      </c>
      <c r="AO188" s="86"/>
      <c r="AP188" s="85">
        <v>31</v>
      </c>
    </row>
    <row r="189" spans="34:42">
      <c r="AJ189" s="98" t="s">
        <v>145</v>
      </c>
      <c r="AK189" s="86">
        <f>AK164</f>
        <v>1680633404.8650062</v>
      </c>
      <c r="AL189" s="86">
        <f>AL164</f>
        <v>150537929.01000002</v>
      </c>
      <c r="AM189" s="117">
        <f t="shared" si="37"/>
        <v>0.10713530355349302</v>
      </c>
      <c r="AO189" s="86"/>
      <c r="AP189" s="85">
        <v>31</v>
      </c>
    </row>
    <row r="190" spans="34:42">
      <c r="AJ190" s="124" t="s">
        <v>142</v>
      </c>
      <c r="AK190" s="86">
        <f>AK168</f>
        <v>4818582473.7959309</v>
      </c>
      <c r="AL190" s="86">
        <f>AL168</f>
        <v>344311925.75799996</v>
      </c>
      <c r="AM190" s="117">
        <f t="shared" si="37"/>
        <v>8.5465812882324257E-2</v>
      </c>
      <c r="AO190" s="86"/>
      <c r="AP190" s="85">
        <v>30</v>
      </c>
    </row>
    <row r="191" spans="34:42">
      <c r="AK191" s="113">
        <f>SUM(AK185:AK190)</f>
        <v>12115468221.854752</v>
      </c>
      <c r="AL191" s="113">
        <f>SUM(AL185:AL190)</f>
        <v>983747091.3434</v>
      </c>
      <c r="AM191" s="125">
        <f t="shared" si="37"/>
        <v>9.7118712734421284E-2</v>
      </c>
      <c r="AP191" s="85">
        <f>SUM(AP185:AP190)</f>
        <v>183</v>
      </c>
    </row>
    <row r="194" spans="34:40" ht="12" customHeight="1">
      <c r="AJ194" s="85" t="s">
        <v>183</v>
      </c>
      <c r="AK194" s="86">
        <f>AK169</f>
        <v>550498740.54749489</v>
      </c>
      <c r="AL194" s="86">
        <f>AL169</f>
        <v>35812729.1457</v>
      </c>
      <c r="AM194" s="125">
        <f>+AL194/AK194/306*360</f>
        <v>7.6535365880129394E-2</v>
      </c>
    </row>
    <row r="195" spans="34:40">
      <c r="AJ195" s="85" t="s">
        <v>186</v>
      </c>
      <c r="AK195" s="86">
        <f>AK171</f>
        <v>0</v>
      </c>
      <c r="AL195" s="86">
        <f>AL171</f>
        <v>0</v>
      </c>
      <c r="AM195" s="117" t="e">
        <f>+AL195/AK195/306*366</f>
        <v>#DIV/0!</v>
      </c>
    </row>
    <row r="196" spans="34:40">
      <c r="AK196" s="113">
        <f>+AK195+AK194</f>
        <v>550498740.54749489</v>
      </c>
      <c r="AL196" s="113">
        <f>+AL195+AL194</f>
        <v>35812729.1457</v>
      </c>
      <c r="AM196" s="125">
        <f>+AL196/AK196/306*360</f>
        <v>7.6535365880129394E-2</v>
      </c>
    </row>
    <row r="199" spans="34:40" ht="12" customHeight="1">
      <c r="AK199" s="86">
        <f>AK191+AK196</f>
        <v>12665966962.402246</v>
      </c>
      <c r="AL199" s="86">
        <f>AL191+AL196</f>
        <v>1019559820.4891</v>
      </c>
      <c r="AM199" s="125">
        <f>+AL199/AK199/306*366</f>
        <v>9.6279542999044204E-2</v>
      </c>
      <c r="AN199" s="119">
        <f>+AM174-AM199</f>
        <v>0</v>
      </c>
    </row>
    <row r="200" spans="34:40">
      <c r="AK200" s="86"/>
      <c r="AL200" s="86"/>
    </row>
    <row r="201" spans="34:40" ht="12" customHeight="1"/>
    <row r="202" spans="34:40" ht="12" customHeight="1">
      <c r="AK202" s="85" t="s">
        <v>172</v>
      </c>
      <c r="AL202" s="85" t="s">
        <v>173</v>
      </c>
      <c r="AM202" s="85" t="s">
        <v>174</v>
      </c>
    </row>
    <row r="203" spans="34:40" ht="12" customHeight="1">
      <c r="AH203" s="116" t="s">
        <v>205</v>
      </c>
      <c r="AJ203" s="85" t="s">
        <v>177</v>
      </c>
      <c r="AK203" s="86">
        <f>AK148</f>
        <v>3803410591.8829036</v>
      </c>
      <c r="AL203" s="86">
        <f>AL148</f>
        <v>30281591.192699969</v>
      </c>
      <c r="AM203" s="126">
        <f t="shared" ref="AM203:AM209" si="38">+AL203/AK203*366/31</f>
        <v>9.3999354669025342E-2</v>
      </c>
    </row>
    <row r="204" spans="34:40" ht="12" customHeight="1">
      <c r="AJ204" s="85" t="s">
        <v>179</v>
      </c>
      <c r="AK204" s="86">
        <f>AK152</f>
        <v>432698239.30000007</v>
      </c>
      <c r="AL204" s="86">
        <f>AL152</f>
        <v>3307218.5144999996</v>
      </c>
      <c r="AM204" s="126">
        <f t="shared" si="38"/>
        <v>9.0239598450665398E-2</v>
      </c>
    </row>
    <row r="205" spans="34:40" ht="12" customHeight="1">
      <c r="AJ205" s="124" t="s">
        <v>181</v>
      </c>
      <c r="AK205" s="86">
        <f>AK150</f>
        <v>0</v>
      </c>
      <c r="AL205" s="86">
        <f>AL150</f>
        <v>0</v>
      </c>
      <c r="AM205" s="126" t="e">
        <f t="shared" si="38"/>
        <v>#DIV/0!</v>
      </c>
    </row>
    <row r="206" spans="34:40" ht="12" customHeight="1">
      <c r="AJ206" s="85" t="s">
        <v>144</v>
      </c>
      <c r="AK206" s="86">
        <f>AK151</f>
        <v>1369027409.9906449</v>
      </c>
      <c r="AL206" s="86">
        <f>AL151</f>
        <v>9046317.3773999959</v>
      </c>
      <c r="AM206" s="126">
        <f t="shared" si="38"/>
        <v>7.8015171655305637E-2</v>
      </c>
    </row>
    <row r="207" spans="34:40" ht="12" customHeight="1">
      <c r="AJ207" s="98" t="s">
        <v>145</v>
      </c>
      <c r="AK207" s="86">
        <f>AK149</f>
        <v>2287152384.918601</v>
      </c>
      <c r="AL207" s="86">
        <f>AL149</f>
        <v>20759261.560000002</v>
      </c>
      <c r="AM207" s="126">
        <f t="shared" si="38"/>
        <v>0.1071608602661885</v>
      </c>
    </row>
    <row r="208" spans="34:40" ht="12" customHeight="1">
      <c r="AJ208" s="124" t="s">
        <v>142</v>
      </c>
      <c r="AK208" s="86">
        <f>AK153</f>
        <v>6042458213.2009697</v>
      </c>
      <c r="AL208" s="86">
        <f>AL153</f>
        <v>44611833.037888706</v>
      </c>
      <c r="AM208" s="126">
        <f t="shared" si="38"/>
        <v>8.7167743580593052E-2</v>
      </c>
    </row>
    <row r="209" spans="34:40" ht="12" customHeight="1">
      <c r="AK209" s="113">
        <f>SUM(AK203:AK208)</f>
        <v>13934746839.293119</v>
      </c>
      <c r="AL209" s="113">
        <f>SUM(AL203:AL208)</f>
        <v>108006221.68248868</v>
      </c>
      <c r="AM209" s="125">
        <f t="shared" si="38"/>
        <v>9.1510111011926257E-2</v>
      </c>
    </row>
    <row r="210" spans="34:40" ht="12" customHeight="1"/>
    <row r="211" spans="34:40" ht="12" customHeight="1"/>
    <row r="212" spans="34:40" ht="12" customHeight="1">
      <c r="AJ212" s="85" t="s">
        <v>183</v>
      </c>
      <c r="AK212" s="86">
        <f>AK154</f>
        <v>543926526.63095868</v>
      </c>
      <c r="AL212" s="86">
        <f>AL154</f>
        <v>4195574.8956000023</v>
      </c>
      <c r="AM212" s="125">
        <f>+AL212/AK212*360/31</f>
        <v>8.9576078484370561E-2</v>
      </c>
    </row>
    <row r="213" spans="34:40" ht="12" customHeight="1">
      <c r="AJ213" s="85" t="s">
        <v>186</v>
      </c>
      <c r="AK213" s="86">
        <f>AK156</f>
        <v>0</v>
      </c>
      <c r="AL213" s="86">
        <f>AL156</f>
        <v>0</v>
      </c>
      <c r="AM213" s="117">
        <v>0</v>
      </c>
    </row>
    <row r="214" spans="34:40" ht="12" customHeight="1">
      <c r="AK214" s="113">
        <f>+AK213+AK212</f>
        <v>543926526.63095868</v>
      </c>
      <c r="AL214" s="113">
        <f>+AL213+AL212</f>
        <v>4195574.8956000023</v>
      </c>
      <c r="AM214" s="125">
        <f>+AL214/AK214*360/31</f>
        <v>8.9576078484370561E-2</v>
      </c>
    </row>
    <row r="215" spans="34:40" ht="12" customHeight="1"/>
    <row r="216" spans="34:40" ht="12" customHeight="1"/>
    <row r="217" spans="34:40" ht="12" customHeight="1">
      <c r="AK217" s="86">
        <f>AK209+AK214</f>
        <v>14478673365.924078</v>
      </c>
      <c r="AL217" s="86">
        <f>AL209+AL214</f>
        <v>112201796.57808869</v>
      </c>
      <c r="AM217" s="125">
        <f>+AL217/AK217*366/31</f>
        <v>9.1493540098621304E-2</v>
      </c>
      <c r="AN217" s="119"/>
    </row>
    <row r="218" spans="34:40" ht="12" customHeight="1"/>
    <row r="219" spans="34:40" ht="12" customHeight="1">
      <c r="AK219" s="86"/>
      <c r="AL219" s="86"/>
    </row>
    <row r="220" spans="34:40" ht="12" customHeight="1"/>
    <row r="221" spans="34:40" ht="12" customHeight="1">
      <c r="AK221" s="86"/>
      <c r="AL221" s="86"/>
    </row>
    <row r="222" spans="34:40" ht="12" customHeight="1"/>
    <row r="223" spans="34:40" ht="12" customHeight="1">
      <c r="AH223" s="121"/>
    </row>
    <row r="224" spans="34:40" ht="12" customHeight="1">
      <c r="AK224" s="86"/>
    </row>
    <row r="225" spans="36:37" ht="12" customHeight="1">
      <c r="AK225" s="86"/>
    </row>
    <row r="226" spans="36:37" ht="12" customHeight="1">
      <c r="AK226" s="86"/>
    </row>
    <row r="227" spans="36:37" ht="12" customHeight="1">
      <c r="AJ227" s="98"/>
      <c r="AK227" s="86"/>
    </row>
    <row r="228" spans="36:37" ht="12" customHeight="1"/>
    <row r="229" spans="36:37" ht="12" customHeight="1"/>
    <row r="230" spans="36:37" ht="12" customHeight="1"/>
    <row r="231" spans="36:37" ht="12" customHeight="1"/>
    <row r="232" spans="36:37" ht="12" customHeight="1"/>
    <row r="233" spans="36:37" ht="12" customHeight="1"/>
    <row r="234" spans="36:37" ht="12" customHeight="1"/>
    <row r="235" spans="36:37" ht="12" customHeight="1"/>
    <row r="236" spans="36:37" ht="12" customHeight="1"/>
    <row r="237" spans="36:37" ht="12" customHeight="1"/>
    <row r="238" spans="36:37" ht="12" customHeight="1"/>
    <row r="239" spans="36:37" ht="12" customHeight="1"/>
    <row r="240" spans="36:37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</sheetData>
  <pageMargins left="0.43" right="0.41" top="0.75" bottom="0.75" header="0.3" footer="0.3"/>
  <pageSetup paperSize="9" orientation="landscape" verticalDpi="26478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A3" sqref="A3:E10"/>
    </sheetView>
  </sheetViews>
  <sheetFormatPr defaultColWidth="8.85546875" defaultRowHeight="14.45"/>
  <cols>
    <col min="1" max="1" width="60.7109375" customWidth="1"/>
    <col min="2" max="5" width="19.140625" customWidth="1"/>
  </cols>
  <sheetData>
    <row r="1" spans="1:5" ht="28.9" customHeight="1">
      <c r="A1" s="199" t="s">
        <v>206</v>
      </c>
      <c r="B1" s="199"/>
      <c r="C1" s="199"/>
      <c r="D1" s="199"/>
      <c r="E1" s="199"/>
    </row>
    <row r="2" spans="1:5" ht="18.600000000000001" thickBot="1">
      <c r="E2" s="139"/>
    </row>
    <row r="3" spans="1:5" ht="51" thickBot="1">
      <c r="A3" s="127" t="s">
        <v>2</v>
      </c>
      <c r="B3" s="127" t="s">
        <v>207</v>
      </c>
      <c r="C3" s="128" t="s">
        <v>4</v>
      </c>
      <c r="D3" s="127" t="s">
        <v>208</v>
      </c>
      <c r="E3" s="127" t="s">
        <v>209</v>
      </c>
    </row>
    <row r="4" spans="1:5" ht="21.6" thickBot="1">
      <c r="A4" s="200" t="s">
        <v>210</v>
      </c>
      <c r="B4" s="201"/>
      <c r="C4" s="201"/>
      <c r="D4" s="201"/>
      <c r="E4" s="202"/>
    </row>
    <row r="5" spans="1:5" ht="21.6" thickBot="1">
      <c r="A5" s="130" t="s">
        <v>140</v>
      </c>
      <c r="B5" s="131">
        <v>11.13</v>
      </c>
      <c r="C5" s="131">
        <v>11.04</v>
      </c>
      <c r="D5" s="131">
        <v>11.34</v>
      </c>
      <c r="E5" s="131">
        <v>11.15</v>
      </c>
    </row>
    <row r="6" spans="1:5" ht="21.6" thickBot="1">
      <c r="A6" s="130" t="s">
        <v>141</v>
      </c>
      <c r="B6" s="131">
        <v>5.23</v>
      </c>
      <c r="C6" s="131">
        <v>5.53</v>
      </c>
      <c r="D6" s="131">
        <v>7.51</v>
      </c>
      <c r="E6" s="131">
        <v>7.65</v>
      </c>
    </row>
    <row r="7" spans="1:5" ht="21.6" thickBot="1">
      <c r="A7" s="130" t="s">
        <v>211</v>
      </c>
      <c r="B7" s="131">
        <v>7.65</v>
      </c>
      <c r="C7" s="144">
        <v>7.7</v>
      </c>
      <c r="D7" s="131">
        <v>8.52</v>
      </c>
      <c r="E7" s="131">
        <v>8.5500000000000007</v>
      </c>
    </row>
    <row r="8" spans="1:5" ht="21.6" thickBot="1">
      <c r="A8" s="130" t="s">
        <v>143</v>
      </c>
      <c r="B8" s="131">
        <v>10.17</v>
      </c>
      <c r="C8" s="131">
        <v>10.16</v>
      </c>
      <c r="D8" s="131">
        <v>10.28</v>
      </c>
      <c r="E8" s="131">
        <v>10.17</v>
      </c>
    </row>
    <row r="9" spans="1:5" ht="21.6" thickBot="1">
      <c r="A9" s="130" t="s">
        <v>182</v>
      </c>
      <c r="B9" s="131">
        <v>6.09</v>
      </c>
      <c r="C9" s="131">
        <v>6.27</v>
      </c>
      <c r="D9" s="131">
        <v>8.1300000000000008</v>
      </c>
      <c r="E9" s="131">
        <v>8.09</v>
      </c>
    </row>
    <row r="10" spans="1:5" ht="21.6" thickBot="1">
      <c r="A10" s="130" t="s">
        <v>145</v>
      </c>
      <c r="B10" s="131">
        <v>10.32</v>
      </c>
      <c r="C10" s="131">
        <v>10.31</v>
      </c>
      <c r="D10" s="131">
        <v>10.71</v>
      </c>
      <c r="E10" s="131">
        <v>10.71</v>
      </c>
    </row>
    <row r="11" spans="1:5" ht="21.6" thickBot="1">
      <c r="A11" s="129"/>
      <c r="B11" s="132"/>
      <c r="C11" s="132"/>
      <c r="D11" s="132"/>
      <c r="E11" s="132"/>
    </row>
    <row r="12" spans="1:5" ht="21.6" thickBot="1">
      <c r="A12" s="133" t="s">
        <v>212</v>
      </c>
      <c r="B12" s="131">
        <v>9.0500000000000007</v>
      </c>
      <c r="C12" s="131">
        <v>9.08</v>
      </c>
      <c r="D12" s="131">
        <v>9.69</v>
      </c>
      <c r="E12" s="131">
        <v>9.6300000000000008</v>
      </c>
    </row>
  </sheetData>
  <mergeCells count="2">
    <mergeCell ref="A1:E1"/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2"/>
  <sheetViews>
    <sheetView topLeftCell="A3" workbookViewId="0">
      <selection activeCell="H22" sqref="H22"/>
    </sheetView>
  </sheetViews>
  <sheetFormatPr defaultColWidth="8.85546875" defaultRowHeight="14.45"/>
  <cols>
    <col min="1" max="1" width="46.7109375" customWidth="1"/>
    <col min="2" max="5" width="19.5703125" customWidth="1"/>
  </cols>
  <sheetData>
    <row r="1" spans="1:5" ht="25.9">
      <c r="A1" s="203" t="s">
        <v>213</v>
      </c>
      <c r="B1" s="203"/>
      <c r="C1" s="203"/>
      <c r="D1" s="203"/>
      <c r="E1" s="203"/>
    </row>
    <row r="2" spans="1:5" ht="18.600000000000001" thickBot="1">
      <c r="E2" s="139"/>
    </row>
    <row r="3" spans="1:5" ht="51" thickBot="1">
      <c r="A3" s="127" t="s">
        <v>2</v>
      </c>
      <c r="B3" s="127" t="s">
        <v>207</v>
      </c>
      <c r="C3" s="128" t="s">
        <v>214</v>
      </c>
      <c r="D3" s="127" t="s">
        <v>208</v>
      </c>
      <c r="E3" s="127" t="s">
        <v>209</v>
      </c>
    </row>
    <row r="4" spans="1:5" ht="21.6" thickBot="1">
      <c r="A4" s="134" t="s">
        <v>215</v>
      </c>
      <c r="B4" s="135"/>
      <c r="C4" s="135"/>
      <c r="D4" s="135"/>
      <c r="E4" s="135"/>
    </row>
    <row r="5" spans="1:5" ht="18.600000000000001" thickBot="1">
      <c r="A5" s="136" t="s">
        <v>216</v>
      </c>
      <c r="B5" s="140">
        <v>41.05</v>
      </c>
      <c r="C5" s="140">
        <v>37.76</v>
      </c>
      <c r="D5" s="140">
        <v>37.35</v>
      </c>
      <c r="E5" s="140">
        <v>36.26</v>
      </c>
    </row>
    <row r="6" spans="1:5" ht="18.600000000000001" thickBot="1">
      <c r="A6" s="136" t="s">
        <v>217</v>
      </c>
      <c r="B6" s="140">
        <v>30.46</v>
      </c>
      <c r="C6" s="140">
        <v>25.66</v>
      </c>
      <c r="D6" s="140">
        <v>28.76</v>
      </c>
      <c r="E6" s="140">
        <v>27.76</v>
      </c>
    </row>
    <row r="7" spans="1:5" ht="18.600000000000001" thickBot="1">
      <c r="A7" s="136"/>
      <c r="B7" s="141"/>
      <c r="C7" s="141"/>
      <c r="D7" s="141"/>
      <c r="E7" s="141"/>
    </row>
    <row r="8" spans="1:5" ht="18.600000000000001" thickBot="1">
      <c r="A8" s="134" t="s">
        <v>218</v>
      </c>
      <c r="B8" s="141"/>
      <c r="C8" s="141"/>
      <c r="D8" s="141"/>
      <c r="E8" s="141"/>
    </row>
    <row r="9" spans="1:5" ht="18.600000000000001" thickBot="1">
      <c r="A9" s="136" t="s">
        <v>219</v>
      </c>
      <c r="B9" s="140">
        <v>9.0500000000000007</v>
      </c>
      <c r="C9" s="140">
        <v>9.08</v>
      </c>
      <c r="D9" s="140">
        <v>9.69</v>
      </c>
      <c r="E9" s="140">
        <v>9.6300000000000008</v>
      </c>
    </row>
    <row r="10" spans="1:5" ht="18.600000000000001" thickBot="1">
      <c r="A10" s="136" t="s">
        <v>220</v>
      </c>
      <c r="B10" s="140">
        <v>5.48</v>
      </c>
      <c r="C10" s="140">
        <v>5.67</v>
      </c>
      <c r="D10" s="140">
        <v>7.09</v>
      </c>
      <c r="E10" s="140">
        <v>7.1</v>
      </c>
    </row>
    <row r="11" spans="1:5" ht="18.600000000000001" thickBot="1">
      <c r="A11" s="136" t="s">
        <v>221</v>
      </c>
      <c r="B11" s="140">
        <v>5.25</v>
      </c>
      <c r="C11" s="140">
        <v>5.05</v>
      </c>
      <c r="D11" s="140">
        <v>5.0199999999999996</v>
      </c>
      <c r="E11" s="140">
        <v>4.95</v>
      </c>
    </row>
    <row r="12" spans="1:5" ht="18.600000000000001" thickBot="1">
      <c r="A12" s="136" t="s">
        <v>222</v>
      </c>
      <c r="B12" s="140">
        <v>3</v>
      </c>
      <c r="C12" s="140">
        <v>2.44</v>
      </c>
      <c r="D12" s="140">
        <v>3</v>
      </c>
      <c r="E12" s="140">
        <v>2.7</v>
      </c>
    </row>
    <row r="13" spans="1:5" ht="18.600000000000001" thickBot="1">
      <c r="A13" s="136" t="s">
        <v>223</v>
      </c>
      <c r="B13" s="140">
        <v>9.1199999999999992</v>
      </c>
      <c r="C13" s="140">
        <v>7.65</v>
      </c>
      <c r="D13" s="140">
        <v>9.6999999999999993</v>
      </c>
      <c r="E13" s="140">
        <v>9.3000000000000007</v>
      </c>
    </row>
    <row r="14" spans="1:5" ht="36.6" thickBot="1">
      <c r="A14" s="136" t="s">
        <v>224</v>
      </c>
      <c r="B14" s="140">
        <v>6.03</v>
      </c>
      <c r="C14" s="140">
        <v>5.31</v>
      </c>
      <c r="D14" s="140">
        <v>5.82</v>
      </c>
      <c r="E14" s="140">
        <v>5.76</v>
      </c>
    </row>
    <row r="15" spans="1:5" ht="18.600000000000001" thickBot="1">
      <c r="A15" s="136" t="s">
        <v>225</v>
      </c>
      <c r="B15" s="140">
        <v>6.28</v>
      </c>
      <c r="C15" s="140">
        <v>6.34</v>
      </c>
      <c r="D15" s="140">
        <v>7.19</v>
      </c>
      <c r="E15" s="140">
        <v>7.19</v>
      </c>
    </row>
    <row r="16" spans="1:5" ht="18.600000000000001" thickBot="1">
      <c r="A16" s="136" t="s">
        <v>226</v>
      </c>
      <c r="B16" s="140">
        <v>43.73</v>
      </c>
      <c r="C16" s="140">
        <v>46.07</v>
      </c>
      <c r="D16" s="140">
        <v>46.99</v>
      </c>
      <c r="E16" s="140">
        <v>47.27</v>
      </c>
    </row>
    <row r="17" spans="1:5" ht="18.600000000000001" thickBot="1">
      <c r="A17" s="137"/>
      <c r="B17" s="142"/>
      <c r="C17" s="142"/>
      <c r="D17" s="142"/>
      <c r="E17" s="142"/>
    </row>
    <row r="18" spans="1:5" ht="20.45" thickBot="1">
      <c r="A18" s="134" t="s">
        <v>227</v>
      </c>
      <c r="B18" s="143"/>
      <c r="C18" s="143"/>
      <c r="D18" s="143"/>
      <c r="E18" s="143"/>
    </row>
    <row r="19" spans="1:5" ht="18.600000000000001" thickBot="1">
      <c r="A19" s="136" t="s">
        <v>228</v>
      </c>
      <c r="B19" s="140">
        <v>2.57</v>
      </c>
      <c r="C19" s="140">
        <v>2.78</v>
      </c>
      <c r="D19" s="140">
        <v>2.83</v>
      </c>
      <c r="E19" s="140">
        <v>3.1</v>
      </c>
    </row>
    <row r="20" spans="1:5" ht="18.600000000000001" thickBot="1">
      <c r="A20" s="136" t="s">
        <v>229</v>
      </c>
      <c r="B20" s="140">
        <v>2.23</v>
      </c>
      <c r="C20" s="140">
        <v>2.0499999999999998</v>
      </c>
      <c r="D20" s="140">
        <v>1.7</v>
      </c>
      <c r="E20" s="140">
        <v>1.68</v>
      </c>
    </row>
    <row r="21" spans="1:5" ht="18.600000000000001" thickBot="1">
      <c r="A21" s="136" t="s">
        <v>230</v>
      </c>
      <c r="B21" s="140">
        <v>39.1</v>
      </c>
      <c r="C21" s="140">
        <v>37.619999999999997</v>
      </c>
      <c r="D21" s="140">
        <v>35.880000000000003</v>
      </c>
      <c r="E21" s="140">
        <v>33.770000000000003</v>
      </c>
    </row>
    <row r="22" spans="1:5" ht="21.6" thickBot="1">
      <c r="A22" s="138"/>
      <c r="B22" s="135"/>
      <c r="C22" s="135"/>
      <c r="D22" s="135"/>
      <c r="E22" s="135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E17"/>
  <sheetViews>
    <sheetView workbookViewId="0">
      <selection activeCell="C6" sqref="C6"/>
    </sheetView>
  </sheetViews>
  <sheetFormatPr defaultRowHeight="14.45"/>
  <cols>
    <col min="1" max="1" width="33.85546875" customWidth="1"/>
    <col min="2" max="6" width="22" customWidth="1"/>
  </cols>
  <sheetData>
    <row r="3" spans="1:5" ht="15" thickBot="1"/>
    <row r="4" spans="1:5" ht="51" thickBot="1">
      <c r="A4" s="127" t="s">
        <v>2</v>
      </c>
      <c r="B4" s="127" t="s">
        <v>207</v>
      </c>
      <c r="C4" s="128" t="s">
        <v>214</v>
      </c>
      <c r="D4" s="127" t="s">
        <v>208</v>
      </c>
      <c r="E4" s="127" t="s">
        <v>209</v>
      </c>
    </row>
    <row r="5" spans="1:5" ht="18.600000000000001" thickBot="1">
      <c r="A5" s="136"/>
      <c r="B5" s="140"/>
      <c r="C5" s="140"/>
      <c r="D5" s="140"/>
      <c r="E5" s="140"/>
    </row>
    <row r="6" spans="1:5" ht="18.600000000000001" thickBot="1">
      <c r="A6" s="136" t="s">
        <v>231</v>
      </c>
      <c r="B6" s="140"/>
      <c r="C6" s="140"/>
      <c r="D6" s="140">
        <f>813.15</f>
        <v>813.15</v>
      </c>
      <c r="E6" s="140">
        <f>941.33</f>
        <v>941.33</v>
      </c>
    </row>
    <row r="7" spans="1:5" ht="18.600000000000001" thickBot="1">
      <c r="A7" s="137" t="s">
        <v>232</v>
      </c>
      <c r="B7" s="140"/>
      <c r="C7" s="140"/>
      <c r="D7" s="145">
        <v>100</v>
      </c>
      <c r="E7" s="145">
        <v>100</v>
      </c>
    </row>
    <row r="8" spans="1:5" ht="18.600000000000001" thickBot="1">
      <c r="A8" s="137" t="s">
        <v>233</v>
      </c>
      <c r="B8" s="140"/>
      <c r="C8" s="140"/>
      <c r="D8" s="145"/>
      <c r="E8" s="145"/>
    </row>
    <row r="9" spans="1:5" ht="18.600000000000001" thickBot="1">
      <c r="A9" s="137" t="s">
        <v>234</v>
      </c>
      <c r="B9" s="140"/>
      <c r="C9" s="140"/>
      <c r="D9" s="145"/>
      <c r="E9" s="145"/>
    </row>
    <row r="10" spans="1:5" ht="18.600000000000001" thickBot="1">
      <c r="A10" s="137" t="s">
        <v>235</v>
      </c>
      <c r="B10" s="140"/>
      <c r="C10" s="140"/>
      <c r="D10" s="145"/>
      <c r="E10" s="145"/>
    </row>
    <row r="11" spans="1:5" ht="18.600000000000001" thickBot="1">
      <c r="A11" s="136"/>
      <c r="B11" s="140"/>
      <c r="C11" s="140"/>
      <c r="D11" s="140"/>
      <c r="E11" s="140"/>
    </row>
    <row r="12" spans="1:5" ht="18.600000000000001" thickBot="1">
      <c r="A12" s="136" t="s">
        <v>236</v>
      </c>
      <c r="B12" s="140"/>
      <c r="C12" s="140"/>
      <c r="D12" s="140">
        <v>56.45</v>
      </c>
      <c r="E12" s="140">
        <v>57.38</v>
      </c>
    </row>
    <row r="13" spans="1:5" ht="18.600000000000001" thickBot="1">
      <c r="A13" s="137" t="s">
        <v>237</v>
      </c>
      <c r="B13" s="140"/>
      <c r="C13" s="140"/>
      <c r="D13" s="140"/>
      <c r="E13" s="140"/>
    </row>
    <row r="14" spans="1:5" ht="18.600000000000001" thickBot="1">
      <c r="A14" s="137" t="s">
        <v>238</v>
      </c>
      <c r="B14" s="140"/>
      <c r="C14" s="140"/>
      <c r="D14" s="140"/>
      <c r="E14" s="140"/>
    </row>
    <row r="15" spans="1:5" ht="18.600000000000001" thickBot="1">
      <c r="A15" s="137" t="s">
        <v>239</v>
      </c>
      <c r="B15" s="140"/>
      <c r="C15" s="140"/>
      <c r="D15" s="140"/>
      <c r="E15" s="140"/>
    </row>
    <row r="16" spans="1:5" ht="18.600000000000001" thickBot="1">
      <c r="A16" s="146"/>
      <c r="B16" s="147"/>
      <c r="C16" s="147"/>
      <c r="D16" s="147"/>
      <c r="E16" s="147"/>
    </row>
    <row r="17" spans="1:5" ht="18.600000000000001" thickBot="1">
      <c r="A17" s="136" t="s">
        <v>240</v>
      </c>
      <c r="B17" s="140"/>
      <c r="C17" s="140"/>
      <c r="D17" s="140">
        <f>+D6+D12</f>
        <v>869.6</v>
      </c>
      <c r="E17" s="140">
        <f>+E6+E12</f>
        <v>998.71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0"/>
  <sheetViews>
    <sheetView zoomScale="85" zoomScaleNormal="85" workbookViewId="0">
      <selection activeCell="A3" sqref="A3:E27"/>
    </sheetView>
  </sheetViews>
  <sheetFormatPr defaultColWidth="8.85546875" defaultRowHeight="14.45"/>
  <cols>
    <col min="1" max="1" width="54.140625" customWidth="1"/>
    <col min="2" max="2" width="11.85546875" bestFit="1" customWidth="1"/>
    <col min="3" max="3" width="12.42578125" bestFit="1" customWidth="1"/>
    <col min="4" max="4" width="11.28515625" customWidth="1"/>
    <col min="5" max="5" width="13.7109375" customWidth="1"/>
    <col min="9" max="9" width="13.28515625" bestFit="1" customWidth="1"/>
    <col min="10" max="10" width="16.42578125" bestFit="1" customWidth="1"/>
    <col min="11" max="11" width="18.5703125" bestFit="1" customWidth="1"/>
  </cols>
  <sheetData>
    <row r="1" spans="1:11" ht="25.15">
      <c r="A1" s="155" t="s">
        <v>21</v>
      </c>
      <c r="B1" s="155"/>
      <c r="C1" s="155"/>
      <c r="D1" s="155"/>
      <c r="E1" s="155"/>
    </row>
    <row r="2" spans="1:11" ht="18.600000000000001" thickBot="1">
      <c r="E2" s="139" t="s">
        <v>1</v>
      </c>
    </row>
    <row r="3" spans="1:11" s="18" customFormat="1" ht="30" customHeight="1">
      <c r="A3" s="158" t="s">
        <v>2</v>
      </c>
      <c r="B3" s="156" t="s">
        <v>22</v>
      </c>
      <c r="C3" s="156" t="s">
        <v>4</v>
      </c>
      <c r="D3" s="156" t="s">
        <v>23</v>
      </c>
      <c r="E3" s="158" t="s">
        <v>24</v>
      </c>
    </row>
    <row r="4" spans="1:11" s="18" customFormat="1" ht="11.25" customHeight="1" thickBot="1">
      <c r="A4" s="159"/>
      <c r="B4" s="157"/>
      <c r="C4" s="160"/>
      <c r="D4" s="157"/>
      <c r="E4" s="159"/>
      <c r="J4" s="19"/>
    </row>
    <row r="5" spans="1:11" ht="15" thickBot="1">
      <c r="A5" s="28" t="s">
        <v>10</v>
      </c>
      <c r="B5" s="29">
        <v>4566.5959007219326</v>
      </c>
      <c r="C5" s="29">
        <v>5544.3429229166031</v>
      </c>
      <c r="D5" s="29">
        <v>5243.0289495159559</v>
      </c>
      <c r="E5" s="31">
        <f>(D5-B5)/B5%</f>
        <v>14.812632067730934</v>
      </c>
      <c r="F5" s="12"/>
    </row>
    <row r="6" spans="1:11" s="34" customFormat="1" ht="26.25" customHeight="1" thickBot="1">
      <c r="A6" s="33" t="s">
        <v>25</v>
      </c>
      <c r="B6" s="29">
        <v>1222.11794529949</v>
      </c>
      <c r="C6" s="29">
        <v>1276.6477031032</v>
      </c>
      <c r="D6" s="29">
        <v>1524.4322368996545</v>
      </c>
      <c r="E6" s="31">
        <f>(D6-B6)/B6%</f>
        <v>24.736916167782805</v>
      </c>
    </row>
    <row r="7" spans="1:11" ht="15" thickBot="1">
      <c r="A7" s="28" t="s">
        <v>26</v>
      </c>
      <c r="B7" s="29">
        <v>1168.8497184222447</v>
      </c>
      <c r="C7" s="29">
        <v>1182</v>
      </c>
      <c r="D7" s="29">
        <v>1307.7132619758036</v>
      </c>
      <c r="E7" s="31">
        <f>(D7-B7)/B7%</f>
        <v>11.880359071395583</v>
      </c>
    </row>
    <row r="8" spans="1:11" ht="15" thickBot="1">
      <c r="A8" s="35" t="s">
        <v>27</v>
      </c>
      <c r="B8" s="31"/>
      <c r="C8" s="29"/>
      <c r="D8" s="31"/>
      <c r="E8" s="35"/>
      <c r="J8" s="11"/>
      <c r="K8" s="11"/>
    </row>
    <row r="9" spans="1:11" ht="20.25" customHeight="1" thickBot="1">
      <c r="A9" s="28" t="s">
        <v>28</v>
      </c>
      <c r="B9" s="31">
        <f>71.96148535411-B13</f>
        <v>70.743743006109995</v>
      </c>
      <c r="C9" s="31">
        <f>86.484989846839-1.217742348</f>
        <v>85.267247498838998</v>
      </c>
      <c r="D9" s="31">
        <v>82.433157435970003</v>
      </c>
      <c r="E9" s="31">
        <f t="shared" ref="E9:E14" si="0">(D9-B9)/B9%</f>
        <v>16.523601852464065</v>
      </c>
      <c r="G9" s="10"/>
      <c r="J9" s="11"/>
      <c r="K9" s="11"/>
    </row>
    <row r="10" spans="1:11" ht="15" thickBot="1">
      <c r="A10" s="28" t="s">
        <v>29</v>
      </c>
      <c r="B10" s="31">
        <v>11.390063936130002</v>
      </c>
      <c r="C10" s="31">
        <v>13.365420937055458</v>
      </c>
      <c r="D10" s="31">
        <v>12.78017494229</v>
      </c>
      <c r="E10" s="31">
        <f t="shared" si="0"/>
        <v>12.204593529545328</v>
      </c>
      <c r="G10" s="10"/>
      <c r="J10" s="11"/>
      <c r="K10" s="11"/>
    </row>
    <row r="11" spans="1:11" ht="15" thickBot="1">
      <c r="A11" s="28" t="s">
        <v>30</v>
      </c>
      <c r="B11" s="31">
        <v>8.9732206770000005</v>
      </c>
      <c r="C11" s="31">
        <v>12.073787719</v>
      </c>
      <c r="D11" s="31">
        <v>15.053792901000001</v>
      </c>
      <c r="E11" s="31">
        <f t="shared" si="0"/>
        <v>67.763542688586895</v>
      </c>
      <c r="G11" s="10"/>
    </row>
    <row r="12" spans="1:11" ht="15" thickBot="1">
      <c r="A12" s="28" t="s">
        <v>31</v>
      </c>
      <c r="B12" s="31">
        <v>9.2402518479999998</v>
      </c>
      <c r="C12" s="31">
        <f>9.540251848</f>
        <v>9.5402518480000005</v>
      </c>
      <c r="D12" s="31">
        <f>(130456016/10^7)-D13</f>
        <v>12.301093815</v>
      </c>
      <c r="E12" s="31">
        <f t="shared" si="0"/>
        <v>33.125092447155559</v>
      </c>
      <c r="G12" s="11"/>
    </row>
    <row r="13" spans="1:11" ht="15" thickBot="1">
      <c r="A13" s="28" t="s">
        <v>32</v>
      </c>
      <c r="B13" s="31">
        <v>1.217742348</v>
      </c>
      <c r="C13" s="31">
        <v>1.217742348</v>
      </c>
      <c r="D13" s="31">
        <f>(2445077.85+2500000+2500000)/10^7</f>
        <v>0.74450778499999992</v>
      </c>
      <c r="E13" s="31">
        <f t="shared" si="0"/>
        <v>-38.861633068541373</v>
      </c>
      <c r="G13" s="11"/>
    </row>
    <row r="14" spans="1:11" ht="15" thickBot="1">
      <c r="A14" s="36" t="s">
        <v>33</v>
      </c>
      <c r="B14" s="31">
        <f>SUM(B9:B13)</f>
        <v>101.56502181524</v>
      </c>
      <c r="C14" s="31">
        <f>SUM(C9:C13)</f>
        <v>121.46445035089445</v>
      </c>
      <c r="D14" s="31">
        <f>SUM(D9:D13)</f>
        <v>123.31272687926</v>
      </c>
      <c r="E14" s="31">
        <f t="shared" si="0"/>
        <v>21.412593307548246</v>
      </c>
      <c r="G14" s="37"/>
    </row>
    <row r="15" spans="1:11" ht="15" thickBot="1">
      <c r="A15" s="35" t="s">
        <v>34</v>
      </c>
      <c r="B15" s="31"/>
      <c r="C15" s="31"/>
      <c r="D15" s="31"/>
      <c r="E15" s="35"/>
    </row>
    <row r="16" spans="1:11" ht="15" thickBot="1">
      <c r="A16" s="28" t="s">
        <v>35</v>
      </c>
      <c r="B16" s="31">
        <f>36.0596330975-0.84091431427</f>
        <v>35.218718783229995</v>
      </c>
      <c r="C16" s="31">
        <f>4392.38093415/100</f>
        <v>43.923809341500004</v>
      </c>
      <c r="D16" s="31">
        <f>5031.323504921/100</f>
        <v>50.31323504921</v>
      </c>
      <c r="E16" s="31">
        <f>(D16-B16)/B16%</f>
        <v>42.859356579341323</v>
      </c>
      <c r="G16" s="11"/>
    </row>
    <row r="17" spans="1:9" ht="15" thickBot="1">
      <c r="A17" s="28" t="s">
        <v>36</v>
      </c>
      <c r="B17" s="31">
        <v>24.654074110780002</v>
      </c>
      <c r="C17" s="31">
        <v>31.679340184019992</v>
      </c>
      <c r="D17" s="31">
        <v>28.286153211620004</v>
      </c>
      <c r="E17" s="31">
        <f>(D17-B17)/B17%</f>
        <v>14.732165907020919</v>
      </c>
      <c r="G17" s="11"/>
      <c r="I17" s="38"/>
    </row>
    <row r="18" spans="1:9" ht="15" thickBot="1">
      <c r="A18" s="36" t="s">
        <v>37</v>
      </c>
      <c r="B18" s="31">
        <f t="shared" ref="B18" si="1">SUM(B16:B17)</f>
        <v>59.872792894009997</v>
      </c>
      <c r="C18" s="31">
        <f>SUM(C16:C17)</f>
        <v>75.603149525519996</v>
      </c>
      <c r="D18" s="31">
        <f>SUM(D16:D17)</f>
        <v>78.599388260830011</v>
      </c>
      <c r="E18" s="31">
        <f>(D18-B18)/B18%</f>
        <v>31.277303866500482</v>
      </c>
    </row>
    <row r="19" spans="1:9" ht="15" thickBot="1">
      <c r="A19" s="36" t="s">
        <v>38</v>
      </c>
      <c r="B19" s="31">
        <f>B14-B18</f>
        <v>41.692228921230004</v>
      </c>
      <c r="C19" s="31">
        <f>C14-C18</f>
        <v>45.861300825374457</v>
      </c>
      <c r="D19" s="31">
        <f>D14-D18</f>
        <v>44.713338618429987</v>
      </c>
      <c r="E19" s="31">
        <f>(D19-B19)/B19%</f>
        <v>7.246217761367058</v>
      </c>
      <c r="G19" s="10"/>
    </row>
    <row r="20" spans="1:9" ht="15" thickBot="1">
      <c r="A20" s="28" t="s">
        <v>39</v>
      </c>
      <c r="B20" s="31">
        <v>1.1692975187400001</v>
      </c>
      <c r="C20" s="31">
        <v>1.5159666252199999</v>
      </c>
      <c r="D20" s="31">
        <f>105.561647545/100</f>
        <v>1.0556164754499999</v>
      </c>
      <c r="E20" s="31">
        <f>(D20-B20)/B20%</f>
        <v>-9.7221657848465668</v>
      </c>
      <c r="F20" s="10"/>
      <c r="G20" s="11"/>
      <c r="H20" s="10"/>
      <c r="I20" s="10"/>
    </row>
    <row r="21" spans="1:9" ht="15" thickBot="1">
      <c r="A21" s="28" t="s">
        <v>40</v>
      </c>
      <c r="B21" s="31">
        <v>40.49051</v>
      </c>
      <c r="C21" s="31">
        <v>52.19</v>
      </c>
      <c r="D21" s="31">
        <v>0</v>
      </c>
      <c r="E21" s="31" t="s">
        <v>13</v>
      </c>
      <c r="G21" s="10"/>
      <c r="H21" s="10"/>
      <c r="I21" s="10"/>
    </row>
    <row r="22" spans="1:9" ht="15" thickBot="1">
      <c r="A22" s="28" t="s">
        <v>41</v>
      </c>
      <c r="B22" s="31">
        <v>0</v>
      </c>
      <c r="C22" s="31">
        <v>0</v>
      </c>
      <c r="D22" s="31">
        <f>1131.3791656/100</f>
        <v>11.313791656000001</v>
      </c>
      <c r="E22" s="31" t="s">
        <v>13</v>
      </c>
    </row>
    <row r="23" spans="1:9" ht="28.15" thickBot="1">
      <c r="A23" s="28" t="s">
        <v>42</v>
      </c>
      <c r="B23" s="31">
        <v>40.979545709000007</v>
      </c>
      <c r="C23" s="31">
        <v>50.98</v>
      </c>
      <c r="D23" s="31">
        <v>0</v>
      </c>
      <c r="E23" s="31" t="s">
        <v>13</v>
      </c>
    </row>
    <row r="24" spans="1:9" ht="15" thickBot="1">
      <c r="A24" s="36" t="s">
        <v>43</v>
      </c>
      <c r="B24" s="31">
        <f>B19+B20-B21-B22+B23</f>
        <v>43.350562148970013</v>
      </c>
      <c r="C24" s="31">
        <f>C19+C20-C21-C22+C23+0.01</f>
        <v>46.177267450594456</v>
      </c>
      <c r="D24" s="31">
        <f>D19+D20-D21-D22+D23</f>
        <v>34.455163437879989</v>
      </c>
      <c r="E24" s="31">
        <f>(D24-B24)/B24%</f>
        <v>-20.519684797908383</v>
      </c>
    </row>
    <row r="25" spans="1:9" ht="15" thickBot="1">
      <c r="A25" s="36" t="s">
        <v>44</v>
      </c>
      <c r="B25" s="31">
        <v>0</v>
      </c>
      <c r="C25" s="31">
        <v>0</v>
      </c>
      <c r="D25" s="31">
        <f>-100.1994348/100</f>
        <v>-1.001994348</v>
      </c>
      <c r="E25" s="31" t="s">
        <v>13</v>
      </c>
      <c r="I25" s="10"/>
    </row>
    <row r="26" spans="1:9" ht="15" thickBot="1">
      <c r="A26" s="36" t="s">
        <v>45</v>
      </c>
      <c r="B26" s="31">
        <v>-12.40962085</v>
      </c>
      <c r="C26" s="31">
        <v>-15</v>
      </c>
      <c r="D26" s="31">
        <f>78.31669778/100</f>
        <v>0.7831669778</v>
      </c>
      <c r="E26" s="31">
        <f>(D26-B26)/B26%</f>
        <v>-106.31096620329058</v>
      </c>
    </row>
    <row r="27" spans="1:9" ht="15" thickBot="1">
      <c r="A27" s="36" t="s">
        <v>46</v>
      </c>
      <c r="B27" s="31">
        <f>B24-B25+B26</f>
        <v>30.940941298970014</v>
      </c>
      <c r="C27" s="31">
        <f>C24-C25+C26-0.01</f>
        <v>31.167267450594455</v>
      </c>
      <c r="D27" s="31">
        <f>D24+D25+D26</f>
        <v>34.236336067679993</v>
      </c>
      <c r="E27" s="31">
        <f>(D27-B27)/B27%</f>
        <v>10.650596363141927</v>
      </c>
    </row>
    <row r="29" spans="1:9">
      <c r="D29" s="11"/>
    </row>
    <row r="30" spans="1:9">
      <c r="D30" s="14"/>
    </row>
  </sheetData>
  <mergeCells count="6">
    <mergeCell ref="A1:E1"/>
    <mergeCell ref="D3:D4"/>
    <mergeCell ref="E3:E4"/>
    <mergeCell ref="C3:C4"/>
    <mergeCell ref="A3:A4"/>
    <mergeCell ref="B3:B4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31"/>
  <sheetViews>
    <sheetView zoomScale="80" zoomScaleNormal="80" workbookViewId="0">
      <selection activeCell="C30" sqref="C30"/>
    </sheetView>
  </sheetViews>
  <sheetFormatPr defaultRowHeight="14.45"/>
  <cols>
    <col min="1" max="1" width="73.7109375" customWidth="1"/>
    <col min="2" max="7" width="13.28515625" customWidth="1"/>
    <col min="8" max="8" width="12.7109375" customWidth="1"/>
    <col min="9" max="14" width="13.28515625" customWidth="1"/>
    <col min="15" max="15" width="15.140625" bestFit="1" customWidth="1"/>
    <col min="18" max="18" width="12.42578125" bestFit="1" customWidth="1"/>
  </cols>
  <sheetData>
    <row r="2" spans="1:18" ht="15" thickBot="1"/>
    <row r="3" spans="1:18" ht="30" customHeight="1">
      <c r="A3" s="163" t="s">
        <v>47</v>
      </c>
      <c r="B3" s="161" t="s">
        <v>48</v>
      </c>
      <c r="C3" s="161" t="s">
        <v>49</v>
      </c>
      <c r="D3" s="161" t="s">
        <v>50</v>
      </c>
      <c r="E3" s="161" t="s">
        <v>51</v>
      </c>
      <c r="F3" s="161" t="s">
        <v>52</v>
      </c>
      <c r="G3" s="161" t="s">
        <v>53</v>
      </c>
      <c r="H3" s="161" t="s">
        <v>54</v>
      </c>
      <c r="I3" s="161" t="s">
        <v>55</v>
      </c>
      <c r="J3" s="161" t="s">
        <v>56</v>
      </c>
      <c r="K3" s="161" t="s">
        <v>57</v>
      </c>
      <c r="L3" s="161" t="s">
        <v>58</v>
      </c>
      <c r="M3" s="161" t="s">
        <v>59</v>
      </c>
      <c r="N3" s="161" t="s">
        <v>60</v>
      </c>
      <c r="O3" s="165" t="s">
        <v>61</v>
      </c>
    </row>
    <row r="4" spans="1:18" ht="15.75" customHeight="1" thickBot="1">
      <c r="A4" s="164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6"/>
    </row>
    <row r="5" spans="1:18" ht="15" thickBot="1">
      <c r="A5" s="5" t="s">
        <v>10</v>
      </c>
      <c r="B5" s="2">
        <v>362.72647415628501</v>
      </c>
      <c r="C5" s="2">
        <v>586.93419809528496</v>
      </c>
      <c r="D5" s="2">
        <v>613.82305778670479</v>
      </c>
      <c r="E5" s="2">
        <f>B5+C5+D5</f>
        <v>1563.4837300382746</v>
      </c>
      <c r="F5" s="2">
        <v>487.83216654733542</v>
      </c>
      <c r="G5" s="2">
        <v>560.72291778312001</v>
      </c>
      <c r="H5" s="2">
        <v>422.72122687005549</v>
      </c>
      <c r="I5" s="2">
        <f>F5+G5+H5</f>
        <v>1471.2763112005109</v>
      </c>
      <c r="J5" s="2">
        <v>455.23806977616414</v>
      </c>
      <c r="K5" s="2">
        <v>534.0464237856454</v>
      </c>
      <c r="L5" s="21">
        <v>624.5822227741055</v>
      </c>
      <c r="M5" s="2">
        <f>J5+K5+L5</f>
        <v>1613.866716335915</v>
      </c>
      <c r="N5" s="2">
        <f>O5-E5-I5-M5</f>
        <v>594.4021919412553</v>
      </c>
      <c r="O5" s="2">
        <f>'MOU '!C5</f>
        <v>5243.0289495159559</v>
      </c>
      <c r="P5" s="12"/>
    </row>
    <row r="6" spans="1:18" ht="15" thickBot="1">
      <c r="A6" s="5" t="s">
        <v>62</v>
      </c>
      <c r="B6" s="2">
        <v>1207</v>
      </c>
      <c r="C6" s="2">
        <v>1234.7516905432801</v>
      </c>
      <c r="D6" s="2">
        <v>1291.0031132235099</v>
      </c>
      <c r="E6" s="4">
        <f>D6</f>
        <v>1291.0031132235099</v>
      </c>
      <c r="F6" s="2">
        <v>1314.8549835708109</v>
      </c>
      <c r="G6" s="2">
        <v>1356.5237398162394</v>
      </c>
      <c r="H6" s="2">
        <v>1193.5167834740826</v>
      </c>
      <c r="I6" s="2">
        <f>H6</f>
        <v>1193.5167834740826</v>
      </c>
      <c r="J6" s="2">
        <v>1170.8680129873976</v>
      </c>
      <c r="K6" s="2">
        <v>1276.9711289159579</v>
      </c>
      <c r="L6" s="2">
        <v>1428.0219798174053</v>
      </c>
      <c r="M6" s="2">
        <f>L6</f>
        <v>1428.0219798174053</v>
      </c>
      <c r="N6" s="2">
        <f>O6</f>
        <v>1524.4322368996545</v>
      </c>
      <c r="O6" s="2">
        <f>'MOU '!C6</f>
        <v>1524.4322368996545</v>
      </c>
    </row>
    <row r="7" spans="1:18" ht="15" thickBot="1">
      <c r="A7" s="6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ht="15" thickBot="1">
      <c r="A8" s="5" t="s">
        <v>63</v>
      </c>
      <c r="B8" s="9">
        <v>7.7747377435777807</v>
      </c>
      <c r="C8" s="9">
        <v>10.54234010287675</v>
      </c>
      <c r="D8" s="9">
        <v>7.621925493073249</v>
      </c>
      <c r="E8" s="9">
        <f t="shared" ref="E8:E11" si="0">B8+C8+D8</f>
        <v>25.93900333952778</v>
      </c>
      <c r="F8" s="9">
        <v>7.4751114122980695</v>
      </c>
      <c r="G8" s="3">
        <v>8.0256480520846267</v>
      </c>
      <c r="H8" s="9">
        <v>8.1546134806836577</v>
      </c>
      <c r="I8" s="9">
        <f t="shared" ref="I8:I11" si="1">F8+G8+H8</f>
        <v>23.655372945066354</v>
      </c>
      <c r="J8" s="3">
        <v>8.3343582487757217</v>
      </c>
      <c r="K8" s="3">
        <v>7.4269863830160077</v>
      </c>
      <c r="L8" s="9">
        <v>8.5558455795852666</v>
      </c>
      <c r="M8" s="9">
        <f t="shared" ref="M8:M11" si="2">J8+K8+L8</f>
        <v>24.317190211376996</v>
      </c>
      <c r="N8" s="9">
        <f t="shared" ref="N8:N12" si="3">O8-E8-I8-M8</f>
        <v>8.5215909399988732</v>
      </c>
      <c r="O8" s="9">
        <f>'MOU '!C8</f>
        <v>82.433157435970003</v>
      </c>
      <c r="Q8" s="11"/>
      <c r="R8" s="14"/>
    </row>
    <row r="9" spans="1:18" ht="15" thickBot="1">
      <c r="A9" s="1" t="s">
        <v>29</v>
      </c>
      <c r="B9" s="9">
        <v>0.90000682507803154</v>
      </c>
      <c r="C9" s="9">
        <v>1.1365548415672424</v>
      </c>
      <c r="D9" s="9">
        <v>1.3106948086411099</v>
      </c>
      <c r="E9" s="9">
        <f t="shared" si="0"/>
        <v>3.3472564752863838</v>
      </c>
      <c r="F9" s="9">
        <v>1.7429560168215112</v>
      </c>
      <c r="G9" s="3">
        <v>1.7213381364746745</v>
      </c>
      <c r="H9" s="9">
        <v>1.2031108417527707</v>
      </c>
      <c r="I9" s="9">
        <f>F9+G9+H9</f>
        <v>4.6674049950489565</v>
      </c>
      <c r="J9" s="3">
        <v>0.98005584511538046</v>
      </c>
      <c r="K9" s="3">
        <v>1.2462738980949961</v>
      </c>
      <c r="L9" s="9">
        <v>1.2750401022442812</v>
      </c>
      <c r="M9" s="9">
        <f t="shared" si="2"/>
        <v>3.5013698454546578</v>
      </c>
      <c r="N9" s="9">
        <f t="shared" si="3"/>
        <v>1.264143626500001</v>
      </c>
      <c r="O9" s="9">
        <f>'MOU '!C9</f>
        <v>12.78017494229</v>
      </c>
      <c r="Q9" s="11"/>
      <c r="R9" s="14"/>
    </row>
    <row r="10" spans="1:18" ht="15" thickBot="1">
      <c r="A10" s="5" t="s">
        <v>30</v>
      </c>
      <c r="B10" s="9">
        <v>1.6092596426000001</v>
      </c>
      <c r="C10" s="9">
        <v>1.6680700823999999</v>
      </c>
      <c r="D10" s="9">
        <v>1.4861015180000003</v>
      </c>
      <c r="E10" s="9">
        <f t="shared" si="0"/>
        <v>4.7634312430000003</v>
      </c>
      <c r="F10" s="9">
        <v>1.6073260529999995</v>
      </c>
      <c r="G10" s="3">
        <v>1.4123789760000003</v>
      </c>
      <c r="H10" s="9">
        <v>1.3624635100000013</v>
      </c>
      <c r="I10" s="9">
        <f t="shared" si="1"/>
        <v>4.3821685390000011</v>
      </c>
      <c r="J10" s="3">
        <v>1.1120872520000002</v>
      </c>
      <c r="K10" s="3">
        <v>1.2256526720000007</v>
      </c>
      <c r="L10" s="9">
        <v>1.4955991029999973</v>
      </c>
      <c r="M10" s="9">
        <f t="shared" si="2"/>
        <v>3.8333390269999983</v>
      </c>
      <c r="N10" s="9">
        <f t="shared" si="3"/>
        <v>2.0748540920000025</v>
      </c>
      <c r="O10" s="9">
        <f>'MOU '!C10</f>
        <v>15.053792901000001</v>
      </c>
      <c r="Q10" s="11"/>
      <c r="R10" s="14"/>
    </row>
    <row r="11" spans="1:18" ht="15" thickBot="1">
      <c r="A11" s="1" t="s">
        <v>64</v>
      </c>
      <c r="B11" s="9">
        <v>0.2</v>
      </c>
      <c r="C11" s="9">
        <v>0.2</v>
      </c>
      <c r="D11" s="9">
        <v>0</v>
      </c>
      <c r="E11" s="9">
        <f t="shared" si="0"/>
        <v>0.4</v>
      </c>
      <c r="F11" s="9">
        <v>11.070000000000002</v>
      </c>
      <c r="G11" s="3">
        <v>0</v>
      </c>
      <c r="H11" s="9">
        <v>-1.7763568394002505E-15</v>
      </c>
      <c r="I11" s="9">
        <f t="shared" si="1"/>
        <v>11.07</v>
      </c>
      <c r="J11" s="3">
        <v>0.7554922150000003</v>
      </c>
      <c r="K11" s="3">
        <v>7.5601599999998825E-2</v>
      </c>
      <c r="L11" s="9">
        <v>0</v>
      </c>
      <c r="M11" s="9">
        <f t="shared" si="2"/>
        <v>0.83109381499999913</v>
      </c>
      <c r="N11" s="9">
        <f t="shared" si="3"/>
        <v>0</v>
      </c>
      <c r="O11" s="9">
        <f>'MOU '!C11</f>
        <v>12.301093815</v>
      </c>
      <c r="P11" s="14"/>
      <c r="Q11" s="11"/>
      <c r="R11" s="14"/>
    </row>
    <row r="12" spans="1:18" ht="15" thickBot="1">
      <c r="A12" s="1" t="s">
        <v>65</v>
      </c>
      <c r="B12" s="9"/>
      <c r="C12" s="9"/>
      <c r="D12" s="9"/>
      <c r="E12" s="9"/>
      <c r="F12" s="9"/>
      <c r="G12" s="3"/>
      <c r="H12" s="9"/>
      <c r="I12" s="9"/>
      <c r="J12" s="3"/>
      <c r="K12" s="9">
        <f>(2445077.85)/10^7</f>
        <v>0.24450778500000001</v>
      </c>
      <c r="L12" s="9">
        <v>0.25</v>
      </c>
      <c r="M12" s="9">
        <f>J12+K12+L12</f>
        <v>0.49450778500000003</v>
      </c>
      <c r="N12" s="9">
        <f t="shared" si="3"/>
        <v>0.24999999999999989</v>
      </c>
      <c r="O12" s="9">
        <f>'Financial Highlights'!D13</f>
        <v>0.74450778499999992</v>
      </c>
      <c r="P12" s="14"/>
      <c r="Q12" s="11"/>
      <c r="R12" s="14"/>
    </row>
    <row r="13" spans="1:18" ht="15" thickBot="1">
      <c r="A13" s="7" t="s">
        <v>66</v>
      </c>
      <c r="B13" s="3">
        <f t="shared" ref="B13:H13" si="4">SUM(B8:B11)</f>
        <v>10.484004211255812</v>
      </c>
      <c r="C13" s="3">
        <f t="shared" si="4"/>
        <v>13.546965026843992</v>
      </c>
      <c r="D13" s="3">
        <f t="shared" si="4"/>
        <v>10.418721819714358</v>
      </c>
      <c r="E13" s="3">
        <f t="shared" si="4"/>
        <v>34.449691057814164</v>
      </c>
      <c r="F13" s="3">
        <f>SUM(F8:F11)</f>
        <v>21.89539348211958</v>
      </c>
      <c r="G13" s="3">
        <f t="shared" si="4"/>
        <v>11.159365164559301</v>
      </c>
      <c r="H13" s="3">
        <f t="shared" si="4"/>
        <v>10.720187832436428</v>
      </c>
      <c r="I13" s="9">
        <f>F13+G13+H13</f>
        <v>43.774946479115307</v>
      </c>
      <c r="J13" s="3">
        <f>SUM(J8:J11)</f>
        <v>11.181993560891103</v>
      </c>
      <c r="K13" s="3">
        <f>SUM(K8:K11)</f>
        <v>9.9745145531110033</v>
      </c>
      <c r="L13" s="3">
        <f>SUM(L8:L12)</f>
        <v>11.576484784829546</v>
      </c>
      <c r="M13" s="3">
        <f>SUM(M8:M12)</f>
        <v>32.977500683831657</v>
      </c>
      <c r="N13" s="3">
        <f>SUM(N8:N12)</f>
        <v>12.110588658498877</v>
      </c>
      <c r="O13" s="3">
        <f>SUM(O8:O12)</f>
        <v>123.31272687926</v>
      </c>
    </row>
    <row r="14" spans="1:18" ht="15" thickBot="1">
      <c r="A14" s="8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8" ht="15" thickBot="1">
      <c r="A15" s="6" t="s">
        <v>67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 ht="15" thickBot="1">
      <c r="A16" s="5" t="s">
        <v>68</v>
      </c>
      <c r="B16" s="9">
        <v>4.8494334756999997</v>
      </c>
      <c r="C16" s="9">
        <v>4.8990365577000015</v>
      </c>
      <c r="D16" s="9">
        <v>4.7255193051399997</v>
      </c>
      <c r="E16" s="9">
        <f t="shared" ref="E16:E17" si="5">B16+C16+D16</f>
        <v>14.473989338540001</v>
      </c>
      <c r="F16" s="9">
        <v>5.1570851802000002</v>
      </c>
      <c r="G16" s="3">
        <v>5.4096138597299968</v>
      </c>
      <c r="H16" s="9">
        <v>4.7769531003000028</v>
      </c>
      <c r="I16" s="9">
        <f>F16+G16+H16</f>
        <v>15.343652140229999</v>
      </c>
      <c r="J16" s="3">
        <v>4.4699773121799993</v>
      </c>
      <c r="K16" s="3">
        <v>4.6376518315099986</v>
      </c>
      <c r="L16" s="9">
        <v>5.3327215416599998</v>
      </c>
      <c r="M16" s="9">
        <f t="shared" ref="M16:M17" si="6">J16+K16+L16</f>
        <v>14.440350685349998</v>
      </c>
      <c r="N16" s="9">
        <f t="shared" ref="N16:N17" si="7">O16-E16-I16-M16</f>
        <v>6.0552428850900029</v>
      </c>
      <c r="O16" s="9">
        <f>'MOU '!C15</f>
        <v>50.31323504921</v>
      </c>
      <c r="R16" s="10"/>
    </row>
    <row r="17" spans="1:19" ht="15" thickBot="1">
      <c r="A17" s="5" t="s">
        <v>36</v>
      </c>
      <c r="B17" s="9">
        <v>2.3901082763999999</v>
      </c>
      <c r="C17" s="9">
        <v>2.3978131547600001</v>
      </c>
      <c r="D17" s="9">
        <v>2.9031746684300006</v>
      </c>
      <c r="E17" s="9">
        <f t="shared" si="5"/>
        <v>7.6910960995900002</v>
      </c>
      <c r="F17" s="9">
        <v>3.0508444674200015</v>
      </c>
      <c r="G17" s="3">
        <v>2.7988911460899977</v>
      </c>
      <c r="H17" s="9">
        <v>3.0503488670899999</v>
      </c>
      <c r="I17" s="9">
        <f t="shared" ref="I17" si="8">F17+G17+H17</f>
        <v>8.9000844805999986</v>
      </c>
      <c r="J17" s="3">
        <v>2.82863401997</v>
      </c>
      <c r="K17" s="3">
        <v>3.0875898370900039</v>
      </c>
      <c r="L17" s="9">
        <v>2.9074566228500007</v>
      </c>
      <c r="M17" s="9">
        <f t="shared" si="6"/>
        <v>8.8236804799100046</v>
      </c>
      <c r="N17" s="9">
        <f t="shared" si="7"/>
        <v>2.8712921515200023</v>
      </c>
      <c r="O17" s="9">
        <f>'MOU '!C16</f>
        <v>28.286153211620004</v>
      </c>
      <c r="R17" s="10"/>
    </row>
    <row r="18" spans="1:19" ht="15" thickBot="1">
      <c r="A18" s="7" t="s">
        <v>69</v>
      </c>
      <c r="B18" s="4">
        <f t="shared" ref="B18:O18" si="9">SUM(B16:B17)</f>
        <v>7.2395417520999992</v>
      </c>
      <c r="C18" s="4">
        <f t="shared" si="9"/>
        <v>7.296849712460002</v>
      </c>
      <c r="D18" s="4">
        <f>SUM(D16:D17)</f>
        <v>7.6286939735699999</v>
      </c>
      <c r="E18" s="4">
        <f>SUM(E16:E17)</f>
        <v>22.165085438129999</v>
      </c>
      <c r="F18" s="4">
        <f>SUM(F16:F17)</f>
        <v>8.2079296476200021</v>
      </c>
      <c r="G18" s="4">
        <f>SUM(G16:G17)</f>
        <v>8.208505005819994</v>
      </c>
      <c r="H18" s="4">
        <f>SUM(H16:H17)</f>
        <v>7.8273019673900031</v>
      </c>
      <c r="I18" s="9">
        <f t="shared" ref="I18:I27" si="10">F18+G18+H18</f>
        <v>24.243736620829999</v>
      </c>
      <c r="J18" s="4">
        <f>SUM(J16:J17)</f>
        <v>7.2986113321499992</v>
      </c>
      <c r="K18" s="4">
        <f t="shared" si="9"/>
        <v>7.7252416686000025</v>
      </c>
      <c r="L18" s="4">
        <f t="shared" si="9"/>
        <v>8.2401781645100005</v>
      </c>
      <c r="M18" s="4">
        <f t="shared" ref="M18:N18" si="11">SUM(M16:M17)</f>
        <v>23.26403116526</v>
      </c>
      <c r="N18" s="4">
        <f t="shared" si="11"/>
        <v>8.9265350366100051</v>
      </c>
      <c r="O18" s="4">
        <f t="shared" si="9"/>
        <v>78.599388260830011</v>
      </c>
      <c r="P18" s="14"/>
    </row>
    <row r="19" spans="1:19" ht="15" thickBot="1">
      <c r="A19" s="7" t="s">
        <v>70</v>
      </c>
      <c r="B19" s="9">
        <f t="shared" ref="B19:C19" si="12">B13-B18</f>
        <v>3.2444624591558124</v>
      </c>
      <c r="C19" s="9">
        <f t="shared" si="12"/>
        <v>6.25011531438399</v>
      </c>
      <c r="D19" s="9">
        <f t="shared" ref="D19:O19" si="13">D13-D18</f>
        <v>2.7900278461443584</v>
      </c>
      <c r="E19" s="9">
        <f t="shared" si="13"/>
        <v>12.284605619684164</v>
      </c>
      <c r="F19" s="9">
        <f t="shared" si="13"/>
        <v>13.687463834499578</v>
      </c>
      <c r="G19" s="9">
        <f t="shared" si="13"/>
        <v>2.9508601587393066</v>
      </c>
      <c r="H19" s="9">
        <f>H13-H18</f>
        <v>2.8928858650464253</v>
      </c>
      <c r="I19" s="9">
        <f t="shared" si="10"/>
        <v>19.531209858285308</v>
      </c>
      <c r="J19" s="3">
        <f>J13-J18</f>
        <v>3.8833822287411035</v>
      </c>
      <c r="K19" s="3">
        <f t="shared" si="13"/>
        <v>2.2492728845110008</v>
      </c>
      <c r="L19" s="3">
        <f>L13-L18</f>
        <v>3.3363066203195455</v>
      </c>
      <c r="M19" s="3">
        <f t="shared" ref="M19:N19" si="14">M13-M18</f>
        <v>9.7134695185716566</v>
      </c>
      <c r="N19" s="3">
        <f t="shared" si="14"/>
        <v>3.1840536218888715</v>
      </c>
      <c r="O19" s="3">
        <f t="shared" si="13"/>
        <v>44.713338618429987</v>
      </c>
    </row>
    <row r="20" spans="1:19" ht="15" thickBot="1">
      <c r="A20" s="1" t="s">
        <v>39</v>
      </c>
      <c r="B20" s="9">
        <v>0.16076647483999998</v>
      </c>
      <c r="C20" s="9">
        <v>0.13773588</v>
      </c>
      <c r="D20" s="9">
        <v>0.11773635711</v>
      </c>
      <c r="E20" s="9">
        <f t="shared" ref="E20:E21" si="15">B20+C20+D20</f>
        <v>0.41623871194999995</v>
      </c>
      <c r="F20" s="9">
        <v>7.728106131000001E-2</v>
      </c>
      <c r="G20" s="3">
        <v>7.9760894910000019E-2</v>
      </c>
      <c r="H20" s="9">
        <v>9.8173354279999986E-2</v>
      </c>
      <c r="I20" s="9">
        <f t="shared" si="10"/>
        <v>0.25521531050000001</v>
      </c>
      <c r="J20" s="3">
        <v>0.104422719</v>
      </c>
      <c r="K20" s="3">
        <v>9.8765091000000083E-2</v>
      </c>
      <c r="L20" s="9">
        <v>0.11351750815999984</v>
      </c>
      <c r="M20" s="9">
        <f t="shared" ref="M20:M26" si="16">J20+K20+L20</f>
        <v>0.31670531815999992</v>
      </c>
      <c r="N20" s="9">
        <f t="shared" ref="N20:N26" si="17">O20-E20-I20-M20</f>
        <v>6.7457134840000044E-2</v>
      </c>
      <c r="O20" s="9">
        <f>'MOU '!C19</f>
        <v>1.0556164754499999</v>
      </c>
      <c r="Q20" s="10"/>
    </row>
    <row r="21" spans="1:19" ht="15" thickBot="1">
      <c r="A21" s="1" t="s">
        <v>71</v>
      </c>
      <c r="B21" s="9">
        <v>0</v>
      </c>
      <c r="C21" s="9">
        <v>0</v>
      </c>
      <c r="D21" s="9">
        <f>O21-B21-C21</f>
        <v>0</v>
      </c>
      <c r="E21" s="9">
        <f t="shared" si="15"/>
        <v>0</v>
      </c>
      <c r="F21" s="9">
        <v>0</v>
      </c>
      <c r="G21" s="2">
        <v>0</v>
      </c>
      <c r="H21" s="9">
        <v>0</v>
      </c>
      <c r="I21" s="9">
        <f t="shared" si="10"/>
        <v>0</v>
      </c>
      <c r="J21" s="3">
        <v>0</v>
      </c>
      <c r="K21" s="3">
        <v>0</v>
      </c>
      <c r="L21" s="9">
        <f t="shared" ref="L21" si="18">O21-E21-I21-J21-K21</f>
        <v>0</v>
      </c>
      <c r="M21" s="9">
        <f t="shared" si="16"/>
        <v>0</v>
      </c>
      <c r="N21" s="9">
        <f t="shared" si="17"/>
        <v>0</v>
      </c>
      <c r="O21" s="9">
        <f>'MOU '!C20</f>
        <v>0</v>
      </c>
    </row>
    <row r="22" spans="1:19" ht="15" thickBot="1">
      <c r="A22" s="1" t="s">
        <v>72</v>
      </c>
      <c r="B22" s="9">
        <v>1.14525104</v>
      </c>
      <c r="C22" s="9">
        <v>0</v>
      </c>
      <c r="D22" s="9">
        <v>0.54474895999999995</v>
      </c>
      <c r="E22" s="9">
        <f>B22+C22+D22</f>
        <v>1.69</v>
      </c>
      <c r="F22" s="9">
        <v>0</v>
      </c>
      <c r="G22" s="9">
        <v>6.7779026</v>
      </c>
      <c r="H22" s="9">
        <v>1.5577340000012541E-3</v>
      </c>
      <c r="I22" s="9">
        <f t="shared" si="10"/>
        <v>6.7794603340000013</v>
      </c>
      <c r="J22" s="3">
        <v>6.0000004964422301E-9</v>
      </c>
      <c r="K22" s="3">
        <v>2.4108213999999997</v>
      </c>
      <c r="L22" s="9">
        <v>1.2549028</v>
      </c>
      <c r="M22" s="9">
        <f t="shared" si="16"/>
        <v>3.6657242060000002</v>
      </c>
      <c r="N22" s="9">
        <f>O22-E22-I22-M22</f>
        <v>0</v>
      </c>
      <c r="O22" s="9">
        <f>121351845.4/10^7</f>
        <v>12.135184540000001</v>
      </c>
      <c r="Q22" s="14"/>
      <c r="R22" s="14"/>
    </row>
    <row r="23" spans="1:19" ht="15" thickBot="1">
      <c r="A23" s="1" t="s">
        <v>73</v>
      </c>
      <c r="B23" s="9"/>
      <c r="C23" s="9"/>
      <c r="D23" s="9"/>
      <c r="E23" s="9">
        <f>B23+C23+D23</f>
        <v>0</v>
      </c>
      <c r="F23" s="9">
        <v>9.0794237000000111E-2</v>
      </c>
      <c r="G23" s="3">
        <v>6.0650084999999999E-2</v>
      </c>
      <c r="H23" s="9">
        <v>0.6497686399999999</v>
      </c>
      <c r="I23" s="9">
        <f t="shared" si="10"/>
        <v>0.80121296200000003</v>
      </c>
      <c r="J23" s="3">
        <v>1.1251957000000035E-2</v>
      </c>
      <c r="K23" s="3">
        <v>9.0015649999999336E-3</v>
      </c>
      <c r="L23" s="9">
        <v>0</v>
      </c>
      <c r="M23" s="9">
        <f t="shared" si="16"/>
        <v>2.0253521999999968E-2</v>
      </c>
      <c r="N23" s="9">
        <f t="shared" si="17"/>
        <v>0</v>
      </c>
      <c r="O23" s="9">
        <f>8214664.84/10^7</f>
        <v>0.821466484</v>
      </c>
      <c r="Q23" s="14"/>
      <c r="R23" s="10"/>
    </row>
    <row r="24" spans="1:19" ht="15" thickBot="1">
      <c r="A24" s="7" t="s">
        <v>74</v>
      </c>
      <c r="B24" s="9">
        <f t="shared" ref="B24:C24" si="19">B19+B20-B21-B22+B23</f>
        <v>2.2599778939958126</v>
      </c>
      <c r="C24" s="9">
        <f t="shared" si="19"/>
        <v>6.3878511943839902</v>
      </c>
      <c r="D24" s="9">
        <f>D19+D20-D21-D22+D23</f>
        <v>2.3630152432543587</v>
      </c>
      <c r="E24" s="9">
        <f>E19+E20-E21-E22+E23</f>
        <v>11.010844331634164</v>
      </c>
      <c r="F24" s="9">
        <f>F19+F20-F21-F22+F23</f>
        <v>13.855539132809579</v>
      </c>
      <c r="G24" s="9">
        <f>G19+G20-G21-G22+G23</f>
        <v>-3.6866314613506934</v>
      </c>
      <c r="H24" s="9">
        <f>H19+H20-H21-H22+H23</f>
        <v>3.6392701253264241</v>
      </c>
      <c r="I24" s="9">
        <f t="shared" si="10"/>
        <v>13.80817779678531</v>
      </c>
      <c r="J24" s="9">
        <f t="shared" ref="J24:O24" si="20">J19+J20-J21-J22+J23</f>
        <v>3.9990568987411033</v>
      </c>
      <c r="K24" s="22">
        <f t="shared" si="20"/>
        <v>-5.3781859488998718E-2</v>
      </c>
      <c r="L24" s="22">
        <f t="shared" si="20"/>
        <v>2.1949213284795452</v>
      </c>
      <c r="M24" s="22">
        <f t="shared" si="20"/>
        <v>6.3847041527316568</v>
      </c>
      <c r="N24" s="22">
        <f t="shared" si="20"/>
        <v>3.2515107567288717</v>
      </c>
      <c r="O24" s="9">
        <f t="shared" si="20"/>
        <v>34.455237037879982</v>
      </c>
      <c r="Q24" s="14"/>
    </row>
    <row r="25" spans="1:19" ht="15" thickBot="1">
      <c r="A25" s="7" t="s">
        <v>75</v>
      </c>
      <c r="B25" s="9">
        <v>0</v>
      </c>
      <c r="C25" s="9">
        <v>0</v>
      </c>
      <c r="D25" s="9">
        <v>-2.2000000000000002</v>
      </c>
      <c r="E25" s="9">
        <f t="shared" ref="E25:E26" si="21">B25+C25+D25</f>
        <v>-2.2000000000000002</v>
      </c>
      <c r="F25" s="9">
        <v>0</v>
      </c>
      <c r="G25" s="2">
        <v>0</v>
      </c>
      <c r="H25" s="9">
        <v>2.2000000000000002</v>
      </c>
      <c r="I25" s="9">
        <f t="shared" si="10"/>
        <v>2.2000000000000002</v>
      </c>
      <c r="J25" s="3">
        <v>0</v>
      </c>
      <c r="K25" s="3">
        <v>0</v>
      </c>
      <c r="L25" s="9">
        <v>0</v>
      </c>
      <c r="M25" s="9">
        <f t="shared" si="16"/>
        <v>0</v>
      </c>
      <c r="N25" s="9">
        <f t="shared" si="17"/>
        <v>-1.001994348</v>
      </c>
      <c r="O25" s="9">
        <f>'MOU '!C24</f>
        <v>-1.001994348</v>
      </c>
    </row>
    <row r="26" spans="1:19" ht="15" thickBot="1">
      <c r="A26" s="7" t="s">
        <v>45</v>
      </c>
      <c r="B26" s="9">
        <v>0.30990264899999997</v>
      </c>
      <c r="C26" s="9">
        <v>-2.4716399999999972E-2</v>
      </c>
      <c r="D26" s="9">
        <v>-0.1865851</v>
      </c>
      <c r="E26" s="9">
        <f t="shared" si="21"/>
        <v>9.8601148999999999E-2</v>
      </c>
      <c r="F26" s="9">
        <v>-1.3898420200000001E-2</v>
      </c>
      <c r="G26" s="3">
        <v>1.9864762950000001</v>
      </c>
      <c r="H26" s="9">
        <v>-2.1986581000000003</v>
      </c>
      <c r="I26" s="9">
        <f t="shared" si="10"/>
        <v>-0.22608022520000026</v>
      </c>
      <c r="J26" s="9">
        <v>-2.9740919999997339E-3</v>
      </c>
      <c r="K26" s="3">
        <v>0.56332984600000002</v>
      </c>
      <c r="L26" s="9">
        <v>0.35100370000000003</v>
      </c>
      <c r="M26" s="9">
        <f t="shared" si="16"/>
        <v>0.91135945400000029</v>
      </c>
      <c r="N26" s="9">
        <f t="shared" si="17"/>
        <v>-7.1339999999997517E-4</v>
      </c>
      <c r="O26" s="9">
        <f>'MOU '!C25</f>
        <v>0.7831669778</v>
      </c>
      <c r="Q26" s="14"/>
      <c r="S26" s="10"/>
    </row>
    <row r="27" spans="1:19" ht="15" thickBot="1">
      <c r="A27" s="7" t="s">
        <v>46</v>
      </c>
      <c r="B27" s="9">
        <f t="shared" ref="B27:C27" si="22">B24-B25+B26</f>
        <v>2.5698805429958127</v>
      </c>
      <c r="C27" s="9">
        <f t="shared" si="22"/>
        <v>6.3631347943839902</v>
      </c>
      <c r="D27" s="9">
        <f t="shared" ref="D27:G27" si="23">D24+D25+D26</f>
        <v>-2.3569856745641438E-2</v>
      </c>
      <c r="E27" s="9">
        <f t="shared" si="23"/>
        <v>8.9094454806341652</v>
      </c>
      <c r="F27" s="9">
        <f t="shared" si="23"/>
        <v>13.841640712609578</v>
      </c>
      <c r="G27" s="9">
        <f t="shared" si="23"/>
        <v>-1.7001551663506933</v>
      </c>
      <c r="H27" s="9">
        <f>H24+H25+H26</f>
        <v>3.6406120253264236</v>
      </c>
      <c r="I27" s="9">
        <f t="shared" si="10"/>
        <v>15.782097571585307</v>
      </c>
      <c r="J27" s="9">
        <f t="shared" ref="J27:O27" si="24">J24+J25+J26</f>
        <v>3.9960828067411036</v>
      </c>
      <c r="K27" s="22">
        <f t="shared" si="24"/>
        <v>0.50954798651100131</v>
      </c>
      <c r="L27" s="22">
        <f t="shared" si="24"/>
        <v>2.5459250284795454</v>
      </c>
      <c r="M27" s="22">
        <f t="shared" si="24"/>
        <v>7.2960636067316571</v>
      </c>
      <c r="N27" s="22">
        <f t="shared" si="24"/>
        <v>2.248803008728872</v>
      </c>
      <c r="O27" s="9">
        <f t="shared" si="24"/>
        <v>34.236409667679986</v>
      </c>
    </row>
    <row r="28" spans="1:19">
      <c r="E28" s="14"/>
    </row>
    <row r="31" spans="1:19">
      <c r="O31" s="14"/>
    </row>
  </sheetData>
  <mergeCells count="15">
    <mergeCell ref="K3:K4"/>
    <mergeCell ref="I3:I4"/>
    <mergeCell ref="A3:A4"/>
    <mergeCell ref="B3:B4"/>
    <mergeCell ref="O3:O4"/>
    <mergeCell ref="C3:C4"/>
    <mergeCell ref="D3:D4"/>
    <mergeCell ref="F3:F4"/>
    <mergeCell ref="G3:G4"/>
    <mergeCell ref="E3:E4"/>
    <mergeCell ref="H3:H4"/>
    <mergeCell ref="J3:J4"/>
    <mergeCell ref="L3:L4"/>
    <mergeCell ref="M3:M4"/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36"/>
  <sheetViews>
    <sheetView zoomScale="75" zoomScaleNormal="75" workbookViewId="0">
      <selection activeCell="E2" sqref="E2"/>
    </sheetView>
  </sheetViews>
  <sheetFormatPr defaultColWidth="8.85546875" defaultRowHeight="14.45"/>
  <cols>
    <col min="2" max="2" width="54.5703125" customWidth="1"/>
    <col min="3" max="3" width="14.28515625" customWidth="1"/>
    <col min="4" max="4" width="15.140625" customWidth="1"/>
    <col min="5" max="5" width="14" customWidth="1"/>
    <col min="7" max="7" width="10" bestFit="1" customWidth="1"/>
    <col min="8" max="8" width="9.28515625" bestFit="1" customWidth="1"/>
  </cols>
  <sheetData>
    <row r="1" spans="2:9" ht="18">
      <c r="B1" s="171" t="s">
        <v>76</v>
      </c>
      <c r="C1" s="171"/>
      <c r="D1" s="171"/>
      <c r="E1" s="171"/>
    </row>
    <row r="2" spans="2:9" ht="18.600000000000001" thickBot="1">
      <c r="E2" s="139" t="s">
        <v>1</v>
      </c>
    </row>
    <row r="3" spans="2:9" ht="15" customHeight="1">
      <c r="B3" s="167" t="s">
        <v>2</v>
      </c>
      <c r="C3" s="169" t="s">
        <v>22</v>
      </c>
      <c r="D3" s="169" t="s">
        <v>77</v>
      </c>
      <c r="E3" s="169" t="s">
        <v>78</v>
      </c>
    </row>
    <row r="4" spans="2:9" ht="34.5" customHeight="1" thickBot="1">
      <c r="B4" s="168"/>
      <c r="C4" s="170"/>
      <c r="D4" s="170"/>
      <c r="E4" s="170"/>
    </row>
    <row r="5" spans="2:9" ht="15" thickBot="1">
      <c r="B5" s="39" t="s">
        <v>79</v>
      </c>
      <c r="C5" s="40"/>
      <c r="D5" s="40"/>
      <c r="E5" s="40"/>
    </row>
    <row r="6" spans="2:9" ht="15" thickBot="1">
      <c r="B6" s="39" t="s">
        <v>80</v>
      </c>
      <c r="C6" s="40"/>
      <c r="D6" s="40"/>
      <c r="E6" s="40"/>
    </row>
    <row r="7" spans="2:9" ht="15" thickBot="1">
      <c r="B7" s="41" t="s">
        <v>81</v>
      </c>
      <c r="C7" s="42">
        <f>1642.838748425/100</f>
        <v>16.428387484249999</v>
      </c>
      <c r="D7" s="42">
        <f>481.902657283/100</f>
        <v>4.8190265728300004</v>
      </c>
      <c r="E7" s="42">
        <f>739.890458328/100</f>
        <v>7.3989045832800002</v>
      </c>
      <c r="G7" s="11"/>
      <c r="I7" s="14"/>
    </row>
    <row r="8" spans="2:9" ht="15" thickBot="1">
      <c r="B8" s="41" t="s">
        <v>82</v>
      </c>
      <c r="C8" s="43">
        <f>118496.907618091/100</f>
        <v>1184.96907618091</v>
      </c>
      <c r="D8" s="43">
        <f>123718.323831053/100</f>
        <v>1237.18323831053</v>
      </c>
      <c r="E8" s="43">
        <f>147446.50391443/100</f>
        <v>1474.4650391443001</v>
      </c>
      <c r="G8" s="11"/>
      <c r="I8" s="14"/>
    </row>
    <row r="9" spans="2:9" ht="15" thickBot="1">
      <c r="B9" s="41" t="s">
        <v>83</v>
      </c>
      <c r="C9" s="43">
        <f>0.100000000000023/100</f>
        <v>1.0000000000002301E-3</v>
      </c>
      <c r="D9" s="43">
        <f>0.100000000000023/100</f>
        <v>1.0000000000002301E-3</v>
      </c>
      <c r="E9" s="43">
        <f>0.100000000000023/100</f>
        <v>1.0000000000002301E-3</v>
      </c>
    </row>
    <row r="10" spans="2:9" ht="15" thickBot="1">
      <c r="B10" s="41" t="s">
        <v>84</v>
      </c>
      <c r="C10" s="43">
        <f>252.9181085/100</f>
        <v>2.5291810849999998</v>
      </c>
      <c r="D10" s="43">
        <f>243.3753133/100</f>
        <v>2.4337531329999997</v>
      </c>
      <c r="E10" s="43">
        <f>196.8489333/100</f>
        <v>1.968489333</v>
      </c>
      <c r="G10" s="11"/>
      <c r="I10" s="14"/>
    </row>
    <row r="11" spans="2:9" ht="15" thickBot="1">
      <c r="B11" s="39" t="s">
        <v>85</v>
      </c>
      <c r="C11" s="44"/>
      <c r="D11" s="44"/>
      <c r="E11" s="44"/>
    </row>
    <row r="12" spans="2:9" ht="15" thickBot="1">
      <c r="B12" s="45" t="s">
        <v>86</v>
      </c>
      <c r="C12" s="43">
        <f>461.034684838/100</f>
        <v>4.6103468483799999</v>
      </c>
      <c r="D12" s="43">
        <f>580.396455838/100</f>
        <v>5.8039645583799997</v>
      </c>
      <c r="E12" s="43">
        <f>736.723567824/100</f>
        <v>7.3672356782400001</v>
      </c>
      <c r="G12" s="11"/>
      <c r="I12" s="14"/>
    </row>
    <row r="13" spans="2:9" ht="15" thickBot="1">
      <c r="B13" s="45" t="s">
        <v>87</v>
      </c>
      <c r="C13" s="43">
        <f>1552.9798083/100</f>
        <v>15.529798083000001</v>
      </c>
      <c r="D13" s="43">
        <f>1291.7546883/100</f>
        <v>12.917546883</v>
      </c>
      <c r="E13" s="43">
        <f>1371.0525685/100</f>
        <v>13.710525685</v>
      </c>
      <c r="G13" s="11"/>
      <c r="I13" s="14"/>
    </row>
    <row r="14" spans="2:9" ht="15" thickBot="1">
      <c r="B14" s="45" t="s">
        <v>88</v>
      </c>
      <c r="C14" s="43">
        <f>1034.7013637/100</f>
        <v>10.347013637</v>
      </c>
      <c r="D14" s="43">
        <f>1005.2310813/100</f>
        <v>10.052310813</v>
      </c>
      <c r="E14" s="43">
        <f>1511.8155197/100</f>
        <v>15.118155197</v>
      </c>
      <c r="G14" s="11"/>
      <c r="I14" s="14"/>
    </row>
    <row r="15" spans="2:9" ht="15" thickBot="1">
      <c r="B15" s="45" t="s">
        <v>89</v>
      </c>
      <c r="C15" s="43">
        <f>63.4602734/100</f>
        <v>0.634602734</v>
      </c>
      <c r="D15" s="43">
        <f>61.7804434/100</f>
        <v>0.61780443400000007</v>
      </c>
      <c r="E15" s="43">
        <f>75.1112434/100</f>
        <v>0.75111243400000005</v>
      </c>
      <c r="G15" s="11"/>
      <c r="I15" s="14"/>
    </row>
    <row r="16" spans="2:9" ht="15" thickBot="1">
      <c r="B16" s="45" t="s">
        <v>90</v>
      </c>
      <c r="C16" s="43">
        <f>254.628302912/100</f>
        <v>2.54628302912</v>
      </c>
      <c r="D16" s="43">
        <f>377.541933012/100</f>
        <v>3.7754193301200001</v>
      </c>
      <c r="E16" s="43">
        <f>232.871048762/100</f>
        <v>2.32871048762</v>
      </c>
      <c r="G16" s="11"/>
      <c r="I16" s="46"/>
    </row>
    <row r="17" spans="2:9" ht="15" thickBot="1">
      <c r="B17" s="47" t="s">
        <v>91</v>
      </c>
      <c r="C17" s="48">
        <f>SUM(C7:C16)</f>
        <v>1237.5956890816599</v>
      </c>
      <c r="D17" s="48">
        <f>SUM(D7:D16)</f>
        <v>1277.6040640348599</v>
      </c>
      <c r="E17" s="48">
        <f>SUM(E7:E16)</f>
        <v>1523.1091725424401</v>
      </c>
      <c r="G17" s="11"/>
      <c r="H17" s="11"/>
      <c r="I17" s="46"/>
    </row>
    <row r="18" spans="2:9" ht="15" thickBot="1">
      <c r="B18" s="39" t="s">
        <v>92</v>
      </c>
      <c r="C18" s="49"/>
      <c r="D18" s="50"/>
      <c r="E18" s="50"/>
      <c r="G18" s="11"/>
      <c r="H18" s="11"/>
    </row>
    <row r="19" spans="2:9" ht="15" thickBot="1">
      <c r="B19" s="39" t="s">
        <v>93</v>
      </c>
      <c r="C19" s="40"/>
      <c r="D19" s="43"/>
      <c r="E19" s="43"/>
    </row>
    <row r="20" spans="2:9" ht="15" thickBot="1">
      <c r="B20" s="41" t="s">
        <v>94</v>
      </c>
      <c r="C20" s="43">
        <f>13942.7602262/100</f>
        <v>139.42760226199999</v>
      </c>
      <c r="D20" s="43">
        <f>14907.90590818/100</f>
        <v>149.07905908180001</v>
      </c>
      <c r="E20" s="43">
        <f>17442.8493856/100</f>
        <v>174.42849385599999</v>
      </c>
      <c r="G20" s="11"/>
      <c r="I20" s="46"/>
    </row>
    <row r="21" spans="2:9" ht="15" thickBot="1">
      <c r="B21" s="41" t="s">
        <v>95</v>
      </c>
      <c r="C21" s="43">
        <f>65326.185039762/100</f>
        <v>653.26185039762004</v>
      </c>
      <c r="D21" s="43">
        <f>69339.413402796/100</f>
        <v>693.39413402795992</v>
      </c>
      <c r="E21" s="43">
        <f>87021.837032007/100</f>
        <v>870.21837032006999</v>
      </c>
      <c r="G21" s="11"/>
      <c r="I21" s="46"/>
    </row>
    <row r="22" spans="2:9" ht="15" thickBot="1">
      <c r="B22" s="41" t="s">
        <v>96</v>
      </c>
      <c r="C22" s="43">
        <f>2840.38057791425/100</f>
        <v>28.403805779142498</v>
      </c>
      <c r="D22" s="43">
        <f>1707.20955361925/100</f>
        <v>17.072095536192499</v>
      </c>
      <c r="E22" s="43">
        <f>2158.19583499475/100</f>
        <v>21.581958349947499</v>
      </c>
      <c r="G22" s="11"/>
      <c r="I22" s="46"/>
    </row>
    <row r="23" spans="2:9" ht="15" thickBot="1">
      <c r="B23" s="39" t="s">
        <v>97</v>
      </c>
      <c r="C23" s="51"/>
      <c r="D23" s="51"/>
      <c r="E23" s="44"/>
      <c r="G23" s="14"/>
    </row>
    <row r="24" spans="2:9" ht="15" thickBot="1">
      <c r="B24" s="41" t="s">
        <v>98</v>
      </c>
      <c r="C24" s="43">
        <f>175.44593/100</f>
        <v>1.7544592999999999</v>
      </c>
      <c r="D24" s="43">
        <f>307.06243/100</f>
        <v>3.0706243</v>
      </c>
      <c r="E24" s="43">
        <f>198.30886/100</f>
        <v>1.9830886000000001</v>
      </c>
      <c r="G24" s="11"/>
      <c r="I24" s="46"/>
    </row>
    <row r="25" spans="2:9" ht="15" thickBot="1">
      <c r="B25" s="41" t="s">
        <v>99</v>
      </c>
      <c r="C25" s="43">
        <f>742.11592257/100</f>
        <v>7.4211592256999994</v>
      </c>
      <c r="D25" s="44">
        <f>738.7274234/100</f>
        <v>7.3872742340000004</v>
      </c>
      <c r="E25" s="44">
        <f>1308.393085012/100</f>
        <v>13.08393085012</v>
      </c>
      <c r="G25" s="11"/>
      <c r="I25" s="46"/>
    </row>
    <row r="26" spans="2:9" ht="15" thickBot="1">
      <c r="B26" s="41" t="s">
        <v>100</v>
      </c>
      <c r="C26" s="43"/>
      <c r="D26" s="43" t="s">
        <v>13</v>
      </c>
      <c r="E26" s="43"/>
      <c r="G26" s="14"/>
    </row>
    <row r="27" spans="2:9" ht="15" thickBot="1">
      <c r="B27" s="52" t="s">
        <v>101</v>
      </c>
      <c r="C27" s="51"/>
      <c r="D27" s="51"/>
      <c r="E27" s="44"/>
    </row>
    <row r="28" spans="2:9" ht="15" thickBot="1">
      <c r="B28" s="45" t="s">
        <v>102</v>
      </c>
      <c r="C28" s="43">
        <f>15988.5365005/100</f>
        <v>159.88536500500001</v>
      </c>
      <c r="D28" s="43">
        <f>15988.5365005/100</f>
        <v>159.88536500500001</v>
      </c>
      <c r="E28" s="43">
        <f>15988.5365005/100</f>
        <v>159.88536500500001</v>
      </c>
      <c r="G28" s="11"/>
      <c r="I28" s="46"/>
    </row>
    <row r="29" spans="2:9" ht="15" thickBot="1">
      <c r="B29" s="45" t="s">
        <v>103</v>
      </c>
      <c r="C29" s="43">
        <f>24744.3647062357/100</f>
        <v>247.443647062357</v>
      </c>
      <c r="D29" s="43">
        <f>24771.7711800067/100</f>
        <v>247.71771180006701</v>
      </c>
      <c r="E29" s="43">
        <f>28193.0165380457/100</f>
        <v>281.93016538045703</v>
      </c>
      <c r="G29" s="11"/>
      <c r="I29" s="46"/>
    </row>
    <row r="30" spans="2:9" ht="15" thickBot="1">
      <c r="B30" s="47" t="s">
        <v>91</v>
      </c>
      <c r="C30" s="48">
        <f>SUM(C20:C29)</f>
        <v>1237.5978890318195</v>
      </c>
      <c r="D30" s="48">
        <f>SUM(D20:D29)-0.01</f>
        <v>1277.5962639850193</v>
      </c>
      <c r="E30" s="48">
        <f>SUM(E20:E29)</f>
        <v>1523.1113723615945</v>
      </c>
      <c r="G30" s="53"/>
      <c r="I30" s="46"/>
    </row>
    <row r="32" spans="2:9">
      <c r="C32" s="11"/>
      <c r="D32" s="11"/>
      <c r="E32" s="11"/>
    </row>
    <row r="34" spans="3:5">
      <c r="C34" s="54"/>
      <c r="D34" s="14"/>
      <c r="E34" s="54"/>
    </row>
    <row r="35" spans="3:5">
      <c r="C35" s="11"/>
    </row>
    <row r="36" spans="3:5">
      <c r="D36" s="14"/>
    </row>
  </sheetData>
  <mergeCells count="5">
    <mergeCell ref="B3:B4"/>
    <mergeCell ref="C3:C4"/>
    <mergeCell ref="E3:E4"/>
    <mergeCell ref="D3:D4"/>
    <mergeCell ref="B1:E1"/>
  </mergeCells>
  <pageMargins left="1.54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8"/>
  <sheetViews>
    <sheetView workbookViewId="0">
      <selection activeCell="E2" sqref="E2"/>
    </sheetView>
  </sheetViews>
  <sheetFormatPr defaultColWidth="8.85546875" defaultRowHeight="14.45"/>
  <cols>
    <col min="2" max="2" width="36.28515625" customWidth="1"/>
    <col min="3" max="3" width="18.140625" customWidth="1"/>
    <col min="4" max="4" width="19.7109375" customWidth="1"/>
    <col min="5" max="5" width="17.42578125" customWidth="1"/>
  </cols>
  <sheetData>
    <row r="1" spans="2:8" ht="23.45">
      <c r="B1" s="55" t="s">
        <v>104</v>
      </c>
    </row>
    <row r="2" spans="2:8" ht="18.600000000000001" thickBot="1">
      <c r="E2" s="139" t="s">
        <v>1</v>
      </c>
    </row>
    <row r="3" spans="2:8" ht="15" customHeight="1">
      <c r="B3" s="172" t="s">
        <v>47</v>
      </c>
      <c r="C3" s="172" t="s">
        <v>105</v>
      </c>
      <c r="D3" s="172" t="s">
        <v>4</v>
      </c>
      <c r="E3" s="172" t="s">
        <v>78</v>
      </c>
    </row>
    <row r="4" spans="2:8" ht="39" customHeight="1" thickBot="1">
      <c r="B4" s="173"/>
      <c r="C4" s="173"/>
      <c r="D4" s="173"/>
      <c r="E4" s="173"/>
    </row>
    <row r="5" spans="2:8" ht="20.45" thickBot="1">
      <c r="B5" s="56"/>
      <c r="C5" s="57" t="s">
        <v>106</v>
      </c>
      <c r="D5" s="57" t="s">
        <v>106</v>
      </c>
      <c r="E5" s="57" t="s">
        <v>107</v>
      </c>
    </row>
    <row r="6" spans="2:8" ht="20.45" thickBot="1">
      <c r="B6" s="58" t="s">
        <v>108</v>
      </c>
      <c r="C6" s="57">
        <v>90.05</v>
      </c>
      <c r="D6" s="57">
        <v>90.05</v>
      </c>
      <c r="E6" s="57">
        <v>40.47</v>
      </c>
    </row>
    <row r="7" spans="2:8" ht="20.45" thickBot="1">
      <c r="B7" s="58" t="s">
        <v>109</v>
      </c>
      <c r="C7" s="59">
        <f>-4097.9545709/100</f>
        <v>-40.979545709000007</v>
      </c>
      <c r="D7" s="59">
        <f>-50.98+1.4</f>
        <v>-49.58</v>
      </c>
      <c r="E7" s="59">
        <f>1131.3791656/100</f>
        <v>11.313791656000001</v>
      </c>
      <c r="F7" s="20"/>
    </row>
    <row r="8" spans="2:8" ht="20.45" thickBot="1">
      <c r="B8" s="58" t="s">
        <v>110</v>
      </c>
      <c r="C8" s="59">
        <f>C6+C7</f>
        <v>49.07045429099999</v>
      </c>
      <c r="D8" s="59">
        <f>D6+D7</f>
        <v>40.47</v>
      </c>
      <c r="E8" s="59">
        <f>E6+E7</f>
        <v>51.783791655999998</v>
      </c>
      <c r="H8" s="10"/>
    </row>
  </sheetData>
  <mergeCells count="4">
    <mergeCell ref="B3:B4"/>
    <mergeCell ref="E3:E4"/>
    <mergeCell ref="C3:C4"/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O18"/>
  <sheetViews>
    <sheetView topLeftCell="D1" zoomScale="85" zoomScaleNormal="85" workbookViewId="0">
      <selection activeCell="J3" sqref="J3"/>
    </sheetView>
  </sheetViews>
  <sheetFormatPr defaultColWidth="9.140625" defaultRowHeight="24.95" customHeight="1"/>
  <cols>
    <col min="1" max="3" width="9.140625" style="34"/>
    <col min="4" max="4" width="47" style="34" customWidth="1"/>
    <col min="5" max="10" width="12.7109375" style="34" customWidth="1"/>
    <col min="11" max="16384" width="9.140625" style="34"/>
  </cols>
  <sheetData>
    <row r="1" spans="3:15" ht="24.95" customHeight="1">
      <c r="D1" s="60" t="s">
        <v>111</v>
      </c>
    </row>
    <row r="2" spans="3:15" ht="24.95" customHeight="1">
      <c r="D2" s="20"/>
    </row>
    <row r="3" spans="3:15" ht="24.95" customHeight="1" thickBot="1">
      <c r="J3" s="139" t="s">
        <v>1</v>
      </c>
    </row>
    <row r="4" spans="3:15" ht="24.95" customHeight="1">
      <c r="C4" s="174" t="s">
        <v>112</v>
      </c>
      <c r="D4" s="176" t="s">
        <v>113</v>
      </c>
      <c r="E4" s="178" t="s">
        <v>105</v>
      </c>
      <c r="F4" s="179"/>
      <c r="G4" s="178" t="s">
        <v>114</v>
      </c>
      <c r="H4" s="179"/>
      <c r="I4" s="178" t="s">
        <v>115</v>
      </c>
      <c r="J4" s="179"/>
    </row>
    <row r="5" spans="3:15" ht="42.75" customHeight="1" thickBot="1">
      <c r="C5" s="175"/>
      <c r="D5" s="177"/>
      <c r="E5" s="180"/>
      <c r="F5" s="181"/>
      <c r="G5" s="180"/>
      <c r="H5" s="181"/>
      <c r="I5" s="180"/>
      <c r="J5" s="181"/>
    </row>
    <row r="6" spans="3:15" ht="24.95" customHeight="1" thickBot="1">
      <c r="C6" s="61"/>
      <c r="D6" s="62"/>
      <c r="E6" s="63" t="s">
        <v>116</v>
      </c>
      <c r="F6" s="63" t="s">
        <v>106</v>
      </c>
      <c r="G6" s="63" t="s">
        <v>116</v>
      </c>
      <c r="H6" s="63" t="s">
        <v>106</v>
      </c>
      <c r="I6" s="63" t="s">
        <v>116</v>
      </c>
      <c r="J6" s="63" t="s">
        <v>106</v>
      </c>
    </row>
    <row r="7" spans="3:15" ht="24.95" customHeight="1" thickBot="1">
      <c r="C7" s="64">
        <v>1</v>
      </c>
      <c r="D7" s="65" t="s">
        <v>117</v>
      </c>
      <c r="E7" s="63">
        <v>11</v>
      </c>
      <c r="F7" s="66">
        <v>85.19</v>
      </c>
      <c r="G7" s="63">
        <v>11</v>
      </c>
      <c r="H7" s="66" t="s">
        <v>118</v>
      </c>
      <c r="I7" s="63">
        <v>8</v>
      </c>
      <c r="J7" s="66">
        <v>34.699999999999996</v>
      </c>
    </row>
    <row r="8" spans="3:15" ht="24.95" customHeight="1" thickBot="1">
      <c r="C8" s="64">
        <v>2</v>
      </c>
      <c r="D8" s="65" t="s">
        <v>119</v>
      </c>
      <c r="E8" s="63">
        <v>2</v>
      </c>
      <c r="F8" s="66">
        <v>4</v>
      </c>
      <c r="G8" s="63">
        <v>2</v>
      </c>
      <c r="H8" s="66">
        <v>4.45</v>
      </c>
      <c r="I8" s="63">
        <v>5</v>
      </c>
      <c r="J8" s="66">
        <f>(8.64836171679+2.410821362+8.47)</f>
        <v>19.529183078789998</v>
      </c>
    </row>
    <row r="9" spans="3:15" ht="24.95" customHeight="1" thickBot="1">
      <c r="C9" s="64">
        <v>3</v>
      </c>
      <c r="D9" s="65" t="s">
        <v>120</v>
      </c>
      <c r="E9" s="63">
        <v>1</v>
      </c>
      <c r="F9" s="66">
        <v>3</v>
      </c>
      <c r="G9" s="63">
        <v>1</v>
      </c>
      <c r="H9" s="66">
        <v>2.75</v>
      </c>
      <c r="I9" s="63">
        <v>1</v>
      </c>
      <c r="J9" s="66">
        <f>(2000000/10^7)+8.47</f>
        <v>8.67</v>
      </c>
    </row>
    <row r="10" spans="3:15" ht="24.95" customHeight="1" thickBot="1">
      <c r="C10" s="64">
        <v>4</v>
      </c>
      <c r="D10" s="65" t="s">
        <v>121</v>
      </c>
      <c r="E10" s="63">
        <v>0</v>
      </c>
      <c r="F10" s="66">
        <v>0</v>
      </c>
      <c r="G10" s="63">
        <v>0</v>
      </c>
      <c r="H10" s="66">
        <v>0</v>
      </c>
      <c r="I10" s="63">
        <v>0</v>
      </c>
      <c r="J10" s="66">
        <v>0</v>
      </c>
    </row>
    <row r="11" spans="3:15" ht="24.95" customHeight="1" thickBot="1">
      <c r="C11" s="64">
        <v>5</v>
      </c>
      <c r="D11" s="65" t="s">
        <v>122</v>
      </c>
      <c r="E11" s="63">
        <v>3</v>
      </c>
      <c r="F11" s="66">
        <v>40</v>
      </c>
      <c r="G11" s="63">
        <v>4</v>
      </c>
      <c r="H11" s="66">
        <v>52.19</v>
      </c>
      <c r="I11" s="63">
        <v>0</v>
      </c>
      <c r="J11" s="66">
        <v>0</v>
      </c>
    </row>
    <row r="12" spans="3:15" ht="24.95" customHeight="1" thickBot="1">
      <c r="C12" s="64">
        <v>6</v>
      </c>
      <c r="D12" s="65" t="s">
        <v>123</v>
      </c>
      <c r="E12" s="63">
        <f>E7+E8-E9-E10-E11</f>
        <v>9</v>
      </c>
      <c r="F12" s="66">
        <f>F7+F8-F9-F10-F11</f>
        <v>46.19</v>
      </c>
      <c r="G12" s="63">
        <v>8</v>
      </c>
      <c r="H12" s="66">
        <v>34.699999999999996</v>
      </c>
      <c r="I12" s="63">
        <f>I7+I8-I9-I10-I11</f>
        <v>12</v>
      </c>
      <c r="J12" s="66">
        <f>J7+J8-J9-J10-J11</f>
        <v>45.559183078789992</v>
      </c>
    </row>
    <row r="13" spans="3:15" ht="24.95" customHeight="1" thickBot="1">
      <c r="C13" s="64">
        <v>7</v>
      </c>
      <c r="D13" s="65" t="s">
        <v>124</v>
      </c>
      <c r="E13" s="63"/>
      <c r="F13" s="66">
        <v>44.330312262741884</v>
      </c>
      <c r="G13" s="63"/>
      <c r="H13" s="66">
        <v>34.63315951915996</v>
      </c>
      <c r="I13" s="63"/>
      <c r="J13" s="66">
        <v>45.323536582764582</v>
      </c>
    </row>
    <row r="14" spans="3:15" ht="24.95" customHeight="1" thickBot="1">
      <c r="C14" s="64">
        <v>8</v>
      </c>
      <c r="D14" s="65" t="s">
        <v>125</v>
      </c>
      <c r="E14" s="63"/>
      <c r="F14" s="67">
        <f>F13/F12</f>
        <v>0.95973830402125759</v>
      </c>
      <c r="G14" s="63"/>
      <c r="H14" s="67">
        <v>0.99807376135907677</v>
      </c>
      <c r="I14" s="63"/>
      <c r="J14" s="67">
        <f>J13/J12</f>
        <v>0.99482768390254317</v>
      </c>
    </row>
    <row r="16" spans="3:15" ht="24.95" customHeight="1">
      <c r="O16" s="15"/>
    </row>
    <row r="18" spans="10:10" ht="24.95" customHeight="1">
      <c r="J18" s="15"/>
    </row>
  </sheetData>
  <mergeCells count="5">
    <mergeCell ref="C4:C5"/>
    <mergeCell ref="D4:D5"/>
    <mergeCell ref="E4:F5"/>
    <mergeCell ref="I4:J5"/>
    <mergeCell ref="G4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K15"/>
  <sheetViews>
    <sheetView workbookViewId="0">
      <selection activeCell="J3" sqref="J3"/>
    </sheetView>
  </sheetViews>
  <sheetFormatPr defaultColWidth="9.140625" defaultRowHeight="24.95" customHeight="1"/>
  <cols>
    <col min="1" max="3" width="9.140625" style="34"/>
    <col min="4" max="4" width="35.7109375" style="34" customWidth="1"/>
    <col min="5" max="5" width="11.28515625" style="34" customWidth="1"/>
    <col min="6" max="6" width="9.85546875" style="34" customWidth="1"/>
    <col min="7" max="7" width="9.140625" style="34"/>
    <col min="8" max="8" width="10" style="34" customWidth="1"/>
    <col min="9" max="9" width="9.140625" style="34"/>
    <col min="10" max="10" width="9.85546875" style="34" customWidth="1"/>
    <col min="11" max="11" width="12.5703125" style="34" bestFit="1" customWidth="1"/>
    <col min="12" max="16384" width="9.140625" style="34"/>
  </cols>
  <sheetData>
    <row r="1" spans="3:11" ht="24.95" customHeight="1">
      <c r="C1" s="68" t="s">
        <v>126</v>
      </c>
    </row>
    <row r="2" spans="3:11" ht="24.95" customHeight="1">
      <c r="D2" s="20"/>
    </row>
    <row r="3" spans="3:11" ht="24.95" customHeight="1" thickBot="1">
      <c r="J3" s="139" t="s">
        <v>1</v>
      </c>
    </row>
    <row r="4" spans="3:11" ht="24.95" customHeight="1">
      <c r="C4" s="182" t="s">
        <v>127</v>
      </c>
      <c r="D4" s="182" t="s">
        <v>128</v>
      </c>
      <c r="E4" s="178" t="s">
        <v>105</v>
      </c>
      <c r="F4" s="179"/>
      <c r="G4" s="178" t="s">
        <v>114</v>
      </c>
      <c r="H4" s="179"/>
      <c r="I4" s="178" t="s">
        <v>129</v>
      </c>
      <c r="J4" s="179"/>
    </row>
    <row r="5" spans="3:11" ht="36" customHeight="1" thickBot="1">
      <c r="C5" s="183"/>
      <c r="D5" s="183"/>
      <c r="E5" s="180"/>
      <c r="F5" s="181"/>
      <c r="G5" s="180"/>
      <c r="H5" s="181"/>
      <c r="I5" s="180"/>
      <c r="J5" s="181"/>
    </row>
    <row r="6" spans="3:11" ht="24.95" customHeight="1" thickBot="1">
      <c r="C6" s="69"/>
      <c r="D6" s="69"/>
      <c r="E6" s="63" t="s">
        <v>130</v>
      </c>
      <c r="F6" s="63" t="s">
        <v>131</v>
      </c>
      <c r="G6" s="63" t="s">
        <v>130</v>
      </c>
      <c r="H6" s="63" t="s">
        <v>131</v>
      </c>
      <c r="I6" s="63" t="s">
        <v>130</v>
      </c>
      <c r="J6" s="63" t="s">
        <v>131</v>
      </c>
    </row>
    <row r="7" spans="3:11" ht="24.95" customHeight="1" thickBot="1">
      <c r="C7" s="64">
        <v>1</v>
      </c>
      <c r="D7" s="65" t="s">
        <v>132</v>
      </c>
      <c r="E7" s="66">
        <v>111</v>
      </c>
      <c r="F7" s="66">
        <v>846.68999999999994</v>
      </c>
      <c r="G7" s="63">
        <v>111</v>
      </c>
      <c r="H7" s="66">
        <v>846.69</v>
      </c>
      <c r="I7" s="63">
        <v>100</v>
      </c>
      <c r="J7" s="66">
        <v>808.28000000000009</v>
      </c>
    </row>
    <row r="8" spans="3:11" ht="24.95" customHeight="1" thickBot="1">
      <c r="C8" s="64">
        <f>C7+1</f>
        <v>2</v>
      </c>
      <c r="D8" s="65" t="s">
        <v>133</v>
      </c>
      <c r="E8" s="63">
        <v>2</v>
      </c>
      <c r="F8" s="66">
        <v>4</v>
      </c>
      <c r="G8" s="63">
        <v>4</v>
      </c>
      <c r="H8" s="66">
        <v>52.19</v>
      </c>
      <c r="I8" s="63">
        <v>0</v>
      </c>
      <c r="J8" s="66">
        <v>0</v>
      </c>
    </row>
    <row r="9" spans="3:11" ht="24.95" customHeight="1" thickBot="1">
      <c r="C9" s="64">
        <f>C8+1</f>
        <v>3</v>
      </c>
      <c r="D9" s="65" t="s">
        <v>134</v>
      </c>
      <c r="E9" s="63">
        <v>1</v>
      </c>
      <c r="F9" s="66">
        <v>3</v>
      </c>
      <c r="G9" s="63">
        <v>1</v>
      </c>
      <c r="H9" s="66">
        <v>9</v>
      </c>
      <c r="I9" s="63">
        <v>1</v>
      </c>
      <c r="J9" s="66">
        <v>12.55</v>
      </c>
    </row>
    <row r="10" spans="3:11" ht="24.95" customHeight="1" thickBot="1">
      <c r="C10" s="64">
        <f>C9+1</f>
        <v>4</v>
      </c>
      <c r="D10" s="65" t="s">
        <v>135</v>
      </c>
      <c r="E10" s="63">
        <v>0</v>
      </c>
      <c r="F10" s="66">
        <v>0</v>
      </c>
      <c r="G10" s="63">
        <v>1</v>
      </c>
      <c r="H10" s="66">
        <v>8.7200000000000006</v>
      </c>
      <c r="I10" s="63">
        <v>4</v>
      </c>
      <c r="J10" s="66">
        <v>8.7899999999999991</v>
      </c>
    </row>
    <row r="11" spans="3:11" ht="24.95" customHeight="1" thickBot="1">
      <c r="C11" s="64">
        <f>C10+1</f>
        <v>5</v>
      </c>
      <c r="D11" s="65" t="s">
        <v>136</v>
      </c>
      <c r="E11" s="63">
        <v>3</v>
      </c>
      <c r="F11" s="66">
        <v>40</v>
      </c>
      <c r="G11" s="63">
        <v>13</v>
      </c>
      <c r="H11" s="66">
        <f>72.34</f>
        <v>72.34</v>
      </c>
      <c r="I11" s="63">
        <v>0</v>
      </c>
      <c r="J11" s="66">
        <v>0</v>
      </c>
    </row>
    <row r="12" spans="3:11" ht="24.95" customHeight="1" thickBot="1">
      <c r="C12" s="64">
        <f>C11+1</f>
        <v>6</v>
      </c>
      <c r="D12" s="65" t="s">
        <v>123</v>
      </c>
      <c r="E12" s="66">
        <f t="shared" ref="E12:J12" si="0">E7+E8-E9-E10-E11</f>
        <v>109</v>
      </c>
      <c r="F12" s="66">
        <f t="shared" si="0"/>
        <v>807.68999999999994</v>
      </c>
      <c r="G12" s="63">
        <f t="shared" si="0"/>
        <v>100</v>
      </c>
      <c r="H12" s="66">
        <f>H7+H8-H9-H10-H11-1</f>
        <v>807.82</v>
      </c>
      <c r="I12" s="63">
        <f t="shared" si="0"/>
        <v>95</v>
      </c>
      <c r="J12" s="66">
        <f t="shared" si="0"/>
        <v>786.94000000000017</v>
      </c>
    </row>
    <row r="14" spans="3:11" ht="24.95" customHeight="1">
      <c r="K14" s="15"/>
    </row>
    <row r="15" spans="3:11" ht="24.95" customHeight="1">
      <c r="K15" s="70"/>
    </row>
  </sheetData>
  <mergeCells count="5">
    <mergeCell ref="C4:C5"/>
    <mergeCell ref="D4:D5"/>
    <mergeCell ref="I4:J5"/>
    <mergeCell ref="E4:F5"/>
    <mergeCell ref="G4:H5"/>
  </mergeCells>
  <hyperlinks>
    <hyperlink ref="H9" r:id="rId1" display="12-Auca Recovery-Sept-22.xlsx" xr:uid="{00000000-0004-0000-0600-000000000000}"/>
    <hyperlink ref="H8" r:id="rId2" display="10 Bad Debts-Sept-22.xlsx" xr:uid="{00000000-0004-0000-0600-000001000000}"/>
  </hyperlinks>
  <pageMargins left="0.7" right="0.7" top="0.75" bottom="0.75" header="0.3" footer="0.3"/>
  <pageSetup paperSize="9" orientation="portrait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I13"/>
  <sheetViews>
    <sheetView zoomScale="80" zoomScaleNormal="80" workbookViewId="0">
      <selection activeCell="I2" sqref="I2"/>
    </sheetView>
  </sheetViews>
  <sheetFormatPr defaultColWidth="9.140625" defaultRowHeight="24.95" customHeight="1"/>
  <cols>
    <col min="2" max="2" width="25.28515625" customWidth="1"/>
    <col min="3" max="9" width="12.7109375" customWidth="1"/>
  </cols>
  <sheetData>
    <row r="1" spans="2:9" ht="24.95" customHeight="1">
      <c r="B1" s="184" t="s">
        <v>137</v>
      </c>
      <c r="C1" s="184"/>
      <c r="D1" s="184"/>
      <c r="E1" s="184"/>
      <c r="F1" s="184"/>
      <c r="G1" s="184"/>
      <c r="H1" s="184"/>
      <c r="I1" s="184"/>
    </row>
    <row r="2" spans="2:9" ht="24.95" customHeight="1" thickBot="1">
      <c r="I2" s="139" t="s">
        <v>1</v>
      </c>
    </row>
    <row r="3" spans="2:9" s="17" customFormat="1" ht="24.95" customHeight="1">
      <c r="B3" s="187" t="s">
        <v>138</v>
      </c>
      <c r="C3" s="185" t="s">
        <v>139</v>
      </c>
      <c r="D3" s="185" t="s">
        <v>4</v>
      </c>
      <c r="E3" s="185" t="s">
        <v>5</v>
      </c>
      <c r="F3" s="185" t="s">
        <v>6</v>
      </c>
      <c r="G3" s="185" t="s">
        <v>7</v>
      </c>
      <c r="H3" s="185" t="s">
        <v>8</v>
      </c>
      <c r="I3" s="185" t="s">
        <v>9</v>
      </c>
    </row>
    <row r="4" spans="2:9" s="17" customFormat="1" ht="38.25" customHeight="1" thickBot="1">
      <c r="B4" s="188"/>
      <c r="C4" s="186"/>
      <c r="D4" s="189"/>
      <c r="E4" s="186"/>
      <c r="F4" s="186"/>
      <c r="G4" s="186"/>
      <c r="H4" s="186"/>
      <c r="I4" s="186"/>
    </row>
    <row r="5" spans="2:9" ht="24.95" customHeight="1" thickBot="1">
      <c r="B5" s="52" t="s">
        <v>140</v>
      </c>
      <c r="C5" s="71">
        <v>412.61860248400001</v>
      </c>
      <c r="D5" s="71">
        <v>430.23117295500003</v>
      </c>
      <c r="E5" s="71">
        <v>382.18787314300005</v>
      </c>
      <c r="F5" s="71">
        <v>396.45173718300003</v>
      </c>
      <c r="G5" s="72">
        <f t="shared" ref="G5:G11" si="0">(F5-E5)/E5*100</f>
        <v>3.7321602914028085</v>
      </c>
      <c r="H5" s="72">
        <f t="shared" ref="H5:H11" si="1">(F5-C5)/C5*100</f>
        <v>-3.9181135323696106</v>
      </c>
      <c r="I5" s="72">
        <f t="shared" ref="I5:I11" si="2">(F5-D5)/D5*100</f>
        <v>-7.8514617013893488</v>
      </c>
    </row>
    <row r="6" spans="2:9" ht="24.95" customHeight="1" thickBot="1">
      <c r="B6" s="52" t="s">
        <v>141</v>
      </c>
      <c r="C6" s="71">
        <v>54.953508241490006</v>
      </c>
      <c r="D6" s="71">
        <v>57.818817769407488</v>
      </c>
      <c r="E6" s="73">
        <v>60.637894023000001</v>
      </c>
      <c r="F6" s="73">
        <v>62.807696880987493</v>
      </c>
      <c r="G6" s="72">
        <f t="shared" si="0"/>
        <v>3.5782952111834283</v>
      </c>
      <c r="H6" s="72">
        <f t="shared" si="1"/>
        <v>14.292424434455958</v>
      </c>
      <c r="I6" s="72">
        <f t="shared" si="2"/>
        <v>8.6284695952736516</v>
      </c>
    </row>
    <row r="7" spans="2:9" ht="24.95" customHeight="1" thickBot="1">
      <c r="B7" s="52" t="s">
        <v>142</v>
      </c>
      <c r="C7" s="73">
        <v>413.18556036900003</v>
      </c>
      <c r="D7" s="71">
        <v>465.59960485200003</v>
      </c>
      <c r="E7" s="73">
        <v>592.93209341700003</v>
      </c>
      <c r="F7" s="73">
        <v>638.62153900399994</v>
      </c>
      <c r="G7" s="72">
        <f t="shared" si="0"/>
        <v>7.7056793002545785</v>
      </c>
      <c r="H7" s="72">
        <f t="shared" si="1"/>
        <v>54.560468771868933</v>
      </c>
      <c r="I7" s="72">
        <f t="shared" si="2"/>
        <v>37.161099869704209</v>
      </c>
    </row>
    <row r="8" spans="2:9" ht="24.95" customHeight="1" thickBot="1">
      <c r="B8" s="52" t="s">
        <v>143</v>
      </c>
      <c r="C8" s="74">
        <v>67.73507545599999</v>
      </c>
      <c r="D8" s="71">
        <v>61.586585044999978</v>
      </c>
      <c r="E8" s="74">
        <v>41.454893943999956</v>
      </c>
      <c r="F8" s="74">
        <v>43.498392927999973</v>
      </c>
      <c r="G8" s="72">
        <f t="shared" si="0"/>
        <v>4.9294517235058235</v>
      </c>
      <c r="H8" s="72">
        <f t="shared" si="1"/>
        <v>-35.781583418688179</v>
      </c>
      <c r="I8" s="72">
        <f t="shared" si="2"/>
        <v>-29.370344375781443</v>
      </c>
    </row>
    <row r="9" spans="2:9" ht="24.95" customHeight="1" thickBot="1">
      <c r="B9" s="52" t="s">
        <v>144</v>
      </c>
      <c r="C9" s="71">
        <v>78.623008019000011</v>
      </c>
      <c r="D9" s="71">
        <v>60.880443903999996</v>
      </c>
      <c r="E9" s="71">
        <v>136.62904470000001</v>
      </c>
      <c r="F9" s="71">
        <v>139.14897846599999</v>
      </c>
      <c r="G9" s="72">
        <f t="shared" si="0"/>
        <v>1.844361695957887</v>
      </c>
      <c r="H9" s="72">
        <f t="shared" si="1"/>
        <v>76.982516914607601</v>
      </c>
      <c r="I9" s="72">
        <f t="shared" si="2"/>
        <v>128.56104447171671</v>
      </c>
    </row>
    <row r="10" spans="2:9" ht="24.95" customHeight="1" thickBot="1">
      <c r="B10" s="52" t="s">
        <v>145</v>
      </c>
      <c r="C10" s="71">
        <v>195.00219073</v>
      </c>
      <c r="D10" s="71">
        <v>200.53107857779679</v>
      </c>
      <c r="E10" s="71">
        <v>214.18018059040503</v>
      </c>
      <c r="F10" s="71">
        <v>243.903892437667</v>
      </c>
      <c r="G10" s="72">
        <f t="shared" si="0"/>
        <v>13.877900263846144</v>
      </c>
      <c r="H10" s="72">
        <f t="shared" si="1"/>
        <v>25.077514013868846</v>
      </c>
      <c r="I10" s="72">
        <f t="shared" si="2"/>
        <v>21.628973507487299</v>
      </c>
    </row>
    <row r="11" spans="2:9" s="16" customFormat="1" ht="24.95" customHeight="1" thickBot="1">
      <c r="B11" s="75" t="s">
        <v>146</v>
      </c>
      <c r="C11" s="76">
        <f>SUM(C5:C10)</f>
        <v>1222.11794529949</v>
      </c>
      <c r="D11" s="76">
        <f>SUM(D5:D10)</f>
        <v>1276.6477031032043</v>
      </c>
      <c r="E11" s="76">
        <f t="shared" ref="E11:F11" si="3">SUM(E5:E10)</f>
        <v>1428.0219798174053</v>
      </c>
      <c r="F11" s="76">
        <f t="shared" si="3"/>
        <v>1524.4322368996545</v>
      </c>
      <c r="G11" s="77">
        <f t="shared" si="0"/>
        <v>6.7513146467519212</v>
      </c>
      <c r="H11" s="77">
        <f t="shared" si="1"/>
        <v>24.736916167782805</v>
      </c>
      <c r="I11" s="77">
        <f t="shared" si="2"/>
        <v>19.408998519650279</v>
      </c>
    </row>
    <row r="12" spans="2:9" ht="24.95" customHeight="1">
      <c r="E12" s="11"/>
    </row>
    <row r="13" spans="2:9" ht="24.95" customHeight="1">
      <c r="E13" s="14"/>
    </row>
  </sheetData>
  <mergeCells count="9">
    <mergeCell ref="B1:I1"/>
    <mergeCell ref="H3:H4"/>
    <mergeCell ref="I3:I4"/>
    <mergeCell ref="B3:B4"/>
    <mergeCell ref="C3:C4"/>
    <mergeCell ref="D3:D4"/>
    <mergeCell ref="E3:E4"/>
    <mergeCell ref="F3:F4"/>
    <mergeCell ref="G3:G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K17"/>
  <sheetViews>
    <sheetView zoomScale="80" zoomScaleNormal="80" workbookViewId="0">
      <selection activeCell="I2" sqref="I2"/>
    </sheetView>
  </sheetViews>
  <sheetFormatPr defaultColWidth="9.140625" defaultRowHeight="24.95" customHeight="1"/>
  <cols>
    <col min="2" max="2" width="28.28515625" customWidth="1"/>
    <col min="3" max="3" width="15.140625" customWidth="1"/>
    <col min="4" max="6" width="12.140625" customWidth="1"/>
    <col min="7" max="7" width="13.28515625" customWidth="1"/>
    <col min="8" max="8" width="12.140625" customWidth="1"/>
    <col min="9" max="9" width="12.85546875" customWidth="1"/>
  </cols>
  <sheetData>
    <row r="1" spans="2:11" ht="24.95" customHeight="1">
      <c r="B1" s="190" t="s">
        <v>147</v>
      </c>
      <c r="C1" s="190"/>
      <c r="D1" s="190"/>
      <c r="E1" s="190"/>
      <c r="F1" s="190"/>
      <c r="G1" s="190"/>
      <c r="H1" s="190"/>
      <c r="I1" s="190"/>
    </row>
    <row r="2" spans="2:11" ht="24.95" customHeight="1" thickBot="1">
      <c r="I2" s="139" t="s">
        <v>1</v>
      </c>
    </row>
    <row r="3" spans="2:11" s="16" customFormat="1" ht="35.25" customHeight="1">
      <c r="B3" s="191" t="s">
        <v>138</v>
      </c>
      <c r="C3" s="193" t="s">
        <v>139</v>
      </c>
      <c r="D3" s="193" t="s">
        <v>4</v>
      </c>
      <c r="E3" s="193" t="s">
        <v>5</v>
      </c>
      <c r="F3" s="193" t="s">
        <v>6</v>
      </c>
      <c r="G3" s="193" t="s">
        <v>7</v>
      </c>
      <c r="H3" s="193" t="s">
        <v>8</v>
      </c>
      <c r="I3" s="193" t="s">
        <v>9</v>
      </c>
    </row>
    <row r="4" spans="2:11" s="16" customFormat="1" ht="35.25" customHeight="1" thickBot="1">
      <c r="B4" s="192"/>
      <c r="C4" s="194"/>
      <c r="D4" s="173"/>
      <c r="E4" s="194"/>
      <c r="F4" s="194"/>
      <c r="G4" s="194"/>
      <c r="H4" s="194"/>
      <c r="I4" s="194"/>
    </row>
    <row r="5" spans="2:11" ht="24.95" customHeight="1" thickBot="1">
      <c r="B5" s="52" t="s">
        <v>140</v>
      </c>
      <c r="C5" s="29">
        <f>3750063029.83778/10^7</f>
        <v>375.00630298377803</v>
      </c>
      <c r="D5" s="29">
        <v>382.57277806076274</v>
      </c>
      <c r="E5" s="29">
        <f>3931187104.03961/10^7</f>
        <v>393.11871040396102</v>
      </c>
      <c r="F5" s="29">
        <v>391.84094528239416</v>
      </c>
      <c r="G5" s="30">
        <f t="shared" ref="G5:G11" si="0">(F5-E5)/E5*100</f>
        <v>-0.32503289407259506</v>
      </c>
      <c r="H5" s="30">
        <f t="shared" ref="H5:H11" si="1">(F5-C5)/C5*100</f>
        <v>4.4891624926486529</v>
      </c>
      <c r="I5" s="30">
        <f t="shared" ref="I5:I10" si="2">(F5-D5)/D5*100</f>
        <v>2.4225893093102884</v>
      </c>
      <c r="J5" s="12"/>
    </row>
    <row r="6" spans="2:11" ht="24.95" customHeight="1" thickBot="1">
      <c r="B6" s="52" t="s">
        <v>141</v>
      </c>
      <c r="C6" s="29">
        <f>381403640.257224/10^7</f>
        <v>38.140364025722405</v>
      </c>
      <c r="D6" s="29">
        <v>41.948380302999368</v>
      </c>
      <c r="E6" s="78">
        <f>551228986.538221/10^7</f>
        <v>55.122898653822098</v>
      </c>
      <c r="F6" s="78">
        <f>550498740.547495/10^7</f>
        <v>55.049874054749502</v>
      </c>
      <c r="G6" s="30">
        <f t="shared" si="0"/>
        <v>-0.13247597796189697</v>
      </c>
      <c r="H6" s="30">
        <f t="shared" si="1"/>
        <v>44.334946613574743</v>
      </c>
      <c r="I6" s="30">
        <f t="shared" si="2"/>
        <v>31.232418646717946</v>
      </c>
      <c r="J6" s="12"/>
    </row>
    <row r="7" spans="2:11" ht="24.95" customHeight="1" thickBot="1">
      <c r="B7" s="52" t="s">
        <v>142</v>
      </c>
      <c r="C7" s="29">
        <f>4179758423.39026/10^7</f>
        <v>417.97584233902603</v>
      </c>
      <c r="D7" s="29">
        <v>419.99484314379083</v>
      </c>
      <c r="E7" s="78">
        <f>4682596280.5287/10^7</f>
        <v>468.25962805286997</v>
      </c>
      <c r="F7" s="78">
        <f>4818582473.79593/10^7</f>
        <v>481.85824737959297</v>
      </c>
      <c r="G7" s="30">
        <f t="shared" si="0"/>
        <v>2.9040768223536908</v>
      </c>
      <c r="H7" s="30">
        <f t="shared" si="1"/>
        <v>15.283755320182124</v>
      </c>
      <c r="I7" s="30">
        <f t="shared" si="2"/>
        <v>14.72956281385159</v>
      </c>
      <c r="J7" s="12"/>
      <c r="K7" s="20"/>
    </row>
    <row r="8" spans="2:11" ht="24.95" customHeight="1" thickBot="1">
      <c r="B8" s="52" t="s">
        <v>143</v>
      </c>
      <c r="C8" s="79">
        <f>744746692.062891/10^7</f>
        <v>74.474669206289107</v>
      </c>
      <c r="D8" s="29">
        <v>72.458255471789229</v>
      </c>
      <c r="E8" s="78">
        <f>515098647.678261/10^7</f>
        <v>51.509864767826102</v>
      </c>
      <c r="F8" s="78">
        <f>506858606.840434/10^7</f>
        <v>50.685860684043405</v>
      </c>
      <c r="G8" s="30">
        <f t="shared" si="0"/>
        <v>-1.5997015086271069</v>
      </c>
      <c r="H8" s="30">
        <f t="shared" si="1"/>
        <v>-31.942147277421977</v>
      </c>
      <c r="I8" s="30">
        <f t="shared" si="2"/>
        <v>-30.048190707851987</v>
      </c>
      <c r="J8" s="12"/>
    </row>
    <row r="9" spans="2:11" ht="24.95" customHeight="1" thickBot="1">
      <c r="B9" s="52" t="s">
        <v>144</v>
      </c>
      <c r="C9" s="29">
        <f>918144070.468908/10^7</f>
        <v>91.814407046890793</v>
      </c>
      <c r="D9" s="29">
        <v>86.512386756234832</v>
      </c>
      <c r="E9" s="29">
        <f>1171201713.92264/10^7</f>
        <v>117.12017139226401</v>
      </c>
      <c r="F9" s="29">
        <f>1190984283.52944/10^7</f>
        <v>119.098428352944</v>
      </c>
      <c r="G9" s="30">
        <f t="shared" si="0"/>
        <v>1.6890830479186376</v>
      </c>
      <c r="H9" s="30">
        <f t="shared" si="1"/>
        <v>29.716492415094404</v>
      </c>
      <c r="I9" s="30">
        <f t="shared" si="2"/>
        <v>37.666330589776187</v>
      </c>
      <c r="J9" s="12"/>
    </row>
    <row r="10" spans="2:11" ht="24.95" customHeight="1" thickBot="1">
      <c r="B10" s="52" t="s">
        <v>145</v>
      </c>
      <c r="C10" s="29">
        <f>970597240.910816/10^7</f>
        <v>97.059724091081591</v>
      </c>
      <c r="D10" s="29">
        <v>117.14078033741305</v>
      </c>
      <c r="E10" s="29">
        <f>1613242407.08127/10^7</f>
        <v>161.32424070812701</v>
      </c>
      <c r="F10" s="29">
        <f>1680633404.86501/10^7</f>
        <v>168.063340486501</v>
      </c>
      <c r="G10" s="30">
        <f t="shared" si="0"/>
        <v>4.1773633948580562</v>
      </c>
      <c r="H10" s="30">
        <f t="shared" si="1"/>
        <v>73.154562369030714</v>
      </c>
      <c r="I10" s="30">
        <f t="shared" si="2"/>
        <v>43.471248870299725</v>
      </c>
      <c r="J10" s="12"/>
    </row>
    <row r="11" spans="2:11" ht="24.95" customHeight="1" thickBot="1">
      <c r="B11" s="80" t="s">
        <v>146</v>
      </c>
      <c r="C11" s="79">
        <f>SUM(C5:C10)</f>
        <v>1094.4713096927881</v>
      </c>
      <c r="D11" s="29">
        <f>SUM(D5:D10)</f>
        <v>1120.6274240729899</v>
      </c>
      <c r="E11" s="29">
        <f t="shared" ref="E11:F11" si="3">SUM(E5:E10)</f>
        <v>1246.4555139788704</v>
      </c>
      <c r="F11" s="29">
        <f t="shared" si="3"/>
        <v>1266.5966962402251</v>
      </c>
      <c r="G11" s="30">
        <f t="shared" si="0"/>
        <v>1.6158765423613966</v>
      </c>
      <c r="H11" s="30">
        <f t="shared" si="1"/>
        <v>15.726806634680237</v>
      </c>
      <c r="I11" s="30">
        <f t="shared" ref="I11" si="4">(F11-D11)/D11*100</f>
        <v>13.025673745936079</v>
      </c>
      <c r="J11" s="12"/>
    </row>
    <row r="12" spans="2:11" ht="24.95" customHeight="1">
      <c r="F12" s="12"/>
    </row>
    <row r="17" spans="7:7" ht="24.95" customHeight="1">
      <c r="G17" s="11"/>
    </row>
  </sheetData>
  <mergeCells count="9">
    <mergeCell ref="B1:I1"/>
    <mergeCell ref="B3:B4"/>
    <mergeCell ref="C3:C4"/>
    <mergeCell ref="D3:D4"/>
    <mergeCell ref="I3:I4"/>
    <mergeCell ref="E3:E4"/>
    <mergeCell ref="F3:F4"/>
    <mergeCell ref="H3:H4"/>
    <mergeCell ref="G3:G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Rushika Gawade</cp:lastModifiedBy>
  <cp:revision/>
  <dcterms:created xsi:type="dcterms:W3CDTF">2006-09-16T00:00:00Z</dcterms:created>
  <dcterms:modified xsi:type="dcterms:W3CDTF">2024-02-26T08:16:23Z</dcterms:modified>
  <cp:category/>
  <cp:contentStatus/>
</cp:coreProperties>
</file>