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A324" i="1" l="1"/>
  <c r="Z324" i="1"/>
  <c r="Y324" i="1"/>
  <c r="X324" i="1"/>
  <c r="W324" i="1"/>
  <c r="V324" i="1"/>
  <c r="U324" i="1"/>
  <c r="T324" i="1"/>
  <c r="S324" i="1"/>
  <c r="R324" i="1"/>
  <c r="Q324" i="1"/>
  <c r="P324" i="1"/>
  <c r="AC319" i="1"/>
  <c r="AB319" i="1"/>
  <c r="AD318" i="1"/>
  <c r="AE318" i="1" s="1"/>
  <c r="AC317" i="1"/>
  <c r="AE317" i="1" s="1"/>
  <c r="AB317" i="1"/>
  <c r="AC316" i="1"/>
  <c r="AB316" i="1"/>
  <c r="AC315" i="1"/>
  <c r="AB315" i="1"/>
  <c r="AC314" i="1"/>
  <c r="AB314" i="1"/>
  <c r="AC313" i="1"/>
  <c r="AB313" i="1"/>
  <c r="AD312" i="1"/>
  <c r="AE312" i="1" s="1"/>
  <c r="AD311" i="1"/>
  <c r="AE311" i="1" s="1"/>
  <c r="AC310" i="1"/>
  <c r="AB310" i="1"/>
  <c r="AC309" i="1"/>
  <c r="AB309" i="1"/>
  <c r="AD308" i="1"/>
  <c r="AD307" i="1"/>
  <c r="AE307" i="1" s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AD302" i="1"/>
  <c r="AE302" i="1" s="1"/>
  <c r="AD301" i="1"/>
  <c r="AE301" i="1" s="1"/>
  <c r="AD300" i="1"/>
  <c r="AE300" i="1" s="1"/>
  <c r="AC299" i="1"/>
  <c r="AB299" i="1"/>
  <c r="AC298" i="1"/>
  <c r="AB298" i="1"/>
  <c r="AD297" i="1"/>
  <c r="AE297" i="1" s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AC291" i="1"/>
  <c r="AB291" i="1"/>
  <c r="AD290" i="1"/>
  <c r="AE290" i="1" s="1"/>
  <c r="AD289" i="1"/>
  <c r="AE289" i="1" s="1"/>
  <c r="AC288" i="1"/>
  <c r="AB288" i="1"/>
  <c r="AD287" i="1"/>
  <c r="AE287" i="1" s="1"/>
  <c r="AC286" i="1"/>
  <c r="AB286" i="1"/>
  <c r="AC285" i="1"/>
  <c r="AB285" i="1"/>
  <c r="AD284" i="1"/>
  <c r="AC283" i="1"/>
  <c r="AB283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AD278" i="1"/>
  <c r="AE278" i="1" s="1"/>
  <c r="AC277" i="1"/>
  <c r="AB277" i="1"/>
  <c r="AD276" i="1"/>
  <c r="AE276" i="1" s="1"/>
  <c r="AD275" i="1"/>
  <c r="AE275" i="1" s="1"/>
  <c r="AD274" i="1"/>
  <c r="AE274" i="1" s="1"/>
  <c r="AD273" i="1"/>
  <c r="AE273" i="1" s="1"/>
  <c r="AC272" i="1"/>
  <c r="AB272" i="1"/>
  <c r="AB279" i="1" s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AD266" i="1"/>
  <c r="AE266" i="1" s="1"/>
  <c r="AC265" i="1"/>
  <c r="AB265" i="1"/>
  <c r="AD264" i="1"/>
  <c r="AD268" i="1" s="1"/>
  <c r="AC263" i="1"/>
  <c r="AB263" i="1"/>
  <c r="AC262" i="1"/>
  <c r="AB262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AD254" i="1"/>
  <c r="AE254" i="1" s="1"/>
  <c r="AC253" i="1"/>
  <c r="AB253" i="1"/>
  <c r="AC252" i="1"/>
  <c r="AB252" i="1"/>
  <c r="AC251" i="1"/>
  <c r="AB251" i="1"/>
  <c r="AD250" i="1"/>
  <c r="AC249" i="1"/>
  <c r="AB249" i="1"/>
  <c r="AC248" i="1"/>
  <c r="AB248" i="1"/>
  <c r="AD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AC238" i="1"/>
  <c r="AB238" i="1"/>
  <c r="AC237" i="1"/>
  <c r="AB237" i="1"/>
  <c r="AC236" i="1"/>
  <c r="AB236" i="1"/>
  <c r="AC235" i="1"/>
  <c r="AB235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AC229" i="1"/>
  <c r="AB229" i="1"/>
  <c r="AC228" i="1"/>
  <c r="AB228" i="1"/>
  <c r="AC227" i="1"/>
  <c r="AB227" i="1"/>
  <c r="AC226" i="1"/>
  <c r="AB226" i="1"/>
  <c r="AC225" i="1"/>
  <c r="AB225" i="1"/>
  <c r="AD224" i="1"/>
  <c r="AE224" i="1" s="1"/>
  <c r="AD223" i="1"/>
  <c r="AE223" i="1" s="1"/>
  <c r="AD222" i="1"/>
  <c r="AE222" i="1" s="1"/>
  <c r="AD221" i="1"/>
  <c r="AC220" i="1"/>
  <c r="AB220" i="1"/>
  <c r="AC219" i="1"/>
  <c r="AB219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AD212" i="1"/>
  <c r="AE212" i="1" s="1"/>
  <c r="AD211" i="1"/>
  <c r="AE211" i="1" s="1"/>
  <c r="AC210" i="1"/>
  <c r="AB210" i="1"/>
  <c r="AC209" i="1"/>
  <c r="AB209" i="1"/>
  <c r="AC208" i="1"/>
  <c r="AB208" i="1"/>
  <c r="AD207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AD199" i="1"/>
  <c r="AD203" i="1" s="1"/>
  <c r="AC198" i="1"/>
  <c r="AB198" i="1"/>
  <c r="AC197" i="1"/>
  <c r="AB197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AC192" i="1"/>
  <c r="AB192" i="1"/>
  <c r="AD191" i="1"/>
  <c r="AE191" i="1" s="1"/>
  <c r="AD190" i="1"/>
  <c r="AC189" i="1"/>
  <c r="AC193" i="1" s="1"/>
  <c r="AB189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AD184" i="1"/>
  <c r="AE184" i="1" s="1"/>
  <c r="AC183" i="1"/>
  <c r="AB183" i="1"/>
  <c r="AD182" i="1"/>
  <c r="AE182" i="1" s="1"/>
  <c r="AC181" i="1"/>
  <c r="AB181" i="1"/>
  <c r="AC180" i="1"/>
  <c r="AE180" i="1" s="1"/>
  <c r="AB180" i="1"/>
  <c r="AD179" i="1"/>
  <c r="AE179" i="1" s="1"/>
  <c r="AC177" i="1"/>
  <c r="AB177" i="1"/>
  <c r="AC176" i="1"/>
  <c r="AB176" i="1"/>
  <c r="AC175" i="1"/>
  <c r="AB175" i="1"/>
  <c r="AD174" i="1"/>
  <c r="AD173" i="1"/>
  <c r="AE173" i="1" s="1"/>
  <c r="AC172" i="1"/>
  <c r="AB172" i="1"/>
  <c r="AD171" i="1"/>
  <c r="AE171" i="1" s="1"/>
  <c r="AC170" i="1"/>
  <c r="AB170" i="1"/>
  <c r="AD169" i="1"/>
  <c r="AA165" i="1"/>
  <c r="Z165" i="1"/>
  <c r="Y165" i="1"/>
  <c r="X165" i="1"/>
  <c r="W165" i="1"/>
  <c r="V165" i="1"/>
  <c r="U165" i="1"/>
  <c r="T165" i="1"/>
  <c r="S165" i="1"/>
  <c r="Q165" i="1"/>
  <c r="P165" i="1"/>
  <c r="AD164" i="1"/>
  <c r="AE164" i="1" s="1"/>
  <c r="AD163" i="1"/>
  <c r="AC162" i="1"/>
  <c r="AB162" i="1"/>
  <c r="AC161" i="1"/>
  <c r="AB161" i="1"/>
  <c r="R161" i="1"/>
  <c r="R165" i="1" s="1"/>
  <c r="AC160" i="1"/>
  <c r="AB160" i="1"/>
  <c r="AC159" i="1"/>
  <c r="AB159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AC151" i="1"/>
  <c r="AB151" i="1"/>
  <c r="AC150" i="1"/>
  <c r="AB150" i="1"/>
  <c r="AD149" i="1"/>
  <c r="AE149" i="1" s="1"/>
  <c r="AD148" i="1"/>
  <c r="AE148" i="1" s="1"/>
  <c r="AC147" i="1"/>
  <c r="AB147" i="1"/>
  <c r="AD146" i="1"/>
  <c r="AE146" i="1" s="1"/>
  <c r="AD144" i="1"/>
  <c r="AE144" i="1" s="1"/>
  <c r="AD143" i="1"/>
  <c r="AE143" i="1" s="1"/>
  <c r="AD142" i="1"/>
  <c r="AE142" i="1" s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AC135" i="1"/>
  <c r="AB135" i="1"/>
  <c r="AD134" i="1"/>
  <c r="AE134" i="1" s="1"/>
  <c r="AD133" i="1"/>
  <c r="AD132" i="1"/>
  <c r="AE132" i="1" s="1"/>
  <c r="AC131" i="1"/>
  <c r="AB131" i="1"/>
  <c r="AD130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AD125" i="1"/>
  <c r="AE125" i="1" s="1"/>
  <c r="AC124" i="1"/>
  <c r="AB124" i="1"/>
  <c r="AC123" i="1"/>
  <c r="AB123" i="1"/>
  <c r="AC122" i="1"/>
  <c r="AB122" i="1"/>
  <c r="AD121" i="1"/>
  <c r="AE121" i="1" s="1"/>
  <c r="AD120" i="1"/>
  <c r="AE120" i="1" s="1"/>
  <c r="AC119" i="1"/>
  <c r="AB119" i="1"/>
  <c r="AD118" i="1"/>
  <c r="AC117" i="1"/>
  <c r="AB117" i="1"/>
  <c r="AA113" i="1"/>
  <c r="Z113" i="1"/>
  <c r="Y113" i="1"/>
  <c r="X113" i="1"/>
  <c r="W113" i="1"/>
  <c r="V113" i="1"/>
  <c r="U113" i="1"/>
  <c r="S113" i="1"/>
  <c r="R113" i="1"/>
  <c r="Q113" i="1"/>
  <c r="P113" i="1"/>
  <c r="AD110" i="1"/>
  <c r="T110" i="1"/>
  <c r="T113" i="1" s="1"/>
  <c r="AD109" i="1"/>
  <c r="AE109" i="1" s="1"/>
  <c r="AD108" i="1"/>
  <c r="AE108" i="1" s="1"/>
  <c r="AC107" i="1"/>
  <c r="AB107" i="1"/>
  <c r="AC105" i="1"/>
  <c r="AB105" i="1"/>
  <c r="AD104" i="1"/>
  <c r="AD103" i="1"/>
  <c r="AE103" i="1" s="1"/>
  <c r="AD102" i="1"/>
  <c r="AE102" i="1" s="1"/>
  <c r="AD101" i="1"/>
  <c r="AE101" i="1" s="1"/>
  <c r="AC100" i="1"/>
  <c r="AB100" i="1"/>
  <c r="AA96" i="1"/>
  <c r="Z96" i="1"/>
  <c r="Y96" i="1"/>
  <c r="X96" i="1"/>
  <c r="W96" i="1"/>
  <c r="V96" i="1"/>
  <c r="U96" i="1"/>
  <c r="T96" i="1"/>
  <c r="S96" i="1"/>
  <c r="R96" i="1"/>
  <c r="Q96" i="1"/>
  <c r="P96" i="1"/>
  <c r="AD92" i="1"/>
  <c r="AE92" i="1" s="1"/>
  <c r="AB91" i="1"/>
  <c r="AD90" i="1"/>
  <c r="AE90" i="1" s="1"/>
  <c r="AC89" i="1"/>
  <c r="AB89" i="1"/>
  <c r="AC88" i="1"/>
  <c r="AB88" i="1"/>
  <c r="AC87" i="1"/>
  <c r="AB87" i="1"/>
  <c r="AC86" i="1"/>
  <c r="AB86" i="1"/>
  <c r="AE86" i="1" s="1"/>
  <c r="AD85" i="1"/>
  <c r="AD84" i="1"/>
  <c r="AA80" i="1"/>
  <c r="Z80" i="1"/>
  <c r="Y80" i="1"/>
  <c r="X80" i="1"/>
  <c r="W80" i="1"/>
  <c r="V80" i="1"/>
  <c r="U80" i="1"/>
  <c r="T80" i="1"/>
  <c r="S80" i="1"/>
  <c r="R80" i="1"/>
  <c r="Q80" i="1"/>
  <c r="P80" i="1"/>
  <c r="AD79" i="1"/>
  <c r="AE79" i="1" s="1"/>
  <c r="AD78" i="1"/>
  <c r="AC77" i="1"/>
  <c r="AB77" i="1"/>
  <c r="AD76" i="1"/>
  <c r="AE76" i="1" s="1"/>
  <c r="AD75" i="1"/>
  <c r="AE75" i="1" s="1"/>
  <c r="AC74" i="1"/>
  <c r="AB74" i="1"/>
  <c r="AC73" i="1"/>
  <c r="AB73" i="1"/>
  <c r="AA69" i="1"/>
  <c r="Z69" i="1"/>
  <c r="Y69" i="1"/>
  <c r="X69" i="1"/>
  <c r="W69" i="1"/>
  <c r="V69" i="1"/>
  <c r="U69" i="1"/>
  <c r="T69" i="1"/>
  <c r="S69" i="1"/>
  <c r="R69" i="1"/>
  <c r="Q69" i="1"/>
  <c r="P69" i="1"/>
  <c r="AC67" i="1"/>
  <c r="AB67" i="1"/>
  <c r="AC66" i="1"/>
  <c r="AB66" i="1"/>
  <c r="AC65" i="1"/>
  <c r="AB65" i="1"/>
  <c r="AD64" i="1"/>
  <c r="AC63" i="1"/>
  <c r="AB63" i="1"/>
  <c r="AD62" i="1"/>
  <c r="AC61" i="1"/>
  <c r="AB61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A46" i="1"/>
  <c r="Z46" i="1"/>
  <c r="Y46" i="1"/>
  <c r="X46" i="1"/>
  <c r="W46" i="1"/>
  <c r="V46" i="1"/>
  <c r="U46" i="1"/>
  <c r="T46" i="1"/>
  <c r="S46" i="1"/>
  <c r="R46" i="1"/>
  <c r="Q46" i="1"/>
  <c r="P46" i="1"/>
  <c r="AC41" i="1"/>
  <c r="AC46" i="1" s="1"/>
  <c r="AB41" i="1"/>
  <c r="AB46" i="1" s="1"/>
  <c r="AD40" i="1"/>
  <c r="AE40" i="1" s="1"/>
  <c r="AD37" i="1"/>
  <c r="AE37" i="1" s="1"/>
  <c r="AD36" i="1"/>
  <c r="AE36" i="1" s="1"/>
  <c r="AD35" i="1"/>
  <c r="AE35" i="1" s="1"/>
  <c r="AD34" i="1"/>
  <c r="AA30" i="1"/>
  <c r="Z30" i="1"/>
  <c r="Y30" i="1"/>
  <c r="X30" i="1"/>
  <c r="W30" i="1"/>
  <c r="V30" i="1"/>
  <c r="U30" i="1"/>
  <c r="T30" i="1"/>
  <c r="S30" i="1"/>
  <c r="R30" i="1"/>
  <c r="Q30" i="1"/>
  <c r="P30" i="1"/>
  <c r="AC28" i="1"/>
  <c r="AB28" i="1"/>
  <c r="AD27" i="1"/>
  <c r="AD30" i="1" s="1"/>
  <c r="AC26" i="1"/>
  <c r="AB26" i="1"/>
  <c r="AC25" i="1"/>
  <c r="AB25" i="1"/>
  <c r="AC24" i="1"/>
  <c r="AB24" i="1"/>
  <c r="AE24" i="1" s="1"/>
  <c r="AA20" i="1"/>
  <c r="Z20" i="1"/>
  <c r="Y20" i="1"/>
  <c r="X20" i="1"/>
  <c r="W20" i="1"/>
  <c r="V20" i="1"/>
  <c r="U20" i="1"/>
  <c r="T20" i="1"/>
  <c r="S20" i="1"/>
  <c r="R20" i="1"/>
  <c r="Q20" i="1"/>
  <c r="P20" i="1"/>
  <c r="AD18" i="1"/>
  <c r="AE18" i="1" s="1"/>
  <c r="AC17" i="1"/>
  <c r="AB17" i="1"/>
  <c r="AD16" i="1"/>
  <c r="AE16" i="1" s="1"/>
  <c r="AD15" i="1"/>
  <c r="AE15" i="1" s="1"/>
  <c r="AC14" i="1"/>
  <c r="AC20" i="1" s="1"/>
  <c r="AB14" i="1"/>
  <c r="AD13" i="1"/>
  <c r="AE13" i="1" s="1"/>
  <c r="AA9" i="1"/>
  <c r="Z9" i="1"/>
  <c r="Y9" i="1"/>
  <c r="X9" i="1"/>
  <c r="W9" i="1"/>
  <c r="V9" i="1"/>
  <c r="U9" i="1"/>
  <c r="T9" i="1"/>
  <c r="S9" i="1"/>
  <c r="R9" i="1"/>
  <c r="Q9" i="1"/>
  <c r="P9" i="1"/>
  <c r="AC6" i="1"/>
  <c r="AB6" i="1"/>
  <c r="AE6" i="1" s="1"/>
  <c r="AC5" i="1"/>
  <c r="AB5" i="1"/>
  <c r="AC4" i="1"/>
  <c r="AB4" i="1"/>
  <c r="AC3" i="1"/>
  <c r="AB3" i="1"/>
  <c r="AD2" i="1"/>
  <c r="AD9" i="1" s="1"/>
  <c r="AE17" i="1" l="1"/>
  <c r="AD193" i="1"/>
  <c r="AE192" i="1"/>
  <c r="AE208" i="1"/>
  <c r="AE251" i="1"/>
  <c r="AE265" i="1"/>
  <c r="AE286" i="1"/>
  <c r="AE310" i="1"/>
  <c r="AE177" i="1"/>
  <c r="AE28" i="1"/>
  <c r="AE65" i="1"/>
  <c r="AE67" i="1"/>
  <c r="AE74" i="1"/>
  <c r="AE89" i="1"/>
  <c r="AE117" i="1"/>
  <c r="AE199" i="1"/>
  <c r="AB215" i="1"/>
  <c r="AE283" i="1"/>
  <c r="AE288" i="1"/>
  <c r="AE291" i="1"/>
  <c r="AC324" i="1"/>
  <c r="AC258" i="1"/>
  <c r="AE264" i="1"/>
  <c r="AE162" i="1"/>
  <c r="AC244" i="1"/>
  <c r="AE313" i="1"/>
  <c r="AE315" i="1"/>
  <c r="AE319" i="1"/>
  <c r="AE183" i="1"/>
  <c r="AE225" i="1"/>
  <c r="AE229" i="1"/>
  <c r="AE253" i="1"/>
  <c r="AC279" i="1"/>
  <c r="AD46" i="1"/>
  <c r="AE63" i="1"/>
  <c r="AC113" i="1"/>
  <c r="AE119" i="1"/>
  <c r="AE122" i="1"/>
  <c r="AE131" i="1"/>
  <c r="AE160" i="1"/>
  <c r="AE226" i="1"/>
  <c r="AE252" i="1"/>
  <c r="AC268" i="1"/>
  <c r="AB293" i="1"/>
  <c r="AB303" i="1"/>
  <c r="AD69" i="1"/>
  <c r="AE3" i="1"/>
  <c r="AE25" i="1"/>
  <c r="AE66" i="1"/>
  <c r="AB80" i="1"/>
  <c r="AE77" i="1"/>
  <c r="AC96" i="1"/>
  <c r="AC138" i="1"/>
  <c r="AB165" i="1"/>
  <c r="AE170" i="1"/>
  <c r="AB193" i="1"/>
  <c r="AE219" i="1"/>
  <c r="AD230" i="1"/>
  <c r="AE277" i="1"/>
  <c r="AC303" i="1"/>
  <c r="AE14" i="1"/>
  <c r="AE41" i="1"/>
  <c r="AE107" i="1"/>
  <c r="AC230" i="1"/>
  <c r="AE20" i="1"/>
  <c r="AE100" i="1"/>
  <c r="AE105" i="1"/>
  <c r="AD113" i="1"/>
  <c r="AE123" i="1"/>
  <c r="AE151" i="1"/>
  <c r="AE161" i="1"/>
  <c r="AD165" i="1"/>
  <c r="AC185" i="1"/>
  <c r="AE198" i="1"/>
  <c r="AE220" i="1"/>
  <c r="AE237" i="1"/>
  <c r="AE244" i="1" s="1"/>
  <c r="AE249" i="1"/>
  <c r="AE262" i="1"/>
  <c r="AE272" i="1"/>
  <c r="AE279" i="1" s="1"/>
  <c r="AE299" i="1"/>
  <c r="AE303" i="1" s="1"/>
  <c r="AE27" i="1"/>
  <c r="AE73" i="1"/>
  <c r="AD96" i="1"/>
  <c r="AB138" i="1"/>
  <c r="AC155" i="1"/>
  <c r="AE176" i="1"/>
  <c r="AE221" i="1"/>
  <c r="AE248" i="1"/>
  <c r="AE285" i="1"/>
  <c r="AE316" i="1"/>
  <c r="AC9" i="1"/>
  <c r="AC69" i="1"/>
  <c r="AD155" i="1"/>
  <c r="AB203" i="1"/>
  <c r="AC215" i="1"/>
  <c r="AE227" i="1"/>
  <c r="AC126" i="1"/>
  <c r="AC165" i="1"/>
  <c r="AD20" i="1"/>
  <c r="AE26" i="1"/>
  <c r="AE34" i="1"/>
  <c r="AC80" i="1"/>
  <c r="AE85" i="1"/>
  <c r="AB96" i="1"/>
  <c r="AE87" i="1"/>
  <c r="AE110" i="1"/>
  <c r="AD138" i="1"/>
  <c r="AD185" i="1"/>
  <c r="AE172" i="1"/>
  <c r="AE197" i="1"/>
  <c r="AE203" i="1" s="1"/>
  <c r="AD279" i="1"/>
  <c r="AD293" i="1"/>
  <c r="AE4" i="1"/>
  <c r="AB30" i="1"/>
  <c r="AE62" i="1"/>
  <c r="AD80" i="1"/>
  <c r="AB113" i="1"/>
  <c r="AD126" i="1"/>
  <c r="AE118" i="1"/>
  <c r="AE130" i="1"/>
  <c r="AE147" i="1"/>
  <c r="AE159" i="1"/>
  <c r="AE169" i="1"/>
  <c r="AB244" i="1"/>
  <c r="AD324" i="1"/>
  <c r="AE308" i="1"/>
  <c r="AD258" i="1"/>
  <c r="AE250" i="1"/>
  <c r="AB9" i="1"/>
  <c r="AB20" i="1"/>
  <c r="AC30" i="1"/>
  <c r="AD57" i="1"/>
  <c r="AE50" i="1"/>
  <c r="AE57" i="1" s="1"/>
  <c r="AB69" i="1"/>
  <c r="AE61" i="1"/>
  <c r="AE88" i="1"/>
  <c r="AB126" i="1"/>
  <c r="AB155" i="1"/>
  <c r="AB185" i="1"/>
  <c r="AD215" i="1"/>
  <c r="AE207" i="1"/>
  <c r="AC293" i="1"/>
  <c r="AD303" i="1"/>
  <c r="AB324" i="1"/>
  <c r="AC203" i="1"/>
  <c r="AB230" i="1"/>
  <c r="AB258" i="1"/>
  <c r="AE190" i="1"/>
  <c r="AE193" i="1" s="1"/>
  <c r="AE263" i="1"/>
  <c r="AB268" i="1"/>
  <c r="AE284" i="1"/>
  <c r="AE215" i="1" l="1"/>
  <c r="AE9" i="1"/>
  <c r="AE155" i="1"/>
  <c r="AE46" i="1"/>
  <c r="AE293" i="1"/>
  <c r="AE138" i="1"/>
  <c r="AE30" i="1"/>
  <c r="AE268" i="1"/>
  <c r="AE324" i="1"/>
  <c r="AE258" i="1"/>
  <c r="AE185" i="1"/>
  <c r="AE126" i="1"/>
  <c r="AE165" i="1"/>
  <c r="AE113" i="1"/>
  <c r="AE80" i="1"/>
  <c r="AE230" i="1"/>
  <c r="AE96" i="1"/>
  <c r="AE69" i="1"/>
</calcChain>
</file>

<file path=xl/sharedStrings.xml><?xml version="1.0" encoding="utf-8"?>
<sst xmlns="http://schemas.openxmlformats.org/spreadsheetml/2006/main" count="4983" uniqueCount="2178">
  <si>
    <t>As Per Actual Sale Details</t>
  </si>
  <si>
    <t>As Per Client Invoice Details</t>
  </si>
  <si>
    <t>Gst Calculation</t>
  </si>
  <si>
    <t>Gst Details</t>
  </si>
  <si>
    <t>Remark</t>
  </si>
  <si>
    <t>Other Status</t>
  </si>
  <si>
    <t>DATE</t>
  </si>
  <si>
    <t>SERVICES</t>
  </si>
  <si>
    <t>COMPANY NAME</t>
  </si>
  <si>
    <t>BRAND NAME</t>
  </si>
  <si>
    <t>CLIENT NAME</t>
  </si>
  <si>
    <t>MOBILE NUMBER</t>
  </si>
  <si>
    <t>EMAIL ID</t>
  </si>
  <si>
    <t>GST</t>
  </si>
  <si>
    <t>DEAL ID</t>
  </si>
  <si>
    <t>INVOICE NO</t>
  </si>
  <si>
    <t>REPRESENTATIVE</t>
  </si>
  <si>
    <t>SOURCE</t>
  </si>
  <si>
    <t>CITY</t>
  </si>
  <si>
    <t>STATE</t>
  </si>
  <si>
    <t>MODE</t>
  </si>
  <si>
    <t>DEAL AMOUNT</t>
  </si>
  <si>
    <t>AMOUNT RECEIVED</t>
  </si>
  <si>
    <t>OUTSTANDING</t>
  </si>
  <si>
    <t>TCS</t>
  </si>
  <si>
    <t>GOVT FEES</t>
  </si>
  <si>
    <t>ASSOCIATE FEES</t>
  </si>
  <si>
    <t>NET INCOME</t>
  </si>
  <si>
    <t>PROFESSIONAL FEES</t>
  </si>
  <si>
    <t>DRAFTING/ PROCEEDING FEES</t>
  </si>
  <si>
    <t>DRAFTING/ PROCEEDING/ PROFESSIONAL FEES</t>
  </si>
  <si>
    <t>TOTAL PROFESSIONAL AMOUNT</t>
  </si>
  <si>
    <t>CGST 9%</t>
  </si>
  <si>
    <t>SGST 9%</t>
  </si>
  <si>
    <t>IGST 18%</t>
  </si>
  <si>
    <t>ROUND OFF</t>
  </si>
  <si>
    <t>INVOICE</t>
  </si>
  <si>
    <t>LEGAL REMARKS</t>
  </si>
  <si>
    <t>ACCOUNT</t>
  </si>
  <si>
    <t>INVOICE MAIL STATUS</t>
  </si>
  <si>
    <t>GAG RECEIVED</t>
  </si>
  <si>
    <t>BIFURCATION (GOVT &amp; ASSO. FEES)</t>
  </si>
  <si>
    <t>ISO 9001-2015 NON IAF (QCS)</t>
  </si>
  <si>
    <t>(KAC) Kerala Ayur Care</t>
  </si>
  <si>
    <t>M K Nazeer</t>
  </si>
  <si>
    <t>mrwoods.india@gmail.com</t>
  </si>
  <si>
    <t>-</t>
  </si>
  <si>
    <t>LE-366/22-23</t>
  </si>
  <si>
    <t>TXN-269/2022-2023</t>
  </si>
  <si>
    <t>Deepak Panchal</t>
  </si>
  <si>
    <t>Rabbit - Old DM</t>
  </si>
  <si>
    <t>Chennai</t>
  </si>
  <si>
    <t>Tamil Nadu</t>
  </si>
  <si>
    <t>NEFT - IDFC First Bank Current Account</t>
  </si>
  <si>
    <t>Amt-2950/- received in IDFC AC DT.01.06.22</t>
  </si>
  <si>
    <t>Sent to client</t>
  </si>
  <si>
    <t>Asso:-590/-</t>
  </si>
  <si>
    <t>Trademark (Filling &amp; Reply Filling)</t>
  </si>
  <si>
    <t>Asva Foods</t>
  </si>
  <si>
    <t>Asva Foods (class 43)</t>
  </si>
  <si>
    <t>Vikas Baban Hande</t>
  </si>
  <si>
    <t>vbhande1982@rediffmail.com</t>
  </si>
  <si>
    <t>LE-367/22-23</t>
  </si>
  <si>
    <t>PO-138/2022-2023</t>
  </si>
  <si>
    <t>Raghuvir</t>
  </si>
  <si>
    <t>DM - TM No Price</t>
  </si>
  <si>
    <t>Navi Mumbai</t>
  </si>
  <si>
    <t>Maharashtra</t>
  </si>
  <si>
    <t>IMPS - IDFC First Bank Current Account</t>
  </si>
  <si>
    <t>Amt-6000/- received in IDFC AC DT.01.06.22</t>
  </si>
  <si>
    <t>Govt:-4870/-,Asso:-250+250</t>
  </si>
  <si>
    <t>Trademark ( Filling &amp; Reply Filling )</t>
  </si>
  <si>
    <t>Galaxy Electrical Accessories</t>
  </si>
  <si>
    <t>Harish Chandra</t>
  </si>
  <si>
    <t>renterpricess@gmail.com</t>
  </si>
  <si>
    <t>27AUIPS6679P1ZC</t>
  </si>
  <si>
    <t>LE-368/22-23</t>
  </si>
  <si>
    <t>TXN-270/2022-2023</t>
  </si>
  <si>
    <t>Seema</t>
  </si>
  <si>
    <t>Ref. FB Client ( Associate )</t>
  </si>
  <si>
    <t>Mumbai</t>
  </si>
  <si>
    <t>Ranger Enterprises</t>
  </si>
  <si>
    <t>Amt-8040/- received in IDFC AC DT.01.06.22</t>
  </si>
  <si>
    <t>ISO 9001:2015(QCS)(NON IAF)</t>
  </si>
  <si>
    <t>Yash Engineering Solutions</t>
  </si>
  <si>
    <t>Babita Vinod Panda</t>
  </si>
  <si>
    <t>9892637672/9022207672</t>
  </si>
  <si>
    <t>sales@engg-soln.com/ vinod@engg-soln.com</t>
  </si>
  <si>
    <t>27BCJPP4437J2Z5</t>
  </si>
  <si>
    <t>LE-369/22-23</t>
  </si>
  <si>
    <t>TXN-271/2022-2023</t>
  </si>
  <si>
    <t>Moinuddin Khan</t>
  </si>
  <si>
    <t>Tiger-Old DM</t>
  </si>
  <si>
    <t>Kalyan</t>
  </si>
  <si>
    <t>Amt-3540/- received in IDFC AC DT.01.06.22</t>
  </si>
  <si>
    <t>Trademark Renewal</t>
  </si>
  <si>
    <t>Indian Techno Accessories Co</t>
  </si>
  <si>
    <t>Kushal Pabbun</t>
  </si>
  <si>
    <t>9370755888/9503955888</t>
  </si>
  <si>
    <t>info@itac.co.in</t>
  </si>
  <si>
    <t>27AJHPP8342E1Z1</t>
  </si>
  <si>
    <t>LE-370/22-23</t>
  </si>
  <si>
    <t>TXN-272/2022-2023</t>
  </si>
  <si>
    <t>Padma</t>
  </si>
  <si>
    <t>DM - TM 6345</t>
  </si>
  <si>
    <t>Pune</t>
  </si>
  <si>
    <t>Payment Received dt.16/05/22 Rs.12540/- &amp; 4500/-dt.03/06/22</t>
  </si>
  <si>
    <t>Amt-12540/- DT.16.05.22 and Amt-4500/- DT.03.06.22 received in IDFC AC.</t>
  </si>
  <si>
    <t>Govt:-9000/-</t>
  </si>
  <si>
    <t>Trademark Raid</t>
  </si>
  <si>
    <t>Vandana Hospital</t>
  </si>
  <si>
    <t>Vandana Multispeciality Hospital</t>
  </si>
  <si>
    <t>Chandrashekhar Uikey</t>
  </si>
  <si>
    <t>amitvishwakarma0784@gmail.com</t>
  </si>
  <si>
    <t>LE-371/22-23</t>
  </si>
  <si>
    <t>NTX-63/2022-2023</t>
  </si>
  <si>
    <t>Tushar</t>
  </si>
  <si>
    <t>Old Client</t>
  </si>
  <si>
    <t>Bilaspur</t>
  </si>
  <si>
    <t>Chhattisgarh</t>
  </si>
  <si>
    <t>RTGS- Vijay Pal SVC Bank Savings Account</t>
  </si>
  <si>
    <t>Payment Received dt.01/06/22</t>
  </si>
  <si>
    <t>Amt-150000/- received in Rajpal Ji AC DT.03.06.22</t>
  </si>
  <si>
    <t>Sent to tushar sir</t>
  </si>
  <si>
    <t>Sandeep Agarwal</t>
  </si>
  <si>
    <t>Outstanding Received</t>
  </si>
  <si>
    <t>Dashmesh Enterprises</t>
  </si>
  <si>
    <t>Alaxi (Class 11)</t>
  </si>
  <si>
    <t>Baljinder Singh</t>
  </si>
  <si>
    <t>sballjinder@gmail.com</t>
  </si>
  <si>
    <t>05DUOPS5469E1Z2</t>
  </si>
  <si>
    <t>LE-328/22-23</t>
  </si>
  <si>
    <t>TXN-273/2022-2023</t>
  </si>
  <si>
    <t>Sahil Tambe</t>
  </si>
  <si>
    <t>DM-TM No Price</t>
  </si>
  <si>
    <t>Dehradun</t>
  </si>
  <si>
    <t>Uttarakhand</t>
  </si>
  <si>
    <t>Total</t>
  </si>
  <si>
    <t>Trademark (Only Filling) &amp; MSME</t>
  </si>
  <si>
    <t>Tea Trolls</t>
  </si>
  <si>
    <t>Tea Trolls (class 43)</t>
  </si>
  <si>
    <t>Amit Malvi</t>
  </si>
  <si>
    <t>7000785074/9479465357</t>
  </si>
  <si>
    <t>amitmalvi62@gmail.com</t>
  </si>
  <si>
    <t>LE-372/22-23</t>
  </si>
  <si>
    <t>PO-157/2022-2023</t>
  </si>
  <si>
    <t>Chhindwara</t>
  </si>
  <si>
    <t>Madhya Pradesh</t>
  </si>
  <si>
    <t>Payment Received in two part Rs.1500+2000</t>
  </si>
  <si>
    <t>Amt-2000/- and Amt-1500/- received in IDFC AC DT.02.06.22</t>
  </si>
  <si>
    <t>ISO 9001:2015 ( QCS) (NON IAF)</t>
  </si>
  <si>
    <t>Vaishnavi Packers</t>
  </si>
  <si>
    <t>Bablu Murlidhar Shinde</t>
  </si>
  <si>
    <t>9850050141/9921966621</t>
  </si>
  <si>
    <t>acbabalu@rediffmail.com</t>
  </si>
  <si>
    <t>27BOKPS6150L1ZB</t>
  </si>
  <si>
    <t>LE-373/22-23</t>
  </si>
  <si>
    <t>TXN-275/2022-2023</t>
  </si>
  <si>
    <t>Chetan</t>
  </si>
  <si>
    <t>Tiger - Old DM - TM</t>
  </si>
  <si>
    <t>Yevatmal</t>
  </si>
  <si>
    <t>Amt-3000/- received in IDFC AC DT.02.06.22</t>
  </si>
  <si>
    <t>Trademark (Counter Statement)</t>
  </si>
  <si>
    <t>Marwa Cement Industries Pvt Ltd</t>
  </si>
  <si>
    <t>Marwa Shalimar Gold Cement ((Class 19))</t>
  </si>
  <si>
    <t>Mohd Ibrahim</t>
  </si>
  <si>
    <t>marwa.cements@aditya-group.co.in</t>
  </si>
  <si>
    <t>09AACCM1758N1Z0</t>
  </si>
  <si>
    <t>LE-374/22-23</t>
  </si>
  <si>
    <t>TXN-276/2022-2023</t>
  </si>
  <si>
    <t>Asim</t>
  </si>
  <si>
    <t>Old DM Lead Ref Client</t>
  </si>
  <si>
    <t>Amethi</t>
  </si>
  <si>
    <t>Uttar Pradesh</t>
  </si>
  <si>
    <t>Marwa Cement Industries P.ltd</t>
  </si>
  <si>
    <t>Amt-6590/- received in IDFC AC DT.02.06.22</t>
  </si>
  <si>
    <t>Govt:-2700/-</t>
  </si>
  <si>
    <t>ISO 9001:2015 (QCS)</t>
  </si>
  <si>
    <t>Bera Jewels LLP</t>
  </si>
  <si>
    <t>Pavitro Bera</t>
  </si>
  <si>
    <t>berajewel@gmail.com</t>
  </si>
  <si>
    <t>24AASFB1109K1ZI</t>
  </si>
  <si>
    <t>LE-375/22-23</t>
  </si>
  <si>
    <t>TXN-277/2022-2023</t>
  </si>
  <si>
    <t>Iqbal</t>
  </si>
  <si>
    <t>Tiger</t>
  </si>
  <si>
    <t>Ahmedabad</t>
  </si>
  <si>
    <t>Gujarat</t>
  </si>
  <si>
    <t>Amt-2499/- received in IDFC AC DT.02.06.22</t>
  </si>
  <si>
    <t>Trademark (Only Filing)</t>
  </si>
  <si>
    <t>Zuromine</t>
  </si>
  <si>
    <t>Mohammed Zubair Undre</t>
  </si>
  <si>
    <t>zubair.undre66@gmail.com</t>
  </si>
  <si>
    <t>27AABCZ5126E1ZF</t>
  </si>
  <si>
    <t>LE-376/22-23</t>
  </si>
  <si>
    <t>TXN-278/2022-2023</t>
  </si>
  <si>
    <t>Juned</t>
  </si>
  <si>
    <t>Old DM Lead - Ref</t>
  </si>
  <si>
    <t>Zurain Enterprises Pvt Ltd</t>
  </si>
  <si>
    <t>Amt-7250/- received in IDFC AC DT.02.06.22</t>
  </si>
  <si>
    <t>Govt:-4870/-, Asso:-250/-</t>
  </si>
  <si>
    <t>2 Trademark (Only Filing)</t>
  </si>
  <si>
    <t>Vilcart Solutions Private Limited</t>
  </si>
  <si>
    <t>Aramane - A Product From House Of Vilcart/ Vilmaa</t>
  </si>
  <si>
    <t>Prashanth Prakash</t>
  </si>
  <si>
    <t>7829223666/9886685857</t>
  </si>
  <si>
    <t>accounts@vilcart.in / accounts@vilcart.in</t>
  </si>
  <si>
    <t>29AAGCV4428E1Z7</t>
  </si>
  <si>
    <t>LE-377/22-23</t>
  </si>
  <si>
    <t>TXN-279/2022-2023</t>
  </si>
  <si>
    <t>Old Tawk To - Ref</t>
  </si>
  <si>
    <t>Bangalore</t>
  </si>
  <si>
    <t>Karnataka</t>
  </si>
  <si>
    <t>IMPS - Kotak Bank Current Account</t>
  </si>
  <si>
    <t>Amt-14080/- received KOTAK TRF DONE IDFC AC DT.03.06.22</t>
  </si>
  <si>
    <t>Govt:-4870+4500, Asso:-250+250</t>
  </si>
  <si>
    <t>Bluewell Enterprises</t>
  </si>
  <si>
    <t>Mohammed Ayub Khokar</t>
  </si>
  <si>
    <t>bluewellenterprises2006@Gmail.com</t>
  </si>
  <si>
    <t>27AECFS3748H1ZT</t>
  </si>
  <si>
    <t>LE-194/22-23</t>
  </si>
  <si>
    <t>TXN-274/2022-2023</t>
  </si>
  <si>
    <t>Aparna</t>
  </si>
  <si>
    <t>DM 18/09/2020 gulpreet client (WC Aparna)</t>
  </si>
  <si>
    <t>Sameena Enterprises</t>
  </si>
  <si>
    <t>GST Calculation</t>
  </si>
  <si>
    <t>Reply Filing &amp; 2 Court Hearings</t>
  </si>
  <si>
    <t>Aadinath Jewellers</t>
  </si>
  <si>
    <t>Anayra The Beauty Of Happiness (Application No - 5381698)</t>
  </si>
  <si>
    <t>Kiran Sureshkumar Jain</t>
  </si>
  <si>
    <t>kiranjain776@gmail.com</t>
  </si>
  <si>
    <t>27AOLPJ5426N1ZF</t>
  </si>
  <si>
    <t>LE-378/22-23</t>
  </si>
  <si>
    <t>TXN-280/2022-2023</t>
  </si>
  <si>
    <t>DM - 999(20/10/2018)</t>
  </si>
  <si>
    <t>Amt-7500/- received in IDFC AC DT.03.06.22</t>
  </si>
  <si>
    <t>Reply filing :-250+1000+1000</t>
  </si>
  <si>
    <t>Fssai State Trading 5 Years</t>
  </si>
  <si>
    <t>Stalwart Business Consortium LLP</t>
  </si>
  <si>
    <t>Divyashikha Gupta &amp; Venkateswaran Subramanian</t>
  </si>
  <si>
    <t>9766564158 / 9820602244</t>
  </si>
  <si>
    <t>rajasi@stalwartworld.com / sv@stalwartmanagement.com</t>
  </si>
  <si>
    <t>27ADMFS5507K1ZL</t>
  </si>
  <si>
    <t>LE-379/22-23</t>
  </si>
  <si>
    <t>TXN-281/2022-2023</t>
  </si>
  <si>
    <t>Old DM - Ref</t>
  </si>
  <si>
    <t>Amt-17670/- received in IDFC AC DT.03.06.22</t>
  </si>
  <si>
    <t>Govt:-10000/-, Asso:-1500/-</t>
  </si>
  <si>
    <t>ISO 9001:2015 (ROHS) ( IAF)</t>
  </si>
  <si>
    <t>Artistic Impresions</t>
  </si>
  <si>
    <t>Hansa Kishan Sewani</t>
  </si>
  <si>
    <t>artisticimpressionshvj@gmail.com</t>
  </si>
  <si>
    <t>27AGEPJ5323K1ZD</t>
  </si>
  <si>
    <t>LE-380/22-23</t>
  </si>
  <si>
    <t>PO-158/2022-2023</t>
  </si>
  <si>
    <t>Sagar</t>
  </si>
  <si>
    <t>DM - MAY 2019 - CLIENT REF (SUJIT KUMAR)</t>
  </si>
  <si>
    <t>Artistic Impressions</t>
  </si>
  <si>
    <t>Amt-8666/- received in IDFC AC DT.03.06.22</t>
  </si>
  <si>
    <t>Asso:-4720/-</t>
  </si>
  <si>
    <t>Divine Logistics</t>
  </si>
  <si>
    <t>Karsan Hamir Chaiya</t>
  </si>
  <si>
    <t>Logistics@divine81.com</t>
  </si>
  <si>
    <t>24ADJPC9484A2ZP</t>
  </si>
  <si>
    <t>LE-381/22-23</t>
  </si>
  <si>
    <t>TXN-282/2022-2023</t>
  </si>
  <si>
    <t>Bds Sms - May 2019 - Client Ref (bhavin Meheta)</t>
  </si>
  <si>
    <t>Kachchh</t>
  </si>
  <si>
    <t>Amt-12560/- received in IDFC AC DT.03.06.22</t>
  </si>
  <si>
    <t>ISO 9001-2015 ( QCS Non-IAF)</t>
  </si>
  <si>
    <t>Nemat Residential Academy</t>
  </si>
  <si>
    <t>Saber Ahmad Shaikh</t>
  </si>
  <si>
    <t>saber.career@gmail.com / support@nematresidentialacademy.org / principal@nematresidentialacademy.org</t>
  </si>
  <si>
    <t>LE-382/22-23</t>
  </si>
  <si>
    <t>TXN-283/2022-2023</t>
  </si>
  <si>
    <t>DM TM NO Price</t>
  </si>
  <si>
    <t>Aurangabad</t>
  </si>
  <si>
    <t>Amt-3000/- received in IDFC AC DT.03.06.22</t>
  </si>
  <si>
    <t>FMZ India Holding Pvt Ltd</t>
  </si>
  <si>
    <t>C7 Property Developers - Class 37</t>
  </si>
  <si>
    <t>Khan Abdul Zahir Brahmavara</t>
  </si>
  <si>
    <t>9108101524 / 9972721524</t>
  </si>
  <si>
    <t>fmzindia@gmail.com / zahir06@gmail.com</t>
  </si>
  <si>
    <t>LE-18/22-23</t>
  </si>
  <si>
    <t>Outstanding Pending</t>
  </si>
  <si>
    <t>Santosh</t>
  </si>
  <si>
    <t>TM-NO Prices</t>
  </si>
  <si>
    <t>Mangalore</t>
  </si>
  <si>
    <t>2 Trademark (Filling &amp; Reply Filling)</t>
  </si>
  <si>
    <t>Bhim Sweets Corner</t>
  </si>
  <si>
    <t>Bhim Sweets / Bhim Ji Class 30 &amp; Class 43</t>
  </si>
  <si>
    <t>Mohit Sharma</t>
  </si>
  <si>
    <t>sharma95mohit19@gmail.com</t>
  </si>
  <si>
    <t>03AFIPS3399M1ZS</t>
  </si>
  <si>
    <t>LE-383/22-23</t>
  </si>
  <si>
    <t>TXN-284/2022-2023</t>
  </si>
  <si>
    <t>Hoshiarpur</t>
  </si>
  <si>
    <t>Punjab</t>
  </si>
  <si>
    <t>(Either from two names, client have not decided he will give us confirmation in 1 day)</t>
  </si>
  <si>
    <t>Amt-16690/- received in IDFC AC DT.05.06.22</t>
  </si>
  <si>
    <t>Govt:-4870+4500, Asso:-500+500</t>
  </si>
  <si>
    <t>3 Trademark (Only Filling)</t>
  </si>
  <si>
    <t>RK Enterprises</t>
  </si>
  <si>
    <t>Mqube (class 7,9,11)</t>
  </si>
  <si>
    <t>Harshit Kumar Sharma</t>
  </si>
  <si>
    <t>hrsonu.sharma1@gmail.com</t>
  </si>
  <si>
    <t>LE-384/22-23</t>
  </si>
  <si>
    <t>PO-162/2022-2023</t>
  </si>
  <si>
    <t>Bareilly</t>
  </si>
  <si>
    <t>Amt-6500/- received in IDFC AC DT.04.06.22</t>
  </si>
  <si>
    <t>Govt :-4870+4500+4500, Asso:-250+250+250</t>
  </si>
  <si>
    <t>ISO QCS 9001-2015</t>
  </si>
  <si>
    <t>Nityadhara Protein</t>
  </si>
  <si>
    <t>Nilesh Patel</t>
  </si>
  <si>
    <t>Nileshpatel6677@gmail.com</t>
  </si>
  <si>
    <t>24HLIPS4251R2Z8</t>
  </si>
  <si>
    <t>LE-385/22-23</t>
  </si>
  <si>
    <t>TXN-285/2022-2023</t>
  </si>
  <si>
    <t>DM-FB - TM-7999 01-02-2020 ( Associate )</t>
  </si>
  <si>
    <t>Surat</t>
  </si>
  <si>
    <t>Nilesh M Sachpara</t>
  </si>
  <si>
    <t>Amt-3056/- received in IDFC AC DT.04.06.22</t>
  </si>
  <si>
    <t>ISO 45001 (QCS) ( NON IAF)</t>
  </si>
  <si>
    <t>LE-386/22-23</t>
  </si>
  <si>
    <t>TXN-286/2022-2023</t>
  </si>
  <si>
    <t>Bds Sms - May 2019 - Client Ref (Bhavin Mehta)</t>
  </si>
  <si>
    <t>Amt-7800/- received in IDFC AC DT.04.06.22</t>
  </si>
  <si>
    <t>Asso:-826</t>
  </si>
  <si>
    <t>ISO 9001:2015 (QCS) (NON IAF)</t>
  </si>
  <si>
    <t>Sunrise Foundation</t>
  </si>
  <si>
    <t>Parmar Udaysinh Bipinbhai</t>
  </si>
  <si>
    <t>vipul.hindocha@yahoo.com</t>
  </si>
  <si>
    <t>LE-387/22-23</t>
  </si>
  <si>
    <t>NTX-64/2022-2023</t>
  </si>
  <si>
    <t>Old Client (July -20- Ref Client )</t>
  </si>
  <si>
    <t>Bhavnagar</t>
  </si>
  <si>
    <t>G-pay - Vijay Pal SVC Bank Savings Account</t>
  </si>
  <si>
    <t>Vipul Hindocha</t>
  </si>
  <si>
    <t>Amt-4790/- recevied in Anuj ji (Vijay Pal) AC DT.06.06.22</t>
  </si>
  <si>
    <t>Central license (FSSAI),&amp; ISO 9001:2015 IAF (DUBAI DAC)</t>
  </si>
  <si>
    <t>Aventure Agro Enterprise</t>
  </si>
  <si>
    <t>Darbar Vijaysinh</t>
  </si>
  <si>
    <t>Aventure_agro@hotmail.com/ankit190391@gmail.com</t>
  </si>
  <si>
    <t>24ABSFA2126N1Z8</t>
  </si>
  <si>
    <t>LE-388/22-23</t>
  </si>
  <si>
    <t>PO-125/2022-2023</t>
  </si>
  <si>
    <t>Deepak Panchal/Melroy Dcosta</t>
  </si>
  <si>
    <t>Mehsana</t>
  </si>
  <si>
    <t>Amt-12000/- received in IDFC AC DT.02.06.22</t>
  </si>
  <si>
    <t>Govt:-7570.8/-, Asso:-2360/-</t>
  </si>
  <si>
    <t>Trademark ( Filling and Reply Filling )</t>
  </si>
  <si>
    <t>3pm Cake Studio</t>
  </si>
  <si>
    <t>3pm Cake Studio Class 30</t>
  </si>
  <si>
    <t>Sunny Patel</t>
  </si>
  <si>
    <t>nirmitpatel1993@gmail.com</t>
  </si>
  <si>
    <t>LE-389/22-23</t>
  </si>
  <si>
    <t>PO-163/2022-2023</t>
  </si>
  <si>
    <t>TM-6345 4/25/2022</t>
  </si>
  <si>
    <t>V V NAGAR</t>
  </si>
  <si>
    <t>Amt-5000/- received in IDFC AC DT.04.06.22</t>
  </si>
  <si>
    <t>Govt:-4870/-, Asso:-500/-</t>
  </si>
  <si>
    <t>Pvt Ltd Company Registration, GST and MSME ( Only 1 Director DSC )</t>
  </si>
  <si>
    <t>Peshwai Hospitality Services</t>
  </si>
  <si>
    <t>Harshawardhan Sunil Bendbhar</t>
  </si>
  <si>
    <t>peshwai.hspl@gmail.com</t>
  </si>
  <si>
    <t>LE-390/22-23</t>
  </si>
  <si>
    <t>TXN-287/2022-2023</t>
  </si>
  <si>
    <t>DM- ISO - 3999 10/1/2021</t>
  </si>
  <si>
    <t>Amt-11000/- received in IDFC AC DT.04.06.22</t>
  </si>
  <si>
    <t>Govt:-2582/-, Asso:2500/-</t>
  </si>
  <si>
    <t>Acormek/Fabb</t>
  </si>
  <si>
    <t>Acormek - class - 20</t>
  </si>
  <si>
    <t>Sufiyan Khan</t>
  </si>
  <si>
    <t>acormek0101@gmail.com</t>
  </si>
  <si>
    <t>23KNSPK4153B1ZY</t>
  </si>
  <si>
    <t>LE-230/22-23</t>
  </si>
  <si>
    <t>Refrence client</t>
  </si>
  <si>
    <t>Indore</t>
  </si>
  <si>
    <t>My Tech</t>
  </si>
  <si>
    <t>Smart Educare Academy</t>
  </si>
  <si>
    <t>Smart educare academy Class 41 User date 10/01/2017</t>
  </si>
  <si>
    <t>Shakir</t>
  </si>
  <si>
    <t>Katochshakir786@gmail.com</t>
  </si>
  <si>
    <t>LE-1393</t>
  </si>
  <si>
    <t>TXN-288/2022-2023</t>
  </si>
  <si>
    <t>Ref.client</t>
  </si>
  <si>
    <t>Kanhaa Educational Institutions</t>
  </si>
  <si>
    <t>Kanhai Chandra Pal</t>
  </si>
  <si>
    <t>kanhaaji@gmail.com</t>
  </si>
  <si>
    <t>LE-167/22-23</t>
  </si>
  <si>
    <t>Sarvesh</t>
  </si>
  <si>
    <t>FB Lead TM-999</t>
  </si>
  <si>
    <t>Rudrapur</t>
  </si>
  <si>
    <t>B S Enterprises</t>
  </si>
  <si>
    <t>Binay Choubey</t>
  </si>
  <si>
    <t>kunalguha@live.com</t>
  </si>
  <si>
    <t>29AAICG3089N2ZT</t>
  </si>
  <si>
    <t>LE-1476</t>
  </si>
  <si>
    <t>Ref. (Vendor)</t>
  </si>
  <si>
    <t>Bengaluru</t>
  </si>
  <si>
    <t>IMPS- IDFC First Bank Current Account</t>
  </si>
  <si>
    <t>Global Business Line</t>
  </si>
  <si>
    <t>Payment Received dt.22/04/22</t>
  </si>
  <si>
    <t>Goodwill Services</t>
  </si>
  <si>
    <t>Dr.Gadget Repair Centre (class 37 (device Mark)</t>
  </si>
  <si>
    <t>Vikas Prasad</t>
  </si>
  <si>
    <t>goodwill.vikas@gmail.com</t>
  </si>
  <si>
    <t>11AOEPP6649E1Z1</t>
  </si>
  <si>
    <t>LE-391/22-23</t>
  </si>
  <si>
    <t>TXN-289/2022-2023</t>
  </si>
  <si>
    <t>Gangtok</t>
  </si>
  <si>
    <t>Sikkim</t>
  </si>
  <si>
    <t>Amt-9325/- received in IDFC AC DT.06.06.22</t>
  </si>
  <si>
    <t>Govt:-4870/- Asso:-500/-</t>
  </si>
  <si>
    <t>Dr. Choice Pathlabs</t>
  </si>
  <si>
    <t>Dr. Choice Pathlabs ( Class - 44 &amp; 45 / Logo Not Add )</t>
  </si>
  <si>
    <t>Dr. Karan Balyan</t>
  </si>
  <si>
    <t>drchoicepathlabs@gmail.com</t>
  </si>
  <si>
    <t>LE-392/22-23</t>
  </si>
  <si>
    <t>TXN-290/2022-2023</t>
  </si>
  <si>
    <t>Hiral</t>
  </si>
  <si>
    <t>TM No Price</t>
  </si>
  <si>
    <t>Rohtak</t>
  </si>
  <si>
    <t>Haryana</t>
  </si>
  <si>
    <t>UPI- IDFC First Bank Current Account</t>
  </si>
  <si>
    <t>Payment Received in two part Rs.8000+8999</t>
  </si>
  <si>
    <t>Amt-8000/- and Amt-8999/- received in IDFC AC DT.06.06.22</t>
  </si>
  <si>
    <t>Govt:-4870+4500/- Asso:-500+500</t>
  </si>
  <si>
    <t>2 Trademark Court Hearings</t>
  </si>
  <si>
    <t>Jhartech Solutions Pvt Ltd</t>
  </si>
  <si>
    <t>Nortonkit(class-9)</t>
  </si>
  <si>
    <t>Rajendra Raj</t>
  </si>
  <si>
    <t>88774 44477</t>
  </si>
  <si>
    <t>rajendraraj.dhn@gmail.com</t>
  </si>
  <si>
    <t>20AADCJ9931H1ZO</t>
  </si>
  <si>
    <t>LE-393/22-23</t>
  </si>
  <si>
    <t>TXN-291/2022-2023</t>
  </si>
  <si>
    <t>Dhanbad</t>
  </si>
  <si>
    <t>Jharkhand</t>
  </si>
  <si>
    <t>Jhartech</t>
  </si>
  <si>
    <t>Payment Received in three part Rs.2000+2000+1900</t>
  </si>
  <si>
    <t>Amt-2000/-,Amt-2000/- and Amt-1900/- received in IDFC AC DT.06.06.22</t>
  </si>
  <si>
    <t>Govt:-110/-</t>
  </si>
  <si>
    <t>ISO 9001:2015 QCS NON IAF &amp; ISO 22000:2018 QCS NON IAF</t>
  </si>
  <si>
    <t>Lehar Shree</t>
  </si>
  <si>
    <t>Manju Harsh</t>
  </si>
  <si>
    <t>leharshree@gmail.com</t>
  </si>
  <si>
    <t>08BUHPM9138D2ZE</t>
  </si>
  <si>
    <t>LE-394/22-23</t>
  </si>
  <si>
    <t>PO-166/2022-2023</t>
  </si>
  <si>
    <t>DM 999 - Social Media (19th Feb 2022)</t>
  </si>
  <si>
    <t>Jodhpur</t>
  </si>
  <si>
    <t>Rajasthan</t>
  </si>
  <si>
    <t>Amt-2000/- received in IDFC AC DT.06.06.22</t>
  </si>
  <si>
    <t>Asso:-590/-+944</t>
  </si>
  <si>
    <t>IEC</t>
  </si>
  <si>
    <t>Mantasa Traders</t>
  </si>
  <si>
    <t>Mohd Ishrat</t>
  </si>
  <si>
    <t>9897736143/9012558558</t>
  </si>
  <si>
    <t>Mantasatraders@gmail.com</t>
  </si>
  <si>
    <t>09AIKPI6577L1ZH</t>
  </si>
  <si>
    <t>LE-395/22-23</t>
  </si>
  <si>
    <t>TXN-292/2022-2023</t>
  </si>
  <si>
    <t>Tiger FB</t>
  </si>
  <si>
    <t>Amt-2500/- received in IDFC AC DT.06.06.22</t>
  </si>
  <si>
    <t>Govt:-500/-</t>
  </si>
  <si>
    <t>Sai Cool Solution</t>
  </si>
  <si>
    <t>Praveen</t>
  </si>
  <si>
    <t>9940319188/9003265759</t>
  </si>
  <si>
    <t>Praveen@coolroofcoating.in / Raju@coolroofcoating.in / Aarthi@coolroofcoating.in</t>
  </si>
  <si>
    <t>33AOKPM4909A2Z8</t>
  </si>
  <si>
    <t>LE-396/22-23</t>
  </si>
  <si>
    <t>TXN-293/2022-2023</t>
  </si>
  <si>
    <t>TM-6345</t>
  </si>
  <si>
    <t>Amt-2999/- received in IDFC AC DT.06.06.22</t>
  </si>
  <si>
    <t>Laturiwala Spices India Private Limited</t>
  </si>
  <si>
    <t>Pushpa Sahu</t>
  </si>
  <si>
    <t>sahuproduction1974@gmail.com</t>
  </si>
  <si>
    <t>LE-358/22-23</t>
  </si>
  <si>
    <t>TXN-294/2022-2023</t>
  </si>
  <si>
    <t>DM - Aug 2019 - Old</t>
  </si>
  <si>
    <t>Rajgarh</t>
  </si>
  <si>
    <t>Madhya Pardesh</t>
  </si>
  <si>
    <t>Fssai Basic 5 Years</t>
  </si>
  <si>
    <t>Sai Ram Hospitality-v8/The Fusion Eatery</t>
  </si>
  <si>
    <t>Mr. Vimal Umesh Khatri</t>
  </si>
  <si>
    <t>vimalkhatri13@gmail.com</t>
  </si>
  <si>
    <t>LE-397/22-23</t>
  </si>
  <si>
    <t>TXN-295/2022-2023</t>
  </si>
  <si>
    <t>Old DM Ref</t>
  </si>
  <si>
    <t>Amt-1500/- received in IDFC AC DT.07.06.22</t>
  </si>
  <si>
    <t>Govt:-614/-</t>
  </si>
  <si>
    <t>Trademark (Filling &amp; Reply Filling) &amp; MSME</t>
  </si>
  <si>
    <t>Tissa Skyscrapers Pvt Ltd</t>
  </si>
  <si>
    <t>Tissa Skyscrapers(class:37)</t>
  </si>
  <si>
    <t>Mr.Lala Manoranjan Singh</t>
  </si>
  <si>
    <t>9437988468/7008309149</t>
  </si>
  <si>
    <t>tissaskys@gmail.com</t>
  </si>
  <si>
    <t>21AAFCT1843E1ZT</t>
  </si>
  <si>
    <t>LE-398/22-23</t>
  </si>
  <si>
    <t>TXN-296/2022-2023</t>
  </si>
  <si>
    <t>Uday</t>
  </si>
  <si>
    <t>Bhubaneshwar</t>
  </si>
  <si>
    <t>Odisha</t>
  </si>
  <si>
    <t>Tissa Skyscrapers Private Limited</t>
  </si>
  <si>
    <t>Amt-8920/- received in IDFC AC DT.07.06.22</t>
  </si>
  <si>
    <t>Govt:-4870+500</t>
  </si>
  <si>
    <t>Rejoice</t>
  </si>
  <si>
    <t>Rejoice By Angelie (class :41)</t>
  </si>
  <si>
    <t>Mrs Tasneem Retiwala</t>
  </si>
  <si>
    <t>mailangelie@gmail.com</t>
  </si>
  <si>
    <t>LE-399/22-23</t>
  </si>
  <si>
    <t>TXN-297/2022-2023</t>
  </si>
  <si>
    <t>DM-Old Client(tushar Sir Ref)</t>
  </si>
  <si>
    <t>Rejoice By Angelie</t>
  </si>
  <si>
    <t>Amt-8040/- received in IDFC AC DT.07.06.22</t>
  </si>
  <si>
    <t>FSSAI Basic Modification</t>
  </si>
  <si>
    <t>LE-400/22-23</t>
  </si>
  <si>
    <t>TXN-298/2022-2023</t>
  </si>
  <si>
    <t>Combined payment received Rs.2000+1750 (Rs.750/- amount of this deal)</t>
  </si>
  <si>
    <t>Amt-2000/- and Amt-1750/- received in IDFC AC DT.07.06.22 (Old Outstanding Recevied)</t>
  </si>
  <si>
    <t>Govt:-101/-</t>
  </si>
  <si>
    <t>2 TM-O (Counter statement)</t>
  </si>
  <si>
    <t>Pingara Treat</t>
  </si>
  <si>
    <t>Pingara Treat (application No - 4433179)</t>
  </si>
  <si>
    <t>Gowrish Chandrashekhar Shetty</t>
  </si>
  <si>
    <t>guthufashionking@gmail.com</t>
  </si>
  <si>
    <t>LE-401/22-23</t>
  </si>
  <si>
    <t>PO-167/2022-2023</t>
  </si>
  <si>
    <t>Amt-5000/- received in IDFC AC DT.07.06.22</t>
  </si>
  <si>
    <t>Govt:-5400/-</t>
  </si>
  <si>
    <t>Geranium Life Sciences Private Limited</t>
  </si>
  <si>
    <t>Gerabona (class 5)</t>
  </si>
  <si>
    <t>Rajesh Singh</t>
  </si>
  <si>
    <t>geraniumlifesciences@gmail.com</t>
  </si>
  <si>
    <t>27AAICG2655E1ZN</t>
  </si>
  <si>
    <t>LE-402/22-23</t>
  </si>
  <si>
    <t>TXN-299/2022-2023</t>
  </si>
  <si>
    <t>Old Client( March 2020)</t>
  </si>
  <si>
    <t>Cheque - 000618 &amp; Deposited IDFC First Bank Current</t>
  </si>
  <si>
    <t>Amt-8040/- Cheque Clear in IDFC AC DT.09.06.22</t>
  </si>
  <si>
    <t>New Media Communication Pvt Ltd</t>
  </si>
  <si>
    <t>Know Disasters (class 41)</t>
  </si>
  <si>
    <t>Balbhadrakumar Ramkrishna Prasad Sinha/ 
kamaljit Satya Swaroop</t>
  </si>
  <si>
    <t>newmediacommunications@gmail.com</t>
  </si>
  <si>
    <t>27AABCN4177B1ZO</t>
  </si>
  <si>
    <t>LE-403/22-23</t>
  </si>
  <si>
    <t>TXN-300/2022-2023</t>
  </si>
  <si>
    <t>Old Client(Cold Calling - Aug 2019)</t>
  </si>
  <si>
    <t>New Media Communication Private Limited</t>
  </si>
  <si>
    <t>Amt-7540/- received in IDFC AC DT.06.06.22</t>
  </si>
  <si>
    <t>TXN-301/2022-2023</t>
  </si>
  <si>
    <t>Combined payment received Rs.2000+1750 (Rs.750/-this deal amount &amp; Rs.3000/-Old outstanding received)</t>
  </si>
  <si>
    <t>Trademark (Filling, Reply Filling) + MSME</t>
  </si>
  <si>
    <t>Payal Thakkar</t>
  </si>
  <si>
    <t>Phir Milenge by Payal Thakkar (Class 43/Logo Not Add)/Payal Thakkar's Munchbox(Class 43/Logo Not Add)</t>
  </si>
  <si>
    <t>Payal2425@gmail.com</t>
  </si>
  <si>
    <t>LE-404/22-23</t>
  </si>
  <si>
    <t>TXN-302/2022-2023</t>
  </si>
  <si>
    <t>DM - FSSAI and MSME</t>
  </si>
  <si>
    <t>Payment Gateway-Kotak Bank Current Account</t>
  </si>
  <si>
    <t>Payment Received dt.07/06/22</t>
  </si>
  <si>
    <t>Amt-22022.10/- received KOTAK TRF DONE IDFC AC DT.09.06.22</t>
  </si>
  <si>
    <t>Govt:-4870+4500,Asso:-500+500</t>
  </si>
  <si>
    <t>Aquasafeguard Water Treatment Co</t>
  </si>
  <si>
    <t>Blue Valley</t>
  </si>
  <si>
    <t>Mahesh Suresh Kawale</t>
  </si>
  <si>
    <t>aquasafeguard1950@gmail.com</t>
  </si>
  <si>
    <t>27BLDPK7629A1Z9</t>
  </si>
  <si>
    <t>LE-405/22-23</t>
  </si>
  <si>
    <t>PO-164/2022-2023</t>
  </si>
  <si>
    <t>Toll Free</t>
  </si>
  <si>
    <t>Amt-6340/- received in IDFC AC DT.08.06.22</t>
  </si>
  <si>
    <t>The Knowledge Tutorials - class - 41</t>
  </si>
  <si>
    <t>Kuppast Lailaben Sadanand</t>
  </si>
  <si>
    <t>Theknowledgetutorials@gmail.com</t>
  </si>
  <si>
    <t>LE-406/22-23</t>
  </si>
  <si>
    <t>PO-170/2022-2023</t>
  </si>
  <si>
    <t>Akshata &amp; Santosh</t>
  </si>
  <si>
    <t>FB - FSSAI and MSME</t>
  </si>
  <si>
    <t>The Knowledge Tutorials</t>
  </si>
  <si>
    <t>Amt-5000/- received in IDFC AC DT.08.06.22</t>
  </si>
  <si>
    <t>Trademark - 3 Hearing- Section -11</t>
  </si>
  <si>
    <t>Channel 99</t>
  </si>
  <si>
    <t>Hiren Jyani</t>
  </si>
  <si>
    <t>hnjyani@gmail.com</t>
  </si>
  <si>
    <t>LE-407/22-23</t>
  </si>
  <si>
    <t>TXN-303/2022-2023</t>
  </si>
  <si>
    <t>DM-TM- Old Client</t>
  </si>
  <si>
    <t>(Sandesh Sir)</t>
  </si>
  <si>
    <t>Amt-7360/- received in IDFC AC DT.08.06.22</t>
  </si>
  <si>
    <t>Bhoite Machine Tools And Accessories Private limited</t>
  </si>
  <si>
    <t>BMTA- Bhoite Machine Tools And Accessories (Class 7)</t>
  </si>
  <si>
    <t>Parthsarthi Bhoite / Maya Indramani Tiwari</t>
  </si>
  <si>
    <t>parth.bhoite@bmtaindia.com</t>
  </si>
  <si>
    <t>27AAJCB1068K1ZH</t>
  </si>
  <si>
    <t>LE-408/22-23</t>
  </si>
  <si>
    <t>TXN-304/2022-2023</t>
  </si>
  <si>
    <t>DM-TM-999</t>
  </si>
  <si>
    <t>Amt-7590/- received in IDFC AC DT.08.06.22</t>
  </si>
  <si>
    <t>Save Store (Class 35)</t>
  </si>
  <si>
    <t>Imsenpeirong Jamir</t>
  </si>
  <si>
    <t>96125 09257</t>
  </si>
  <si>
    <t>Peirong_j482@yahoo.com</t>
  </si>
  <si>
    <t>13ALHPJ7579F1ZX</t>
  </si>
  <si>
    <t>LE-409/22-23</t>
  </si>
  <si>
    <t>TXN-305/2022-2023</t>
  </si>
  <si>
    <t>DM Messenger</t>
  </si>
  <si>
    <t>Dimapur</t>
  </si>
  <si>
    <t>Nagaland</t>
  </si>
  <si>
    <t>Jamir Engineering</t>
  </si>
  <si>
    <t>Amt-9590/- received in IDFC AC DT.08.06.22</t>
  </si>
  <si>
    <t>GST Registration</t>
  </si>
  <si>
    <t>Krisparks Innovations Private Limited</t>
  </si>
  <si>
    <t>Akshaykumar Gopal Bagalkotkar</t>
  </si>
  <si>
    <t>sushmaoxynyc@gmail.com</t>
  </si>
  <si>
    <t>29AADCO3522F1ZM</t>
  </si>
  <si>
    <t>LE-410/22-23</t>
  </si>
  <si>
    <t>TXN-306/2022-2023</t>
  </si>
  <si>
    <t>Old Client (tushar Ref)</t>
  </si>
  <si>
    <t>Dharwad</t>
  </si>
  <si>
    <t>Oxynyc Innovations Private Limited</t>
  </si>
  <si>
    <t>Amt-2630/- received in IDFC AC DT.08.06.22</t>
  </si>
  <si>
    <t>Asso:-650/-</t>
  </si>
  <si>
    <t>MSME</t>
  </si>
  <si>
    <t>Novolase Foundation</t>
  </si>
  <si>
    <t>Dr Chandrashekar Yavagal</t>
  </si>
  <si>
    <t>dryavagal@gmail.com</t>
  </si>
  <si>
    <t>LE-411/22-23</t>
  </si>
  <si>
    <t>TXN-307/2022-2023</t>
  </si>
  <si>
    <t>DM - 09th March 2022</t>
  </si>
  <si>
    <t>Hubli</t>
  </si>
  <si>
    <t>Amt-1180/- received in IDFC AC DT.09.06.22</t>
  </si>
  <si>
    <t>Neetanjali Enterprises</t>
  </si>
  <si>
    <t>Bihar Food Festival - Class - 35</t>
  </si>
  <si>
    <t>DEEPAK RAJ</t>
  </si>
  <si>
    <t>dipu.raj1230@gmail.com / Neetanjalie@gmail.com</t>
  </si>
  <si>
    <t>10AYEPR2732A2Z4</t>
  </si>
  <si>
    <t>LE-412/22-23</t>
  </si>
  <si>
    <t>PO-173/2022-2023</t>
  </si>
  <si>
    <t>Dhanashri &amp; Santosh</t>
  </si>
  <si>
    <t>Patna</t>
  </si>
  <si>
    <t>Bihar</t>
  </si>
  <si>
    <t>Payment Received in two part Rss.2000+1000+2000</t>
  </si>
  <si>
    <t>Amt-2000/-,Amt-2000/- and Amt-1000/- received in IDFC AC DT.09.06.22</t>
  </si>
  <si>
    <t>ISO US (QCS) 9001:2015 +MSME</t>
  </si>
  <si>
    <t>Ayra Traders</t>
  </si>
  <si>
    <t>Shahalam Abdul Latif Shaikh</t>
  </si>
  <si>
    <t>shahalam.shaikh42@gmail.com</t>
  </si>
  <si>
    <t>27CBSPS9952A2ZZ</t>
  </si>
  <si>
    <t>LE-413/22-23</t>
  </si>
  <si>
    <t>TXN-308/2022-2023</t>
  </si>
  <si>
    <t>Vivek Dubey</t>
  </si>
  <si>
    <t>TM - 999</t>
  </si>
  <si>
    <t>Payment Received in two part Rs.1000+1999</t>
  </si>
  <si>
    <t>Amt-2000/-and Amt-1999/- received in IDFC AC DT.09.06.22</t>
  </si>
  <si>
    <t>Radix International</t>
  </si>
  <si>
    <t>Hanumant Chavan</t>
  </si>
  <si>
    <t>radixinternationalindia@gmail.com</t>
  </si>
  <si>
    <t>LE-414/22-23</t>
  </si>
  <si>
    <t>TXN-309/2022-2023</t>
  </si>
  <si>
    <t>Dec-24-2018 DM - 999</t>
  </si>
  <si>
    <t>Amt-2999/- received in IDFC AC DT.09.06.22</t>
  </si>
  <si>
    <t>Trademark (Filling, Reply Filling), WHO GMP</t>
  </si>
  <si>
    <t>Generic Lifecare Private Limited</t>
  </si>
  <si>
    <t>Wellness Bazaar (Class – 35)</t>
  </si>
  <si>
    <t>Poonam Vikas Kumbhar / Premjit Tanaji Khalate</t>
  </si>
  <si>
    <t>99229 96820</t>
  </si>
  <si>
    <t>ca.vikaskumbhar@gmail.com/genericlifecare@gmail.com</t>
  </si>
  <si>
    <t>LE-415/22-23</t>
  </si>
  <si>
    <t>PO-174/2022-2023</t>
  </si>
  <si>
    <t>DM - Tawk to Lead</t>
  </si>
  <si>
    <t>Payment Received in two part Rs.5000+1</t>
  </si>
  <si>
    <t>Amt-5000/- and Amt-1/- received in IDFC AC DT.09.06.22</t>
  </si>
  <si>
    <t>Govt:-4870/-Asso:-500+1770</t>
  </si>
  <si>
    <t>USDA ORGANIC - QCS</t>
  </si>
  <si>
    <t>Turning Point Natural Care</t>
  </si>
  <si>
    <t>Priyanka Sunil Gaikwad</t>
  </si>
  <si>
    <t>cncturningpoint@gmail.com</t>
  </si>
  <si>
    <t>27ASPPV4824L1ZV</t>
  </si>
  <si>
    <t>LE-416/22-23</t>
  </si>
  <si>
    <t>TXN-310/2022-2023</t>
  </si>
  <si>
    <t>IMPS- Kotak Bank Current Account</t>
  </si>
  <si>
    <t>Amt-6000/- received KOTAK TRF DONE IDFC AC DT.13.06.22</t>
  </si>
  <si>
    <t>Asso:-2360/-</t>
  </si>
  <si>
    <t>Trademark (TM No. Only)</t>
  </si>
  <si>
    <t>Vindhu Bhojanam</t>
  </si>
  <si>
    <t>Vindhu Bhojanam (Class- 43)</t>
  </si>
  <si>
    <t>M. Madhusudana Rao / M. Dayakar</t>
  </si>
  <si>
    <t>vindhubhojanam9@gmail.com</t>
  </si>
  <si>
    <t>37AAVFV3069M1Z5</t>
  </si>
  <si>
    <t>LE-417/22-23</t>
  </si>
  <si>
    <t>TXN-311/2022-2023</t>
  </si>
  <si>
    <t>Deepak Panchal &amp; Padma</t>
  </si>
  <si>
    <t>Vijayawada</t>
  </si>
  <si>
    <t>Andra Pradesh</t>
  </si>
  <si>
    <t>Amt-7500/- received in IDFC AC DT.09.06.22</t>
  </si>
  <si>
    <t>Govt:-4870/-Asso:-250/-</t>
  </si>
  <si>
    <t>40DEEPAK 60%PADMA</t>
  </si>
  <si>
    <t>Dsc Updation , Objective Addition In MOA And Company Pan</t>
  </si>
  <si>
    <t>Prittle Prattle Private Limited</t>
  </si>
  <si>
    <t>Smruti Sachin Bhalerao / Sachin Govind Bhalerao</t>
  </si>
  <si>
    <t>smruti@prittleprattle.in</t>
  </si>
  <si>
    <t>27AALCP3485G1Z1</t>
  </si>
  <si>
    <t>LE-418/22-23</t>
  </si>
  <si>
    <t>TXN-312/2022-2023</t>
  </si>
  <si>
    <t>Old Client( August 2020)</t>
  </si>
  <si>
    <t>Payment Received dt.08/06/22</t>
  </si>
  <si>
    <t>Amt-7080/- received in IDFC AC DT.08.06.22</t>
  </si>
  <si>
    <t>Asso:-3200/-</t>
  </si>
  <si>
    <t>Start-up India Registration</t>
  </si>
  <si>
    <t>Imperial Electric Global Services Private Limited</t>
  </si>
  <si>
    <t>Pardeep Kapoor / Chhavi Kapoor</t>
  </si>
  <si>
    <t>9888555921/9357077771</t>
  </si>
  <si>
    <t>Theimperialindia4@gmail.com/Pardeepkapoor2277@gmail.com</t>
  </si>
  <si>
    <t>LE-419/22-23</t>
  </si>
  <si>
    <t>PO-175/2022-2023</t>
  </si>
  <si>
    <t>TM- NO PRICE</t>
  </si>
  <si>
    <t>Amritsar</t>
  </si>
  <si>
    <t>Amt-4000/- received in IDFC AC DT.08.06.22</t>
  </si>
  <si>
    <t>Asso:-2500/-</t>
  </si>
  <si>
    <t>Villa Mila Kya Holiday Makers</t>
  </si>
  <si>
    <t>Villa Mila Kya -class 43 (Device Mark)</t>
  </si>
  <si>
    <t>Rahul Milani</t>
  </si>
  <si>
    <t>villamilakya@gmail.com</t>
  </si>
  <si>
    <t>LE-283/22-23</t>
  </si>
  <si>
    <t>TXN-313/2022-2023</t>
  </si>
  <si>
    <t>Tawk To</t>
  </si>
  <si>
    <t>Ahmednagar</t>
  </si>
  <si>
    <t>Shanti caterers/Shanti Swayampakghar</t>
  </si>
  <si>
    <t>1.Vijay Ashok Shekdar 2.Vrushali Vijay Shekdar</t>
  </si>
  <si>
    <t>1.vijayshekdar@gmail.com 2. shekdar.vrushali@gmail.com</t>
  </si>
  <si>
    <t>LE-89/22-23</t>
  </si>
  <si>
    <t>TXN-314/2022-2023</t>
  </si>
  <si>
    <t>Adarsh &amp; Natasha</t>
  </si>
  <si>
    <t>Google Map</t>
  </si>
  <si>
    <t>RST &amp; Associates</t>
  </si>
  <si>
    <t>Rst &amp; Associates</t>
  </si>
  <si>
    <t>Ranveer Singh Tomar</t>
  </si>
  <si>
    <t>ranveertomar27@gmail.com</t>
  </si>
  <si>
    <t>LE-254/22-23</t>
  </si>
  <si>
    <t>DM - Old Client</t>
  </si>
  <si>
    <t>Payment Received in two part Rs.5000/-dt.06/06/22 &amp; Rs.4000/-</t>
  </si>
  <si>
    <t>Crafty Fox</t>
  </si>
  <si>
    <t>Neha Ganesh Pande</t>
  </si>
  <si>
    <t>neha14305@gmail.com</t>
  </si>
  <si>
    <t>27BELPP9616R1ZD</t>
  </si>
  <si>
    <t>LE-420/22-23</t>
  </si>
  <si>
    <t>TXN-315/2022-2023</t>
  </si>
  <si>
    <t>Melroy</t>
  </si>
  <si>
    <t>Personal Lead- 10/06/2022</t>
  </si>
  <si>
    <t>Amt-2000/- received in IDFC AC DT.10.06.22</t>
  </si>
  <si>
    <t>Trademark (Filling, Reply Filling)</t>
  </si>
  <si>
    <t>JMD Enterprises</t>
  </si>
  <si>
    <t>Maxactive - class - 3</t>
  </si>
  <si>
    <t>Jitin Kumar</t>
  </si>
  <si>
    <t>kitscleen@gmail.com</t>
  </si>
  <si>
    <t>08CNYPK6533P1ZV</t>
  </si>
  <si>
    <t>LE-421/22-23</t>
  </si>
  <si>
    <t>TXN-316/2022-2023</t>
  </si>
  <si>
    <t>TM- 999 (November 2021) OLD client</t>
  </si>
  <si>
    <t>Ganganagar</t>
  </si>
  <si>
    <t>Amt-8000/- received in IDFC AC DT.10.06.22</t>
  </si>
  <si>
    <t>ISO 9001:2015 QCS-US BOARD NON IAF</t>
  </si>
  <si>
    <t>Mr.lala Manoranjan Singh</t>
  </si>
  <si>
    <t>LE-422/22-23</t>
  </si>
  <si>
    <t>TXN-317/2022-2023</t>
  </si>
  <si>
    <t>Amt-2499/- received in IDFC AC DT.10.06.22</t>
  </si>
  <si>
    <t>TM Counter Statement + 1 Hearing (Opposition Handling)</t>
  </si>
  <si>
    <t>D S Solutions</t>
  </si>
  <si>
    <t>D E V (Application No:- 4892666)</t>
  </si>
  <si>
    <t>Sunita</t>
  </si>
  <si>
    <t>dssolutionsservices@gmail.com</t>
  </si>
  <si>
    <t>08KCVPS6208B1Z2</t>
  </si>
  <si>
    <t>LE-423/22-23</t>
  </si>
  <si>
    <t>TXN-318/2022-2023</t>
  </si>
  <si>
    <t>TM-999</t>
  </si>
  <si>
    <t>Alwar</t>
  </si>
  <si>
    <t>Amt-7270/- received in IDFC AC DT.10.06.22</t>
  </si>
  <si>
    <t>Trademark (Only Filling)</t>
  </si>
  <si>
    <t>Active Associates</t>
  </si>
  <si>
    <t>GROWSHREE PRIME (CLASS- 35) (User Date- 01st June, 2022)</t>
  </si>
  <si>
    <t>Ragni Agarwal</t>
  </si>
  <si>
    <t>saransh.garg01@gmail.com</t>
  </si>
  <si>
    <t>09AFOPA8279G2ZZ</t>
  </si>
  <si>
    <t>LE-424/22-23</t>
  </si>
  <si>
    <t>TXN-319/2022-2023</t>
  </si>
  <si>
    <t>Amt-6345/- received in IDFC AC DT.10.06.22</t>
  </si>
  <si>
    <t>Trademark Hearing</t>
  </si>
  <si>
    <t>LJP Private Limited</t>
  </si>
  <si>
    <t>YOUTH BUDS (Application Number 4703678)</t>
  </si>
  <si>
    <t>Shrimal Bedmutha</t>
  </si>
  <si>
    <t>LE-425/22-23</t>
  </si>
  <si>
    <t>TXN-320/2022-2023</t>
  </si>
  <si>
    <t>Amt-14753/- received in IDFC AC DT.10.06.22</t>
  </si>
  <si>
    <t>Sent to Tushar Sir</t>
  </si>
  <si>
    <t>Santosh Narvekar:-Asso:-8500/-</t>
  </si>
  <si>
    <t>Dr. Naturals Food Pvt. Ltd.</t>
  </si>
  <si>
    <t>DR. NATURALS FOOD PVT. LTD. (Application Number 4724326)</t>
  </si>
  <si>
    <t>Imran</t>
  </si>
  <si>
    <t>LE-426/22-23</t>
  </si>
  <si>
    <t>NTX-65/2022-2023</t>
  </si>
  <si>
    <t>IMPS- Vijay Pal SVC Bank Savings Account</t>
  </si>
  <si>
    <t>Amt-18000/- recevied in Anuj ji (Vijay Pal) AC DT.09.06.22</t>
  </si>
  <si>
    <t>Santosh Narvekar:-Asso:-8000</t>
  </si>
  <si>
    <t>LJP PRIVATE LIMITED</t>
  </si>
  <si>
    <t>YOUTH BUDS (Application Number 4724555)</t>
  </si>
  <si>
    <t>LE-427/22-23</t>
  </si>
  <si>
    <t>TXN-321/2022-2023</t>
  </si>
  <si>
    <t>Amt-14753/- received in IDFC AC DT.07.06.22</t>
  </si>
  <si>
    <t>GST &amp; DSC-III</t>
  </si>
  <si>
    <t>Dickens Sewa Samadhan</t>
  </si>
  <si>
    <t>Amandeep Singh</t>
  </si>
  <si>
    <t>7710202321/8284859321</t>
  </si>
  <si>
    <t>291274as@gmail.com</t>
  </si>
  <si>
    <t>LE-428/22-23</t>
  </si>
  <si>
    <t>TXN-322/2022-2023</t>
  </si>
  <si>
    <t>DM- TM 999</t>
  </si>
  <si>
    <t>Ludhiana</t>
  </si>
  <si>
    <t>Amt-4000/- received in IDFC AC DT.10.06.22</t>
  </si>
  <si>
    <t>Gst:-650/-&amp; DSC:-1200/-</t>
  </si>
  <si>
    <t>Bhojwal</t>
  </si>
  <si>
    <t>Bhojwal (application Number 4727996)</t>
  </si>
  <si>
    <t>Rajkumar</t>
  </si>
  <si>
    <t>LE-429/22-23</t>
  </si>
  <si>
    <t>TXN-323/2022-2023</t>
  </si>
  <si>
    <t>Bulandshahar</t>
  </si>
  <si>
    <t>Santosh Narvekar:-Asso:-4500</t>
  </si>
  <si>
    <t>TM - M &amp; TM ( 3 court hearing )</t>
  </si>
  <si>
    <t>Organicemart</t>
  </si>
  <si>
    <t>Organicemart - Class - 30</t>
  </si>
  <si>
    <t>Aditya shriwastav</t>
  </si>
  <si>
    <t>aditya@organicemart.com</t>
  </si>
  <si>
    <t>09CQDPS8830B1ZP</t>
  </si>
  <si>
    <t>LE-430/22-23</t>
  </si>
  <si>
    <t>PO-149/2022-2023</t>
  </si>
  <si>
    <t>TM - 999 OLD client</t>
  </si>
  <si>
    <t>Gorakhpur</t>
  </si>
  <si>
    <t>Payment recevied in two part Rs.2000+2000 dt.08/06/22</t>
  </si>
  <si>
    <t>Amt-2000/- and Amt-2000/- received in IDFC AC DT.08.06.22</t>
  </si>
  <si>
    <t>TM-M:-900/- +110</t>
  </si>
  <si>
    <t>TXN-324/2022-2023</t>
  </si>
  <si>
    <t>Unique Enterprises</t>
  </si>
  <si>
    <t>unique sleep mattress (Class-20)</t>
  </si>
  <si>
    <t>Danish Khan</t>
  </si>
  <si>
    <t>danishkhan815@gmail.com/uniquessleepmattress@gmail.com</t>
  </si>
  <si>
    <t>08AWHPD1610N1ZN</t>
  </si>
  <si>
    <t>LE-1751</t>
  </si>
  <si>
    <t>TXN-325/2022-2023</t>
  </si>
  <si>
    <t>Ankita Lead</t>
  </si>
  <si>
    <t>2 Gumasta License</t>
  </si>
  <si>
    <t>S.Y. Photo studio/Navnath Yenkule</t>
  </si>
  <si>
    <t>Sagar navnath yankule / navnath Ashruba yenkule</t>
  </si>
  <si>
    <t>sagaryenkulesy@gmail.com</t>
  </si>
  <si>
    <t>LE-431/22-23</t>
  </si>
  <si>
    <t>TXN-326/2022-2023</t>
  </si>
  <si>
    <t>Old Staff</t>
  </si>
  <si>
    <t>S.Y Photo Studio</t>
  </si>
  <si>
    <t>Amt-500/- received in IDFC AC DT.13.06.22</t>
  </si>
  <si>
    <t>ISO US (QCS) 9001:2015 + MSME</t>
  </si>
  <si>
    <t>SKLM Industry</t>
  </si>
  <si>
    <t>B Prudvee Raju</t>
  </si>
  <si>
    <t>sklmindustry@gmail.com</t>
  </si>
  <si>
    <t>37BCAPB7587E1ZM</t>
  </si>
  <si>
    <t>LE-432/22-23</t>
  </si>
  <si>
    <t>PO-180/2022-2023</t>
  </si>
  <si>
    <t>Old Client Reference</t>
  </si>
  <si>
    <t>Srikakulam</t>
  </si>
  <si>
    <t>Andhra Pradesh</t>
  </si>
  <si>
    <t>Amt-1000/- received in IDFC AC DT.13.06.22</t>
  </si>
  <si>
    <t>FSSAI BASIC 2 YEARS &amp; MSME</t>
  </si>
  <si>
    <t>Poorna Brahma</t>
  </si>
  <si>
    <t>Samruddha Sudhir Satpute</t>
  </si>
  <si>
    <t>poornabrahma001@gmail.com</t>
  </si>
  <si>
    <t>LE-433/22-23</t>
  </si>
  <si>
    <t>TXN-327/2022-2023</t>
  </si>
  <si>
    <t>Payment Received in two part Rs.2000+1500</t>
  </si>
  <si>
    <t>Amt-2000/- and Amt-1500/- received in IDFC AC DT.13.06.22</t>
  </si>
  <si>
    <t>Govt:-312/-</t>
  </si>
  <si>
    <t>ISO ROHS IAF 9001-2015 Without surveillance</t>
  </si>
  <si>
    <t>A-one International</t>
  </si>
  <si>
    <t>Bhavin Narendrabhai Mistry</t>
  </si>
  <si>
    <t>aoneinternational2003@gmail.com</t>
  </si>
  <si>
    <t>24BAOPM8732J1Z8</t>
  </si>
  <si>
    <t>LE-434/22-23</t>
  </si>
  <si>
    <t>TXN-328/2022-2023</t>
  </si>
  <si>
    <t>Tawk To (9th May 2022 - Existing Client)</t>
  </si>
  <si>
    <t>Amt-6000/- received in IDFC AC DT.13.06.22</t>
  </si>
  <si>
    <t>Sanjay Industries</t>
  </si>
  <si>
    <t>Sanjay Panchal</t>
  </si>
  <si>
    <t>Sanjayindustries83@gmail.com</t>
  </si>
  <si>
    <t>24AJEPP1283F1ZE</t>
  </si>
  <si>
    <t>LE-435/22-23</t>
  </si>
  <si>
    <t>TXN-329/2022-2023</t>
  </si>
  <si>
    <t>Ref.Tawk To (9th May 2022 - Existing Client)</t>
  </si>
  <si>
    <t>Payment Received dt.11/06/22</t>
  </si>
  <si>
    <t>Amt-6000/- received in IDFC AC DT.11.06.22</t>
  </si>
  <si>
    <t>Trademark Only Filing</t>
  </si>
  <si>
    <t>Vkumar Enterprises</t>
  </si>
  <si>
    <t>Vkplus Care</t>
  </si>
  <si>
    <t>Vishwajeet Vijay Shukla</t>
  </si>
  <si>
    <t>Vkumarenterprises029@gmail.com</t>
  </si>
  <si>
    <t>27AUNPS6541D1ZB</t>
  </si>
  <si>
    <t>LE-436/22-23</t>
  </si>
  <si>
    <t>PO-181/2022-2023</t>
  </si>
  <si>
    <t>Amt-5000/- received in IDFC AC DT.13.06.22</t>
  </si>
  <si>
    <t>15 TM – M Correction Application (Address, Mobile Number and Email ID)</t>
  </si>
  <si>
    <t>Zeenat Kachwalla</t>
  </si>
  <si>
    <t>LE-437/22-23</t>
  </si>
  <si>
    <t>TXN-330/2022-2023</t>
  </si>
  <si>
    <t>Amt-20350/- received in IDFC AC DT.08.06.22</t>
  </si>
  <si>
    <t>Govt:-13500/-</t>
  </si>
  <si>
    <t>TM Reply File</t>
  </si>
  <si>
    <t>Premji Ratanshi</t>
  </si>
  <si>
    <t>Indus ( (4869083)</t>
  </si>
  <si>
    <t>Amit Ganger</t>
  </si>
  <si>
    <t>Amitgangar1604@gmail.com</t>
  </si>
  <si>
    <t>27AASPG9505E1ZJ</t>
  </si>
  <si>
    <t>LE-438/22-23</t>
  </si>
  <si>
    <t>TXN-331/2022-2023</t>
  </si>
  <si>
    <t>DM - OLD CLIENT (DEC 2019)</t>
  </si>
  <si>
    <t>Amt-2360/- received in IDFC AC DT.11.06.22</t>
  </si>
  <si>
    <t>Sonakshi Innovations Private Limited</t>
  </si>
  <si>
    <t>Manisha Mahadev Rathod</t>
  </si>
  <si>
    <t>LE-439/22-23</t>
  </si>
  <si>
    <t>TXN-332/2022-2023</t>
  </si>
  <si>
    <t>Old Client (Tushar Ref)</t>
  </si>
  <si>
    <t>Amt-2630/- received in IDFC AC DT.10.06.22</t>
  </si>
  <si>
    <t>IEC CODE</t>
  </si>
  <si>
    <t>Khursida Enterprise</t>
  </si>
  <si>
    <t>Khairul Miya</t>
  </si>
  <si>
    <t>miakhairul12345@gmail.com</t>
  </si>
  <si>
    <t>LE-440/22-23</t>
  </si>
  <si>
    <t>PO-182/2022-2023</t>
  </si>
  <si>
    <t>Dinajpur</t>
  </si>
  <si>
    <t>West Bengal</t>
  </si>
  <si>
    <t>Amt-4000/- received in IDFC AC DT.14.06.22</t>
  </si>
  <si>
    <t>TM-O (Opposition Counter Statement Filing)</t>
  </si>
  <si>
    <t>Safal Multigrain Supplier</t>
  </si>
  <si>
    <t>Saffal'ssunwhite (application No :- 5215965)</t>
  </si>
  <si>
    <t>Imran Abdul Hasan Siddique</t>
  </si>
  <si>
    <t>safalmultigrain@gmail.com</t>
  </si>
  <si>
    <t>27FRMPS8544D1Z6</t>
  </si>
  <si>
    <t>LE-441/22-23</t>
  </si>
  <si>
    <t>TXN-333/2022-2023</t>
  </si>
  <si>
    <t>Old DM</t>
  </si>
  <si>
    <t>Safal Multi Grain Supplier</t>
  </si>
  <si>
    <t>Payment Received in two part Rs.6800+30</t>
  </si>
  <si>
    <t>Amt-6800/- and Amt-30/- received in IDFC AC DT.14.06.22</t>
  </si>
  <si>
    <t>ISO 9001:2015 QCS-US Board NON IAF</t>
  </si>
  <si>
    <t>Ignite Pharmaceutical</t>
  </si>
  <si>
    <t>Mr Madan Mohan Gupta</t>
  </si>
  <si>
    <t>9667836334/9461089817</t>
  </si>
  <si>
    <t>Ignitepharmaceuticals16@gmail.com</t>
  </si>
  <si>
    <t>LE-442/22-23</t>
  </si>
  <si>
    <t>TXN-334/2022-2023</t>
  </si>
  <si>
    <t>Mahwa</t>
  </si>
  <si>
    <t>Amt-2699/- received in IDFC AC DT.14.06.22</t>
  </si>
  <si>
    <t>Trademark ( Filling and Reply Filling ) and MSME</t>
  </si>
  <si>
    <t>Shiva Traders</t>
  </si>
  <si>
    <t>Himal Kanya Class 19 User Date 14 June 2022</t>
  </si>
  <si>
    <t>Naveen Gupta</t>
  </si>
  <si>
    <t>8986029881, 9431860018</t>
  </si>
  <si>
    <t>naveenonrock1@gmail.com</t>
  </si>
  <si>
    <t>10AVUPG9944N1ZV</t>
  </si>
  <si>
    <t>LE-443/22-23</t>
  </si>
  <si>
    <t>PO-183/2022-2023</t>
  </si>
  <si>
    <t>DM - TM No Price 11-05-2022</t>
  </si>
  <si>
    <t>Bairagania</t>
  </si>
  <si>
    <t>Payment Received in two part RS.2000+2000</t>
  </si>
  <si>
    <t>Amt-2000/- and Amt-2000/- received in IDFC AC DT.09.06.22</t>
  </si>
  <si>
    <t>Govt:-4870/-Asso:-500/-</t>
  </si>
  <si>
    <t>Praj Supplies</t>
  </si>
  <si>
    <t>Mr Tushar Besre</t>
  </si>
  <si>
    <t>98235 28458 / 8208084296</t>
  </si>
  <si>
    <t>tusharbesre@gmail.com</t>
  </si>
  <si>
    <t>30CHGPB1973A1Z5</t>
  </si>
  <si>
    <t>LE-444/22-23</t>
  </si>
  <si>
    <t>TXN-335/2022-2023</t>
  </si>
  <si>
    <t>DM-OLD CLIENT(TUSHAR SIR REF)</t>
  </si>
  <si>
    <t>Bardez</t>
  </si>
  <si>
    <t>Goa</t>
  </si>
  <si>
    <t>Amt-2770/- received in IDFC AC DT.14.06.22</t>
  </si>
  <si>
    <t>Trademark Certificate</t>
  </si>
  <si>
    <t>Neeti Fashion</t>
  </si>
  <si>
    <t>Alive Plus 4440001</t>
  </si>
  <si>
    <t>Kanji Ramji Chamriya</t>
  </si>
  <si>
    <t>neetifashion54@gmail.com</t>
  </si>
  <si>
    <t>27AIJPC7615E1ZG</t>
  </si>
  <si>
    <t>LE-445/22-23</t>
  </si>
  <si>
    <t>TXN-336/2022-2023</t>
  </si>
  <si>
    <t>DM - TM</t>
  </si>
  <si>
    <t>Amt-1180/- received in IDFC AC DT.14.06.22</t>
  </si>
  <si>
    <t>UPI - IDFC First Bank Current Account</t>
  </si>
  <si>
    <t>TXN-337/2022-2023</t>
  </si>
  <si>
    <t>TM Reply Filing &amp; 2 Court Hearings</t>
  </si>
  <si>
    <t>Pitambari Jewellers</t>
  </si>
  <si>
    <t>Pitambari Jewellers (Application No - 5401935)</t>
  </si>
  <si>
    <t>Rohit Agarwal</t>
  </si>
  <si>
    <t>rohit18521@gmail.com</t>
  </si>
  <si>
    <t>10AHFPA2248G1Z5</t>
  </si>
  <si>
    <t>LE-446/22-23</t>
  </si>
  <si>
    <t>TXN-338/2022-2023</t>
  </si>
  <si>
    <t>DM 999 - Social Media</t>
  </si>
  <si>
    <t>Muzaffarpur</t>
  </si>
  <si>
    <t>Amt-8500/- received in IDFC AC DT.15.06.22</t>
  </si>
  <si>
    <t>Asso:-250+1000+1000</t>
  </si>
  <si>
    <t>Trademark (Filling and Reply Filling) and Udyam Correction</t>
  </si>
  <si>
    <t>M M Traders</t>
  </si>
  <si>
    <t>Rahes Khaini</t>
  </si>
  <si>
    <t>Abhimanyu Kumar</t>
  </si>
  <si>
    <t>abhisagar20000@gmail.com</t>
  </si>
  <si>
    <t>LE-447/22-23</t>
  </si>
  <si>
    <t>TXN-339/2022-2023</t>
  </si>
  <si>
    <t>Saharsa</t>
  </si>
  <si>
    <t>Amt-12272/- received in IDFC AC DT.08.06.22</t>
  </si>
  <si>
    <t>Govt:-4500+150+110,Asso:-500/-</t>
  </si>
  <si>
    <t>Bhumi Automation</t>
  </si>
  <si>
    <t>Bhumi Automation Class 9</t>
  </si>
  <si>
    <t>Sabhani Bhumi chamanbhai</t>
  </si>
  <si>
    <t>agriautomation1@gmail.com</t>
  </si>
  <si>
    <t>24OABPS5777P1ZJ</t>
  </si>
  <si>
    <t>LE-448/22-23</t>
  </si>
  <si>
    <t>TXN-340/2022-2023</t>
  </si>
  <si>
    <t>Ref. DM Client ( Khodal Industries )</t>
  </si>
  <si>
    <t>Surendranagar</t>
  </si>
  <si>
    <t>Amt-7500/- received in IDFC AC DT.14.06.22</t>
  </si>
  <si>
    <t>GOVT:-4870/- Asso:-500/-</t>
  </si>
  <si>
    <t>TM Registered Certificate</t>
  </si>
  <si>
    <t>Ja Jai Ambe Electronics</t>
  </si>
  <si>
    <t>Jai Singh Chauhan</t>
  </si>
  <si>
    <t>jaisingh8880@gmail.com</t>
  </si>
  <si>
    <t>LE-449/22-23</t>
  </si>
  <si>
    <t>NTX-66/2022-2023</t>
  </si>
  <si>
    <t>Thane</t>
  </si>
  <si>
    <t>G-Pay - Vijay Pal SVC Bank Savings Account</t>
  </si>
  <si>
    <t>Amt-2000/- recevied in Anuj ji (Vijay Pal) AC DT.15.06.22</t>
  </si>
  <si>
    <t>Trademark ( Filling and Reply Filling ) ISO 9001-2015 QCS and MSME</t>
  </si>
  <si>
    <t>Nuturemite</t>
  </si>
  <si>
    <t>Nuturemite class 5</t>
  </si>
  <si>
    <t>Mahesh</t>
  </si>
  <si>
    <t>sales@nuturemite.info /contact@nuturemite.info</t>
  </si>
  <si>
    <t>LE-450/22-23</t>
  </si>
  <si>
    <t>TXN-341/2022-2023</t>
  </si>
  <si>
    <t>DM-CF-2999 4/20/2020</t>
  </si>
  <si>
    <t>Kukatpally</t>
  </si>
  <si>
    <t>Hyderabad</t>
  </si>
  <si>
    <t>Amt-10924/- received in IDFC AC DT.15.06.22</t>
  </si>
  <si>
    <t>Govt:-4870/-Asso:-500+590/-</t>
  </si>
  <si>
    <t>ISO 9001:2015 (QCS) (NON IAF) And Udhyam Registration</t>
  </si>
  <si>
    <t>Ac's Ashish Tutorials</t>
  </si>
  <si>
    <t>Ashish Chourasiya</t>
  </si>
  <si>
    <t>ashishtutorials162013@gmail.com</t>
  </si>
  <si>
    <t>LE-451/22-23</t>
  </si>
  <si>
    <t>TXN-342/2022-2023</t>
  </si>
  <si>
    <t>DM - OLD CLIENT (MAY 2019)</t>
  </si>
  <si>
    <t>Amt-4090/- received in IDFC AC DT.14.06.22</t>
  </si>
  <si>
    <t>Devendra Impex</t>
  </si>
  <si>
    <t>Jeronovix (class 25)</t>
  </si>
  <si>
    <t>Devender Singh</t>
  </si>
  <si>
    <t>impexdevendra@gmail.com</t>
  </si>
  <si>
    <t>06AOPPD7719G1ZS</t>
  </si>
  <si>
    <t>LE-452/22-23</t>
  </si>
  <si>
    <t>TXN-343/2022-2023</t>
  </si>
  <si>
    <t>DM - (2ND SEP TM - 999 ) CLIENT REF</t>
  </si>
  <si>
    <t>Sonipat</t>
  </si>
  <si>
    <t>Amt-8000/- received in IDFC AC DT.14.06.22</t>
  </si>
  <si>
    <t>Govt:-4500+110, Asso:-250+250</t>
  </si>
  <si>
    <t>TM Reply Filling (TM-M)</t>
  </si>
  <si>
    <t>Mind Seed Life Solutions</t>
  </si>
  <si>
    <t>TMS Life Solutions ( 5206863 ) Filling Other Company</t>
  </si>
  <si>
    <t>Damodar Venugopal</t>
  </si>
  <si>
    <t>info@mindseedlifesolutions.com</t>
  </si>
  <si>
    <t>32APOPD2616Q1ZP</t>
  </si>
  <si>
    <t>LE-453/22-23</t>
  </si>
  <si>
    <t>TXN-344/2022-2023</t>
  </si>
  <si>
    <t>DM - TM No Price 09-05-2022</t>
  </si>
  <si>
    <t>Kozhikode</t>
  </si>
  <si>
    <t>Kerala</t>
  </si>
  <si>
    <t>Payment Received dt.09/06/22</t>
  </si>
  <si>
    <t>Amt-2500/- received in IDFC AC DT.09.06.22</t>
  </si>
  <si>
    <t>TM-M-900/-+110+110+150, Asso:-250/-</t>
  </si>
  <si>
    <t>TM REPLY FILE</t>
  </si>
  <si>
    <t>Mine Craft Movers Pvt Ltd</t>
  </si>
  <si>
    <t>(5289703)</t>
  </si>
  <si>
    <t>Mandal Nikhil Nimai</t>
  </si>
  <si>
    <t>Mcmpl2020@gmail.com</t>
  </si>
  <si>
    <t>27AAOCM1025G1ZL</t>
  </si>
  <si>
    <t>LE-454/22-23</t>
  </si>
  <si>
    <t>TXN-345/2022-2023</t>
  </si>
  <si>
    <t>Dm - Old Client (dec 2021)</t>
  </si>
  <si>
    <t>Mine Craft Movers Private Limited</t>
  </si>
  <si>
    <t>Amt-3540/- received in IDFC AC DT.15.06.22</t>
  </si>
  <si>
    <t>Asso:-250/-</t>
  </si>
  <si>
    <t>ZED Certification</t>
  </si>
  <si>
    <t>K. B. Electronic Corporation</t>
  </si>
  <si>
    <t>Vinayak Shambag</t>
  </si>
  <si>
    <t>prasadinds@hotmail.com</t>
  </si>
  <si>
    <t>LE-455/22-23</t>
  </si>
  <si>
    <t>TXN-346/2022-2023</t>
  </si>
  <si>
    <t>Old Client (Dec 2020)</t>
  </si>
  <si>
    <t>Cheque - 515887 &amp; Deposited IDFC First Bank Current (deposited by client)</t>
  </si>
  <si>
    <t>Amt-1000/- Cheque Clear in IDFC AC DT.16.06.22</t>
  </si>
  <si>
    <t>A H Associates</t>
  </si>
  <si>
    <t>Solasta Salon ( (class 44)</t>
  </si>
  <si>
    <t>Pradeep Kumar, Pawan Kumar, Jitendra Kumar</t>
  </si>
  <si>
    <t>Pk5133@gmail.com</t>
  </si>
  <si>
    <t>08ABPFA5567N1ZM</t>
  </si>
  <si>
    <t>LE-1841</t>
  </si>
  <si>
    <t>TXN-347/2022-2023</t>
  </si>
  <si>
    <t>FB LEAD TM-6345</t>
  </si>
  <si>
    <t>A H ASSOCIATES</t>
  </si>
  <si>
    <t>Bytes Impex</t>
  </si>
  <si>
    <t>Rass D&amp;S Class 29 ( 1 Jun 2020 )</t>
  </si>
  <si>
    <t>Ravindra G Vardhan</t>
  </si>
  <si>
    <t>in.ravindravardhan@gmail.com</t>
  </si>
  <si>
    <t>27AAFHR8825P1ZA</t>
  </si>
  <si>
    <t>LE-1816</t>
  </si>
  <si>
    <t>TXN-348/2022-2023</t>
  </si>
  <si>
    <t>FB Lead 12/21/2020</t>
  </si>
  <si>
    <t>Payment Received in two part Rs.2000+40</t>
  </si>
  <si>
    <t>UnboxIT Solutions Pvt Ltd</t>
  </si>
  <si>
    <t>Rajendra Kale</t>
  </si>
  <si>
    <t>rajendrakale.cst@gmail.com</t>
  </si>
  <si>
    <t>LE-351/22-23</t>
  </si>
  <si>
    <t>TXN-349/2022-2023</t>
  </si>
  <si>
    <t>FB - ISO-2999 ( 20-01-2020 )</t>
  </si>
  <si>
    <t>Payment Received in two part Rs.9980/- dt.13/06/22 &amp; Rs.2000/- dt.14/06/22</t>
  </si>
  <si>
    <t>Sai Home Appliances</t>
  </si>
  <si>
    <t>Sai Home Appliances ( 2351823 )</t>
  </si>
  <si>
    <t>Hastimal Devram Malvi</t>
  </si>
  <si>
    <t>headoffice.saigroup@gmail.com</t>
  </si>
  <si>
    <t>27AABPM9843L1Z6</t>
  </si>
  <si>
    <t>LE-456/22-23</t>
  </si>
  <si>
    <t>TXN-350/2022-2023</t>
  </si>
  <si>
    <t>Ref. DM Lead</t>
  </si>
  <si>
    <t>Amt-11360/- received in IDFC AC DT.16.06.22</t>
  </si>
  <si>
    <t>Govt:-9000+110</t>
  </si>
  <si>
    <t>3 Logo Copyright &amp; 3 Trademark - Filling, Reply Filling &amp; Hearing</t>
  </si>
  <si>
    <t>Ample Foods Private Limited</t>
  </si>
  <si>
    <t>CreamyEclairs, KISMY and Melodiz</t>
  </si>
  <si>
    <t>Devendra Harihar Tripathi</t>
  </si>
  <si>
    <t>97689 57908</t>
  </si>
  <si>
    <t>amplefoodinds@gmail.com</t>
  </si>
  <si>
    <t>27AAPFA4061J1Z9</t>
  </si>
  <si>
    <t>LE-457/22-23</t>
  </si>
  <si>
    <t>TXN-351/2022-2023</t>
  </si>
  <si>
    <t>DM -Old Client</t>
  </si>
  <si>
    <t>Ample Food Industries</t>
  </si>
  <si>
    <t>Sandesh Sir DSC</t>
  </si>
  <si>
    <t>Amt-67740/- received in IDFC AC DT.16.06.22</t>
  </si>
  <si>
    <t>Govt:-14610/-,33000</t>
  </si>
  <si>
    <t>Logo Copyright &amp; Trademark (Filling, Reply Filling and Hearing)</t>
  </si>
  <si>
    <t>LE-458/22-23</t>
  </si>
  <si>
    <t>PO-186/2022-2023</t>
  </si>
  <si>
    <t>Amt-19000/- received in IDFC AC DT.14.06.22</t>
  </si>
  <si>
    <t>Govt:-4870+11000</t>
  </si>
  <si>
    <t>ISO ROHS IAF 9001-2015 with surveillance</t>
  </si>
  <si>
    <t>KPLUS Infotech Pvt Ltd</t>
  </si>
  <si>
    <t>Ashoke Nagdev</t>
  </si>
  <si>
    <t>sidhu@kplus.co.in</t>
  </si>
  <si>
    <t>27AABCK9367J1Z0</t>
  </si>
  <si>
    <t>LE-459/22-23</t>
  </si>
  <si>
    <t>TXN-352/2022-2023</t>
  </si>
  <si>
    <t>Ref. DM client</t>
  </si>
  <si>
    <t>K Plus Infotech Pvt Ltd</t>
  </si>
  <si>
    <t>Extra amount received Rs.2070/-</t>
  </si>
  <si>
    <t>Amt-13570/- received in IDFC AC DT.16.06.22 (Rs.2070/- Extra amt recevied-we need to refund this amount to client to save the income tax and GST)</t>
  </si>
  <si>
    <t>Bhagylaxmi Auto Sales</t>
  </si>
  <si>
    <t>Digitech (Application Number 4322251)</t>
  </si>
  <si>
    <t>Ronak Vora</t>
  </si>
  <si>
    <t>24AAOPV7206K1Z7</t>
  </si>
  <si>
    <t>LE-460/22-23</t>
  </si>
  <si>
    <t>TXN-353/2022-2023</t>
  </si>
  <si>
    <t>Amt-13570/- received in IDFC AC DT.16.06.22</t>
  </si>
  <si>
    <t>Asso:-4500/-</t>
  </si>
  <si>
    <t>Gramintoday Media Network Private Limited</t>
  </si>
  <si>
    <t>Gramin Today News</t>
  </si>
  <si>
    <t>Sunilbhai Lachhabhai Gamit &amp; George Philip Poovathumootil</t>
  </si>
  <si>
    <t>newsgramintoday@gmail.com</t>
  </si>
  <si>
    <t>LE-461/22-23</t>
  </si>
  <si>
    <t>PO-187/2022-2023</t>
  </si>
  <si>
    <t>Old DM - 2021</t>
  </si>
  <si>
    <t>Surat Tapi</t>
  </si>
  <si>
    <t>Cheque - 156572 &amp; Deposited IDFC First Bank Current (deposited by client)</t>
  </si>
  <si>
    <t>Amt-5000/- Cheque Clear in IDFC AC DT.17.06.22</t>
  </si>
  <si>
    <t>Company Formation - OPC Pvt Ltd</t>
  </si>
  <si>
    <t>Eagle Power Technology Pvt Ltd</t>
  </si>
  <si>
    <t>Shakil Shaikh</t>
  </si>
  <si>
    <t>eaglepowertechnology@gmail.com</t>
  </si>
  <si>
    <t>LE-462/22-23</t>
  </si>
  <si>
    <t>PO-189/2022-2023</t>
  </si>
  <si>
    <t>Malappuran</t>
  </si>
  <si>
    <t>Payment Received in five part Rs.2000+2000+2000+2000 dt.16/06/22, Rs.2000+1000 dt.17/06/22</t>
  </si>
  <si>
    <t>Amt-2000/-,Amt-2000/-,Amt-2000/-,Amt-2000/- DT.16.06.22 Amt-2000/- and Amt-1000/-DT.17.06.22 received in IDFC AC.</t>
  </si>
  <si>
    <t>Govt:-4176/-Asso:-250/-Rietway</t>
  </si>
  <si>
    <t>Janhit Xerox Center</t>
  </si>
  <si>
    <t>Nishikant Dinkar Yadav</t>
  </si>
  <si>
    <t>Nishikantyadav1983@gmail.com</t>
  </si>
  <si>
    <t>LE-463/22-23</t>
  </si>
  <si>
    <t>TXN-354/2022-2023</t>
  </si>
  <si>
    <t>Akshata</t>
  </si>
  <si>
    <t>Competitor DM Lead</t>
  </si>
  <si>
    <t>Sangli</t>
  </si>
  <si>
    <t>Amt-1000/- received in IDFC AC DT.16.06.22</t>
  </si>
  <si>
    <t>The Baby Room</t>
  </si>
  <si>
    <t>The Baby Room (Class- 35)</t>
  </si>
  <si>
    <t>Nikunj Tarpara</t>
  </si>
  <si>
    <t>nikunj6087@gmail.com</t>
  </si>
  <si>
    <t>LE-464/22-23</t>
  </si>
  <si>
    <t>TXN-355/2022-2023</t>
  </si>
  <si>
    <t>Tawk to Lead</t>
  </si>
  <si>
    <t>Amt-8140/- received in IDFC AC DT.17.06.22</t>
  </si>
  <si>
    <t>Govt:-4870/-Asso:-250+250</t>
  </si>
  <si>
    <t>Trademark ( Filling and Reply Filling ) &amp; ISO 9001-2015 ( Non-IAF) ( QCS)</t>
  </si>
  <si>
    <t>Shweta Studio</t>
  </si>
  <si>
    <t>Shweta Studio (Class 41) (Device Mark)</t>
  </si>
  <si>
    <t>Deepak Jadhav</t>
  </si>
  <si>
    <t>9820488175/9920488175</t>
  </si>
  <si>
    <t>shwetastudio0@gmail.com</t>
  </si>
  <si>
    <t>LE-465/22-23</t>
  </si>
  <si>
    <t>TXN-356/2022-2023</t>
  </si>
  <si>
    <t>Tawk Too Leaad</t>
  </si>
  <si>
    <t>Payment Received dt.18/06/22</t>
  </si>
  <si>
    <t>Amt-13770/- received in IDFC AC DT.18.06.22</t>
  </si>
  <si>
    <t>Govt:-4870/-Asso:-250+250+500</t>
  </si>
  <si>
    <t>S N Enterprises</t>
  </si>
  <si>
    <t>AERODOC (Class 35 (Wordmark))</t>
  </si>
  <si>
    <t>Nikhil Kumar</t>
  </si>
  <si>
    <t>8826401682 / 7876276573</t>
  </si>
  <si>
    <t>cycletimeindia@gmail.com</t>
  </si>
  <si>
    <t>06BLCPN5131R1ZR</t>
  </si>
  <si>
    <t>LE-466/22-23</t>
  </si>
  <si>
    <t>TXN-357/2022-2023</t>
  </si>
  <si>
    <t>Jhajjar</t>
  </si>
  <si>
    <t>Amt-9220/- received in IDFC AC DT.16.06.22</t>
  </si>
  <si>
    <t>TM Certificate</t>
  </si>
  <si>
    <t>Khatri Chemicals</t>
  </si>
  <si>
    <t>Khatri Chemicals ( 4442129 )</t>
  </si>
  <si>
    <t>Himanshu Khatri</t>
  </si>
  <si>
    <t>khatrichems@gmail.com</t>
  </si>
  <si>
    <t>08IMLPK0292P1Z8</t>
  </si>
  <si>
    <t>LE-467/22-23</t>
  </si>
  <si>
    <t>TXN-358/2022-2023</t>
  </si>
  <si>
    <t>SMS Old Client</t>
  </si>
  <si>
    <t>Jaisalmer</t>
  </si>
  <si>
    <t>Payment Received in two part Rs.2000+360</t>
  </si>
  <si>
    <t>Amt-2000/- and Amt-360/- received in IDFC AC DT.16.06.22</t>
  </si>
  <si>
    <t>TM 2 Certificate</t>
  </si>
  <si>
    <t>Harnaam Foods LLP</t>
  </si>
  <si>
    <t>Tasty Trends ( 4301740 ) Healthy Trends ( 4358183 )</t>
  </si>
  <si>
    <t>Mahesh Budhrani</t>
  </si>
  <si>
    <t>maheshbudhrani@gmail.com</t>
  </si>
  <si>
    <t>27AAMFH5441C1ZI</t>
  </si>
  <si>
    <t>LE-468/22-23</t>
  </si>
  <si>
    <t>TXN-359/2022-2023</t>
  </si>
  <si>
    <t>Amt-2360/- received in IDFC AC DT.17.06.22</t>
  </si>
  <si>
    <t>Trademark ( TM No. Only)</t>
  </si>
  <si>
    <t>Yeolekar Brothers Shri Balaji Farsan</t>
  </si>
  <si>
    <t>Yeolekar Brothers SB Namkeen &amp; Sweet (CLASS 35)</t>
  </si>
  <si>
    <t>Vyanktesh Shankar Babar</t>
  </si>
  <si>
    <t>babarvyankatesh7@gmail.com</t>
  </si>
  <si>
    <t>27AACFY0057D1ZF</t>
  </si>
  <si>
    <t>LE-469/22-23</t>
  </si>
  <si>
    <t>TXN-360/2022-2023</t>
  </si>
  <si>
    <t>Amt-6500/- received in IDFC AC DT.17.06.22</t>
  </si>
  <si>
    <t>ISO 9001:2015 QCS NON IAF &amp; GMP QCS</t>
  </si>
  <si>
    <t>S Leather</t>
  </si>
  <si>
    <t>Mohd Jamil Ahmed</t>
  </si>
  <si>
    <t>9967346533 / 9321103447</t>
  </si>
  <si>
    <t>sleather1019@gmail.com</t>
  </si>
  <si>
    <t>27BFEPM3123E1ZU</t>
  </si>
  <si>
    <t>LE-470/22-23</t>
  </si>
  <si>
    <t>PO-188/2022-2023</t>
  </si>
  <si>
    <t>Amt-3000/- received in IDFC AC DT.17.06.22</t>
  </si>
  <si>
    <t>Asso:-590/-,1770/-</t>
  </si>
  <si>
    <t>Central FSSAI License 1 Year ( Out of pocket Expenses)</t>
  </si>
  <si>
    <t>Adamey Wellness LLP</t>
  </si>
  <si>
    <t>Nidhi Pradeeo Sastry</t>
  </si>
  <si>
    <t>nidhisastry2303@gmail.com</t>
  </si>
  <si>
    <t>LE-471/22-23</t>
  </si>
  <si>
    <t>NTX-67/2022-2023</t>
  </si>
  <si>
    <t>Old Landline Lead</t>
  </si>
  <si>
    <t>IMPS - Vijay Pal SVC Bank Savings Account</t>
  </si>
  <si>
    <t>Amt-24000/- recevied in Anuj ji (Vijay Pal) AC DT.17.06.22</t>
  </si>
  <si>
    <t>Officers Raju Rathod Rs.16500/-</t>
  </si>
  <si>
    <t>TM (2 Counter Statement)</t>
  </si>
  <si>
    <t>Prem Ice Cream</t>
  </si>
  <si>
    <t>Prem</t>
  </si>
  <si>
    <t>Gyanendra Jain</t>
  </si>
  <si>
    <t>Premfoodindustry@gmail.com</t>
  </si>
  <si>
    <t>21AQGPJ0058B1ZN</t>
  </si>
  <si>
    <t>LE-472/22-23</t>
  </si>
  <si>
    <t>TXN-361/2022-2023</t>
  </si>
  <si>
    <t>DM Old Lead</t>
  </si>
  <si>
    <t>Balangir</t>
  </si>
  <si>
    <t>Amt-11360/- received in IDFC AC DT.17.06.22</t>
  </si>
  <si>
    <t>Sky Leather</t>
  </si>
  <si>
    <t>Decardin (Application No :- 5401978)</t>
  </si>
  <si>
    <t>Hanif Umer Fruitwala</t>
  </si>
  <si>
    <t>danishfruitwala786@icloud.com</t>
  </si>
  <si>
    <t>27AAFPF7475B2ZT</t>
  </si>
  <si>
    <t>LE-473/22-23</t>
  </si>
  <si>
    <t>TXN-362/2022-2023</t>
  </si>
  <si>
    <t>Amt-7500/- received in IDFC AC DT.17.06.22</t>
  </si>
  <si>
    <t>Asso:-250/-+1000+1000</t>
  </si>
  <si>
    <t>Radvision Engineering Private Limited</t>
  </si>
  <si>
    <t>Payal Vilas Kadam</t>
  </si>
  <si>
    <t>info@radvision.in</t>
  </si>
  <si>
    <t>27AAJCR6864M1ZJ</t>
  </si>
  <si>
    <t>LE-474/22-23</t>
  </si>
  <si>
    <t>TXN-363/2022-2023</t>
  </si>
  <si>
    <t>Close Calling Ref (moinuddin)</t>
  </si>
  <si>
    <t>Amt-3540/- received in IDFC AC DT.16.06.22</t>
  </si>
  <si>
    <t>Trademark (Filling and Reply Filling)</t>
  </si>
  <si>
    <t>S.S.Fashion</t>
  </si>
  <si>
    <t>S.S.Fashion Meena (class 35)</t>
  </si>
  <si>
    <t>Mohammed Sabir Abdul Kader Chandiwala</t>
  </si>
  <si>
    <t>ssf60621@gmail.com</t>
  </si>
  <si>
    <t>24ABGPC0357B2ZG</t>
  </si>
  <si>
    <t>LE-475/22-23</t>
  </si>
  <si>
    <t>TXN-364/2022-2023</t>
  </si>
  <si>
    <t>DM - Sarvesh Client (Mar 2022)</t>
  </si>
  <si>
    <t>SS Fashion</t>
  </si>
  <si>
    <t>Amt-8151/- received in IDFC AC DT.16.06.22</t>
  </si>
  <si>
    <t>Govt:-4870/-, Asso:-500</t>
  </si>
  <si>
    <t>Varsha Refractories Pvt Ltd</t>
  </si>
  <si>
    <t>Varsha Refractories Pvt Ltd (class 35)</t>
  </si>
  <si>
    <t>Nilesh Anantrai Mehta /Bhavesh Anantrai Mehta/ Prakash Anantrai Mehta</t>
  </si>
  <si>
    <t>nilesh@vrpl.net</t>
  </si>
  <si>
    <t>27AAACV9947J1ZO</t>
  </si>
  <si>
    <t>LE-476/22-23</t>
  </si>
  <si>
    <t>TXN-365/2022-2023</t>
  </si>
  <si>
    <t>DM - Saraswati Client (Nov 2021)</t>
  </si>
  <si>
    <t>Amt-10950/- received in IDFC AC DT.17.06.22</t>
  </si>
  <si>
    <t>2 Trademark (Filling and Reply Filling)</t>
  </si>
  <si>
    <t>Hygiene Office Solutions</t>
  </si>
  <si>
    <t>Kenil Image (class 2 And Class 9)</t>
  </si>
  <si>
    <t>Kamlesh Ganesha Hanat</t>
  </si>
  <si>
    <t>hygieneofficesolution@gmail.com</t>
  </si>
  <si>
    <t>29ABPPH9803E1ZE</t>
  </si>
  <si>
    <t>LE-477/22-23</t>
  </si>
  <si>
    <t>TXN-366/2022-2023</t>
  </si>
  <si>
    <t>DM - Old Client (May 2020)</t>
  </si>
  <si>
    <t>Amt-16000/- received in IDFC AC DT.17.06.22</t>
  </si>
  <si>
    <t>Govt:-4870+4500, Asso:-250+250+250+250</t>
  </si>
  <si>
    <t>MSME Certificate</t>
  </si>
  <si>
    <t>Sonus India</t>
  </si>
  <si>
    <t>Abdul Rehman Khamish Rashid Shaikh</t>
  </si>
  <si>
    <t>info.sonusindia@gmail.com</t>
  </si>
  <si>
    <t>27ADWFS4336E1ZN</t>
  </si>
  <si>
    <t>LE-478/22-23</t>
  </si>
  <si>
    <t>TXN-367/2022-2023</t>
  </si>
  <si>
    <t>DM Client old</t>
  </si>
  <si>
    <t>Trademark ( Filling and Reply Filling ),MSME,ISO 9001-2015 QCS</t>
  </si>
  <si>
    <t>Varneshwar Minerals</t>
  </si>
  <si>
    <t>Kidtask ( Class - 28 - Manufaturer - No logp)</t>
  </si>
  <si>
    <t>Jagdishbhai Akhabhai Parmar</t>
  </si>
  <si>
    <t>8141267768/9909217928</t>
  </si>
  <si>
    <t>jagdishparmar7768@gmail.com</t>
  </si>
  <si>
    <t>24CVQPP0256E1ZJ</t>
  </si>
  <si>
    <t>LE-479/22-23</t>
  </si>
  <si>
    <t>TXN-368/2022-2023</t>
  </si>
  <si>
    <t>Morbi</t>
  </si>
  <si>
    <t>Payment Received in two part Rs.8000/-+2000/-</t>
  </si>
  <si>
    <t>Govt:-4870, Asso:-500+590</t>
  </si>
  <si>
    <t>Trademark (Filing, Reply Filing, 1 Court Hearing) &amp; Accepted &amp; Advertised</t>
  </si>
  <si>
    <t>Golden Products</t>
  </si>
  <si>
    <t>Zafar's Gulab Marka Gul</t>
  </si>
  <si>
    <t>Zafar Alam Khan</t>
  </si>
  <si>
    <t>gulabgulcalcutta@gmail.com/goldyranchi@gmail.com</t>
  </si>
  <si>
    <t>LE-480/22-23</t>
  </si>
  <si>
    <t>PO-190/2022-2023</t>
  </si>
  <si>
    <t>Kolkata</t>
  </si>
  <si>
    <t>Cheque -641602/641604 &amp; Deposited IDFC First Bank Current</t>
  </si>
  <si>
    <t>cheque received in two part Rs.8000+10000</t>
  </si>
  <si>
    <t>(SANDEEP AGARWAL:-9930141714 Asso:-18000/-), Govt:-4870/-, Asso:-1000+500</t>
  </si>
  <si>
    <t>ISO 22000:2018-QCS NON IAF</t>
  </si>
  <si>
    <t>Leelabai Mahila Vikas Seva Mandal</t>
  </si>
  <si>
    <t>Anamika Vikas Gaikwad</t>
  </si>
  <si>
    <t>vikasyash1973@gmail.com</t>
  </si>
  <si>
    <t>LE-481/22-23</t>
  </si>
  <si>
    <t>TXN-369/2022-2023</t>
  </si>
  <si>
    <t>Payment Received dt.19/09/22</t>
  </si>
  <si>
    <t>Asso:-944/-</t>
  </si>
  <si>
    <t>ISO 22000:2018 - QCS - NON IAF</t>
  </si>
  <si>
    <t>Vidhya Mahila Audyogik Utpadak Sahakari Sanstha Maryadit</t>
  </si>
  <si>
    <t>Vidya Sunil Nirbhavane</t>
  </si>
  <si>
    <t>nirbhavanekaran@gmail.com</t>
  </si>
  <si>
    <t>LE-482/22-23</t>
  </si>
  <si>
    <t>TXN-370/2022-2023</t>
  </si>
  <si>
    <t>Trademark ( Only Filing), Fssai Basic 5 Years, MSME &amp; Gumasta</t>
  </si>
  <si>
    <t>PE2 The Gladiator</t>
  </si>
  <si>
    <t>Pe2 The Gladiator</t>
  </si>
  <si>
    <t>Omkar Shivaji Adsule</t>
  </si>
  <si>
    <t>omkaradsule@gmail.com</t>
  </si>
  <si>
    <t>LE-483/22-23</t>
  </si>
  <si>
    <t>TXN-371/2022-2023</t>
  </si>
  <si>
    <t>DM - 28th Dec 2018 - FSSAI and MSME</t>
  </si>
  <si>
    <t>Govt:-4870/-+614 , Asso:-250/-</t>
  </si>
  <si>
    <t>Trademark ( Only Filing)</t>
  </si>
  <si>
    <t>K S Kemp</t>
  </si>
  <si>
    <t>Genzo</t>
  </si>
  <si>
    <t>Surinder Pal Singh</t>
  </si>
  <si>
    <t>kskemp@rediffmail.com</t>
  </si>
  <si>
    <t>03ABNPS2670Q1ZZ</t>
  </si>
  <si>
    <t>LE-484/22-23</t>
  </si>
  <si>
    <t>TXN-372/2022-2023</t>
  </si>
  <si>
    <t>Jalandhar</t>
  </si>
  <si>
    <t>K.S. KEMP</t>
  </si>
  <si>
    <t>Govt:4870/-, Asso:-250/-</t>
  </si>
  <si>
    <t>Rushda Enterprises Pvt Ltd</t>
  </si>
  <si>
    <t>Rushda</t>
  </si>
  <si>
    <t>Shaikh Ayesha &amp; Shaikh Musaddique</t>
  </si>
  <si>
    <t>saharanewsin@gmail.com</t>
  </si>
  <si>
    <t>LE-1023</t>
  </si>
  <si>
    <t>TXN-373/2022-2023</t>
  </si>
  <si>
    <t>Lookvilla</t>
  </si>
  <si>
    <t>HarshTej Creation (HT creation)</t>
  </si>
  <si>
    <t>Harshal Prakash Nar</t>
  </si>
  <si>
    <t>9967792358</t>
  </si>
  <si>
    <t>27AWPPN1107L1Z9</t>
  </si>
  <si>
    <t>LE-73/22-23</t>
  </si>
  <si>
    <t>TXN-374/2022-2023</t>
  </si>
  <si>
    <t>Old Client Ref</t>
  </si>
  <si>
    <t>Payment Received dt.25/04/22</t>
  </si>
  <si>
    <t>Priti Gruh Udhyog</t>
  </si>
  <si>
    <t>Finox</t>
  </si>
  <si>
    <t>Pritiben Apurvabhai Shah</t>
  </si>
  <si>
    <t>pritigruhudhyog@gmail.com</t>
  </si>
  <si>
    <t>24BPTPS7920G1ZD</t>
  </si>
  <si>
    <t>LE-485/22-23</t>
  </si>
  <si>
    <t>TXN-375/2022-2023</t>
  </si>
  <si>
    <t>Amt-8500/- received in IDFC AC DT.21.06.22</t>
  </si>
  <si>
    <t>ISO 9001:2015 - QRO - EGAC - IAF</t>
  </si>
  <si>
    <t>A TO Z LAUNDRY</t>
  </si>
  <si>
    <t>Dashrath Rajkaran Kanojia</t>
  </si>
  <si>
    <t>atozlaundrymumbai@gmail.com</t>
  </si>
  <si>
    <t>27AIPPK8672H1ZL</t>
  </si>
  <si>
    <t>LE-486/22-23</t>
  </si>
  <si>
    <t>PO-193/2022-2023</t>
  </si>
  <si>
    <t>A To Z Laundry</t>
  </si>
  <si>
    <t>Amt-4000/- received in IDFC AC DT.21.06.22</t>
  </si>
  <si>
    <t>Donsuemor Class 30</t>
  </si>
  <si>
    <t>LE-487/22-23</t>
  </si>
  <si>
    <t>TXN-376/2022-2023</t>
  </si>
  <si>
    <t>Amt-8410/- received in IDFC AC DT.21.06.22</t>
  </si>
  <si>
    <t>State Fssai Application ( 5 years )</t>
  </si>
  <si>
    <t>Venus Foods</t>
  </si>
  <si>
    <t>Manoj Shrinivas Gupta</t>
  </si>
  <si>
    <t>vnsfds@gmail.com</t>
  </si>
  <si>
    <t>27AADPG2704J1Z0</t>
  </si>
  <si>
    <t>LE-488/22-23</t>
  </si>
  <si>
    <t>TXN-377/2022-2023</t>
  </si>
  <si>
    <t>Amt-19720/- received in IDFC AC DT.21.06.22</t>
  </si>
  <si>
    <t>Govt:-15000/-</t>
  </si>
  <si>
    <t>Khatea Café (Class 43 Word Mark)</t>
  </si>
  <si>
    <t>J Sneha bhavani</t>
  </si>
  <si>
    <t>Teafe.01@gmail.com</t>
  </si>
  <si>
    <t>21DWCPB2603F1ZH</t>
  </si>
  <si>
    <t>LE-489/22-23</t>
  </si>
  <si>
    <t>TXN-378/2022-2023</t>
  </si>
  <si>
    <t>Messenger</t>
  </si>
  <si>
    <t>Ganjam</t>
  </si>
  <si>
    <t>TEAFE</t>
  </si>
  <si>
    <t>Amt-9090/- received in IDFC AC DT.21.06.22</t>
  </si>
  <si>
    <t>Royal Craft Co</t>
  </si>
  <si>
    <t>MUBIA (CLASS 35)</t>
  </si>
  <si>
    <t>Naved Hasan</t>
  </si>
  <si>
    <t>mubiadesigns@gmail.com</t>
  </si>
  <si>
    <t>09APZPH0777B1ZK</t>
  </si>
  <si>
    <t>LE-490/22-23</t>
  </si>
  <si>
    <t>TXN-379/2022-2023</t>
  </si>
  <si>
    <t>Moradabad</t>
  </si>
  <si>
    <t>Amt-6500/- received in IDFC AC DT.21.06.22</t>
  </si>
  <si>
    <t>TM Direct Acceptance</t>
  </si>
  <si>
    <t>SPH Industries Private Limited</t>
  </si>
  <si>
    <t>Sph Tasty Sips N Bites (application Number :- 5148707 )</t>
  </si>
  <si>
    <t>Paras Kasrija/Kashmiri Lal</t>
  </si>
  <si>
    <t>paraskasrija4@gmail.com</t>
  </si>
  <si>
    <t>LE-491/22-23</t>
  </si>
  <si>
    <t>NTX-68/2022-2023</t>
  </si>
  <si>
    <t>TM - 999 - March 2022</t>
  </si>
  <si>
    <t>Mohali</t>
  </si>
  <si>
    <t>Amt-10500/- recevied in Anuj ji (Vijay Pal) AC DT.21.06.22</t>
  </si>
  <si>
    <t>Asso:-4500/-(Santosh Narvekar)</t>
  </si>
  <si>
    <t>Chrysolite Concepts</t>
  </si>
  <si>
    <t>Santosh Kumar</t>
  </si>
  <si>
    <t>d.enggsantosh@gmail.com</t>
  </si>
  <si>
    <t>LE-14/22-23</t>
  </si>
  <si>
    <t>Social Media</t>
  </si>
  <si>
    <t>Haridwar</t>
  </si>
  <si>
    <t>Aaza Enterprises Private Limited</t>
  </si>
  <si>
    <t>Ramamos ( Class - 29 -manufacturing - Logo Add )</t>
  </si>
  <si>
    <t>Gouse Aaza Shaikh</t>
  </si>
  <si>
    <t>alaazapvtltd@gmail.com</t>
  </si>
  <si>
    <t>27AAWCA2169D1ZG</t>
  </si>
  <si>
    <t>LE-492/22-23</t>
  </si>
  <si>
    <t>TXN-380/2022-2023</t>
  </si>
  <si>
    <t>Payment Received in two part Rs.17988+1</t>
  </si>
  <si>
    <t>Amt-17988/- and Amt-1/- received in IDFC AC DT.21.06.22</t>
  </si>
  <si>
    <t>Gouse And Sons Private Limited</t>
  </si>
  <si>
    <t>Ramamos ( Class - 35 - Trader - Logo Add )</t>
  </si>
  <si>
    <t>gouseandsons@gmail.com</t>
  </si>
  <si>
    <t>27AAHCG7606G1ZJ</t>
  </si>
  <si>
    <t>LE-493/22-23</t>
  </si>
  <si>
    <t>TXN-381/2022-2023</t>
  </si>
  <si>
    <t>Trademark (Filling, Reply Filling) &amp; MSME</t>
  </si>
  <si>
    <t>v4MEN</t>
  </si>
  <si>
    <t>Vikrant</t>
  </si>
  <si>
    <t>vikrant.sahrawat07@gmail.com</t>
  </si>
  <si>
    <t>LE-494/22-23</t>
  </si>
  <si>
    <t>PO-197/2022-2023</t>
  </si>
  <si>
    <t>Whatsapp Campaign</t>
  </si>
  <si>
    <t>Chandigarh</t>
  </si>
  <si>
    <t>Payment Received in two part Rs.4000+870</t>
  </si>
  <si>
    <t>Amt-4000/- and Amt-870/- received in IDFC AC DT.22.06.22</t>
  </si>
  <si>
    <t>TM certificate</t>
  </si>
  <si>
    <t>Mistry Folding</t>
  </si>
  <si>
    <t>Mistry Meet Sunilbhai</t>
  </si>
  <si>
    <t>mistryfolding@gmail.com</t>
  </si>
  <si>
    <t>24ABQFM1310A1ZX</t>
  </si>
  <si>
    <t>LE-495/22-23</t>
  </si>
  <si>
    <t>TXN-382/2022-2023</t>
  </si>
  <si>
    <t>Krutika</t>
  </si>
  <si>
    <t>old client</t>
  </si>
  <si>
    <t>Amt-1200/- received in IDFC AC DT.22.06.22</t>
  </si>
  <si>
    <t>Trademark Hearing and Reply Filling</t>
  </si>
  <si>
    <t>Paras Marketing</t>
  </si>
  <si>
    <t>Pearl Glow And Aroma Beauty (application No. 5321593 &amp; 5169374)</t>
  </si>
  <si>
    <t>Bindu Devi Jain</t>
  </si>
  <si>
    <t>parasmarketing01@gmail.com</t>
  </si>
  <si>
    <t>37AEBPB0695M1ZE</t>
  </si>
  <si>
    <t>LE-496/22-23</t>
  </si>
  <si>
    <t>TXN-383/2022-2023</t>
  </si>
  <si>
    <t>Amt-20000/-,Amt-20000/- and Amt-3466/- received in IDFC AC DT.22.06.22</t>
  </si>
  <si>
    <t>Sandeep Agarwal 5321593 -4500/-,Santosh Narvekar - 5169374 (Reply filing including 4500+4500)</t>
  </si>
  <si>
    <t>Fssai Central - Modification</t>
  </si>
  <si>
    <t>Champ Industries</t>
  </si>
  <si>
    <t>Priya Singh</t>
  </si>
  <si>
    <t>jatin123_patel@yahoo.com</t>
  </si>
  <si>
    <t>26AAJFC2643Q1Z1</t>
  </si>
  <si>
    <t>LE-497/22-23</t>
  </si>
  <si>
    <t>TXN-384/2022-2023</t>
  </si>
  <si>
    <t>Daman &amp; Diu</t>
  </si>
  <si>
    <t>Daman</t>
  </si>
  <si>
    <t>Amt-15540/- received in IDFC AC DT.22.06.22</t>
  </si>
  <si>
    <t>Raju Rathod :-1000 Govt, Asso:-2000/-</t>
  </si>
  <si>
    <t>Logo Copyright &amp; 2 Trademark - Filling, Reply Filling and Hearing</t>
  </si>
  <si>
    <t>Azra Butool Rizvi</t>
  </si>
  <si>
    <t>Origin</t>
  </si>
  <si>
    <t>binishasan1507@gmail.com</t>
  </si>
  <si>
    <t>LE-498/22-23</t>
  </si>
  <si>
    <t>PO-198/2022-2023</t>
  </si>
  <si>
    <t>Payment Received in two part Rs.20000+5000</t>
  </si>
  <si>
    <t>Amt-20000/-and Amt-5000/- received in IDFC AC DT.22.06.22</t>
  </si>
  <si>
    <t>Govt:-11000+4870+4500</t>
  </si>
  <si>
    <t>Trademark ( Only Filing) &amp; MSME</t>
  </si>
  <si>
    <t>Mirvic Enterprises (India) Private Limited</t>
  </si>
  <si>
    <t>Mirvic Solar</t>
  </si>
  <si>
    <t>Mihir Shailesh Shah &amp; Victor Moses Samuel</t>
  </si>
  <si>
    <t>sakshi.solentro@gmail.com</t>
  </si>
  <si>
    <t>LE-499/22-23</t>
  </si>
  <si>
    <t>PO-199/2022-2023</t>
  </si>
  <si>
    <t>Amish Mehta &amp; Company</t>
  </si>
  <si>
    <t>Amt-8000/- received in IDFC AC DT.22.06.22</t>
  </si>
  <si>
    <t>Govt:-4870/- Asso:-250/-</t>
  </si>
  <si>
    <t>AD Enterprises</t>
  </si>
  <si>
    <t>Adtoo (class 21)</t>
  </si>
  <si>
    <t>Kishor Chunnilal Choudhary</t>
  </si>
  <si>
    <t>adtoo50@gmail.com</t>
  </si>
  <si>
    <t>27BFNPC7128E1ZI</t>
  </si>
  <si>
    <t>LE-500/22-23</t>
  </si>
  <si>
    <t>PO-200/2022-2023</t>
  </si>
  <si>
    <t>DM - Old Client (june 2022)</t>
  </si>
  <si>
    <t>Amt-5950/- received in IDFC AC DT.22.06.22</t>
  </si>
  <si>
    <t>TM ( Filling and Reply Filling ) and MSME Company Name Changes</t>
  </si>
  <si>
    <t>NSC Industries Pvt Ltd</t>
  </si>
  <si>
    <t>NSC Industries Pvt Ltd Class 6</t>
  </si>
  <si>
    <t>Kasim Zahir Khan</t>
  </si>
  <si>
    <t>info@nscindustries.com</t>
  </si>
  <si>
    <t>27AAICN0458J1Z8</t>
  </si>
  <si>
    <t>LE-501/22-23</t>
  </si>
  <si>
    <t>TXN-385/2022-2023</t>
  </si>
  <si>
    <t>DM Client Ref</t>
  </si>
  <si>
    <t>Amt-9590/- received in IDFC AC DT.22.06.22</t>
  </si>
  <si>
    <t>IEC Renewal</t>
  </si>
  <si>
    <t>AAA Industries</t>
  </si>
  <si>
    <t>Abdulgani Bakash khan</t>
  </si>
  <si>
    <t>moosani1986@gmail.com</t>
  </si>
  <si>
    <t>LE-502/22-23</t>
  </si>
  <si>
    <t>TXN-386/2022-2023</t>
  </si>
  <si>
    <t>Reference lead</t>
  </si>
  <si>
    <t>Amt-2000/- received in IDFC AC DT.21.06.22</t>
  </si>
  <si>
    <t>Govt:-200/-</t>
  </si>
  <si>
    <t>Seven Concepts</t>
  </si>
  <si>
    <t>Faably (application Number :- 5399348 )</t>
  </si>
  <si>
    <t>Ajay Agarwal</t>
  </si>
  <si>
    <t>aajayagarwal16@gmail.com</t>
  </si>
  <si>
    <t>LE-503/22-23</t>
  </si>
  <si>
    <t>NTX-69/2022-2023</t>
  </si>
  <si>
    <t>TM - No Price</t>
  </si>
  <si>
    <t>Siliguri</t>
  </si>
  <si>
    <t>Amt-10500/-  recevied  in Anuj ji (Vijay Pal)  AC DT.24.06.22</t>
  </si>
  <si>
    <t>Santosh Narvekar Asso:-4500/-</t>
  </si>
  <si>
    <t>OEM Registration</t>
  </si>
  <si>
    <t>Dx Archery Equipments</t>
  </si>
  <si>
    <t>Sujitkumar Madhavrao Kandgire</t>
  </si>
  <si>
    <t>dx.archery2015@gmail.com</t>
  </si>
  <si>
    <t>27DSIPK3148E1ZQ</t>
  </si>
  <si>
    <t>LE-504/22-23</t>
  </si>
  <si>
    <t>PO-201/2022-2023</t>
  </si>
  <si>
    <t>Amt-15000/-  received  in IDFC AC DT.22.06.22</t>
  </si>
  <si>
    <t>Consultantforgem-8896846846</t>
  </si>
  <si>
    <t>Hydro Serve Technologies</t>
  </si>
  <si>
    <t>Hydro Serve Technologies Class 7 ( 01-04-2004 )</t>
  </si>
  <si>
    <t>Abdul Rehman Gulam Rasool Charolia</t>
  </si>
  <si>
    <t>support@hydro-serve.com</t>
  </si>
  <si>
    <t>27AADFH4987L1ZR</t>
  </si>
  <si>
    <t>LE-505/22-23</t>
  </si>
  <si>
    <t>TXN-387/2022-2023</t>
  </si>
  <si>
    <t>SMS Old</t>
  </si>
  <si>
    <t>Amt-9590/-  received  in IDFC AC DT.23.06.22</t>
  </si>
  <si>
    <t>Indian School Of Self Defence And Indian School Of Skating</t>
  </si>
  <si>
    <t>Mr. Deepak Sudhakar Gaonkar</t>
  </si>
  <si>
    <t>atharvagaonkar@gmail.com</t>
  </si>
  <si>
    <t>LE-506/22-23</t>
  </si>
  <si>
    <t>TXN-388/2022-2023</t>
  </si>
  <si>
    <t>OLD DM REF</t>
  </si>
  <si>
    <t>Badlapur</t>
  </si>
  <si>
    <t>Payment Received in two part Rs.1590+2000/-</t>
  </si>
  <si>
    <t>Amt-1590/- and Amt-2000/-  received  in IDFC AC DT.22.06.22</t>
  </si>
  <si>
    <t>12A and 80G Registration</t>
  </si>
  <si>
    <t>Devsheela Shefali Memorial Trust</t>
  </si>
  <si>
    <t>Bala</t>
  </si>
  <si>
    <t>octaga@gmail.com</t>
  </si>
  <si>
    <t>LE-507/22-23</t>
  </si>
  <si>
    <t>PO-195/2022-2023</t>
  </si>
  <si>
    <t>NEFT - Kotak Bank Current Account</t>
  </si>
  <si>
    <t xml:space="preserve">Amt-12000/- received  KOTAK TRF DONE  IDFC AC DT.24.05.22 </t>
  </si>
  <si>
    <t>Rietway Consultants</t>
  </si>
  <si>
    <t>Shrirathnam / Clappyed Institute</t>
  </si>
  <si>
    <t>Clappyed Institute / Shrirathnam Resturant</t>
  </si>
  <si>
    <t>Deepak Kumar</t>
  </si>
  <si>
    <t>d7017586601@gmail.com</t>
  </si>
  <si>
    <t>LE-1807</t>
  </si>
  <si>
    <t>TXN-389/2022-2023</t>
  </si>
  <si>
    <t>Janardhan &amp; Tushar</t>
  </si>
  <si>
    <t>FB Data</t>
  </si>
  <si>
    <t>Agra</t>
  </si>
  <si>
    <t>Payment Received dt.15/06/22</t>
  </si>
  <si>
    <t>TXN-390/2022-2023</t>
  </si>
  <si>
    <t>Blessed Projects Pvt. Ltd</t>
  </si>
  <si>
    <t>Breads and Moulds</t>
  </si>
  <si>
    <t>Sarabjit Kohli</t>
  </si>
  <si>
    <t>98188 12761</t>
  </si>
  <si>
    <t>sarabjitkohli@icloud.com</t>
  </si>
  <si>
    <t>07AAGCB9111L1ZK</t>
  </si>
  <si>
    <t>LE-1227</t>
  </si>
  <si>
    <t>TXN-391/2022-2023</t>
  </si>
  <si>
    <t>Shritam</t>
  </si>
  <si>
    <t>FB999</t>
  </si>
  <si>
    <t>Delhi</t>
  </si>
  <si>
    <t>New Delhi</t>
  </si>
  <si>
    <t>Vithai Masale</t>
  </si>
  <si>
    <t>Vithai</t>
  </si>
  <si>
    <t>Nilesh Ashokrao Dadgal</t>
  </si>
  <si>
    <t>nilsdadgal@gmail.com</t>
  </si>
  <si>
    <t>LE-1099</t>
  </si>
  <si>
    <t>TX-1099/2021-2022</t>
  </si>
  <si>
    <t>Neha Kakoti</t>
  </si>
  <si>
    <t>FB Leads</t>
  </si>
  <si>
    <t>Payment Received in two part Rs. 1500+2000 dt.21/02/22</t>
  </si>
  <si>
    <t>Royal Team</t>
  </si>
  <si>
    <t>Zahir J</t>
  </si>
  <si>
    <t>royalteammumbai@gmail.com</t>
  </si>
  <si>
    <t>LE-219/22-23</t>
  </si>
  <si>
    <t>TXN-392/2022-2023</t>
  </si>
  <si>
    <t>FB Lead Old</t>
  </si>
  <si>
    <t xml:space="preserve">ISO 9001:2015 IQCS RENEWAL </t>
  </si>
  <si>
    <t>Crownstar Academy LLP</t>
  </si>
  <si>
    <t>(CERTIFICATE NUMBER : - 19ZOZQ02408Q)</t>
  </si>
  <si>
    <t>Ravindar Gangaram Challa / Dixita Jignesh Mehta</t>
  </si>
  <si>
    <t>dixitamehta121@gmail.com</t>
  </si>
  <si>
    <t>LE-508/22-23</t>
  </si>
  <si>
    <t>TXN-393/2022-2023</t>
  </si>
  <si>
    <t>ISO Renewal - June 2022</t>
  </si>
  <si>
    <t>Amt-4520/-  received  in IDFC AC DT.24.06.22</t>
  </si>
  <si>
    <t>Asso:-826/-</t>
  </si>
  <si>
    <t>FSSAI BASIC 3 YEARS</t>
  </si>
  <si>
    <t>Maverick Foodklub</t>
  </si>
  <si>
    <t>Nirvan Ashish Chamria &amp; Satyabhama Prabhudayal Chamria</t>
  </si>
  <si>
    <t>ashishchamria@hotmail.com</t>
  </si>
  <si>
    <t>27ABLFM3301J1ZA</t>
  </si>
  <si>
    <t>LE-509/22-23</t>
  </si>
  <si>
    <t>TXN-394/2022-2023</t>
  </si>
  <si>
    <t>Amt-3000/-  received  in IDFC AC DT.24.06.22</t>
  </si>
  <si>
    <t>Asso:-100.8*3+110=413</t>
  </si>
  <si>
    <t>TM-M &amp; COURT HEARINGS</t>
  </si>
  <si>
    <t>MJ Color Trendz Makeover Studio</t>
  </si>
  <si>
    <t>Mj Color Trendz Makeover Studio (application No :- 4945904)</t>
  </si>
  <si>
    <t>Mohd Sameer</t>
  </si>
  <si>
    <t>sunnybittue@gmail.com</t>
  </si>
  <si>
    <t>LE-510/22-23</t>
  </si>
  <si>
    <t>TXN-395/2022-2023</t>
  </si>
  <si>
    <t>Jammu</t>
  </si>
  <si>
    <t>Jammu &amp; Kashmir</t>
  </si>
  <si>
    <t>Mj Color Trendz Makeover Studio</t>
  </si>
  <si>
    <t>Amt-4730/-  received  in IDFC AC DT.24.06.22</t>
  </si>
  <si>
    <t>Sandesh Sir Govt:-900+110</t>
  </si>
  <si>
    <t>ISO 14001:2015 - QCS - NON IAF &amp; IEC</t>
  </si>
  <si>
    <t>Yogratna Ayurvedic Cosmetics And Health Care</t>
  </si>
  <si>
    <t>Shilpa Satpute</t>
  </si>
  <si>
    <t>kanishk.yogratna@gmail.com</t>
  </si>
  <si>
    <t>27BJYPS9239M1ZT</t>
  </si>
  <si>
    <t>LE-511/22-23</t>
  </si>
  <si>
    <t>TXN-396/2022-2023</t>
  </si>
  <si>
    <t>Yogratna Ayurvedic Cosmetics &amp; Health Care</t>
  </si>
  <si>
    <t>Payment Received in four part Rs.2000+2000+2000+500</t>
  </si>
  <si>
    <t>Amt-2000/-,Amt-2000/-,Amt-2000/- and Amt-500/-  received  in IDFC AC DT.24.06.22</t>
  </si>
  <si>
    <t>Ass:-826/-</t>
  </si>
  <si>
    <t>TM Counter Statement</t>
  </si>
  <si>
    <t>Bhoomi Creation</t>
  </si>
  <si>
    <t>Bplus</t>
  </si>
  <si>
    <t xml:space="preserve">Dinesh Kothari </t>
  </si>
  <si>
    <t>mayurkothari93.mk@gmail.com</t>
  </si>
  <si>
    <t>27AKFPK7971H1ZR</t>
  </si>
  <si>
    <t>LE-512/22-23</t>
  </si>
  <si>
    <t>TXN-397/2022-2023</t>
  </si>
  <si>
    <t xml:space="preserve">Asim </t>
  </si>
  <si>
    <t>Ulhasnagar</t>
  </si>
  <si>
    <t>Amt-5590/-  received  in IDFC AC DT.24.06.22</t>
  </si>
  <si>
    <t>ISO 9001:2015 - QCS - NON IAF &amp; GMP - QCS</t>
  </si>
  <si>
    <t>Anand Agro Industries</t>
  </si>
  <si>
    <t>Dhirajkumar Surendra Sethiya</t>
  </si>
  <si>
    <t>dhiraj.sethiya@gmail.com</t>
  </si>
  <si>
    <t>27BELPS9175Q2Z5</t>
  </si>
  <si>
    <t>LE-513/22-23</t>
  </si>
  <si>
    <t>TXN-398/2022-2023</t>
  </si>
  <si>
    <t>Amt-7500/-  received  in IDFC AC DT.24.06.22</t>
  </si>
  <si>
    <t>Asso:-590/-ISO, 1770/- GMP</t>
  </si>
  <si>
    <t>Tirupur Garment Machines</t>
  </si>
  <si>
    <t xml:space="preserve">Magnes Technologies </t>
  </si>
  <si>
    <t>G Venuga</t>
  </si>
  <si>
    <t>tirupurgarmentmachines@gmail.com</t>
  </si>
  <si>
    <t>33ATNPV6402D1ZP</t>
  </si>
  <si>
    <t>LE-514/22-23</t>
  </si>
  <si>
    <t xml:space="preserve">PO-202/2022-2023
</t>
  </si>
  <si>
    <t>Old-DM</t>
  </si>
  <si>
    <t>Tirupur</t>
  </si>
  <si>
    <t>Amt-7000/-  received  in IDFC AC DT.24.06.22</t>
  </si>
  <si>
    <t>Fusion Fit The Premium Gym</t>
  </si>
  <si>
    <t>Sazid Ahmed</t>
  </si>
  <si>
    <t>Sazid.Ahmed3585@gmail.com</t>
  </si>
  <si>
    <t>09AAFFF0398D1ZH</t>
  </si>
  <si>
    <t>LE-155/22-23</t>
  </si>
  <si>
    <t>TXN-399/2022-2023</t>
  </si>
  <si>
    <t>Lucknow</t>
  </si>
  <si>
    <t>Fusiion Fit</t>
  </si>
  <si>
    <t>Epicure Backyard</t>
  </si>
  <si>
    <t>Epicure The Backyard Klub</t>
  </si>
  <si>
    <t>Karan Kapoor</t>
  </si>
  <si>
    <t>83180 88219</t>
  </si>
  <si>
    <t>kapoorkaran432@gmail.com</t>
  </si>
  <si>
    <t>09DWDPK6765E1Z8</t>
  </si>
  <si>
    <t>LE-1236</t>
  </si>
  <si>
    <t>TXN-400/2022-2023</t>
  </si>
  <si>
    <t>Kanpur</t>
  </si>
  <si>
    <t>Vindhyan Geotechnical Services</t>
  </si>
  <si>
    <t>Sankatha Tiwari</t>
  </si>
  <si>
    <t>vindhyangeotech@gmail.com</t>
  </si>
  <si>
    <t>27AKXPT1749G2ZD</t>
  </si>
  <si>
    <t>LE-738</t>
  </si>
  <si>
    <t>Palghar</t>
  </si>
  <si>
    <t>Payment Received dt.22/02/22</t>
  </si>
  <si>
    <t>ISO UK IQCS 9001:2015</t>
  </si>
  <si>
    <t>Total Foundation</t>
  </si>
  <si>
    <t>Lalit Pathak</t>
  </si>
  <si>
    <t>accounts@totalfounation.in</t>
  </si>
  <si>
    <t xml:space="preserve"> 27AEUPP8891C1ZP</t>
  </si>
  <si>
    <t>LE-515/22-23</t>
  </si>
  <si>
    <t>TXN-401/2022-2023</t>
  </si>
  <si>
    <t>Vivek Dubey &amp; Santosh</t>
  </si>
  <si>
    <t xml:space="preserve">ISO Renewal </t>
  </si>
  <si>
    <t>Amt-5840/-  received  in IDFC AC DT.25.06.22</t>
  </si>
  <si>
    <t>ISO 9001:2015 - QCS - NON IAF</t>
  </si>
  <si>
    <t>Vegh Supply Chain Solutions Private Limited</t>
  </si>
  <si>
    <t>Nilesh Kumar Yadav &amp; Rajesh Jagroop Yadav</t>
  </si>
  <si>
    <t>nilesh.kumar@uscs.in</t>
  </si>
  <si>
    <t>27AAGCV4695R1Z7</t>
  </si>
  <si>
    <t>LE-516/22-23</t>
  </si>
  <si>
    <t>TXN-402/2022-2023</t>
  </si>
  <si>
    <t>Amt-3000/-  received  in IDFC AC DT.25.06.22</t>
  </si>
  <si>
    <t xml:space="preserve">TM - O </t>
  </si>
  <si>
    <t>Sunvij Drugs Pvt. Ltd</t>
  </si>
  <si>
    <t xml:space="preserve"> BRECIN, COLDPHEN, FOLIBRO (GLENMARK) , OMRETON, TAXIMORE (LUPIN LIMITED-4712705,  BROS ENTERPRISE - 4712787,  PHARMACREST - 5269078,FOLIBRO -  4712819, ALKEM - 5269078, ALKEM - 5269100)</t>
  </si>
  <si>
    <t>Shirish</t>
  </si>
  <si>
    <t>bretonhealthcare@gmail.com</t>
  </si>
  <si>
    <t>24AACCS2540Q1Z6</t>
  </si>
  <si>
    <t>LE-517/22-23</t>
  </si>
  <si>
    <t>TXN-403/2022-2023</t>
  </si>
  <si>
    <t>Vadodara</t>
  </si>
  <si>
    <t>Amt-39480/-  received  in IDFC AC DT.25.06.22</t>
  </si>
  <si>
    <t>Govt :-2700*6=16200</t>
  </si>
  <si>
    <t>Daksh Enterprises</t>
  </si>
  <si>
    <t>Priyanka Rohan Patil</t>
  </si>
  <si>
    <t>dakshoemmarketing@gmail.com</t>
  </si>
  <si>
    <t>27GAXPP0173E1Z9</t>
  </si>
  <si>
    <t>LE-518/22-23</t>
  </si>
  <si>
    <t>TXN-404/2022-2023</t>
  </si>
  <si>
    <t>Panvel</t>
  </si>
  <si>
    <t>Amt-4180/-  received  in IDFC AC DT.25.06.22</t>
  </si>
  <si>
    <t>Company Formation - LLP</t>
  </si>
  <si>
    <t>Aslam And Sons Construction</t>
  </si>
  <si>
    <t>Asif Ali / Noorjahan Begum</t>
  </si>
  <si>
    <t>916302786 / 9051779796</t>
  </si>
  <si>
    <t>Asifali01061991@gmail.com</t>
  </si>
  <si>
    <t>LE-519/22-23</t>
  </si>
  <si>
    <t xml:space="preserve">PO-206/2022-2023
</t>
  </si>
  <si>
    <t>TM - 6345</t>
  </si>
  <si>
    <t>Payement Received dt.23/06/2022</t>
  </si>
  <si>
    <t>Amt-2000/-,Amt-2000/-, and Amt-1000/-  received  in IDFC AC DT.23.06.22</t>
  </si>
  <si>
    <t xml:space="preserve">Govt Fees is 1000/-CS Professional Fees - 3000/- (With two DSC),Excluding Stamp Duty - (150/- Client account)
</t>
  </si>
  <si>
    <t xml:space="preserve">TM Reply Filing </t>
  </si>
  <si>
    <t>Shubham Auto  (TM No - 5402584)</t>
  </si>
  <si>
    <t xml:space="preserve">Rajendra Bhimrao Shinde </t>
  </si>
  <si>
    <t xml:space="preserve">shubham.shinde.rajendra@gmail.com  </t>
  </si>
  <si>
    <t>LE-520/22-23</t>
  </si>
  <si>
    <t>NTX-70/2022-2023</t>
  </si>
  <si>
    <t>Social Media Lead</t>
  </si>
  <si>
    <t xml:space="preserve">Satara </t>
  </si>
  <si>
    <t>Shubham Auto</t>
  </si>
  <si>
    <t>Amt-2400/-  received  in Anuj ji (Vijay Pal)  AC DT.24.06.22</t>
  </si>
  <si>
    <t xml:space="preserve">Basic Fssai ( 5 YRS ),ISO 22000:2015(QCS) US,MSME </t>
  </si>
  <si>
    <t>Chaudhary &amp; Sons</t>
  </si>
  <si>
    <t xml:space="preserve">Salim Shahabuddin Chaudhary   </t>
  </si>
  <si>
    <t>98203 57861</t>
  </si>
  <si>
    <t>Chaudharyandsons98@gmail.com</t>
  </si>
  <si>
    <t>27ARRPC6179J1Z6</t>
  </si>
  <si>
    <t>LE-521/22-23</t>
  </si>
  <si>
    <t>TXN-405/2022-2023</t>
  </si>
  <si>
    <t>Old Existing client ( Dhiraj Client )</t>
  </si>
  <si>
    <t>Payment Received dt.25/06/22</t>
  </si>
  <si>
    <t>Govt:-614/-, Asso:-826</t>
  </si>
  <si>
    <t xml:space="preserve">Manoj Traders </t>
  </si>
  <si>
    <t>ADMOL , Class - 3</t>
  </si>
  <si>
    <t>Nilesh panjwani</t>
  </si>
  <si>
    <t xml:space="preserve">manojtrader3@gmail.com </t>
  </si>
  <si>
    <t>24AAPPP8380H1Z6</t>
  </si>
  <si>
    <t>LE-522/22-23</t>
  </si>
  <si>
    <t>TXN-406/2022-2023</t>
  </si>
  <si>
    <t xml:space="preserve">TM-NO Price ( OLD Reference client ) </t>
  </si>
  <si>
    <t>Manoj Traders</t>
  </si>
  <si>
    <t>FSSAI Basic 5 Year</t>
  </si>
  <si>
    <t>M/S.Reddy's Em Babu Thinnara Family Restaurant</t>
  </si>
  <si>
    <t>Kaki Narasimha Goud</t>
  </si>
  <si>
    <t>kiransagarreddy1@gmail.com</t>
  </si>
  <si>
    <t>36DJAPG8763C1ZA</t>
  </si>
  <si>
    <t>LE-523/22-23</t>
  </si>
  <si>
    <t>PO-208/2022-2023</t>
  </si>
  <si>
    <t>FB Client ( 8 Dec 2021 )</t>
  </si>
  <si>
    <t>Telangana</t>
  </si>
  <si>
    <t>M/s.Reddy's Em Babu Thinnara Family Restaurant</t>
  </si>
  <si>
    <t>MSME Registration</t>
  </si>
  <si>
    <t>Designarto</t>
  </si>
  <si>
    <t>Govind Raju</t>
  </si>
  <si>
    <t>govindrajko@icloud.com</t>
  </si>
  <si>
    <t>29DVRPR6597E1ZH</t>
  </si>
  <si>
    <t>LE-524/22-23</t>
  </si>
  <si>
    <t>TXN-407/2022-2023</t>
  </si>
  <si>
    <t>UPI/IMPS - IDFC First Bank Current Account</t>
  </si>
  <si>
    <t>Payment received in two part Rs.1479/- &amp; Rs.1/-</t>
  </si>
  <si>
    <t xml:space="preserve">Minute Mart </t>
  </si>
  <si>
    <t>Abdulla Khan</t>
  </si>
  <si>
    <t>Minutemartofficial@gmail.com</t>
  </si>
  <si>
    <t>LE-525/22-23</t>
  </si>
  <si>
    <t>TXN-408/2022-2023</t>
  </si>
  <si>
    <t>DM - TM-999 ( 24-01-2020 )</t>
  </si>
  <si>
    <t>Trademark ( Filling and Reply Filling ), US FDA Certificate ( QCS),GMP ( QCS)</t>
  </si>
  <si>
    <t>Hadvaidya Warkhade</t>
  </si>
  <si>
    <t>Hadvaidya Warkhade (Class 3 ( Marathi Language) Device Mark )</t>
  </si>
  <si>
    <t>Vijay Warkhade</t>
  </si>
  <si>
    <t>vijaywarkhade009@gmail.com</t>
  </si>
  <si>
    <t>LE-526/22-23</t>
  </si>
  <si>
    <t>TXN-409/2022-2023</t>
  </si>
  <si>
    <t>Payment Received in three part Rs.2000+8000 dt.23/06/22 &amp; 10400/-dt.25/06/22</t>
  </si>
  <si>
    <t>Govt:-4870/-,Asso:-500+1770+2360</t>
  </si>
  <si>
    <t>FSSAI BASIC 1 YEAR</t>
  </si>
  <si>
    <t>Barandev Agro Private Limited</t>
  </si>
  <si>
    <t>Meena Dixit &amp; Sanjeev Kumar Tiwari</t>
  </si>
  <si>
    <t>7206175252 / 6392202932</t>
  </si>
  <si>
    <t>tiwarymeena22@gmail.com</t>
  </si>
  <si>
    <t>09AAKCB6761A1ZP</t>
  </si>
  <si>
    <t>LE-527/22-23</t>
  </si>
  <si>
    <t>TXN-410/2022-2023</t>
  </si>
  <si>
    <t>Govt:-211/-</t>
  </si>
  <si>
    <t>Nitin Hudekar- Insurance and Investments</t>
  </si>
  <si>
    <t>Apka Insurance Wala , class 36</t>
  </si>
  <si>
    <t>Nitin Hudekar</t>
  </si>
  <si>
    <t>personal.nitinhudekar@gmail.com</t>
  </si>
  <si>
    <t>LE-528/22-23</t>
  </si>
  <si>
    <t>PO-213/2022-2023</t>
  </si>
  <si>
    <t xml:space="preserve">Toll Free </t>
  </si>
  <si>
    <t>Nashik</t>
  </si>
  <si>
    <t>Payment Received in two part Rs.2000+4000</t>
  </si>
  <si>
    <t>Govt:-4870/-,Asso:-500/-</t>
  </si>
  <si>
    <t xml:space="preserve">TM Opposition Counter Statement </t>
  </si>
  <si>
    <t>Sanmarg4u Pharmaceutical Private Limited</t>
  </si>
  <si>
    <t>SAN-K2-7</t>
  </si>
  <si>
    <t>Nirbhay Kumar Singh</t>
  </si>
  <si>
    <t>8120991000/9555541414</t>
  </si>
  <si>
    <t>nirbhaysingh73@gmail.com</t>
  </si>
  <si>
    <t>22ABFCS1420F1ZZ</t>
  </si>
  <si>
    <t>LE-529/22-23</t>
  </si>
  <si>
    <t>TXN-411/2022-2023</t>
  </si>
  <si>
    <t>Ambikapur</t>
  </si>
  <si>
    <t>IMPS/UPI - IDFC First Bank Current Account</t>
  </si>
  <si>
    <t>Payment Received in two part Rs.4300+2000</t>
  </si>
  <si>
    <t>TM-O:-2700/-</t>
  </si>
  <si>
    <t>Food Forwardd</t>
  </si>
  <si>
    <t>Sameer Zaveri</t>
  </si>
  <si>
    <t>foodforwardd@gmail.com</t>
  </si>
  <si>
    <t>LE-530/22-23</t>
  </si>
  <si>
    <t>TXN-412/2022-2023</t>
  </si>
  <si>
    <t>ISO 9001:2015 Renewal (IQCS Board, NON IAF)</t>
  </si>
  <si>
    <t>Skill Gauges And Services</t>
  </si>
  <si>
    <t>Deepak</t>
  </si>
  <si>
    <t>sales@skillguages.com</t>
  </si>
  <si>
    <t>27ACNFS2633N1ZJ</t>
  </si>
  <si>
    <t>LE-531/22-23</t>
  </si>
  <si>
    <t>TXN-413/2022-2023</t>
  </si>
  <si>
    <t>Skill Gauges &amp; Services</t>
  </si>
  <si>
    <t>Asso:826/-</t>
  </si>
  <si>
    <t>Fssai Basic 5 Year &amp; ISO 9001-2015 QCS NON IAF</t>
  </si>
  <si>
    <t>Vjovis Health Care Private Limited</t>
  </si>
  <si>
    <t>Jagannadham Namuduri</t>
  </si>
  <si>
    <t>jagansupr123@gmail.com</t>
  </si>
  <si>
    <t>37AAECV6153G2Z5</t>
  </si>
  <si>
    <t>LE-532/22-23</t>
  </si>
  <si>
    <t>TXN-414/2022-2023</t>
  </si>
  <si>
    <t>Chat on bdslegalserv.com 21 Sep 2020</t>
  </si>
  <si>
    <t>Vizianagaram</t>
  </si>
  <si>
    <t>Govt:-614/-Asso:-590/-</t>
  </si>
  <si>
    <t>FSSAI BASIC 2 YEARS</t>
  </si>
  <si>
    <t xml:space="preserve">vbhande1982@rediffmail.com </t>
  </si>
  <si>
    <t>LE-533/22-23</t>
  </si>
  <si>
    <t>TXN-415/2022-2023</t>
  </si>
  <si>
    <t>Bromley Infratech Private Limited</t>
  </si>
  <si>
    <t>Anand Jadon</t>
  </si>
  <si>
    <t>anant.jadon@bromley.in</t>
  </si>
  <si>
    <t>29AAICB5122B1Z2</t>
  </si>
  <si>
    <t>LE-534/22-23</t>
  </si>
  <si>
    <t>TXN-416/2022-2023</t>
  </si>
  <si>
    <t xml:space="preserve">ISO RENEWAL </t>
  </si>
  <si>
    <t>Payment Received in two part Rs.2000+2000</t>
  </si>
  <si>
    <t>Gst Registration</t>
  </si>
  <si>
    <t>Sevenexa Innovations Private Limited</t>
  </si>
  <si>
    <t>Gangadhar Hiremath</t>
  </si>
  <si>
    <t>ganguhiremata7@gmail.com</t>
  </si>
  <si>
    <t>LE-535/22-23</t>
  </si>
  <si>
    <t>TXN-417/2022-2023</t>
  </si>
  <si>
    <t>Fruitilicious</t>
  </si>
  <si>
    <t>Mamta Chetan Shah</t>
  </si>
  <si>
    <t>Info.fruiti@gmail.com</t>
  </si>
  <si>
    <t>27ABFPS0233H1ZT</t>
  </si>
  <si>
    <t>LE-536/22-23</t>
  </si>
  <si>
    <t>TXN-418/2022-2023</t>
  </si>
  <si>
    <t>SMS - Old Client (June 2019)</t>
  </si>
  <si>
    <t>Cash Received &amp; Deposited IDFC First Bank Current Account</t>
  </si>
  <si>
    <t>Frutilicious</t>
  </si>
  <si>
    <t xml:space="preserve">Rawat Sales </t>
  </si>
  <si>
    <t xml:space="preserve">Arun Rawat </t>
  </si>
  <si>
    <t>8851193895 /9899181724</t>
  </si>
  <si>
    <t>arunrawat317@gmail.com /salesrawat1989@gmail.com</t>
  </si>
  <si>
    <t>07AOOPR6648M1ZY</t>
  </si>
  <si>
    <t>LE-275/22-23</t>
  </si>
  <si>
    <t>TXN-419/2022-2023</t>
  </si>
  <si>
    <t>(Dimpi-Gulpreet)(WC Aparna )</t>
  </si>
  <si>
    <t xml:space="preserve">Delhi </t>
  </si>
  <si>
    <t xml:space="preserve">New Delhi </t>
  </si>
  <si>
    <t>ISO 9001:2015 Renewal (IQCS Board NON-IAF)</t>
  </si>
  <si>
    <t>Jay Solanki and Co</t>
  </si>
  <si>
    <t>Jay Solanki</t>
  </si>
  <si>
    <t>erjaysolanki@gmail.com</t>
  </si>
  <si>
    <t>24CACPS3417D1Z2</t>
  </si>
  <si>
    <t>LE-537/22-23</t>
  </si>
  <si>
    <t>TXN-420/2022-2023</t>
  </si>
  <si>
    <t xml:space="preserve"> Jay Solanki and Co</t>
  </si>
  <si>
    <t>Amt-4980/-  received  in IDFC AC DT.29.06.22</t>
  </si>
  <si>
    <t>ISO IQCS 9001-2015 Renewal</t>
  </si>
  <si>
    <t xml:space="preserve">Prime Tools </t>
  </si>
  <si>
    <t>Dinesh Chavan</t>
  </si>
  <si>
    <t xml:space="preserve">primetools.in@gmail.com </t>
  </si>
  <si>
    <t xml:space="preserve">27AARFP3683P1Z6 </t>
  </si>
  <si>
    <t>LE-538/22-23</t>
  </si>
  <si>
    <t>TXN-421/2022-2023</t>
  </si>
  <si>
    <t>DM Client</t>
  </si>
  <si>
    <t>Prime Tools</t>
  </si>
  <si>
    <t>Amt-3540/-  received  in IDFC AC DT.29.06.22</t>
  </si>
  <si>
    <t xml:space="preserve">ISO 9001 -2015 (QCS) for 3 year </t>
  </si>
  <si>
    <t>Keerat And Company</t>
  </si>
  <si>
    <t xml:space="preserve">Gurucharansingh Santsingh Wasan </t>
  </si>
  <si>
    <t xml:space="preserve">9322600486/9821017025 </t>
  </si>
  <si>
    <t>keeratandcompany@yahoo.co.in</t>
  </si>
  <si>
    <t>27AAAPW1525E1ZX</t>
  </si>
  <si>
    <t>LE-539/22-23</t>
  </si>
  <si>
    <t>TXN-422/2022-2023</t>
  </si>
  <si>
    <t>ISO Renewal</t>
  </si>
  <si>
    <t xml:space="preserve"> Maharashtra</t>
  </si>
  <si>
    <t>Amt-5298/-  received  in IDFC AC DT.29.06.22</t>
  </si>
  <si>
    <t>ISO 9001-2015 ( IQCS Non-IAF) ( Renewal)</t>
  </si>
  <si>
    <t>Global Exim Institute</t>
  </si>
  <si>
    <t>Koteswara Rao</t>
  </si>
  <si>
    <t>ceo@globaleximinstitute.com/ceo@globaleximsources.com</t>
  </si>
  <si>
    <t>36ABMPK7744E1ZF</t>
  </si>
  <si>
    <t>LE-540/22-23</t>
  </si>
  <si>
    <t>TXN-423/2022-2023</t>
  </si>
  <si>
    <t>ISO Renewal Data</t>
  </si>
  <si>
    <t>Amt-5180/-  received  in IDFC AC DT.29.06.22</t>
  </si>
  <si>
    <t xml:space="preserve">Company Compliance &amp; ISO 9001:2015 NON IAF (QCS) </t>
  </si>
  <si>
    <t>Sheshadri Innovation Private Limited</t>
  </si>
  <si>
    <t>Sundarraj Kishore Karan</t>
  </si>
  <si>
    <t>sheshadriiinovation108@gmail.com</t>
  </si>
  <si>
    <t>29ABHCS6471N1ZH</t>
  </si>
  <si>
    <t>LE-541/22-23</t>
  </si>
  <si>
    <t>TXN-424/2022-2023</t>
  </si>
  <si>
    <t>Payment Received dt.23/06/22</t>
  </si>
  <si>
    <t>Amt-19620/-  received  in IDFC AC DT.23.06.22</t>
  </si>
  <si>
    <t>Govt:-3000/-,Asso:-5000/-+590/- (Ritway)</t>
  </si>
  <si>
    <t>ISO 9001-2015 ( IQCS Non-IAF)</t>
  </si>
  <si>
    <t>Global Exim Sources</t>
  </si>
  <si>
    <t>ceo@globaleximinstitute.com / ceo@globaleximsources.com</t>
  </si>
  <si>
    <t>36AAKFG9477H1ZS</t>
  </si>
  <si>
    <t>LE-542/22-23</t>
  </si>
  <si>
    <t>TXN-425/2022-2023</t>
  </si>
  <si>
    <t>ISO Renwal Data</t>
  </si>
  <si>
    <t>Medchal Malkajgiri</t>
  </si>
  <si>
    <t>ISO 9001:2015 Renewal (IQCS Board NON IAF)</t>
  </si>
  <si>
    <t>Bhawani Products</t>
  </si>
  <si>
    <t>Choutha Ram</t>
  </si>
  <si>
    <t>bhawaniproduct73@gmail.com</t>
  </si>
  <si>
    <t>29AMQPC7708P1Z8</t>
  </si>
  <si>
    <t>LE-543/22-23</t>
  </si>
  <si>
    <t>TXN-426/2022-2023</t>
  </si>
  <si>
    <t>Payment Received in two part Rs.1/- &amp; Rs.4180/-</t>
  </si>
  <si>
    <t>Amt-4180/- and Amt-1/- received  in IDFC AC DT.30.06.22</t>
  </si>
  <si>
    <t>ISO 9001:2015 - IQCS UKAC (NON IAF) Renewal</t>
  </si>
  <si>
    <t>Navachetan Institute Of Computer Education</t>
  </si>
  <si>
    <t>Mahantesh Hiremath</t>
  </si>
  <si>
    <t>mshiremath701@gmail.com</t>
  </si>
  <si>
    <t>LE-544/22-23</t>
  </si>
  <si>
    <t>TXN-427/2022-2023</t>
  </si>
  <si>
    <t>Bagalkote</t>
  </si>
  <si>
    <t>Amt-4180/-  received  in IDFC AC DT.30.06.22</t>
  </si>
  <si>
    <t>Trademark ( Filling and Reply Filling), MSME</t>
  </si>
  <si>
    <t>Texstyle Enterprises</t>
  </si>
  <si>
    <t xml:space="preserve">Topiz, Class - 25 </t>
  </si>
  <si>
    <t xml:space="preserve">Ashik Sonare/Akshay Ramteke </t>
  </si>
  <si>
    <t>ashiksonare87@gmail.com/akkidagr854@gmail.com</t>
  </si>
  <si>
    <t>LE-545/22-23</t>
  </si>
  <si>
    <t>PO-219/2022-2023</t>
  </si>
  <si>
    <t>Moinuddin Khan &amp; Santosh</t>
  </si>
  <si>
    <t xml:space="preserve">Old DM </t>
  </si>
  <si>
    <t>Amt-4795/-  received  in IDFC AC DT.30.06.22</t>
  </si>
  <si>
    <t xml:space="preserve">ISO US (QCS) 9001:2015 </t>
  </si>
  <si>
    <t>Deeps Hair &amp; Skin Beauty Studio</t>
  </si>
  <si>
    <t>Sudha Deepak Padalkar</t>
  </si>
  <si>
    <t>Sudha.padalkar@gmail.com</t>
  </si>
  <si>
    <t>LE-546/22-23</t>
  </si>
  <si>
    <t>PO-220/2022-2023</t>
  </si>
  <si>
    <t>Payment Received dt.20/06/22</t>
  </si>
  <si>
    <t>Amt-1500/-  received  in IDFC AC DT.20.06.22</t>
  </si>
  <si>
    <t>ISO US (QCS) 9001:2015 &amp; MSME</t>
  </si>
  <si>
    <t xml:space="preserve">4PZ Private Limited </t>
  </si>
  <si>
    <t>Minal Khan</t>
  </si>
  <si>
    <t>minal@4pz.in/firoz@4pz.in/accounts@4pz.in/connect@4pz.in</t>
  </si>
  <si>
    <t>07AABCZ7338L1ZS</t>
  </si>
  <si>
    <t>LE-547/22-23</t>
  </si>
  <si>
    <t>PO-221/2022-2023</t>
  </si>
  <si>
    <t>DE - Google Map - Delhi - Advertising Agency</t>
  </si>
  <si>
    <t>4PZ Private Limited</t>
  </si>
  <si>
    <t>Amt-1500/-  received  in IDFC AC DT.30.06.22</t>
  </si>
  <si>
    <t>Rajat Trading Co</t>
  </si>
  <si>
    <t>A-onecut (class 35)</t>
  </si>
  <si>
    <t>Rajat Kathuria</t>
  </si>
  <si>
    <t>nityakumar62@gmail.com</t>
  </si>
  <si>
    <t>03AFYPK5662B1ZD</t>
  </si>
  <si>
    <t>LE-548/22-23</t>
  </si>
  <si>
    <t>TXN-428/2022-2023</t>
  </si>
  <si>
    <t>Rajat Trading Co.</t>
  </si>
  <si>
    <t>Amt-8950/-  received  in IDFC AC DT.29.06.22</t>
  </si>
  <si>
    <t>ISO 9001:2015 (IQCS) (NON IAF)</t>
  </si>
  <si>
    <t>Beget Engineering</t>
  </si>
  <si>
    <t>Shah Ali Murtuza Ali Akhtar</t>
  </si>
  <si>
    <t>begetmail@gmail.com</t>
  </si>
  <si>
    <t>27APSPS6128L1Z0</t>
  </si>
  <si>
    <t>LE-549/22-23</t>
  </si>
  <si>
    <t>TXN-429/2022-2023</t>
  </si>
  <si>
    <t xml:space="preserve">DM - Old Client (may 2019)". </t>
  </si>
  <si>
    <t>Amt-4000/-  received  in IDFC AC DT.29.06.22</t>
  </si>
  <si>
    <t>Trademark ( Filling And Reply Filling ) &amp; Udhyam Registration</t>
  </si>
  <si>
    <t>Sutradhar Project Consultancy Private Limited</t>
  </si>
  <si>
    <t>Sutradhar</t>
  </si>
  <si>
    <t>Sandhya Madhav Koparkar</t>
  </si>
  <si>
    <t>sandhyakoparkar@gmail.com</t>
  </si>
  <si>
    <t>27AAICM3067C1ZL</t>
  </si>
  <si>
    <t>LE-550/22-23</t>
  </si>
  <si>
    <t>TXN-430/2022-2023</t>
  </si>
  <si>
    <t xml:space="preserve"> DM - Old Client (Sep 2019)</t>
  </si>
  <si>
    <t>Amt-13130/-  received  in IDFC AC DT.28.06.22</t>
  </si>
  <si>
    <t>Eshani Trading</t>
  </si>
  <si>
    <t>Eshani</t>
  </si>
  <si>
    <t>JAMNA DEVA DANGAR</t>
  </si>
  <si>
    <t>27BCBPD6770J1ZI</t>
  </si>
  <si>
    <t>LE-551/22-23</t>
  </si>
  <si>
    <t>TXN-431/2022-2023</t>
  </si>
  <si>
    <t>Radha Enterprises</t>
  </si>
  <si>
    <t>Amt-9220/-  received  in IDFC AC DT.29.06.22</t>
  </si>
  <si>
    <t>Engineers Bhel</t>
  </si>
  <si>
    <t>Engineers Bhel Tumchya Jibheche Chochle Puravnra Engineer (class 43)</t>
  </si>
  <si>
    <t>Shailesh Ramesh Salve</t>
  </si>
  <si>
    <t>shailesh.salve88@gmail.com</t>
  </si>
  <si>
    <t>LE-552/22-23</t>
  </si>
  <si>
    <t>TXN-432/2022-2023</t>
  </si>
  <si>
    <t xml:space="preserve"> DM - Old Client (june 2021)</t>
  </si>
  <si>
    <t>Payment Received dt.24/06/22</t>
  </si>
  <si>
    <t>Amt-10500/-  received  in IDFC AC DT.24.06.22</t>
  </si>
  <si>
    <t>Company Formation - Pvt Ltd</t>
  </si>
  <si>
    <t>Yobis International Pvt Ltd</t>
  </si>
  <si>
    <t>Rishab Singh</t>
  </si>
  <si>
    <t>LE-553/22-23</t>
  </si>
  <si>
    <t>TXN-433/2022-2023</t>
  </si>
  <si>
    <t>MHR Enterprises</t>
  </si>
  <si>
    <t>Amt-15360/-  received  in IDFC AC DT.30.06.22</t>
  </si>
  <si>
    <t>Asso:-2451/-, Asso:-3000/-</t>
  </si>
  <si>
    <t>Basebox</t>
  </si>
  <si>
    <t>Vikram B Jain</t>
  </si>
  <si>
    <t>LE-554/22-23</t>
  </si>
  <si>
    <t>TXN-434/2022-2023</t>
  </si>
  <si>
    <t>DM - Old Client Ref</t>
  </si>
  <si>
    <t>Payment Received dt.28/06/22</t>
  </si>
  <si>
    <t>Amt-9220/-  received  in IDFC AC DT.28.06.22</t>
  </si>
  <si>
    <t>Manufacturing FDA License</t>
  </si>
  <si>
    <t>Quachem Chemicals and Solution Providers</t>
  </si>
  <si>
    <t>Debobrata Manabendranath Mukherjee</t>
  </si>
  <si>
    <t>quachemsolutions@gmail.com</t>
  </si>
  <si>
    <t>27AFTPM5322H1Z5</t>
  </si>
  <si>
    <t>LE-555/22-23</t>
  </si>
  <si>
    <t>PO-222/2022-2023</t>
  </si>
  <si>
    <t>Quachem Chemicals And Solution Providers</t>
  </si>
  <si>
    <t xml:space="preserve">
</t>
  </si>
  <si>
    <t>Amt-20000/-  received  in IDFC AC DT.30.06.22</t>
  </si>
  <si>
    <t>Azam Shaikh-9820867716, Asso:-5000/-</t>
  </si>
  <si>
    <t xml:space="preserve">Trademark  Hearing </t>
  </si>
  <si>
    <t>Kuldevi Safe Lockers</t>
  </si>
  <si>
    <t>Kuldevi Safe Lockers (Application Number 4267425)</t>
  </si>
  <si>
    <t>Kishan Panchal</t>
  </si>
  <si>
    <t>kuldevisafe961@gmail.com</t>
  </si>
  <si>
    <t>LE-556/22-23</t>
  </si>
  <si>
    <t>NTX-71/2022-2023</t>
  </si>
  <si>
    <t>Phone-pay - Vijay Pal SVC Bank Savings Account</t>
  </si>
  <si>
    <t>Amt-13700/-  recevied  in Anuj ji (Vijay Pal)  AC DT.30.06.22</t>
  </si>
  <si>
    <t>Asso:-5000/-</t>
  </si>
  <si>
    <t>Payment Received dt.29/06/22</t>
  </si>
  <si>
    <t>Payment Received dt.26/06/22</t>
  </si>
  <si>
    <t>Oustanding Pending</t>
  </si>
  <si>
    <t>Aakansha Clothing</t>
  </si>
  <si>
    <t>Ac Velston, Finchandfable</t>
  </si>
  <si>
    <t>Manishaben Satishbhai Thummar</t>
  </si>
  <si>
    <t>81408 13211</t>
  </si>
  <si>
    <t>Thummar30@gmail.com</t>
  </si>
  <si>
    <t>24BNJPT8983L1ZY</t>
  </si>
  <si>
    <t>LE-821</t>
  </si>
  <si>
    <t>TXN-821/2021-2022</t>
  </si>
  <si>
    <t>Abu Sufyan</t>
  </si>
  <si>
    <t>Fb - Client</t>
  </si>
  <si>
    <t>Aakanksha Clothing</t>
  </si>
  <si>
    <t>Payement Received dt.15/12/21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</si>
</sst>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8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4" fillId="6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0" fillId="0" borderId="5" xfId="0" quotePrefix="1" applyNumberFormat="1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6" fillId="0" borderId="5" xfId="1" applyNumberFormat="1" applyFont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10" borderId="8" xfId="0" applyNumberFormat="1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 wrapText="1"/>
    </xf>
    <xf numFmtId="0" fontId="6" fillId="0" borderId="5" xfId="1" applyNumberFormat="1" applyFont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6" fillId="0" borderId="5" xfId="1" applyNumberForma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4" fillId="6" borderId="11" xfId="0" applyNumberFormat="1" applyFont="1" applyFill="1" applyBorder="1" applyAlignment="1">
      <alignment horizontal="center" vertical="center"/>
    </xf>
    <xf numFmtId="0" fontId="4" fillId="7" borderId="11" xfId="0" applyNumberFormat="1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5" xfId="1" applyFill="1" applyBorder="1" applyAlignment="1">
      <alignment horizontal="center" vertical="center"/>
    </xf>
    <xf numFmtId="11" fontId="5" fillId="9" borderId="5" xfId="0" quotePrefix="1" applyNumberFormat="1" applyFont="1" applyFill="1" applyBorder="1" applyAlignment="1">
      <alignment horizontal="center" vertical="center"/>
    </xf>
    <xf numFmtId="0" fontId="0" fillId="0" borderId="5" xfId="0" quotePrefix="1" applyNumberFormat="1" applyFont="1" applyBorder="1" applyAlignment="1">
      <alignment horizontal="center" vertical="center" wrapText="1"/>
    </xf>
    <xf numFmtId="0" fontId="8" fillId="0" borderId="6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vertical="center"/>
    </xf>
    <xf numFmtId="0" fontId="10" fillId="0" borderId="6" xfId="0" applyNumberFormat="1" applyFont="1" applyBorder="1" applyAlignment="1">
      <alignment horizontal="center" vertical="center"/>
    </xf>
    <xf numFmtId="0" fontId="4" fillId="0" borderId="5" xfId="0" quotePrefix="1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6" fillId="0" borderId="5" xfId="1" applyNumberForma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NumberFormat="1" applyFont="1" applyFill="1" applyBorder="1" applyAlignment="1">
      <alignment horizontal="center" vertical="center" wrapText="1"/>
    </xf>
    <xf numFmtId="164" fontId="4" fillId="12" borderId="5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5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 wrapText="1"/>
    </xf>
    <xf numFmtId="1" fontId="0" fillId="12" borderId="5" xfId="0" applyNumberFormat="1" applyFont="1" applyFill="1" applyBorder="1" applyAlignment="1">
      <alignment horizontal="center" vertical="center" wrapText="1"/>
    </xf>
    <xf numFmtId="2" fontId="0" fillId="12" borderId="5" xfId="0" applyNumberFormat="1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14" fontId="4" fillId="13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164" fontId="4" fillId="13" borderId="4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labgulcalcutta@gmail.com/goldyranchi@gmail.com" TargetMode="External"/><Relationship Id="rId3" Type="http://schemas.openxmlformats.org/officeDocument/2006/relationships/hyperlink" Target="mailto:mailangelie@gmail.com" TargetMode="External"/><Relationship Id="rId7" Type="http://schemas.openxmlformats.org/officeDocument/2006/relationships/hyperlink" Target="mailto:aditya@organicemart.com" TargetMode="External"/><Relationship Id="rId12" Type="http://schemas.openxmlformats.org/officeDocument/2006/relationships/hyperlink" Target="mailto:minal@4pz.in/firoz@4pz.in/accounts@4pz.in/connect@4pz.in" TargetMode="External"/><Relationship Id="rId2" Type="http://schemas.openxmlformats.org/officeDocument/2006/relationships/hyperlink" Target="mailto:newmediacommunications@gmail.com" TargetMode="External"/><Relationship Id="rId1" Type="http://schemas.openxmlformats.org/officeDocument/2006/relationships/hyperlink" Target="mailto:bluewellenterprises2006@Gmail.com" TargetMode="External"/><Relationship Id="rId6" Type="http://schemas.openxmlformats.org/officeDocument/2006/relationships/hyperlink" Target="mailto:danishkhan815@gmail.com/uniquessleepmattress@gmail.com" TargetMode="External"/><Relationship Id="rId11" Type="http://schemas.openxmlformats.org/officeDocument/2006/relationships/hyperlink" Target="mailto:Sudha.padalkar@gmail.com" TargetMode="External"/><Relationship Id="rId5" Type="http://schemas.openxmlformats.org/officeDocument/2006/relationships/hyperlink" Target="mailto:Theimperialindia4@gmail.com/Pardeepkapoor2277@gmail.com" TargetMode="External"/><Relationship Id="rId10" Type="http://schemas.openxmlformats.org/officeDocument/2006/relationships/hyperlink" Target="mailto:ceo@globaleximinstitute.com/ceo@globaleximsources.com" TargetMode="External"/><Relationship Id="rId4" Type="http://schemas.openxmlformats.org/officeDocument/2006/relationships/hyperlink" Target="mailto:ca.vikaskumbhar@gmail.com/genericlifecare@gmail.com" TargetMode="External"/><Relationship Id="rId9" Type="http://schemas.openxmlformats.org/officeDocument/2006/relationships/hyperlink" Target="mailto:sheshadriiinovation1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4"/>
  <sheetViews>
    <sheetView tabSelected="1" topLeftCell="T1" workbookViewId="0">
      <selection activeCell="W3" sqref="W3"/>
    </sheetView>
  </sheetViews>
  <sheetFormatPr defaultRowHeight="15" x14ac:dyDescent="0.25"/>
  <cols>
    <col min="1" max="1" width="10.85546875" style="1" customWidth="1"/>
    <col min="2" max="2" width="63.42578125" style="2" customWidth="1"/>
    <col min="3" max="3" width="62.42578125" style="2" bestFit="1" customWidth="1"/>
    <col min="4" max="4" width="41.5703125" style="2" customWidth="1"/>
    <col min="5" max="5" width="38.7109375" style="2" customWidth="1"/>
    <col min="6" max="6" width="34.140625" style="2" customWidth="1"/>
    <col min="7" max="7" width="34.85546875" style="2" customWidth="1"/>
    <col min="8" max="8" width="18.5703125" style="2" bestFit="1" customWidth="1"/>
    <col min="9" max="9" width="12.5703125" style="2" customWidth="1"/>
    <col min="10" max="10" width="20.42578125" style="2" bestFit="1" customWidth="1"/>
    <col min="11" max="11" width="18" style="2" customWidth="1"/>
    <col min="12" max="12" width="29.5703125" style="2" customWidth="1"/>
    <col min="13" max="13" width="20.7109375" style="2" customWidth="1"/>
    <col min="14" max="14" width="19.140625" style="2" bestFit="1" customWidth="1"/>
    <col min="15" max="15" width="45" style="2" customWidth="1"/>
    <col min="16" max="16" width="14.85546875" style="2" customWidth="1"/>
    <col min="17" max="17" width="18.140625" style="2" customWidth="1"/>
    <col min="18" max="18" width="14.42578125" style="2" bestFit="1" customWidth="1"/>
    <col min="19" max="19" width="11.85546875" style="2" customWidth="1"/>
    <col min="20" max="20" width="9.85546875" style="2" customWidth="1"/>
    <col min="21" max="21" width="17" style="2" customWidth="1"/>
    <col min="22" max="22" width="11.42578125" style="2" bestFit="1" customWidth="1"/>
    <col min="23" max="23" width="10" style="3" bestFit="1" customWidth="1"/>
    <col min="24" max="24" width="20" style="3" customWidth="1"/>
    <col min="25" max="25" width="24.42578125" style="3" bestFit="1" customWidth="1"/>
    <col min="26" max="26" width="23.85546875" style="3" customWidth="1"/>
    <col min="27" max="27" width="29.28515625" style="3" customWidth="1"/>
    <col min="28" max="28" width="9.28515625" style="3" customWidth="1"/>
    <col min="29" max="29" width="9.7109375" style="3" customWidth="1"/>
    <col min="30" max="30" width="10.7109375" style="3" customWidth="1"/>
    <col min="31" max="31" width="12.140625" style="3" customWidth="1"/>
    <col min="32" max="32" width="50.140625" style="3" customWidth="1"/>
    <col min="33" max="33" width="84.85546875" style="3" customWidth="1"/>
    <col min="34" max="34" width="59.5703125" style="3" customWidth="1"/>
    <col min="35" max="35" width="20.85546875" style="3" bestFit="1" customWidth="1"/>
    <col min="36" max="36" width="14.140625" style="3" bestFit="1" customWidth="1"/>
    <col min="37" max="37" width="66.7109375" style="3" customWidth="1"/>
    <col min="38" max="16384" width="9.140625" style="3"/>
  </cols>
  <sheetData>
    <row r="1" spans="1:37" x14ac:dyDescent="0.25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 t="s">
        <v>25</v>
      </c>
      <c r="U1" s="7" t="s">
        <v>26</v>
      </c>
      <c r="V1" s="7" t="s">
        <v>27</v>
      </c>
      <c r="W1" s="8" t="s">
        <v>25</v>
      </c>
      <c r="X1" s="9" t="s">
        <v>28</v>
      </c>
      <c r="Y1" s="9" t="s">
        <v>29</v>
      </c>
      <c r="Z1" s="9" t="s">
        <v>30</v>
      </c>
      <c r="AA1" s="10" t="s">
        <v>31</v>
      </c>
      <c r="AB1" s="7" t="s">
        <v>32</v>
      </c>
      <c r="AC1" s="7" t="s">
        <v>33</v>
      </c>
      <c r="AD1" s="7" t="s">
        <v>34</v>
      </c>
      <c r="AE1" s="7" t="s">
        <v>35</v>
      </c>
      <c r="AF1" s="7" t="s">
        <v>36</v>
      </c>
      <c r="AG1" s="7" t="s">
        <v>37</v>
      </c>
      <c r="AH1" s="7" t="s">
        <v>38</v>
      </c>
      <c r="AI1" s="7" t="s">
        <v>39</v>
      </c>
      <c r="AJ1" s="11" t="s">
        <v>40</v>
      </c>
      <c r="AK1" s="12" t="s">
        <v>41</v>
      </c>
    </row>
    <row r="2" spans="1:37" x14ac:dyDescent="0.25">
      <c r="A2" s="13">
        <v>44713</v>
      </c>
      <c r="B2" s="14" t="s">
        <v>42</v>
      </c>
      <c r="C2" s="14" t="s">
        <v>43</v>
      </c>
      <c r="D2" s="14" t="s">
        <v>43</v>
      </c>
      <c r="E2" s="14" t="s">
        <v>44</v>
      </c>
      <c r="F2" s="15">
        <v>9496707903</v>
      </c>
      <c r="G2" s="16" t="s">
        <v>45</v>
      </c>
      <c r="H2" s="15" t="s">
        <v>46</v>
      </c>
      <c r="I2" s="17" t="s">
        <v>47</v>
      </c>
      <c r="J2" s="18" t="s">
        <v>48</v>
      </c>
      <c r="K2" s="15" t="s">
        <v>49</v>
      </c>
      <c r="L2" s="14" t="s">
        <v>50</v>
      </c>
      <c r="M2" s="15" t="s">
        <v>51</v>
      </c>
      <c r="N2" s="14" t="s">
        <v>52</v>
      </c>
      <c r="O2" s="14" t="s">
        <v>53</v>
      </c>
      <c r="P2" s="15">
        <v>2950</v>
      </c>
      <c r="Q2" s="15">
        <v>2950</v>
      </c>
      <c r="R2" s="15">
        <v>0</v>
      </c>
      <c r="S2" s="15">
        <v>0</v>
      </c>
      <c r="T2" s="15">
        <v>0</v>
      </c>
      <c r="U2" s="15">
        <v>590</v>
      </c>
      <c r="V2" s="15">
        <v>1910</v>
      </c>
      <c r="W2" s="19">
        <v>0</v>
      </c>
      <c r="X2" s="20">
        <v>0</v>
      </c>
      <c r="Y2" s="20">
        <v>0</v>
      </c>
      <c r="Z2" s="20">
        <v>2500</v>
      </c>
      <c r="AA2" s="21">
        <v>2500</v>
      </c>
      <c r="AB2" s="22">
        <v>0</v>
      </c>
      <c r="AC2" s="22">
        <v>0</v>
      </c>
      <c r="AD2" s="22">
        <f>2500*18/100</f>
        <v>450</v>
      </c>
      <c r="AE2" s="23">
        <v>0</v>
      </c>
      <c r="AF2" s="14" t="s">
        <v>43</v>
      </c>
      <c r="AG2" s="23"/>
      <c r="AH2" s="24" t="s">
        <v>54</v>
      </c>
      <c r="AI2" s="24" t="s">
        <v>55</v>
      </c>
      <c r="AJ2" s="23"/>
      <c r="AK2" s="25" t="s">
        <v>56</v>
      </c>
    </row>
    <row r="3" spans="1:37" x14ac:dyDescent="0.25">
      <c r="A3" s="13">
        <v>44713</v>
      </c>
      <c r="B3" s="14" t="s">
        <v>57</v>
      </c>
      <c r="C3" s="14" t="s">
        <v>58</v>
      </c>
      <c r="D3" s="14" t="s">
        <v>59</v>
      </c>
      <c r="E3" s="14" t="s">
        <v>60</v>
      </c>
      <c r="F3" s="15">
        <v>9967707550</v>
      </c>
      <c r="G3" s="26" t="s">
        <v>61</v>
      </c>
      <c r="H3" s="15" t="s">
        <v>46</v>
      </c>
      <c r="I3" s="17" t="s">
        <v>62</v>
      </c>
      <c r="J3" s="18" t="s">
        <v>63</v>
      </c>
      <c r="K3" s="15" t="s">
        <v>64</v>
      </c>
      <c r="L3" s="14" t="s">
        <v>65</v>
      </c>
      <c r="M3" s="15" t="s">
        <v>66</v>
      </c>
      <c r="N3" s="24" t="s">
        <v>67</v>
      </c>
      <c r="O3" s="14" t="s">
        <v>68</v>
      </c>
      <c r="P3" s="15">
        <v>8040</v>
      </c>
      <c r="Q3" s="15">
        <v>6000</v>
      </c>
      <c r="R3" s="15">
        <v>2040</v>
      </c>
      <c r="S3" s="15">
        <v>0</v>
      </c>
      <c r="T3" s="15">
        <v>4870</v>
      </c>
      <c r="U3" s="15">
        <v>500</v>
      </c>
      <c r="V3" s="15">
        <v>2186</v>
      </c>
      <c r="W3" s="19">
        <v>4870</v>
      </c>
      <c r="X3" s="20">
        <v>1000</v>
      </c>
      <c r="Y3" s="20">
        <v>1186</v>
      </c>
      <c r="Z3" s="20">
        <v>500</v>
      </c>
      <c r="AA3" s="21">
        <v>2686</v>
      </c>
      <c r="AB3" s="22">
        <f>2686*18/100/2</f>
        <v>241.74</v>
      </c>
      <c r="AC3" s="22">
        <f>2686*18/100/2</f>
        <v>241.74</v>
      </c>
      <c r="AD3" s="22">
        <v>0</v>
      </c>
      <c r="AE3" s="23">
        <f>484-AC3-AB3</f>
        <v>0.51999999999998181</v>
      </c>
      <c r="AF3" s="14" t="s">
        <v>58</v>
      </c>
      <c r="AG3" s="23"/>
      <c r="AH3" s="24" t="s">
        <v>69</v>
      </c>
      <c r="AI3" s="24" t="s">
        <v>55</v>
      </c>
      <c r="AJ3" s="23"/>
      <c r="AK3" s="25" t="s">
        <v>70</v>
      </c>
    </row>
    <row r="4" spans="1:37" x14ac:dyDescent="0.25">
      <c r="A4" s="13">
        <v>44713</v>
      </c>
      <c r="B4" s="14" t="s">
        <v>71</v>
      </c>
      <c r="C4" s="14" t="s">
        <v>72</v>
      </c>
      <c r="D4" s="14" t="s">
        <v>46</v>
      </c>
      <c r="E4" s="14" t="s">
        <v>73</v>
      </c>
      <c r="F4" s="15">
        <v>9137893671</v>
      </c>
      <c r="G4" s="16" t="s">
        <v>74</v>
      </c>
      <c r="H4" s="14" t="s">
        <v>75</v>
      </c>
      <c r="I4" s="17" t="s">
        <v>76</v>
      </c>
      <c r="J4" s="18" t="s">
        <v>77</v>
      </c>
      <c r="K4" s="15" t="s">
        <v>78</v>
      </c>
      <c r="L4" s="14" t="s">
        <v>79</v>
      </c>
      <c r="M4" s="15" t="s">
        <v>80</v>
      </c>
      <c r="N4" s="24" t="s">
        <v>67</v>
      </c>
      <c r="O4" s="14" t="s">
        <v>53</v>
      </c>
      <c r="P4" s="15">
        <v>8040</v>
      </c>
      <c r="Q4" s="15">
        <v>8040</v>
      </c>
      <c r="R4" s="15">
        <v>0</v>
      </c>
      <c r="S4" s="15">
        <v>0</v>
      </c>
      <c r="T4" s="15">
        <v>4870</v>
      </c>
      <c r="U4" s="15">
        <v>500</v>
      </c>
      <c r="V4" s="15">
        <v>2186</v>
      </c>
      <c r="W4" s="19">
        <v>4870</v>
      </c>
      <c r="X4" s="20">
        <v>0</v>
      </c>
      <c r="Y4" s="20">
        <v>0</v>
      </c>
      <c r="Z4" s="20">
        <v>2686</v>
      </c>
      <c r="AA4" s="21">
        <v>2686</v>
      </c>
      <c r="AB4" s="22">
        <f>2686*18/100/2</f>
        <v>241.74</v>
      </c>
      <c r="AC4" s="22">
        <f>2686*18/100/2</f>
        <v>241.74</v>
      </c>
      <c r="AD4" s="22">
        <v>0</v>
      </c>
      <c r="AE4" s="23">
        <f>484-AC4-AB4</f>
        <v>0.51999999999998181</v>
      </c>
      <c r="AF4" s="14" t="s">
        <v>81</v>
      </c>
      <c r="AG4" s="23"/>
      <c r="AH4" s="24" t="s">
        <v>82</v>
      </c>
      <c r="AI4" s="24" t="s">
        <v>55</v>
      </c>
      <c r="AJ4" s="23"/>
      <c r="AK4" s="25" t="s">
        <v>70</v>
      </c>
    </row>
    <row r="5" spans="1:37" x14ac:dyDescent="0.25">
      <c r="A5" s="13">
        <v>44713</v>
      </c>
      <c r="B5" s="23" t="s">
        <v>83</v>
      </c>
      <c r="C5" s="14" t="s">
        <v>84</v>
      </c>
      <c r="D5" s="14" t="s">
        <v>46</v>
      </c>
      <c r="E5" s="14" t="s">
        <v>85</v>
      </c>
      <c r="F5" s="15" t="s">
        <v>86</v>
      </c>
      <c r="G5" s="16" t="s">
        <v>87</v>
      </c>
      <c r="H5" s="14" t="s">
        <v>88</v>
      </c>
      <c r="I5" s="17" t="s">
        <v>89</v>
      </c>
      <c r="J5" s="18" t="s">
        <v>90</v>
      </c>
      <c r="K5" s="15" t="s">
        <v>91</v>
      </c>
      <c r="L5" s="14" t="s">
        <v>92</v>
      </c>
      <c r="M5" s="15" t="s">
        <v>93</v>
      </c>
      <c r="N5" s="24" t="s">
        <v>67</v>
      </c>
      <c r="O5" s="14" t="s">
        <v>68</v>
      </c>
      <c r="P5" s="15">
        <v>3540</v>
      </c>
      <c r="Q5" s="15">
        <v>3540</v>
      </c>
      <c r="R5" s="15">
        <v>0</v>
      </c>
      <c r="S5" s="15">
        <v>0</v>
      </c>
      <c r="T5" s="15">
        <v>0</v>
      </c>
      <c r="U5" s="15">
        <v>590</v>
      </c>
      <c r="V5" s="15">
        <v>2410</v>
      </c>
      <c r="W5" s="19">
        <v>0</v>
      </c>
      <c r="X5" s="20">
        <v>0</v>
      </c>
      <c r="Y5" s="20">
        <v>0</v>
      </c>
      <c r="Z5" s="20">
        <v>3000</v>
      </c>
      <c r="AA5" s="21">
        <v>3000</v>
      </c>
      <c r="AB5" s="22">
        <f>3000*18/100/2</f>
        <v>270</v>
      </c>
      <c r="AC5" s="22">
        <f>3000*18/100/2</f>
        <v>270</v>
      </c>
      <c r="AD5" s="22">
        <v>0</v>
      </c>
      <c r="AE5" s="23">
        <v>0</v>
      </c>
      <c r="AF5" s="14" t="s">
        <v>84</v>
      </c>
      <c r="AG5" s="23"/>
      <c r="AH5" s="24" t="s">
        <v>94</v>
      </c>
      <c r="AI5" s="24" t="s">
        <v>55</v>
      </c>
      <c r="AJ5" s="23"/>
      <c r="AK5" s="25" t="s">
        <v>56</v>
      </c>
    </row>
    <row r="6" spans="1:37" x14ac:dyDescent="0.25">
      <c r="A6" s="13">
        <v>44713</v>
      </c>
      <c r="B6" s="23" t="s">
        <v>95</v>
      </c>
      <c r="C6" s="14" t="s">
        <v>96</v>
      </c>
      <c r="D6" s="14" t="s">
        <v>96</v>
      </c>
      <c r="E6" s="14" t="s">
        <v>97</v>
      </c>
      <c r="F6" s="15" t="s">
        <v>98</v>
      </c>
      <c r="G6" s="16" t="s">
        <v>99</v>
      </c>
      <c r="H6" s="14" t="s">
        <v>100</v>
      </c>
      <c r="I6" s="17" t="s">
        <v>101</v>
      </c>
      <c r="J6" s="18" t="s">
        <v>102</v>
      </c>
      <c r="K6" s="15" t="s">
        <v>103</v>
      </c>
      <c r="L6" s="14" t="s">
        <v>104</v>
      </c>
      <c r="M6" s="15" t="s">
        <v>105</v>
      </c>
      <c r="N6" s="24" t="s">
        <v>67</v>
      </c>
      <c r="O6" s="14" t="s">
        <v>68</v>
      </c>
      <c r="P6" s="15">
        <v>17040</v>
      </c>
      <c r="Q6" s="15">
        <v>17040</v>
      </c>
      <c r="R6" s="15">
        <v>0</v>
      </c>
      <c r="S6" s="15">
        <v>0</v>
      </c>
      <c r="T6" s="15">
        <v>13610</v>
      </c>
      <c r="U6" s="15">
        <v>0</v>
      </c>
      <c r="V6" s="15">
        <v>2907</v>
      </c>
      <c r="W6" s="19">
        <v>13610</v>
      </c>
      <c r="X6" s="20">
        <v>0</v>
      </c>
      <c r="Y6" s="20">
        <v>0</v>
      </c>
      <c r="Z6" s="20">
        <v>2907</v>
      </c>
      <c r="AA6" s="21">
        <v>2907</v>
      </c>
      <c r="AB6" s="22">
        <f>2907*18/100/2</f>
        <v>261.63</v>
      </c>
      <c r="AC6" s="22">
        <f>2907*18/100/2</f>
        <v>261.63</v>
      </c>
      <c r="AD6" s="22">
        <v>0</v>
      </c>
      <c r="AE6" s="22">
        <f>523-AB6-AC6</f>
        <v>-0.25999999999999091</v>
      </c>
      <c r="AF6" s="14" t="s">
        <v>96</v>
      </c>
      <c r="AG6" s="23" t="s">
        <v>106</v>
      </c>
      <c r="AH6" s="24" t="s">
        <v>107</v>
      </c>
      <c r="AI6" s="24" t="s">
        <v>55</v>
      </c>
      <c r="AJ6" s="23"/>
      <c r="AK6" s="25" t="s">
        <v>108</v>
      </c>
    </row>
    <row r="7" spans="1:37" x14ac:dyDescent="0.25">
      <c r="A7" s="13">
        <v>44713</v>
      </c>
      <c r="B7" s="14" t="s">
        <v>109</v>
      </c>
      <c r="C7" s="27" t="s">
        <v>110</v>
      </c>
      <c r="D7" s="24" t="s">
        <v>111</v>
      </c>
      <c r="E7" s="24" t="s">
        <v>112</v>
      </c>
      <c r="F7" s="28">
        <v>9893090772</v>
      </c>
      <c r="G7" s="29" t="s">
        <v>113</v>
      </c>
      <c r="H7" s="24" t="s">
        <v>46</v>
      </c>
      <c r="I7" s="17" t="s">
        <v>114</v>
      </c>
      <c r="J7" s="18" t="s">
        <v>115</v>
      </c>
      <c r="K7" s="24" t="s">
        <v>116</v>
      </c>
      <c r="L7" s="30" t="s">
        <v>117</v>
      </c>
      <c r="M7" s="31" t="s">
        <v>118</v>
      </c>
      <c r="N7" s="24" t="s">
        <v>119</v>
      </c>
      <c r="O7" s="14" t="s">
        <v>120</v>
      </c>
      <c r="P7" s="28">
        <v>350000</v>
      </c>
      <c r="Q7" s="28">
        <v>150000</v>
      </c>
      <c r="R7" s="28">
        <v>200000</v>
      </c>
      <c r="S7" s="28">
        <v>0</v>
      </c>
      <c r="T7" s="28">
        <v>0</v>
      </c>
      <c r="U7" s="28">
        <v>290000</v>
      </c>
      <c r="V7" s="28">
        <v>60000</v>
      </c>
      <c r="W7" s="19">
        <v>0</v>
      </c>
      <c r="X7" s="20">
        <v>0</v>
      </c>
      <c r="Y7" s="20">
        <v>0</v>
      </c>
      <c r="Z7" s="20">
        <v>350000</v>
      </c>
      <c r="AA7" s="21">
        <v>0</v>
      </c>
      <c r="AB7" s="22">
        <v>0</v>
      </c>
      <c r="AC7" s="22">
        <v>0</v>
      </c>
      <c r="AD7" s="22">
        <v>0</v>
      </c>
      <c r="AE7" s="22">
        <v>0</v>
      </c>
      <c r="AF7" s="27" t="s">
        <v>110</v>
      </c>
      <c r="AG7" s="23" t="s">
        <v>121</v>
      </c>
      <c r="AH7" s="24" t="s">
        <v>122</v>
      </c>
      <c r="AI7" s="24" t="s">
        <v>123</v>
      </c>
      <c r="AJ7" s="23"/>
      <c r="AK7" s="25" t="s">
        <v>124</v>
      </c>
    </row>
    <row r="8" spans="1:37" x14ac:dyDescent="0.25">
      <c r="A8" s="13">
        <v>44713</v>
      </c>
      <c r="B8" s="14" t="s">
        <v>125</v>
      </c>
      <c r="C8" s="27" t="s">
        <v>126</v>
      </c>
      <c r="D8" s="24" t="s">
        <v>127</v>
      </c>
      <c r="E8" s="24" t="s">
        <v>128</v>
      </c>
      <c r="F8" s="28">
        <v>9759318730</v>
      </c>
      <c r="G8" s="29" t="s">
        <v>129</v>
      </c>
      <c r="H8" s="14" t="s">
        <v>130</v>
      </c>
      <c r="I8" s="17" t="s">
        <v>131</v>
      </c>
      <c r="J8" s="18" t="s">
        <v>132</v>
      </c>
      <c r="K8" s="24" t="s">
        <v>133</v>
      </c>
      <c r="L8" s="30" t="s">
        <v>134</v>
      </c>
      <c r="M8" s="24" t="s">
        <v>135</v>
      </c>
      <c r="N8" s="23" t="s">
        <v>136</v>
      </c>
      <c r="O8" s="14" t="s">
        <v>68</v>
      </c>
      <c r="P8" s="28">
        <v>0</v>
      </c>
      <c r="Q8" s="28">
        <v>2180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19">
        <v>0</v>
      </c>
      <c r="X8" s="20">
        <v>0</v>
      </c>
      <c r="Y8" s="20">
        <v>0</v>
      </c>
      <c r="Z8" s="20">
        <v>0</v>
      </c>
      <c r="AA8" s="21">
        <v>0</v>
      </c>
      <c r="AB8" s="22">
        <v>0</v>
      </c>
      <c r="AC8" s="22">
        <v>0</v>
      </c>
      <c r="AD8" s="22">
        <v>0</v>
      </c>
      <c r="AE8" s="22">
        <v>0</v>
      </c>
      <c r="AF8" s="27" t="s">
        <v>126</v>
      </c>
      <c r="AG8" s="23"/>
      <c r="AH8" s="24" t="s">
        <v>46</v>
      </c>
      <c r="AI8" s="24" t="s">
        <v>55</v>
      </c>
      <c r="AJ8" s="23"/>
      <c r="AK8" s="25"/>
    </row>
    <row r="9" spans="1:37" ht="15.75" thickBot="1" x14ac:dyDescent="0.3">
      <c r="A9" s="107" t="s">
        <v>137</v>
      </c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32">
        <f t="shared" ref="P9:AE9" si="0">SUM(P2:P8)</f>
        <v>389610</v>
      </c>
      <c r="Q9" s="32">
        <f t="shared" si="0"/>
        <v>189750</v>
      </c>
      <c r="R9" s="32">
        <f t="shared" si="0"/>
        <v>202040</v>
      </c>
      <c r="S9" s="32">
        <f t="shared" si="0"/>
        <v>0</v>
      </c>
      <c r="T9" s="32">
        <f t="shared" si="0"/>
        <v>23350</v>
      </c>
      <c r="U9" s="32">
        <f t="shared" si="0"/>
        <v>292180</v>
      </c>
      <c r="V9" s="32">
        <f t="shared" si="0"/>
        <v>71599</v>
      </c>
      <c r="W9" s="33">
        <f t="shared" si="0"/>
        <v>23350</v>
      </c>
      <c r="X9" s="34">
        <f t="shared" si="0"/>
        <v>1000</v>
      </c>
      <c r="Y9" s="34">
        <f t="shared" si="0"/>
        <v>1186</v>
      </c>
      <c r="Z9" s="34">
        <f t="shared" si="0"/>
        <v>361593</v>
      </c>
      <c r="AA9" s="35">
        <f t="shared" si="0"/>
        <v>13779</v>
      </c>
      <c r="AB9" s="32">
        <f t="shared" si="0"/>
        <v>1015.11</v>
      </c>
      <c r="AC9" s="32">
        <f t="shared" si="0"/>
        <v>1015.11</v>
      </c>
      <c r="AD9" s="32">
        <f t="shared" si="0"/>
        <v>450</v>
      </c>
      <c r="AE9" s="32">
        <f t="shared" si="0"/>
        <v>0.77999999999997272</v>
      </c>
      <c r="AF9" s="109"/>
      <c r="AG9" s="109"/>
      <c r="AH9" s="109"/>
      <c r="AI9" s="36"/>
      <c r="AJ9" s="37"/>
      <c r="AK9" s="38"/>
    </row>
    <row r="10" spans="1:37" ht="15.75" thickBot="1" x14ac:dyDescent="0.3"/>
    <row r="11" spans="1:37" x14ac:dyDescent="0.25">
      <c r="A11" s="112" t="s">
        <v>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4"/>
      <c r="X11" s="113" t="s">
        <v>1</v>
      </c>
      <c r="Y11" s="114"/>
      <c r="Z11" s="114"/>
      <c r="AA11" s="5" t="s">
        <v>2</v>
      </c>
      <c r="AB11" s="115" t="s">
        <v>3</v>
      </c>
      <c r="AC11" s="116"/>
      <c r="AD11" s="116"/>
      <c r="AE11" s="116"/>
      <c r="AF11" s="105" t="s">
        <v>4</v>
      </c>
      <c r="AG11" s="105"/>
      <c r="AH11" s="105"/>
      <c r="AI11" s="105" t="s">
        <v>5</v>
      </c>
      <c r="AJ11" s="105"/>
      <c r="AK11" s="106"/>
    </row>
    <row r="12" spans="1:37" x14ac:dyDescent="0.25">
      <c r="A12" s="6" t="s">
        <v>6</v>
      </c>
      <c r="B12" s="7" t="s">
        <v>7</v>
      </c>
      <c r="C12" s="7" t="s">
        <v>8</v>
      </c>
      <c r="D12" s="7" t="s">
        <v>9</v>
      </c>
      <c r="E12" s="7" t="s">
        <v>10</v>
      </c>
      <c r="F12" s="7" t="s">
        <v>11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16</v>
      </c>
      <c r="L12" s="7" t="s">
        <v>17</v>
      </c>
      <c r="M12" s="7" t="s">
        <v>18</v>
      </c>
      <c r="N12" s="7" t="s">
        <v>19</v>
      </c>
      <c r="O12" s="7" t="s">
        <v>20</v>
      </c>
      <c r="P12" s="7" t="s">
        <v>21</v>
      </c>
      <c r="Q12" s="7" t="s">
        <v>22</v>
      </c>
      <c r="R12" s="7" t="s">
        <v>23</v>
      </c>
      <c r="S12" s="7" t="s">
        <v>24</v>
      </c>
      <c r="T12" s="7" t="s">
        <v>25</v>
      </c>
      <c r="U12" s="7" t="s">
        <v>26</v>
      </c>
      <c r="V12" s="7" t="s">
        <v>27</v>
      </c>
      <c r="W12" s="8" t="s">
        <v>25</v>
      </c>
      <c r="X12" s="9" t="s">
        <v>28</v>
      </c>
      <c r="Y12" s="9" t="s">
        <v>29</v>
      </c>
      <c r="Z12" s="9" t="s">
        <v>30</v>
      </c>
      <c r="AA12" s="10" t="s">
        <v>31</v>
      </c>
      <c r="AB12" s="7" t="s">
        <v>32</v>
      </c>
      <c r="AC12" s="7" t="s">
        <v>33</v>
      </c>
      <c r="AD12" s="7" t="s">
        <v>34</v>
      </c>
      <c r="AE12" s="7" t="s">
        <v>35</v>
      </c>
      <c r="AF12" s="7" t="s">
        <v>36</v>
      </c>
      <c r="AG12" s="7" t="s">
        <v>37</v>
      </c>
      <c r="AH12" s="7" t="s">
        <v>38</v>
      </c>
      <c r="AI12" s="7" t="s">
        <v>39</v>
      </c>
      <c r="AJ12" s="11" t="s">
        <v>40</v>
      </c>
      <c r="AK12" s="12" t="s">
        <v>41</v>
      </c>
    </row>
    <row r="13" spans="1:37" x14ac:dyDescent="0.25">
      <c r="A13" s="13">
        <v>44714</v>
      </c>
      <c r="B13" s="14" t="s">
        <v>138</v>
      </c>
      <c r="C13" s="14" t="s">
        <v>139</v>
      </c>
      <c r="D13" s="14" t="s">
        <v>140</v>
      </c>
      <c r="E13" s="14" t="s">
        <v>141</v>
      </c>
      <c r="F13" s="15" t="s">
        <v>142</v>
      </c>
      <c r="G13" s="16" t="s">
        <v>143</v>
      </c>
      <c r="H13" s="15" t="s">
        <v>46</v>
      </c>
      <c r="I13" s="17" t="s">
        <v>144</v>
      </c>
      <c r="J13" s="18" t="s">
        <v>145</v>
      </c>
      <c r="K13" s="15" t="s">
        <v>64</v>
      </c>
      <c r="L13" s="14" t="s">
        <v>65</v>
      </c>
      <c r="M13" s="23" t="s">
        <v>146</v>
      </c>
      <c r="N13" s="15" t="s">
        <v>147</v>
      </c>
      <c r="O13" s="14" t="s">
        <v>68</v>
      </c>
      <c r="P13" s="15">
        <v>6500</v>
      </c>
      <c r="Q13" s="15">
        <v>3500</v>
      </c>
      <c r="R13" s="15">
        <v>3000</v>
      </c>
      <c r="S13" s="15">
        <v>0</v>
      </c>
      <c r="T13" s="15">
        <v>4870</v>
      </c>
      <c r="U13" s="15">
        <v>250</v>
      </c>
      <c r="V13" s="15">
        <v>1131</v>
      </c>
      <c r="W13" s="19">
        <v>4870</v>
      </c>
      <c r="X13" s="20">
        <v>381</v>
      </c>
      <c r="Y13" s="20">
        <v>0</v>
      </c>
      <c r="Z13" s="20">
        <v>1000</v>
      </c>
      <c r="AA13" s="21">
        <v>1381</v>
      </c>
      <c r="AB13" s="22">
        <v>0</v>
      </c>
      <c r="AC13" s="22">
        <v>0</v>
      </c>
      <c r="AD13" s="22">
        <f>1381*18/100</f>
        <v>248.58</v>
      </c>
      <c r="AE13" s="23">
        <f>249-AD13</f>
        <v>0.41999999999998749</v>
      </c>
      <c r="AF13" s="14" t="s">
        <v>139</v>
      </c>
      <c r="AG13" s="23" t="s">
        <v>148</v>
      </c>
      <c r="AH13" s="24" t="s">
        <v>149</v>
      </c>
      <c r="AI13" s="24" t="s">
        <v>55</v>
      </c>
      <c r="AJ13" s="23"/>
      <c r="AK13" s="25" t="s">
        <v>70</v>
      </c>
    </row>
    <row r="14" spans="1:37" x14ac:dyDescent="0.25">
      <c r="A14" s="13">
        <v>44714</v>
      </c>
      <c r="B14" s="14" t="s">
        <v>150</v>
      </c>
      <c r="C14" s="27" t="s">
        <v>151</v>
      </c>
      <c r="D14" s="24" t="s">
        <v>46</v>
      </c>
      <c r="E14" s="24" t="s">
        <v>152</v>
      </c>
      <c r="F14" s="28" t="s">
        <v>153</v>
      </c>
      <c r="G14" s="29" t="s">
        <v>154</v>
      </c>
      <c r="H14" s="14" t="s">
        <v>155</v>
      </c>
      <c r="I14" s="17" t="s">
        <v>156</v>
      </c>
      <c r="J14" s="18" t="s">
        <v>157</v>
      </c>
      <c r="K14" s="24" t="s">
        <v>158</v>
      </c>
      <c r="L14" s="30" t="s">
        <v>159</v>
      </c>
      <c r="M14" s="24" t="s">
        <v>160</v>
      </c>
      <c r="N14" s="24" t="s">
        <v>67</v>
      </c>
      <c r="O14" s="14" t="s">
        <v>68</v>
      </c>
      <c r="P14" s="28">
        <v>3000</v>
      </c>
      <c r="Q14" s="28">
        <v>3000</v>
      </c>
      <c r="R14" s="28">
        <v>0</v>
      </c>
      <c r="S14" s="28">
        <v>0</v>
      </c>
      <c r="T14" s="28">
        <v>0</v>
      </c>
      <c r="U14" s="28">
        <v>590</v>
      </c>
      <c r="V14" s="28">
        <v>1952</v>
      </c>
      <c r="W14" s="19">
        <v>0</v>
      </c>
      <c r="X14" s="20">
        <v>0</v>
      </c>
      <c r="Y14" s="20">
        <v>0</v>
      </c>
      <c r="Z14" s="20">
        <v>2542</v>
      </c>
      <c r="AA14" s="21">
        <v>2542</v>
      </c>
      <c r="AB14" s="22">
        <f>2542*18/100/2</f>
        <v>228.78</v>
      </c>
      <c r="AC14" s="22">
        <f>2542*18/100/2</f>
        <v>228.78</v>
      </c>
      <c r="AD14" s="22">
        <v>0</v>
      </c>
      <c r="AE14" s="23">
        <f>458-AB14-AC14</f>
        <v>0.43999999999999773</v>
      </c>
      <c r="AF14" s="27" t="s">
        <v>151</v>
      </c>
      <c r="AG14" s="23"/>
      <c r="AH14" s="24" t="s">
        <v>161</v>
      </c>
      <c r="AI14" s="24" t="s">
        <v>55</v>
      </c>
      <c r="AJ14" s="23"/>
      <c r="AK14" s="25" t="s">
        <v>56</v>
      </c>
    </row>
    <row r="15" spans="1:37" x14ac:dyDescent="0.25">
      <c r="A15" s="13">
        <v>44714</v>
      </c>
      <c r="B15" s="14" t="s">
        <v>162</v>
      </c>
      <c r="C15" s="14" t="s">
        <v>163</v>
      </c>
      <c r="D15" s="14" t="s">
        <v>164</v>
      </c>
      <c r="E15" s="15" t="s">
        <v>165</v>
      </c>
      <c r="F15" s="15">
        <v>9005093169</v>
      </c>
      <c r="G15" s="15" t="s">
        <v>166</v>
      </c>
      <c r="H15" s="14" t="s">
        <v>167</v>
      </c>
      <c r="I15" s="17" t="s">
        <v>168</v>
      </c>
      <c r="J15" s="18" t="s">
        <v>169</v>
      </c>
      <c r="K15" s="15" t="s">
        <v>170</v>
      </c>
      <c r="L15" s="14" t="s">
        <v>171</v>
      </c>
      <c r="M15" s="24" t="s">
        <v>172</v>
      </c>
      <c r="N15" s="15" t="s">
        <v>173</v>
      </c>
      <c r="O15" s="14" t="s">
        <v>53</v>
      </c>
      <c r="P15" s="15">
        <v>6590</v>
      </c>
      <c r="Q15" s="15">
        <v>6590</v>
      </c>
      <c r="R15" s="16">
        <v>0</v>
      </c>
      <c r="S15" s="16">
        <v>0</v>
      </c>
      <c r="T15" s="16">
        <v>2700</v>
      </c>
      <c r="U15" s="16">
        <v>0</v>
      </c>
      <c r="V15" s="39">
        <v>3297</v>
      </c>
      <c r="W15" s="19">
        <v>2700</v>
      </c>
      <c r="X15" s="20">
        <v>0</v>
      </c>
      <c r="Y15" s="20">
        <v>0</v>
      </c>
      <c r="Z15" s="20">
        <v>3297</v>
      </c>
      <c r="AA15" s="21">
        <v>3297</v>
      </c>
      <c r="AB15" s="22">
        <v>0</v>
      </c>
      <c r="AC15" s="22">
        <v>0</v>
      </c>
      <c r="AD15" s="22">
        <f>3297*18/100</f>
        <v>593.46</v>
      </c>
      <c r="AE15" s="23">
        <f>593-AD15</f>
        <v>-0.46000000000003638</v>
      </c>
      <c r="AF15" s="14" t="s">
        <v>174</v>
      </c>
      <c r="AG15" s="23"/>
      <c r="AH15" s="24" t="s">
        <v>175</v>
      </c>
      <c r="AI15" s="24" t="s">
        <v>55</v>
      </c>
      <c r="AJ15" s="23"/>
      <c r="AK15" s="25" t="s">
        <v>176</v>
      </c>
    </row>
    <row r="16" spans="1:37" x14ac:dyDescent="0.25">
      <c r="A16" s="13">
        <v>44714</v>
      </c>
      <c r="B16" s="14" t="s">
        <v>177</v>
      </c>
      <c r="C16" s="14" t="s">
        <v>178</v>
      </c>
      <c r="D16" s="14"/>
      <c r="E16" s="15" t="s">
        <v>179</v>
      </c>
      <c r="F16" s="15">
        <v>7405378280</v>
      </c>
      <c r="G16" s="15" t="s">
        <v>180</v>
      </c>
      <c r="H16" s="14" t="s">
        <v>181</v>
      </c>
      <c r="I16" s="17" t="s">
        <v>182</v>
      </c>
      <c r="J16" s="18" t="s">
        <v>183</v>
      </c>
      <c r="K16" s="15" t="s">
        <v>184</v>
      </c>
      <c r="L16" s="15" t="s">
        <v>185</v>
      </c>
      <c r="M16" s="24" t="s">
        <v>186</v>
      </c>
      <c r="N16" s="15" t="s">
        <v>187</v>
      </c>
      <c r="O16" s="14" t="s">
        <v>68</v>
      </c>
      <c r="P16" s="15">
        <v>2499</v>
      </c>
      <c r="Q16" s="15">
        <v>2499</v>
      </c>
      <c r="R16" s="16">
        <v>0</v>
      </c>
      <c r="S16" s="16">
        <v>0</v>
      </c>
      <c r="T16" s="16">
        <v>0</v>
      </c>
      <c r="U16" s="16">
        <v>590</v>
      </c>
      <c r="V16" s="39">
        <v>1528</v>
      </c>
      <c r="W16" s="19">
        <v>0</v>
      </c>
      <c r="X16" s="20">
        <v>0</v>
      </c>
      <c r="Y16" s="20">
        <v>0</v>
      </c>
      <c r="Z16" s="20">
        <v>2118</v>
      </c>
      <c r="AA16" s="21">
        <v>2118</v>
      </c>
      <c r="AB16" s="22">
        <v>0</v>
      </c>
      <c r="AC16" s="22">
        <v>0</v>
      </c>
      <c r="AD16" s="22">
        <f>2118*18/100</f>
        <v>381.24</v>
      </c>
      <c r="AE16" s="23">
        <f>381-AD16</f>
        <v>-0.24000000000000909</v>
      </c>
      <c r="AF16" s="14" t="s">
        <v>178</v>
      </c>
      <c r="AG16" s="23"/>
      <c r="AH16" s="24" t="s">
        <v>188</v>
      </c>
      <c r="AI16" s="24" t="s">
        <v>55</v>
      </c>
      <c r="AJ16" s="23"/>
      <c r="AK16" s="25" t="s">
        <v>56</v>
      </c>
    </row>
    <row r="17" spans="1:37" x14ac:dyDescent="0.25">
      <c r="A17" s="13">
        <v>44714</v>
      </c>
      <c r="B17" s="24" t="s">
        <v>189</v>
      </c>
      <c r="C17" s="14" t="s">
        <v>190</v>
      </c>
      <c r="D17" s="14" t="s">
        <v>190</v>
      </c>
      <c r="E17" s="14" t="s">
        <v>191</v>
      </c>
      <c r="F17" s="15">
        <v>9819296329</v>
      </c>
      <c r="G17" s="15" t="s">
        <v>192</v>
      </c>
      <c r="H17" s="14" t="s">
        <v>193</v>
      </c>
      <c r="I17" s="17" t="s">
        <v>194</v>
      </c>
      <c r="J17" s="18" t="s">
        <v>195</v>
      </c>
      <c r="K17" s="15" t="s">
        <v>196</v>
      </c>
      <c r="L17" s="15" t="s">
        <v>197</v>
      </c>
      <c r="M17" s="23" t="s">
        <v>80</v>
      </c>
      <c r="N17" s="24" t="s">
        <v>67</v>
      </c>
      <c r="O17" s="14" t="s">
        <v>68</v>
      </c>
      <c r="P17" s="15">
        <v>7250</v>
      </c>
      <c r="Q17" s="15">
        <v>7250</v>
      </c>
      <c r="R17" s="16">
        <v>0</v>
      </c>
      <c r="S17" s="16">
        <v>0</v>
      </c>
      <c r="T17" s="16">
        <v>4870</v>
      </c>
      <c r="U17" s="16">
        <v>250</v>
      </c>
      <c r="V17" s="39">
        <v>1767</v>
      </c>
      <c r="W17" s="19">
        <v>4870</v>
      </c>
      <c r="X17" s="20">
        <v>1000</v>
      </c>
      <c r="Y17" s="20">
        <v>767</v>
      </c>
      <c r="Z17" s="20">
        <v>250</v>
      </c>
      <c r="AA17" s="21">
        <v>2017</v>
      </c>
      <c r="AB17" s="22">
        <f>2017*18/100/2</f>
        <v>181.53</v>
      </c>
      <c r="AC17" s="22">
        <f>2017*18/100/2</f>
        <v>181.53</v>
      </c>
      <c r="AD17" s="22">
        <v>0</v>
      </c>
      <c r="AE17" s="23">
        <f>363-AB17-AC17</f>
        <v>-6.0000000000002274E-2</v>
      </c>
      <c r="AF17" s="14" t="s">
        <v>198</v>
      </c>
      <c r="AG17" s="23"/>
      <c r="AH17" s="24" t="s">
        <v>199</v>
      </c>
      <c r="AI17" s="24" t="s">
        <v>55</v>
      </c>
      <c r="AJ17" s="23"/>
      <c r="AK17" s="25" t="s">
        <v>200</v>
      </c>
    </row>
    <row r="18" spans="1:37" x14ac:dyDescent="0.25">
      <c r="A18" s="13">
        <v>44714</v>
      </c>
      <c r="B18" s="24" t="s">
        <v>201</v>
      </c>
      <c r="C18" s="14" t="s">
        <v>202</v>
      </c>
      <c r="D18" s="14" t="s">
        <v>203</v>
      </c>
      <c r="E18" s="14" t="s">
        <v>204</v>
      </c>
      <c r="F18" s="15" t="s">
        <v>205</v>
      </c>
      <c r="G18" s="15" t="s">
        <v>206</v>
      </c>
      <c r="H18" s="23" t="s">
        <v>207</v>
      </c>
      <c r="I18" s="17" t="s">
        <v>208</v>
      </c>
      <c r="J18" s="18" t="s">
        <v>209</v>
      </c>
      <c r="K18" s="15" t="s">
        <v>196</v>
      </c>
      <c r="L18" s="15" t="s">
        <v>210</v>
      </c>
      <c r="M18" s="23" t="s">
        <v>211</v>
      </c>
      <c r="N18" s="15" t="s">
        <v>212</v>
      </c>
      <c r="O18" s="14" t="s">
        <v>213</v>
      </c>
      <c r="P18" s="15">
        <v>14080</v>
      </c>
      <c r="Q18" s="15">
        <v>14080</v>
      </c>
      <c r="R18" s="16">
        <v>0</v>
      </c>
      <c r="S18" s="16">
        <v>0</v>
      </c>
      <c r="T18" s="16">
        <v>9370</v>
      </c>
      <c r="U18" s="16">
        <v>500</v>
      </c>
      <c r="V18" s="39">
        <v>3492</v>
      </c>
      <c r="W18" s="19">
        <v>9370</v>
      </c>
      <c r="X18" s="20">
        <v>2000</v>
      </c>
      <c r="Y18" s="20">
        <v>0</v>
      </c>
      <c r="Z18" s="20">
        <v>1992</v>
      </c>
      <c r="AA18" s="21">
        <v>3992</v>
      </c>
      <c r="AB18" s="22">
        <v>0</v>
      </c>
      <c r="AC18" s="22">
        <v>0</v>
      </c>
      <c r="AD18" s="22">
        <f>3992*18/100</f>
        <v>718.56</v>
      </c>
      <c r="AE18" s="23">
        <f>718-AD18</f>
        <v>-0.55999999999994543</v>
      </c>
      <c r="AF18" s="14" t="s">
        <v>202</v>
      </c>
      <c r="AG18" s="23"/>
      <c r="AH18" s="24" t="s">
        <v>214</v>
      </c>
      <c r="AI18" s="24" t="s">
        <v>55</v>
      </c>
      <c r="AJ18" s="23"/>
      <c r="AK18" s="25" t="s">
        <v>215</v>
      </c>
    </row>
    <row r="19" spans="1:37" x14ac:dyDescent="0.25">
      <c r="A19" s="13">
        <v>44714</v>
      </c>
      <c r="B19" s="14" t="s">
        <v>125</v>
      </c>
      <c r="C19" s="27" t="s">
        <v>216</v>
      </c>
      <c r="D19" s="24" t="s">
        <v>46</v>
      </c>
      <c r="E19" s="24" t="s">
        <v>217</v>
      </c>
      <c r="F19" s="23">
        <v>8080801447</v>
      </c>
      <c r="G19" s="40" t="s">
        <v>218</v>
      </c>
      <c r="H19" s="24" t="s">
        <v>219</v>
      </c>
      <c r="I19" s="17" t="s">
        <v>220</v>
      </c>
      <c r="J19" s="18" t="s">
        <v>221</v>
      </c>
      <c r="K19" s="24" t="s">
        <v>222</v>
      </c>
      <c r="L19" s="30" t="s">
        <v>223</v>
      </c>
      <c r="M19" s="24" t="s">
        <v>80</v>
      </c>
      <c r="N19" s="24" t="s">
        <v>67</v>
      </c>
      <c r="O19" s="14" t="s">
        <v>68</v>
      </c>
      <c r="P19" s="28">
        <v>0</v>
      </c>
      <c r="Q19" s="28">
        <v>1500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19">
        <v>0</v>
      </c>
      <c r="X19" s="20">
        <v>0</v>
      </c>
      <c r="Y19" s="20">
        <v>0</v>
      </c>
      <c r="Z19" s="20">
        <v>0</v>
      </c>
      <c r="AA19" s="21">
        <v>0</v>
      </c>
      <c r="AB19" s="23">
        <v>0</v>
      </c>
      <c r="AC19" s="23">
        <v>0</v>
      </c>
      <c r="AD19" s="23">
        <v>0</v>
      </c>
      <c r="AE19" s="23">
        <v>0</v>
      </c>
      <c r="AF19" s="27" t="s">
        <v>224</v>
      </c>
      <c r="AG19" s="23"/>
      <c r="AH19" s="23" t="s">
        <v>46</v>
      </c>
      <c r="AI19" s="23"/>
      <c r="AJ19" s="23"/>
      <c r="AK19" s="41"/>
    </row>
    <row r="20" spans="1:37" ht="15.75" thickBot="1" x14ac:dyDescent="0.3">
      <c r="A20" s="107" t="s">
        <v>137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32">
        <f t="shared" ref="P20:AE20" si="1">SUM(P13:P19)</f>
        <v>39919</v>
      </c>
      <c r="Q20" s="32">
        <f t="shared" si="1"/>
        <v>38419</v>
      </c>
      <c r="R20" s="32">
        <f t="shared" si="1"/>
        <v>3000</v>
      </c>
      <c r="S20" s="32">
        <f t="shared" si="1"/>
        <v>0</v>
      </c>
      <c r="T20" s="32">
        <f t="shared" si="1"/>
        <v>21810</v>
      </c>
      <c r="U20" s="32">
        <f t="shared" si="1"/>
        <v>2180</v>
      </c>
      <c r="V20" s="32">
        <f t="shared" si="1"/>
        <v>13167</v>
      </c>
      <c r="W20" s="33">
        <f t="shared" si="1"/>
        <v>21810</v>
      </c>
      <c r="X20" s="34">
        <f t="shared" si="1"/>
        <v>3381</v>
      </c>
      <c r="Y20" s="34">
        <f t="shared" si="1"/>
        <v>767</v>
      </c>
      <c r="Z20" s="34">
        <f t="shared" si="1"/>
        <v>11199</v>
      </c>
      <c r="AA20" s="35">
        <f t="shared" si="1"/>
        <v>15347</v>
      </c>
      <c r="AB20" s="32">
        <f t="shared" si="1"/>
        <v>410.31</v>
      </c>
      <c r="AC20" s="32">
        <f t="shared" si="1"/>
        <v>410.31</v>
      </c>
      <c r="AD20" s="32">
        <f t="shared" si="1"/>
        <v>1941.8400000000001</v>
      </c>
      <c r="AE20" s="32">
        <f t="shared" si="1"/>
        <v>-0.46000000000000796</v>
      </c>
      <c r="AF20" s="109"/>
      <c r="AG20" s="109"/>
      <c r="AH20" s="109"/>
      <c r="AI20" s="36"/>
      <c r="AJ20" s="37"/>
      <c r="AK20" s="38"/>
    </row>
    <row r="21" spans="1:37" ht="15.75" thickBot="1" x14ac:dyDescent="0.3"/>
    <row r="22" spans="1:37" x14ac:dyDescent="0.25">
      <c r="A22" s="112" t="s">
        <v>0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4"/>
      <c r="X22" s="113" t="s">
        <v>1</v>
      </c>
      <c r="Y22" s="114"/>
      <c r="Z22" s="114"/>
      <c r="AA22" s="5" t="s">
        <v>225</v>
      </c>
      <c r="AB22" s="115" t="s">
        <v>3</v>
      </c>
      <c r="AC22" s="116"/>
      <c r="AD22" s="116"/>
      <c r="AE22" s="116"/>
      <c r="AF22" s="105" t="s">
        <v>4</v>
      </c>
      <c r="AG22" s="105"/>
      <c r="AH22" s="105"/>
      <c r="AI22" s="105" t="s">
        <v>5</v>
      </c>
      <c r="AJ22" s="105"/>
      <c r="AK22" s="106"/>
    </row>
    <row r="23" spans="1:37" x14ac:dyDescent="0.25">
      <c r="A23" s="6" t="s">
        <v>6</v>
      </c>
      <c r="B23" s="7" t="s">
        <v>7</v>
      </c>
      <c r="C23" s="7" t="s">
        <v>8</v>
      </c>
      <c r="D23" s="7" t="s">
        <v>9</v>
      </c>
      <c r="E23" s="7" t="s">
        <v>10</v>
      </c>
      <c r="F23" s="7" t="s">
        <v>11</v>
      </c>
      <c r="G23" s="7" t="s">
        <v>12</v>
      </c>
      <c r="H23" s="7" t="s">
        <v>13</v>
      </c>
      <c r="I23" s="7" t="s">
        <v>14</v>
      </c>
      <c r="J23" s="7" t="s">
        <v>15</v>
      </c>
      <c r="K23" s="7" t="s">
        <v>16</v>
      </c>
      <c r="L23" s="7" t="s">
        <v>17</v>
      </c>
      <c r="M23" s="7" t="s">
        <v>18</v>
      </c>
      <c r="N23" s="7" t="s">
        <v>19</v>
      </c>
      <c r="O23" s="7" t="s">
        <v>20</v>
      </c>
      <c r="P23" s="7" t="s">
        <v>21</v>
      </c>
      <c r="Q23" s="7" t="s">
        <v>22</v>
      </c>
      <c r="R23" s="7" t="s">
        <v>23</v>
      </c>
      <c r="S23" s="7" t="s">
        <v>24</v>
      </c>
      <c r="T23" s="7" t="s">
        <v>25</v>
      </c>
      <c r="U23" s="7" t="s">
        <v>26</v>
      </c>
      <c r="V23" s="7" t="s">
        <v>27</v>
      </c>
      <c r="W23" s="8" t="s">
        <v>25</v>
      </c>
      <c r="X23" s="9" t="s">
        <v>28</v>
      </c>
      <c r="Y23" s="9" t="s">
        <v>29</v>
      </c>
      <c r="Z23" s="9" t="s">
        <v>30</v>
      </c>
      <c r="AA23" s="10" t="s">
        <v>31</v>
      </c>
      <c r="AB23" s="7" t="s">
        <v>32</v>
      </c>
      <c r="AC23" s="7" t="s">
        <v>33</v>
      </c>
      <c r="AD23" s="7" t="s">
        <v>34</v>
      </c>
      <c r="AE23" s="7" t="s">
        <v>35</v>
      </c>
      <c r="AF23" s="7" t="s">
        <v>36</v>
      </c>
      <c r="AG23" s="7" t="s">
        <v>37</v>
      </c>
      <c r="AH23" s="7" t="s">
        <v>38</v>
      </c>
      <c r="AI23" s="7" t="s">
        <v>39</v>
      </c>
      <c r="AJ23" s="11" t="s">
        <v>40</v>
      </c>
      <c r="AK23" s="12" t="s">
        <v>41</v>
      </c>
    </row>
    <row r="24" spans="1:37" x14ac:dyDescent="0.25">
      <c r="A24" s="13">
        <v>44715</v>
      </c>
      <c r="B24" s="24" t="s">
        <v>226</v>
      </c>
      <c r="C24" s="14" t="s">
        <v>227</v>
      </c>
      <c r="D24" s="14" t="s">
        <v>228</v>
      </c>
      <c r="E24" s="14" t="s">
        <v>229</v>
      </c>
      <c r="F24" s="15">
        <v>8879417625</v>
      </c>
      <c r="G24" s="16" t="s">
        <v>230</v>
      </c>
      <c r="H24" s="14" t="s">
        <v>231</v>
      </c>
      <c r="I24" s="17" t="s">
        <v>232</v>
      </c>
      <c r="J24" s="18" t="s">
        <v>233</v>
      </c>
      <c r="K24" s="15" t="s">
        <v>196</v>
      </c>
      <c r="L24" s="14" t="s">
        <v>234</v>
      </c>
      <c r="M24" s="23" t="s">
        <v>80</v>
      </c>
      <c r="N24" s="24" t="s">
        <v>67</v>
      </c>
      <c r="O24" s="14" t="s">
        <v>68</v>
      </c>
      <c r="P24" s="15">
        <v>7500</v>
      </c>
      <c r="Q24" s="15">
        <v>7500</v>
      </c>
      <c r="R24" s="15">
        <v>0</v>
      </c>
      <c r="S24" s="15">
        <v>0</v>
      </c>
      <c r="T24" s="15">
        <v>0</v>
      </c>
      <c r="U24" s="15">
        <v>2250</v>
      </c>
      <c r="V24" s="15">
        <v>4106</v>
      </c>
      <c r="W24" s="19">
        <v>0</v>
      </c>
      <c r="X24" s="20">
        <v>500</v>
      </c>
      <c r="Y24" s="20">
        <v>4000</v>
      </c>
      <c r="Z24" s="20">
        <v>1856</v>
      </c>
      <c r="AA24" s="21">
        <v>6356</v>
      </c>
      <c r="AB24" s="22">
        <f>6356*18/100/2</f>
        <v>572.04</v>
      </c>
      <c r="AC24" s="22">
        <f>6356*18/100/2</f>
        <v>572.04</v>
      </c>
      <c r="AD24" s="22">
        <v>0</v>
      </c>
      <c r="AE24" s="23">
        <f>1144-AB24-AC24</f>
        <v>-7.999999999992724E-2</v>
      </c>
      <c r="AF24" s="14" t="s">
        <v>227</v>
      </c>
      <c r="AG24" s="23"/>
      <c r="AH24" s="24" t="s">
        <v>235</v>
      </c>
      <c r="AI24" s="24" t="s">
        <v>55</v>
      </c>
      <c r="AJ24" s="23"/>
      <c r="AK24" s="25" t="s">
        <v>236</v>
      </c>
    </row>
    <row r="25" spans="1:37" x14ac:dyDescent="0.25">
      <c r="A25" s="13">
        <v>44715</v>
      </c>
      <c r="B25" s="24" t="s">
        <v>237</v>
      </c>
      <c r="C25" s="14" t="s">
        <v>238</v>
      </c>
      <c r="D25" s="14" t="s">
        <v>46</v>
      </c>
      <c r="E25" s="14" t="s">
        <v>239</v>
      </c>
      <c r="F25" s="15" t="s">
        <v>240</v>
      </c>
      <c r="G25" s="16" t="s">
        <v>241</v>
      </c>
      <c r="H25" s="14" t="s">
        <v>242</v>
      </c>
      <c r="I25" s="17" t="s">
        <v>243</v>
      </c>
      <c r="J25" s="18" t="s">
        <v>244</v>
      </c>
      <c r="K25" s="15" t="s">
        <v>196</v>
      </c>
      <c r="L25" s="14" t="s">
        <v>245</v>
      </c>
      <c r="M25" s="23" t="s">
        <v>80</v>
      </c>
      <c r="N25" s="24" t="s">
        <v>67</v>
      </c>
      <c r="O25" s="14" t="s">
        <v>53</v>
      </c>
      <c r="P25" s="15">
        <v>17670</v>
      </c>
      <c r="Q25" s="15">
        <v>17670</v>
      </c>
      <c r="R25" s="15">
        <v>0</v>
      </c>
      <c r="S25" s="15">
        <v>0</v>
      </c>
      <c r="T25" s="15">
        <v>10000</v>
      </c>
      <c r="U25" s="15">
        <v>1500</v>
      </c>
      <c r="V25" s="15">
        <v>5000</v>
      </c>
      <c r="W25" s="19">
        <v>10000</v>
      </c>
      <c r="X25" s="20">
        <v>1500</v>
      </c>
      <c r="Y25" s="20">
        <v>2500</v>
      </c>
      <c r="Z25" s="20">
        <v>2500</v>
      </c>
      <c r="AA25" s="21">
        <v>6500</v>
      </c>
      <c r="AB25" s="22">
        <f>6500*18/100/2</f>
        <v>585</v>
      </c>
      <c r="AC25" s="22">
        <f>6500*18/100/2</f>
        <v>585</v>
      </c>
      <c r="AD25" s="22">
        <v>0</v>
      </c>
      <c r="AE25" s="23">
        <f>1170-AB25-AC25</f>
        <v>0</v>
      </c>
      <c r="AF25" s="14" t="s">
        <v>238</v>
      </c>
      <c r="AG25" s="23"/>
      <c r="AH25" s="24" t="s">
        <v>246</v>
      </c>
      <c r="AI25" s="24" t="s">
        <v>55</v>
      </c>
      <c r="AJ25" s="23"/>
      <c r="AK25" s="25" t="s">
        <v>247</v>
      </c>
    </row>
    <row r="26" spans="1:37" x14ac:dyDescent="0.25">
      <c r="A26" s="13">
        <v>44715</v>
      </c>
      <c r="B26" s="23" t="s">
        <v>248</v>
      </c>
      <c r="C26" s="14" t="s">
        <v>249</v>
      </c>
      <c r="D26" s="14" t="s">
        <v>46</v>
      </c>
      <c r="E26" s="14" t="s">
        <v>250</v>
      </c>
      <c r="F26" s="15">
        <v>9819034634</v>
      </c>
      <c r="G26" s="16" t="s">
        <v>251</v>
      </c>
      <c r="H26" s="14" t="s">
        <v>252</v>
      </c>
      <c r="I26" s="17" t="s">
        <v>253</v>
      </c>
      <c r="J26" s="18" t="s">
        <v>254</v>
      </c>
      <c r="K26" s="15" t="s">
        <v>255</v>
      </c>
      <c r="L26" s="14" t="s">
        <v>256</v>
      </c>
      <c r="M26" s="23" t="s">
        <v>80</v>
      </c>
      <c r="N26" s="24" t="s">
        <v>67</v>
      </c>
      <c r="O26" s="14" t="s">
        <v>68</v>
      </c>
      <c r="P26" s="15">
        <v>12380</v>
      </c>
      <c r="Q26" s="15">
        <v>8666</v>
      </c>
      <c r="R26" s="15">
        <v>3714</v>
      </c>
      <c r="S26" s="15">
        <v>0</v>
      </c>
      <c r="T26" s="15">
        <v>0</v>
      </c>
      <c r="U26" s="15">
        <v>4720</v>
      </c>
      <c r="V26" s="15">
        <v>5772</v>
      </c>
      <c r="W26" s="19">
        <v>0</v>
      </c>
      <c r="X26" s="20">
        <v>1000</v>
      </c>
      <c r="Y26" s="20">
        <v>4746</v>
      </c>
      <c r="Z26" s="20">
        <v>4746</v>
      </c>
      <c r="AA26" s="21">
        <v>10492</v>
      </c>
      <c r="AB26" s="22">
        <f>10492*18/100/2</f>
        <v>944.28</v>
      </c>
      <c r="AC26" s="22">
        <f>10492*18/100/2</f>
        <v>944.28</v>
      </c>
      <c r="AD26" s="22">
        <v>0</v>
      </c>
      <c r="AE26" s="23">
        <f>1888-AC26-AB26</f>
        <v>-0.55999999999994543</v>
      </c>
      <c r="AF26" s="14" t="s">
        <v>257</v>
      </c>
      <c r="AG26" s="23"/>
      <c r="AH26" s="24" t="s">
        <v>258</v>
      </c>
      <c r="AI26" s="24" t="s">
        <v>55</v>
      </c>
      <c r="AJ26" s="23"/>
      <c r="AK26" s="25" t="s">
        <v>259</v>
      </c>
    </row>
    <row r="27" spans="1:37" x14ac:dyDescent="0.25">
      <c r="A27" s="13">
        <v>44715</v>
      </c>
      <c r="B27" s="23" t="s">
        <v>248</v>
      </c>
      <c r="C27" s="14" t="s">
        <v>260</v>
      </c>
      <c r="D27" s="14" t="s">
        <v>46</v>
      </c>
      <c r="E27" s="14" t="s">
        <v>261</v>
      </c>
      <c r="F27" s="15">
        <v>9825228281</v>
      </c>
      <c r="G27" s="14" t="s">
        <v>262</v>
      </c>
      <c r="H27" s="14" t="s">
        <v>263</v>
      </c>
      <c r="I27" s="17" t="s">
        <v>264</v>
      </c>
      <c r="J27" s="18" t="s">
        <v>265</v>
      </c>
      <c r="K27" s="15" t="s">
        <v>255</v>
      </c>
      <c r="L27" s="14" t="s">
        <v>266</v>
      </c>
      <c r="M27" s="24" t="s">
        <v>267</v>
      </c>
      <c r="N27" s="24" t="s">
        <v>187</v>
      </c>
      <c r="O27" s="14" t="s">
        <v>53</v>
      </c>
      <c r="P27" s="15">
        <v>12560</v>
      </c>
      <c r="Q27" s="15">
        <v>12560</v>
      </c>
      <c r="R27" s="15">
        <v>0</v>
      </c>
      <c r="S27" s="15">
        <v>0</v>
      </c>
      <c r="T27" s="15">
        <v>0</v>
      </c>
      <c r="U27" s="15">
        <v>4720</v>
      </c>
      <c r="V27" s="15">
        <v>5924</v>
      </c>
      <c r="W27" s="19">
        <v>0</v>
      </c>
      <c r="X27" s="20">
        <v>1000</v>
      </c>
      <c r="Y27" s="20">
        <v>4822</v>
      </c>
      <c r="Z27" s="20">
        <v>4822</v>
      </c>
      <c r="AA27" s="21">
        <v>10644</v>
      </c>
      <c r="AB27" s="22">
        <v>0</v>
      </c>
      <c r="AC27" s="22">
        <v>0</v>
      </c>
      <c r="AD27" s="22">
        <f>10644*18/100</f>
        <v>1915.92</v>
      </c>
      <c r="AE27" s="23">
        <f>1916-AD27</f>
        <v>7.999999999992724E-2</v>
      </c>
      <c r="AF27" s="14" t="s">
        <v>260</v>
      </c>
      <c r="AG27" s="23"/>
      <c r="AH27" s="24" t="s">
        <v>268</v>
      </c>
      <c r="AI27" s="24" t="s">
        <v>55</v>
      </c>
      <c r="AJ27" s="23"/>
      <c r="AK27" s="25" t="s">
        <v>259</v>
      </c>
    </row>
    <row r="28" spans="1:37" x14ac:dyDescent="0.25">
      <c r="A28" s="13">
        <v>44715</v>
      </c>
      <c r="B28" s="23" t="s">
        <v>269</v>
      </c>
      <c r="C28" s="27" t="s">
        <v>270</v>
      </c>
      <c r="D28" s="24" t="s">
        <v>46</v>
      </c>
      <c r="E28" s="24" t="s">
        <v>271</v>
      </c>
      <c r="F28" s="28">
        <v>7385084957</v>
      </c>
      <c r="G28" s="29" t="s">
        <v>272</v>
      </c>
      <c r="H28" s="14" t="s">
        <v>46</v>
      </c>
      <c r="I28" s="17" t="s">
        <v>273</v>
      </c>
      <c r="J28" s="18" t="s">
        <v>274</v>
      </c>
      <c r="K28" s="24" t="s">
        <v>170</v>
      </c>
      <c r="L28" s="30" t="s">
        <v>275</v>
      </c>
      <c r="M28" s="24" t="s">
        <v>276</v>
      </c>
      <c r="N28" s="24" t="s">
        <v>67</v>
      </c>
      <c r="O28" s="14" t="s">
        <v>68</v>
      </c>
      <c r="P28" s="28">
        <v>3000</v>
      </c>
      <c r="Q28" s="28">
        <v>3000</v>
      </c>
      <c r="R28" s="28">
        <v>0</v>
      </c>
      <c r="S28" s="28">
        <v>0</v>
      </c>
      <c r="T28" s="28">
        <v>0</v>
      </c>
      <c r="U28" s="28">
        <v>590</v>
      </c>
      <c r="V28" s="28">
        <v>1952</v>
      </c>
      <c r="W28" s="19">
        <v>0</v>
      </c>
      <c r="X28" s="20">
        <v>0</v>
      </c>
      <c r="Y28" s="20">
        <v>0</v>
      </c>
      <c r="Z28" s="20">
        <v>2542</v>
      </c>
      <c r="AA28" s="21">
        <v>2542</v>
      </c>
      <c r="AB28" s="22">
        <f>2542*18/100/2</f>
        <v>228.78</v>
      </c>
      <c r="AC28" s="22">
        <f>2542*18/100/2</f>
        <v>228.78</v>
      </c>
      <c r="AD28" s="22">
        <v>0</v>
      </c>
      <c r="AE28" s="23">
        <f>458-AC28-AB28</f>
        <v>0.43999999999999773</v>
      </c>
      <c r="AF28" s="27" t="s">
        <v>270</v>
      </c>
      <c r="AG28" s="23"/>
      <c r="AH28" s="24" t="s">
        <v>277</v>
      </c>
      <c r="AI28" s="24" t="s">
        <v>55</v>
      </c>
      <c r="AJ28" s="23"/>
      <c r="AK28" s="25" t="s">
        <v>56</v>
      </c>
    </row>
    <row r="29" spans="1:37" x14ac:dyDescent="0.25">
      <c r="A29" s="13">
        <v>44715</v>
      </c>
      <c r="B29" s="14" t="s">
        <v>125</v>
      </c>
      <c r="C29" s="27" t="s">
        <v>278</v>
      </c>
      <c r="D29" s="24" t="s">
        <v>279</v>
      </c>
      <c r="E29" s="42" t="s">
        <v>280</v>
      </c>
      <c r="F29" s="28" t="s">
        <v>281</v>
      </c>
      <c r="G29" s="29" t="s">
        <v>282</v>
      </c>
      <c r="H29" s="23" t="s">
        <v>46</v>
      </c>
      <c r="I29" s="17" t="s">
        <v>283</v>
      </c>
      <c r="J29" s="18" t="s">
        <v>284</v>
      </c>
      <c r="K29" s="24" t="s">
        <v>285</v>
      </c>
      <c r="L29" s="30" t="s">
        <v>286</v>
      </c>
      <c r="M29" s="23" t="s">
        <v>287</v>
      </c>
      <c r="N29" s="23" t="s">
        <v>212</v>
      </c>
      <c r="O29" s="14" t="s">
        <v>68</v>
      </c>
      <c r="P29" s="28">
        <v>0</v>
      </c>
      <c r="Q29" s="28">
        <v>3000</v>
      </c>
      <c r="R29" s="23">
        <v>21760</v>
      </c>
      <c r="S29" s="23">
        <v>0</v>
      </c>
      <c r="T29" s="23">
        <v>0</v>
      </c>
      <c r="U29" s="23">
        <v>0</v>
      </c>
      <c r="V29" s="23">
        <v>0</v>
      </c>
      <c r="W29" s="19">
        <v>0</v>
      </c>
      <c r="X29" s="20">
        <v>0</v>
      </c>
      <c r="Y29" s="20">
        <v>0</v>
      </c>
      <c r="Z29" s="20">
        <v>0</v>
      </c>
      <c r="AA29" s="21">
        <v>0</v>
      </c>
      <c r="AB29" s="23">
        <v>0</v>
      </c>
      <c r="AC29" s="23">
        <v>0</v>
      </c>
      <c r="AD29" s="23">
        <v>0</v>
      </c>
      <c r="AE29" s="23">
        <v>0</v>
      </c>
      <c r="AF29" s="27" t="s">
        <v>278</v>
      </c>
      <c r="AG29" s="23"/>
      <c r="AH29" s="24" t="s">
        <v>46</v>
      </c>
      <c r="AI29" s="24" t="s">
        <v>55</v>
      </c>
      <c r="AJ29" s="23"/>
      <c r="AK29" s="25"/>
    </row>
    <row r="30" spans="1:37" ht="15.75" thickBot="1" x14ac:dyDescent="0.3">
      <c r="A30" s="107" t="s">
        <v>137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32">
        <f t="shared" ref="P30:AE30" si="2">SUM(P24:P29)</f>
        <v>53110</v>
      </c>
      <c r="Q30" s="32">
        <f t="shared" si="2"/>
        <v>52396</v>
      </c>
      <c r="R30" s="32">
        <f t="shared" si="2"/>
        <v>25474</v>
      </c>
      <c r="S30" s="32">
        <f t="shared" si="2"/>
        <v>0</v>
      </c>
      <c r="T30" s="32">
        <f t="shared" si="2"/>
        <v>10000</v>
      </c>
      <c r="U30" s="32">
        <f t="shared" si="2"/>
        <v>13780</v>
      </c>
      <c r="V30" s="32">
        <f t="shared" si="2"/>
        <v>22754</v>
      </c>
      <c r="W30" s="33">
        <f t="shared" si="2"/>
        <v>10000</v>
      </c>
      <c r="X30" s="34">
        <f t="shared" si="2"/>
        <v>4000</v>
      </c>
      <c r="Y30" s="34">
        <f t="shared" si="2"/>
        <v>16068</v>
      </c>
      <c r="Z30" s="34">
        <f t="shared" si="2"/>
        <v>16466</v>
      </c>
      <c r="AA30" s="35">
        <f t="shared" si="2"/>
        <v>36534</v>
      </c>
      <c r="AB30" s="32">
        <f t="shared" si="2"/>
        <v>2330.1</v>
      </c>
      <c r="AC30" s="32">
        <f t="shared" si="2"/>
        <v>2330.1</v>
      </c>
      <c r="AD30" s="32">
        <f t="shared" si="2"/>
        <v>1915.92</v>
      </c>
      <c r="AE30" s="32">
        <f t="shared" si="2"/>
        <v>-0.1199999999999477</v>
      </c>
      <c r="AF30" s="109"/>
      <c r="AG30" s="109"/>
      <c r="AH30" s="109"/>
      <c r="AI30" s="36"/>
      <c r="AJ30" s="37"/>
      <c r="AK30" s="38"/>
    </row>
    <row r="31" spans="1:37" ht="15.75" thickBot="1" x14ac:dyDescent="0.3"/>
    <row r="32" spans="1:37" x14ac:dyDescent="0.25">
      <c r="A32" s="112" t="s">
        <v>0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4"/>
      <c r="X32" s="113" t="s">
        <v>1</v>
      </c>
      <c r="Y32" s="114"/>
      <c r="Z32" s="114"/>
      <c r="AA32" s="5" t="s">
        <v>225</v>
      </c>
      <c r="AB32" s="115" t="s">
        <v>3</v>
      </c>
      <c r="AC32" s="116"/>
      <c r="AD32" s="116"/>
      <c r="AE32" s="116"/>
      <c r="AF32" s="105" t="s">
        <v>4</v>
      </c>
      <c r="AG32" s="105"/>
      <c r="AH32" s="105"/>
      <c r="AI32" s="105" t="s">
        <v>5</v>
      </c>
      <c r="AJ32" s="105"/>
      <c r="AK32" s="106"/>
    </row>
    <row r="33" spans="1:37" x14ac:dyDescent="0.25">
      <c r="A33" s="6" t="s">
        <v>6</v>
      </c>
      <c r="B33" s="7" t="s">
        <v>7</v>
      </c>
      <c r="C33" s="7" t="s">
        <v>8</v>
      </c>
      <c r="D33" s="7" t="s">
        <v>9</v>
      </c>
      <c r="E33" s="7" t="s">
        <v>10</v>
      </c>
      <c r="F33" s="7" t="s">
        <v>11</v>
      </c>
      <c r="G33" s="7" t="s">
        <v>12</v>
      </c>
      <c r="H33" s="7" t="s">
        <v>13</v>
      </c>
      <c r="I33" s="7" t="s">
        <v>14</v>
      </c>
      <c r="J33" s="7" t="s">
        <v>15</v>
      </c>
      <c r="K33" s="7" t="s">
        <v>16</v>
      </c>
      <c r="L33" s="7" t="s">
        <v>17</v>
      </c>
      <c r="M33" s="7" t="s">
        <v>18</v>
      </c>
      <c r="N33" s="7" t="s">
        <v>19</v>
      </c>
      <c r="O33" s="7" t="s">
        <v>20</v>
      </c>
      <c r="P33" s="7" t="s">
        <v>21</v>
      </c>
      <c r="Q33" s="7" t="s">
        <v>22</v>
      </c>
      <c r="R33" s="7" t="s">
        <v>23</v>
      </c>
      <c r="S33" s="7" t="s">
        <v>24</v>
      </c>
      <c r="T33" s="7" t="s">
        <v>25</v>
      </c>
      <c r="U33" s="7" t="s">
        <v>26</v>
      </c>
      <c r="V33" s="7" t="s">
        <v>27</v>
      </c>
      <c r="W33" s="8" t="s">
        <v>25</v>
      </c>
      <c r="X33" s="9" t="s">
        <v>28</v>
      </c>
      <c r="Y33" s="9" t="s">
        <v>29</v>
      </c>
      <c r="Z33" s="9" t="s">
        <v>30</v>
      </c>
      <c r="AA33" s="10" t="s">
        <v>31</v>
      </c>
      <c r="AB33" s="7" t="s">
        <v>32</v>
      </c>
      <c r="AC33" s="7" t="s">
        <v>33</v>
      </c>
      <c r="AD33" s="7" t="s">
        <v>34</v>
      </c>
      <c r="AE33" s="7" t="s">
        <v>35</v>
      </c>
      <c r="AF33" s="7" t="s">
        <v>36</v>
      </c>
      <c r="AG33" s="7" t="s">
        <v>37</v>
      </c>
      <c r="AH33" s="7" t="s">
        <v>38</v>
      </c>
      <c r="AI33" s="7" t="s">
        <v>39</v>
      </c>
      <c r="AJ33" s="11" t="s">
        <v>40</v>
      </c>
      <c r="AK33" s="12" t="s">
        <v>41</v>
      </c>
    </row>
    <row r="34" spans="1:37" x14ac:dyDescent="0.25">
      <c r="A34" s="13">
        <v>44716</v>
      </c>
      <c r="B34" s="14" t="s">
        <v>288</v>
      </c>
      <c r="C34" s="23" t="s">
        <v>289</v>
      </c>
      <c r="D34" s="23" t="s">
        <v>290</v>
      </c>
      <c r="E34" s="23" t="s">
        <v>291</v>
      </c>
      <c r="F34" s="15">
        <v>9878216151</v>
      </c>
      <c r="G34" s="16" t="s">
        <v>292</v>
      </c>
      <c r="H34" s="14" t="s">
        <v>293</v>
      </c>
      <c r="I34" s="17" t="s">
        <v>294</v>
      </c>
      <c r="J34" s="18" t="s">
        <v>295</v>
      </c>
      <c r="K34" s="15" t="s">
        <v>184</v>
      </c>
      <c r="L34" s="14" t="s">
        <v>65</v>
      </c>
      <c r="M34" s="24" t="s">
        <v>296</v>
      </c>
      <c r="N34" s="24" t="s">
        <v>297</v>
      </c>
      <c r="O34" s="14" t="s">
        <v>68</v>
      </c>
      <c r="P34" s="15">
        <v>16690</v>
      </c>
      <c r="Q34" s="15">
        <v>16690</v>
      </c>
      <c r="R34" s="15">
        <v>0</v>
      </c>
      <c r="S34" s="15">
        <v>0</v>
      </c>
      <c r="T34" s="15">
        <v>9370</v>
      </c>
      <c r="U34" s="15">
        <v>1000</v>
      </c>
      <c r="V34" s="15">
        <v>5203</v>
      </c>
      <c r="W34" s="19">
        <v>9370</v>
      </c>
      <c r="X34" s="20">
        <v>0</v>
      </c>
      <c r="Y34" s="20">
        <v>0</v>
      </c>
      <c r="Z34" s="20">
        <v>6203</v>
      </c>
      <c r="AA34" s="21">
        <v>6203</v>
      </c>
      <c r="AB34" s="22">
        <v>0</v>
      </c>
      <c r="AC34" s="22">
        <v>0</v>
      </c>
      <c r="AD34" s="22">
        <f>6203*18/100</f>
        <v>1116.54</v>
      </c>
      <c r="AE34" s="23">
        <f>1117-AD34</f>
        <v>0.46000000000003638</v>
      </c>
      <c r="AF34" s="23" t="s">
        <v>289</v>
      </c>
      <c r="AG34" s="24" t="s">
        <v>298</v>
      </c>
      <c r="AH34" s="24" t="s">
        <v>299</v>
      </c>
      <c r="AI34" s="24" t="s">
        <v>55</v>
      </c>
      <c r="AJ34" s="23"/>
      <c r="AK34" s="25" t="s">
        <v>300</v>
      </c>
    </row>
    <row r="35" spans="1:37" x14ac:dyDescent="0.25">
      <c r="A35" s="13">
        <v>44716</v>
      </c>
      <c r="B35" s="23" t="s">
        <v>301</v>
      </c>
      <c r="C35" s="24" t="s">
        <v>302</v>
      </c>
      <c r="D35" s="24" t="s">
        <v>303</v>
      </c>
      <c r="E35" s="24" t="s">
        <v>304</v>
      </c>
      <c r="F35" s="15">
        <v>9412345608</v>
      </c>
      <c r="G35" s="16" t="s">
        <v>305</v>
      </c>
      <c r="H35" s="14" t="s">
        <v>46</v>
      </c>
      <c r="I35" s="17" t="s">
        <v>306</v>
      </c>
      <c r="J35" s="18" t="s">
        <v>307</v>
      </c>
      <c r="K35" s="15" t="s">
        <v>64</v>
      </c>
      <c r="L35" s="14" t="s">
        <v>65</v>
      </c>
      <c r="M35" s="24" t="s">
        <v>308</v>
      </c>
      <c r="N35" s="23" t="s">
        <v>173</v>
      </c>
      <c r="O35" s="14" t="s">
        <v>68</v>
      </c>
      <c r="P35" s="15">
        <v>19500</v>
      </c>
      <c r="Q35" s="15">
        <v>6500</v>
      </c>
      <c r="R35" s="15">
        <v>13000</v>
      </c>
      <c r="S35" s="15">
        <v>0</v>
      </c>
      <c r="T35" s="15">
        <v>13870</v>
      </c>
      <c r="U35" s="15">
        <v>750</v>
      </c>
      <c r="V35" s="15">
        <v>4021</v>
      </c>
      <c r="W35" s="19">
        <v>13870</v>
      </c>
      <c r="X35" s="20">
        <v>0</v>
      </c>
      <c r="Y35" s="20">
        <v>0</v>
      </c>
      <c r="Z35" s="20">
        <v>4771</v>
      </c>
      <c r="AA35" s="21">
        <v>4771</v>
      </c>
      <c r="AB35" s="22">
        <v>0</v>
      </c>
      <c r="AC35" s="22">
        <v>0</v>
      </c>
      <c r="AD35" s="22">
        <f>4771*18/100</f>
        <v>858.78</v>
      </c>
      <c r="AE35" s="23">
        <f>859-AD35</f>
        <v>0.22000000000002728</v>
      </c>
      <c r="AF35" s="14" t="s">
        <v>302</v>
      </c>
      <c r="AG35" s="23"/>
      <c r="AH35" s="24" t="s">
        <v>309</v>
      </c>
      <c r="AI35" s="24" t="s">
        <v>55</v>
      </c>
      <c r="AJ35" s="23"/>
      <c r="AK35" s="25" t="s">
        <v>310</v>
      </c>
    </row>
    <row r="36" spans="1:37" x14ac:dyDescent="0.25">
      <c r="A36" s="13">
        <v>44716</v>
      </c>
      <c r="B36" s="23" t="s">
        <v>311</v>
      </c>
      <c r="C36" s="23" t="s">
        <v>312</v>
      </c>
      <c r="D36" s="23" t="s">
        <v>46</v>
      </c>
      <c r="E36" s="23" t="s">
        <v>313</v>
      </c>
      <c r="F36" s="15">
        <v>9979982819</v>
      </c>
      <c r="G36" s="26" t="s">
        <v>314</v>
      </c>
      <c r="H36" s="23" t="s">
        <v>315</v>
      </c>
      <c r="I36" s="17" t="s">
        <v>316</v>
      </c>
      <c r="J36" s="18" t="s">
        <v>317</v>
      </c>
      <c r="K36" s="15" t="s">
        <v>78</v>
      </c>
      <c r="L36" s="14" t="s">
        <v>318</v>
      </c>
      <c r="M36" s="24" t="s">
        <v>319</v>
      </c>
      <c r="N36" s="24" t="s">
        <v>187</v>
      </c>
      <c r="O36" s="14" t="s">
        <v>68</v>
      </c>
      <c r="P36" s="15">
        <v>3056</v>
      </c>
      <c r="Q36" s="15">
        <v>3056</v>
      </c>
      <c r="R36" s="15">
        <v>0</v>
      </c>
      <c r="S36" s="15">
        <v>0</v>
      </c>
      <c r="T36" s="15">
        <v>0</v>
      </c>
      <c r="U36" s="15">
        <v>590</v>
      </c>
      <c r="V36" s="15">
        <v>2000</v>
      </c>
      <c r="W36" s="19">
        <v>0</v>
      </c>
      <c r="X36" s="20">
        <v>0</v>
      </c>
      <c r="Y36" s="20">
        <v>0</v>
      </c>
      <c r="Z36" s="20">
        <v>2590</v>
      </c>
      <c r="AA36" s="21">
        <v>2590</v>
      </c>
      <c r="AB36" s="22">
        <v>0</v>
      </c>
      <c r="AC36" s="22">
        <v>0</v>
      </c>
      <c r="AD36" s="22">
        <f>2590*18/100</f>
        <v>466.2</v>
      </c>
      <c r="AE36" s="23">
        <f>466-AD36</f>
        <v>-0.19999999999998863</v>
      </c>
      <c r="AF36" s="14" t="s">
        <v>320</v>
      </c>
      <c r="AG36" s="23"/>
      <c r="AH36" s="24" t="s">
        <v>321</v>
      </c>
      <c r="AI36" s="24" t="s">
        <v>55</v>
      </c>
      <c r="AJ36" s="23"/>
      <c r="AK36" s="25" t="s">
        <v>56</v>
      </c>
    </row>
    <row r="37" spans="1:37" x14ac:dyDescent="0.25">
      <c r="A37" s="13">
        <v>44716</v>
      </c>
      <c r="B37" s="23" t="s">
        <v>322</v>
      </c>
      <c r="C37" s="24" t="s">
        <v>260</v>
      </c>
      <c r="D37" s="24" t="s">
        <v>46</v>
      </c>
      <c r="E37" s="24" t="s">
        <v>261</v>
      </c>
      <c r="F37" s="15">
        <v>9825228281</v>
      </c>
      <c r="G37" s="16" t="s">
        <v>262</v>
      </c>
      <c r="H37" s="16" t="s">
        <v>263</v>
      </c>
      <c r="I37" s="17" t="s">
        <v>323</v>
      </c>
      <c r="J37" s="18" t="s">
        <v>324</v>
      </c>
      <c r="K37" s="15" t="s">
        <v>255</v>
      </c>
      <c r="L37" s="14" t="s">
        <v>325</v>
      </c>
      <c r="M37" s="23" t="s">
        <v>267</v>
      </c>
      <c r="N37" s="24" t="s">
        <v>187</v>
      </c>
      <c r="O37" s="14" t="s">
        <v>53</v>
      </c>
      <c r="P37" s="15">
        <v>7800</v>
      </c>
      <c r="Q37" s="15">
        <v>7800</v>
      </c>
      <c r="R37" s="15">
        <v>0</v>
      </c>
      <c r="S37" s="15">
        <v>0</v>
      </c>
      <c r="T37" s="15">
        <v>0</v>
      </c>
      <c r="U37" s="15">
        <v>826</v>
      </c>
      <c r="V37" s="15">
        <v>5784</v>
      </c>
      <c r="W37" s="19">
        <v>0</v>
      </c>
      <c r="X37" s="20">
        <v>0</v>
      </c>
      <c r="Y37" s="20">
        <v>0</v>
      </c>
      <c r="Z37" s="20">
        <v>6610</v>
      </c>
      <c r="AA37" s="21">
        <v>6610</v>
      </c>
      <c r="AB37" s="22">
        <v>0</v>
      </c>
      <c r="AC37" s="22">
        <v>0</v>
      </c>
      <c r="AD37" s="22">
        <f>6610*18/100</f>
        <v>1189.8</v>
      </c>
      <c r="AE37" s="23">
        <f>1190-AD37</f>
        <v>0.20000000000004547</v>
      </c>
      <c r="AF37" s="24" t="s">
        <v>260</v>
      </c>
      <c r="AG37" s="23"/>
      <c r="AH37" s="24" t="s">
        <v>326</v>
      </c>
      <c r="AI37" s="24" t="s">
        <v>55</v>
      </c>
      <c r="AJ37" s="23"/>
      <c r="AK37" s="25" t="s">
        <v>327</v>
      </c>
    </row>
    <row r="38" spans="1:37" x14ac:dyDescent="0.25">
      <c r="A38" s="13">
        <v>44716</v>
      </c>
      <c r="B38" s="23" t="s">
        <v>328</v>
      </c>
      <c r="C38" s="24" t="s">
        <v>329</v>
      </c>
      <c r="D38" s="24" t="s">
        <v>46</v>
      </c>
      <c r="E38" s="24" t="s">
        <v>330</v>
      </c>
      <c r="F38" s="15">
        <v>9428495405</v>
      </c>
      <c r="G38" s="23" t="s">
        <v>331</v>
      </c>
      <c r="H38" s="14" t="s">
        <v>46</v>
      </c>
      <c r="I38" s="17" t="s">
        <v>332</v>
      </c>
      <c r="J38" s="18" t="s">
        <v>333</v>
      </c>
      <c r="K38" s="15" t="s">
        <v>255</v>
      </c>
      <c r="L38" s="14" t="s">
        <v>334</v>
      </c>
      <c r="M38" s="23" t="s">
        <v>335</v>
      </c>
      <c r="N38" s="24" t="s">
        <v>187</v>
      </c>
      <c r="O38" s="14" t="s">
        <v>336</v>
      </c>
      <c r="P38" s="15">
        <v>4790</v>
      </c>
      <c r="Q38" s="15">
        <v>4790</v>
      </c>
      <c r="R38" s="15">
        <v>0</v>
      </c>
      <c r="S38" s="15">
        <v>0</v>
      </c>
      <c r="T38" s="15">
        <v>0</v>
      </c>
      <c r="U38" s="15">
        <v>590</v>
      </c>
      <c r="V38" s="15">
        <v>4200</v>
      </c>
      <c r="W38" s="19">
        <v>0</v>
      </c>
      <c r="X38" s="20">
        <v>500</v>
      </c>
      <c r="Y38" s="20">
        <v>2660</v>
      </c>
      <c r="Z38" s="20">
        <v>1630</v>
      </c>
      <c r="AA38" s="21">
        <v>0</v>
      </c>
      <c r="AB38" s="22">
        <v>0</v>
      </c>
      <c r="AC38" s="22">
        <v>0</v>
      </c>
      <c r="AD38" s="22">
        <v>0</v>
      </c>
      <c r="AE38" s="22">
        <v>0</v>
      </c>
      <c r="AF38" s="24" t="s">
        <v>337</v>
      </c>
      <c r="AG38" s="23"/>
      <c r="AH38" s="24" t="s">
        <v>338</v>
      </c>
      <c r="AI38" s="24" t="s">
        <v>55</v>
      </c>
      <c r="AJ38" s="23"/>
      <c r="AK38" s="25" t="s">
        <v>56</v>
      </c>
    </row>
    <row r="39" spans="1:37" x14ac:dyDescent="0.25">
      <c r="A39" s="13">
        <v>44716</v>
      </c>
      <c r="B39" s="23" t="s">
        <v>339</v>
      </c>
      <c r="C39" s="24" t="s">
        <v>340</v>
      </c>
      <c r="D39" s="24" t="s">
        <v>46</v>
      </c>
      <c r="E39" s="24" t="s">
        <v>341</v>
      </c>
      <c r="F39" s="15">
        <v>9737456678</v>
      </c>
      <c r="G39" s="23" t="s">
        <v>342</v>
      </c>
      <c r="H39" s="23" t="s">
        <v>343</v>
      </c>
      <c r="I39" s="17" t="s">
        <v>344</v>
      </c>
      <c r="J39" s="18" t="s">
        <v>345</v>
      </c>
      <c r="K39" s="15" t="s">
        <v>346</v>
      </c>
      <c r="L39" s="14" t="s">
        <v>65</v>
      </c>
      <c r="M39" s="23" t="s">
        <v>347</v>
      </c>
      <c r="N39" s="24" t="s">
        <v>187</v>
      </c>
      <c r="O39" s="14" t="s">
        <v>68</v>
      </c>
      <c r="P39" s="15">
        <v>20000</v>
      </c>
      <c r="Q39" s="15">
        <v>12000</v>
      </c>
      <c r="R39" s="15">
        <v>8000</v>
      </c>
      <c r="S39" s="15">
        <v>0</v>
      </c>
      <c r="T39" s="15">
        <v>7570.8</v>
      </c>
      <c r="U39" s="15">
        <v>2360</v>
      </c>
      <c r="V39" s="15">
        <v>8173.2</v>
      </c>
      <c r="W39" s="19">
        <v>7570.8</v>
      </c>
      <c r="X39" s="20">
        <v>5673.2</v>
      </c>
      <c r="Y39" s="20">
        <v>2360</v>
      </c>
      <c r="Z39" s="20">
        <v>2500</v>
      </c>
      <c r="AA39" s="21">
        <v>10533.2</v>
      </c>
      <c r="AB39" s="22">
        <v>0</v>
      </c>
      <c r="AC39" s="22">
        <v>0</v>
      </c>
      <c r="AD39" s="43">
        <v>1895.98</v>
      </c>
      <c r="AE39" s="43">
        <v>0.02</v>
      </c>
      <c r="AF39" s="24" t="s">
        <v>340</v>
      </c>
      <c r="AG39" s="23"/>
      <c r="AH39" s="24" t="s">
        <v>348</v>
      </c>
      <c r="AI39" s="24" t="s">
        <v>55</v>
      </c>
      <c r="AJ39" s="23"/>
      <c r="AK39" s="25" t="s">
        <v>349</v>
      </c>
    </row>
    <row r="40" spans="1:37" x14ac:dyDescent="0.25">
      <c r="A40" s="13">
        <v>44716</v>
      </c>
      <c r="B40" s="23" t="s">
        <v>350</v>
      </c>
      <c r="C40" s="24" t="s">
        <v>351</v>
      </c>
      <c r="D40" s="24" t="s">
        <v>352</v>
      </c>
      <c r="E40" s="24" t="s">
        <v>353</v>
      </c>
      <c r="F40" s="15">
        <v>9662976143</v>
      </c>
      <c r="G40" s="23" t="s">
        <v>354</v>
      </c>
      <c r="H40" s="23" t="s">
        <v>46</v>
      </c>
      <c r="I40" s="17" t="s">
        <v>355</v>
      </c>
      <c r="J40" s="18" t="s">
        <v>356</v>
      </c>
      <c r="K40" s="15" t="s">
        <v>78</v>
      </c>
      <c r="L40" s="14" t="s">
        <v>357</v>
      </c>
      <c r="M40" s="23" t="s">
        <v>358</v>
      </c>
      <c r="N40" s="23" t="s">
        <v>187</v>
      </c>
      <c r="O40" s="14" t="s">
        <v>68</v>
      </c>
      <c r="P40" s="15">
        <v>7230</v>
      </c>
      <c r="Q40" s="15">
        <v>5000</v>
      </c>
      <c r="R40" s="15">
        <v>2230</v>
      </c>
      <c r="S40" s="15">
        <v>0</v>
      </c>
      <c r="T40" s="15">
        <v>4870</v>
      </c>
      <c r="U40" s="15">
        <v>500</v>
      </c>
      <c r="V40" s="15">
        <v>1500</v>
      </c>
      <c r="W40" s="19">
        <v>4870</v>
      </c>
      <c r="X40" s="20">
        <v>0</v>
      </c>
      <c r="Y40" s="20">
        <v>0</v>
      </c>
      <c r="Z40" s="20">
        <v>2000</v>
      </c>
      <c r="AA40" s="21">
        <v>2000</v>
      </c>
      <c r="AB40" s="22">
        <v>0</v>
      </c>
      <c r="AC40" s="22">
        <v>0</v>
      </c>
      <c r="AD40" s="44">
        <f>2000*18/100</f>
        <v>360</v>
      </c>
      <c r="AE40" s="43">
        <f>360-AD40</f>
        <v>0</v>
      </c>
      <c r="AF40" s="24" t="s">
        <v>351</v>
      </c>
      <c r="AG40" s="23"/>
      <c r="AH40" s="24" t="s">
        <v>359</v>
      </c>
      <c r="AI40" s="24" t="s">
        <v>55</v>
      </c>
      <c r="AJ40" s="23"/>
      <c r="AK40" s="25" t="s">
        <v>360</v>
      </c>
    </row>
    <row r="41" spans="1:37" s="97" customFormat="1" x14ac:dyDescent="0.25">
      <c r="A41" s="104">
        <v>44716</v>
      </c>
      <c r="B41" s="90" t="s">
        <v>361</v>
      </c>
      <c r="C41" s="98" t="s">
        <v>362</v>
      </c>
      <c r="D41" s="98"/>
      <c r="E41" s="98" t="s">
        <v>363</v>
      </c>
      <c r="F41" s="99">
        <v>9657496161</v>
      </c>
      <c r="G41" s="100" t="s">
        <v>364</v>
      </c>
      <c r="H41" s="100" t="s">
        <v>46</v>
      </c>
      <c r="I41" s="101" t="s">
        <v>365</v>
      </c>
      <c r="J41" s="98" t="s">
        <v>366</v>
      </c>
      <c r="K41" s="99" t="s">
        <v>78</v>
      </c>
      <c r="L41" s="102" t="s">
        <v>367</v>
      </c>
      <c r="M41" s="98" t="s">
        <v>105</v>
      </c>
      <c r="N41" s="98" t="s">
        <v>67</v>
      </c>
      <c r="O41" s="102" t="s">
        <v>68</v>
      </c>
      <c r="P41" s="91">
        <v>11000</v>
      </c>
      <c r="Q41" s="91">
        <v>11000</v>
      </c>
      <c r="R41" s="91">
        <v>0</v>
      </c>
      <c r="S41" s="91">
        <v>0</v>
      </c>
      <c r="T41" s="91">
        <v>2582</v>
      </c>
      <c r="U41" s="91">
        <v>2500</v>
      </c>
      <c r="V41" s="91">
        <v>4634</v>
      </c>
      <c r="W41" s="92">
        <v>2582</v>
      </c>
      <c r="X41" s="92">
        <v>0</v>
      </c>
      <c r="Y41" s="92">
        <v>0</v>
      </c>
      <c r="Z41" s="92">
        <v>7134</v>
      </c>
      <c r="AA41" s="93">
        <v>7134</v>
      </c>
      <c r="AB41" s="94">
        <f>7134*18/100/2</f>
        <v>642.05999999999995</v>
      </c>
      <c r="AC41" s="94">
        <f>7134*18/100/2</f>
        <v>642.05999999999995</v>
      </c>
      <c r="AD41" s="95">
        <v>0</v>
      </c>
      <c r="AE41" s="96">
        <f>1284-AB41-AC41</f>
        <v>-0.11999999999989086</v>
      </c>
      <c r="AF41" s="98" t="s">
        <v>362</v>
      </c>
      <c r="AG41" s="100"/>
      <c r="AH41" s="98" t="s">
        <v>368</v>
      </c>
      <c r="AI41" s="98" t="s">
        <v>55</v>
      </c>
      <c r="AJ41" s="100"/>
      <c r="AK41" s="103" t="s">
        <v>369</v>
      </c>
    </row>
    <row r="42" spans="1:37" s="47" customFormat="1" x14ac:dyDescent="0.25">
      <c r="A42" s="13">
        <v>44716</v>
      </c>
      <c r="B42" s="14" t="s">
        <v>125</v>
      </c>
      <c r="C42" s="27" t="s">
        <v>370</v>
      </c>
      <c r="D42" s="24" t="s">
        <v>371</v>
      </c>
      <c r="E42" s="24" t="s">
        <v>372</v>
      </c>
      <c r="F42" s="28">
        <v>9755294506</v>
      </c>
      <c r="G42" s="29" t="s">
        <v>373</v>
      </c>
      <c r="H42" s="23" t="s">
        <v>374</v>
      </c>
      <c r="I42" s="17" t="s">
        <v>375</v>
      </c>
      <c r="J42" s="18" t="s">
        <v>284</v>
      </c>
      <c r="K42" s="24" t="s">
        <v>285</v>
      </c>
      <c r="L42" s="30" t="s">
        <v>376</v>
      </c>
      <c r="M42" s="23" t="s">
        <v>377</v>
      </c>
      <c r="N42" s="24" t="s">
        <v>147</v>
      </c>
      <c r="O42" s="14" t="s">
        <v>68</v>
      </c>
      <c r="P42" s="28">
        <v>0</v>
      </c>
      <c r="Q42" s="28">
        <v>4500</v>
      </c>
      <c r="R42" s="28">
        <v>76</v>
      </c>
      <c r="S42" s="28">
        <v>0</v>
      </c>
      <c r="T42" s="28">
        <v>0</v>
      </c>
      <c r="U42" s="28">
        <v>0</v>
      </c>
      <c r="V42" s="28">
        <v>0</v>
      </c>
      <c r="W42" s="19">
        <v>0</v>
      </c>
      <c r="X42" s="20">
        <v>0</v>
      </c>
      <c r="Y42" s="20">
        <v>0</v>
      </c>
      <c r="Z42" s="20">
        <v>0</v>
      </c>
      <c r="AA42" s="21">
        <v>0</v>
      </c>
      <c r="AB42" s="15">
        <v>0</v>
      </c>
      <c r="AC42" s="15">
        <v>0</v>
      </c>
      <c r="AD42" s="15">
        <v>0</v>
      </c>
      <c r="AE42" s="15">
        <v>0</v>
      </c>
      <c r="AF42" s="27" t="s">
        <v>378</v>
      </c>
      <c r="AG42" s="15"/>
      <c r="AH42" s="15" t="s">
        <v>46</v>
      </c>
      <c r="AI42" s="24" t="s">
        <v>55</v>
      </c>
      <c r="AJ42" s="15"/>
      <c r="AK42" s="46" t="s">
        <v>46</v>
      </c>
    </row>
    <row r="43" spans="1:37" ht="30" x14ac:dyDescent="0.25">
      <c r="A43" s="13">
        <v>44716</v>
      </c>
      <c r="B43" s="14" t="s">
        <v>125</v>
      </c>
      <c r="C43" s="42" t="s">
        <v>379</v>
      </c>
      <c r="D43" s="42" t="s">
        <v>380</v>
      </c>
      <c r="E43" s="42" t="s">
        <v>381</v>
      </c>
      <c r="F43" s="48">
        <v>9768223322</v>
      </c>
      <c r="G43" s="49" t="s">
        <v>382</v>
      </c>
      <c r="H43" s="42" t="s">
        <v>46</v>
      </c>
      <c r="I43" s="17" t="s">
        <v>383</v>
      </c>
      <c r="J43" s="18" t="s">
        <v>384</v>
      </c>
      <c r="K43" s="48" t="s">
        <v>78</v>
      </c>
      <c r="L43" s="48" t="s">
        <v>385</v>
      </c>
      <c r="M43" s="42" t="s">
        <v>80</v>
      </c>
      <c r="N43" s="42" t="s">
        <v>67</v>
      </c>
      <c r="O43" s="14" t="s">
        <v>68</v>
      </c>
      <c r="P43" s="39">
        <v>0</v>
      </c>
      <c r="Q43" s="39">
        <v>3000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19">
        <v>0</v>
      </c>
      <c r="X43" s="20">
        <v>0</v>
      </c>
      <c r="Y43" s="20">
        <v>0</v>
      </c>
      <c r="Z43" s="20">
        <v>0</v>
      </c>
      <c r="AA43" s="21">
        <v>0</v>
      </c>
      <c r="AB43" s="15">
        <v>0</v>
      </c>
      <c r="AC43" s="15">
        <v>0</v>
      </c>
      <c r="AD43" s="15">
        <v>0</v>
      </c>
      <c r="AE43" s="15">
        <v>0</v>
      </c>
      <c r="AF43" s="42" t="s">
        <v>379</v>
      </c>
      <c r="AG43" s="23"/>
      <c r="AH43" s="15" t="s">
        <v>46</v>
      </c>
      <c r="AI43" s="24" t="s">
        <v>55</v>
      </c>
      <c r="AJ43" s="23"/>
      <c r="AK43" s="46" t="s">
        <v>46</v>
      </c>
    </row>
    <row r="44" spans="1:37" x14ac:dyDescent="0.25">
      <c r="A44" s="13">
        <v>44716</v>
      </c>
      <c r="B44" s="14" t="s">
        <v>125</v>
      </c>
      <c r="C44" s="27" t="s">
        <v>386</v>
      </c>
      <c r="D44" s="24" t="s">
        <v>46</v>
      </c>
      <c r="E44" s="24" t="s">
        <v>387</v>
      </c>
      <c r="F44" s="28">
        <v>9897372265</v>
      </c>
      <c r="G44" s="29" t="s">
        <v>388</v>
      </c>
      <c r="H44" s="24" t="s">
        <v>46</v>
      </c>
      <c r="I44" s="17" t="s">
        <v>389</v>
      </c>
      <c r="J44" s="18" t="s">
        <v>284</v>
      </c>
      <c r="K44" s="24" t="s">
        <v>390</v>
      </c>
      <c r="L44" s="30" t="s">
        <v>391</v>
      </c>
      <c r="M44" s="24" t="s">
        <v>392</v>
      </c>
      <c r="N44" s="24" t="s">
        <v>136</v>
      </c>
      <c r="O44" s="14" t="s">
        <v>68</v>
      </c>
      <c r="P44" s="39">
        <v>0</v>
      </c>
      <c r="Q44" s="28">
        <v>10000</v>
      </c>
      <c r="R44" s="28">
        <v>5820</v>
      </c>
      <c r="S44" s="39">
        <v>0</v>
      </c>
      <c r="T44" s="39">
        <v>0</v>
      </c>
      <c r="U44" s="39">
        <v>0</v>
      </c>
      <c r="V44" s="39">
        <v>0</v>
      </c>
      <c r="W44" s="19">
        <v>0</v>
      </c>
      <c r="X44" s="20">
        <v>0</v>
      </c>
      <c r="Y44" s="20">
        <v>0</v>
      </c>
      <c r="Z44" s="20">
        <v>0</v>
      </c>
      <c r="AA44" s="21">
        <v>0</v>
      </c>
      <c r="AB44" s="15">
        <v>0</v>
      </c>
      <c r="AC44" s="15">
        <v>0</v>
      </c>
      <c r="AD44" s="15">
        <v>0</v>
      </c>
      <c r="AE44" s="15">
        <v>0</v>
      </c>
      <c r="AF44" s="27" t="s">
        <v>386</v>
      </c>
      <c r="AG44" s="23"/>
      <c r="AH44" s="15" t="s">
        <v>46</v>
      </c>
      <c r="AI44" s="24" t="s">
        <v>55</v>
      </c>
      <c r="AJ44" s="23"/>
      <c r="AK44" s="46" t="s">
        <v>46</v>
      </c>
    </row>
    <row r="45" spans="1:37" x14ac:dyDescent="0.25">
      <c r="A45" s="13">
        <v>44716</v>
      </c>
      <c r="B45" s="14" t="s">
        <v>125</v>
      </c>
      <c r="C45" s="24" t="s">
        <v>393</v>
      </c>
      <c r="D45" s="30" t="s">
        <v>46</v>
      </c>
      <c r="E45" s="24" t="s">
        <v>394</v>
      </c>
      <c r="F45" s="28">
        <v>7828444468</v>
      </c>
      <c r="G45" s="24" t="s">
        <v>395</v>
      </c>
      <c r="H45" s="42" t="s">
        <v>396</v>
      </c>
      <c r="I45" s="17" t="s">
        <v>397</v>
      </c>
      <c r="J45" s="18" t="s">
        <v>284</v>
      </c>
      <c r="K45" s="48" t="s">
        <v>78</v>
      </c>
      <c r="L45" s="24" t="s">
        <v>398</v>
      </c>
      <c r="M45" s="23" t="s">
        <v>399</v>
      </c>
      <c r="N45" s="24" t="s">
        <v>212</v>
      </c>
      <c r="O45" s="50" t="s">
        <v>400</v>
      </c>
      <c r="P45" s="28">
        <v>0</v>
      </c>
      <c r="Q45" s="28">
        <v>1000</v>
      </c>
      <c r="R45" s="28">
        <v>500</v>
      </c>
      <c r="S45" s="28">
        <v>0</v>
      </c>
      <c r="T45" s="28">
        <v>0</v>
      </c>
      <c r="U45" s="28">
        <v>0</v>
      </c>
      <c r="V45" s="28">
        <v>0</v>
      </c>
      <c r="W45" s="19">
        <v>0</v>
      </c>
      <c r="X45" s="20">
        <v>0</v>
      </c>
      <c r="Y45" s="20">
        <v>0</v>
      </c>
      <c r="Z45" s="20">
        <v>0</v>
      </c>
      <c r="AA45" s="21">
        <v>0</v>
      </c>
      <c r="AB45" s="15">
        <v>0</v>
      </c>
      <c r="AC45" s="15">
        <v>0</v>
      </c>
      <c r="AD45" s="15">
        <v>0</v>
      </c>
      <c r="AE45" s="15">
        <v>0</v>
      </c>
      <c r="AF45" s="24" t="s">
        <v>401</v>
      </c>
      <c r="AG45" s="23" t="s">
        <v>402</v>
      </c>
      <c r="AH45" s="15" t="s">
        <v>46</v>
      </c>
      <c r="AI45" s="24" t="s">
        <v>55</v>
      </c>
      <c r="AJ45" s="23"/>
      <c r="AK45" s="46" t="s">
        <v>46</v>
      </c>
    </row>
    <row r="46" spans="1:37" ht="15.75" thickBot="1" x14ac:dyDescent="0.3">
      <c r="A46" s="107" t="s">
        <v>137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32">
        <f t="shared" ref="P46:AE46" si="3">SUM(P34:P45)</f>
        <v>90066</v>
      </c>
      <c r="Q46" s="32">
        <f t="shared" si="3"/>
        <v>85336</v>
      </c>
      <c r="R46" s="32">
        <f t="shared" si="3"/>
        <v>29626</v>
      </c>
      <c r="S46" s="32">
        <f t="shared" si="3"/>
        <v>0</v>
      </c>
      <c r="T46" s="32">
        <f t="shared" si="3"/>
        <v>38262.800000000003</v>
      </c>
      <c r="U46" s="32">
        <f t="shared" si="3"/>
        <v>9116</v>
      </c>
      <c r="V46" s="32">
        <f t="shared" si="3"/>
        <v>35515.199999999997</v>
      </c>
      <c r="W46" s="33">
        <f t="shared" si="3"/>
        <v>38262.800000000003</v>
      </c>
      <c r="X46" s="34">
        <f t="shared" si="3"/>
        <v>6173.2</v>
      </c>
      <c r="Y46" s="34">
        <f t="shared" si="3"/>
        <v>5020</v>
      </c>
      <c r="Z46" s="34">
        <f t="shared" si="3"/>
        <v>33438</v>
      </c>
      <c r="AA46" s="35">
        <f t="shared" si="3"/>
        <v>39841.199999999997</v>
      </c>
      <c r="AB46" s="32">
        <f t="shared" si="3"/>
        <v>642.05999999999995</v>
      </c>
      <c r="AC46" s="32">
        <f t="shared" si="3"/>
        <v>642.05999999999995</v>
      </c>
      <c r="AD46" s="32">
        <f t="shared" si="3"/>
        <v>5887.2999999999993</v>
      </c>
      <c r="AE46" s="32">
        <f t="shared" si="3"/>
        <v>0.58000000000022967</v>
      </c>
      <c r="AF46" s="109"/>
      <c r="AG46" s="109"/>
      <c r="AH46" s="109"/>
      <c r="AI46" s="36"/>
      <c r="AJ46" s="37"/>
      <c r="AK46" s="38"/>
    </row>
    <row r="47" spans="1:37" ht="15.75" thickBot="1" x14ac:dyDescent="0.3"/>
    <row r="48" spans="1:37" x14ac:dyDescent="0.25">
      <c r="A48" s="112" t="s">
        <v>0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4"/>
      <c r="X48" s="113" t="s">
        <v>1</v>
      </c>
      <c r="Y48" s="114"/>
      <c r="Z48" s="114"/>
      <c r="AA48" s="5" t="s">
        <v>225</v>
      </c>
      <c r="AB48" s="115" t="s">
        <v>3</v>
      </c>
      <c r="AC48" s="116"/>
      <c r="AD48" s="116"/>
      <c r="AE48" s="116"/>
      <c r="AF48" s="105" t="s">
        <v>4</v>
      </c>
      <c r="AG48" s="105"/>
      <c r="AH48" s="105"/>
      <c r="AI48" s="105" t="s">
        <v>5</v>
      </c>
      <c r="AJ48" s="105"/>
      <c r="AK48" s="106"/>
    </row>
    <row r="49" spans="1:37" x14ac:dyDescent="0.25">
      <c r="A49" s="6" t="s">
        <v>6</v>
      </c>
      <c r="B49" s="7" t="s">
        <v>7</v>
      </c>
      <c r="C49" s="7" t="s">
        <v>8</v>
      </c>
      <c r="D49" s="7" t="s">
        <v>9</v>
      </c>
      <c r="E49" s="7" t="s">
        <v>10</v>
      </c>
      <c r="F49" s="7" t="s">
        <v>11</v>
      </c>
      <c r="G49" s="7" t="s">
        <v>12</v>
      </c>
      <c r="H49" s="7" t="s">
        <v>13</v>
      </c>
      <c r="I49" s="7" t="s">
        <v>14</v>
      </c>
      <c r="J49" s="7" t="s">
        <v>15</v>
      </c>
      <c r="K49" s="7" t="s">
        <v>16</v>
      </c>
      <c r="L49" s="7" t="s">
        <v>17</v>
      </c>
      <c r="M49" s="7" t="s">
        <v>18</v>
      </c>
      <c r="N49" s="7" t="s">
        <v>19</v>
      </c>
      <c r="O49" s="7" t="s">
        <v>20</v>
      </c>
      <c r="P49" s="7" t="s">
        <v>21</v>
      </c>
      <c r="Q49" s="7" t="s">
        <v>22</v>
      </c>
      <c r="R49" s="7" t="s">
        <v>23</v>
      </c>
      <c r="S49" s="7" t="s">
        <v>24</v>
      </c>
      <c r="T49" s="7" t="s">
        <v>25</v>
      </c>
      <c r="U49" s="7" t="s">
        <v>26</v>
      </c>
      <c r="V49" s="7" t="s">
        <v>27</v>
      </c>
      <c r="W49" s="8" t="s">
        <v>25</v>
      </c>
      <c r="X49" s="9" t="s">
        <v>28</v>
      </c>
      <c r="Y49" s="9" t="s">
        <v>29</v>
      </c>
      <c r="Z49" s="9" t="s">
        <v>30</v>
      </c>
      <c r="AA49" s="10" t="s">
        <v>31</v>
      </c>
      <c r="AB49" s="7" t="s">
        <v>32</v>
      </c>
      <c r="AC49" s="7" t="s">
        <v>33</v>
      </c>
      <c r="AD49" s="7" t="s">
        <v>34</v>
      </c>
      <c r="AE49" s="7" t="s">
        <v>35</v>
      </c>
      <c r="AF49" s="7" t="s">
        <v>36</v>
      </c>
      <c r="AG49" s="7" t="s">
        <v>37</v>
      </c>
      <c r="AH49" s="7" t="s">
        <v>38</v>
      </c>
      <c r="AI49" s="7" t="s">
        <v>39</v>
      </c>
      <c r="AJ49" s="11" t="s">
        <v>40</v>
      </c>
      <c r="AK49" s="12" t="s">
        <v>41</v>
      </c>
    </row>
    <row r="50" spans="1:37" x14ac:dyDescent="0.25">
      <c r="A50" s="13">
        <v>44718</v>
      </c>
      <c r="B50" s="14" t="s">
        <v>57</v>
      </c>
      <c r="C50" s="24" t="s">
        <v>403</v>
      </c>
      <c r="D50" s="24" t="s">
        <v>404</v>
      </c>
      <c r="E50" s="23" t="s">
        <v>405</v>
      </c>
      <c r="F50" s="15">
        <v>9933033990</v>
      </c>
      <c r="G50" s="16" t="s">
        <v>406</v>
      </c>
      <c r="H50" s="23" t="s">
        <v>407</v>
      </c>
      <c r="I50" s="17" t="s">
        <v>408</v>
      </c>
      <c r="J50" s="18" t="s">
        <v>409</v>
      </c>
      <c r="K50" s="15" t="s">
        <v>184</v>
      </c>
      <c r="L50" s="14" t="s">
        <v>65</v>
      </c>
      <c r="M50" s="24" t="s">
        <v>410</v>
      </c>
      <c r="N50" s="24" t="s">
        <v>411</v>
      </c>
      <c r="O50" s="50" t="s">
        <v>400</v>
      </c>
      <c r="P50" s="15">
        <v>9325</v>
      </c>
      <c r="Q50" s="15">
        <v>9325</v>
      </c>
      <c r="R50" s="15">
        <v>0</v>
      </c>
      <c r="S50" s="15">
        <v>0</v>
      </c>
      <c r="T50" s="15">
        <v>4870</v>
      </c>
      <c r="U50" s="15">
        <v>500</v>
      </c>
      <c r="V50" s="15">
        <v>3275</v>
      </c>
      <c r="W50" s="19">
        <v>4870</v>
      </c>
      <c r="X50" s="20">
        <v>0</v>
      </c>
      <c r="Y50" s="20">
        <v>0</v>
      </c>
      <c r="Z50" s="20">
        <v>3775</v>
      </c>
      <c r="AA50" s="21">
        <v>3775</v>
      </c>
      <c r="AB50" s="22">
        <v>0</v>
      </c>
      <c r="AC50" s="22">
        <v>0</v>
      </c>
      <c r="AD50" s="22">
        <f>3775*18/100</f>
        <v>679.5</v>
      </c>
      <c r="AE50" s="23">
        <f>680-AD50</f>
        <v>0.5</v>
      </c>
      <c r="AF50" s="24" t="s">
        <v>403</v>
      </c>
      <c r="AG50" s="23"/>
      <c r="AH50" s="24" t="s">
        <v>412</v>
      </c>
      <c r="AI50" s="24" t="s">
        <v>55</v>
      </c>
      <c r="AJ50" s="23"/>
      <c r="AK50" s="25" t="s">
        <v>413</v>
      </c>
    </row>
    <row r="51" spans="1:37" x14ac:dyDescent="0.25">
      <c r="A51" s="13">
        <v>44718</v>
      </c>
      <c r="B51" s="14" t="s">
        <v>288</v>
      </c>
      <c r="C51" s="24" t="s">
        <v>414</v>
      </c>
      <c r="D51" s="24" t="s">
        <v>415</v>
      </c>
      <c r="E51" s="24" t="s">
        <v>416</v>
      </c>
      <c r="F51" s="15">
        <v>8396047250</v>
      </c>
      <c r="G51" s="16" t="s">
        <v>417</v>
      </c>
      <c r="H51" s="14" t="s">
        <v>46</v>
      </c>
      <c r="I51" s="17" t="s">
        <v>418</v>
      </c>
      <c r="J51" s="18" t="s">
        <v>419</v>
      </c>
      <c r="K51" s="15" t="s">
        <v>420</v>
      </c>
      <c r="L51" s="14" t="s">
        <v>421</v>
      </c>
      <c r="M51" s="24" t="s">
        <v>422</v>
      </c>
      <c r="N51" s="24" t="s">
        <v>423</v>
      </c>
      <c r="O51" s="14" t="s">
        <v>424</v>
      </c>
      <c r="P51" s="15">
        <v>16999</v>
      </c>
      <c r="Q51" s="15">
        <v>16999</v>
      </c>
      <c r="R51" s="15">
        <v>0</v>
      </c>
      <c r="S51" s="15">
        <v>0</v>
      </c>
      <c r="T51" s="15">
        <v>9370</v>
      </c>
      <c r="U51" s="15">
        <v>1000</v>
      </c>
      <c r="V51" s="15">
        <v>5465</v>
      </c>
      <c r="W51" s="19">
        <v>9370</v>
      </c>
      <c r="X51" s="20">
        <v>0</v>
      </c>
      <c r="Y51" s="20">
        <v>0</v>
      </c>
      <c r="Z51" s="20">
        <v>6465</v>
      </c>
      <c r="AA51" s="21">
        <v>6465</v>
      </c>
      <c r="AB51" s="22">
        <v>0</v>
      </c>
      <c r="AC51" s="22">
        <v>0</v>
      </c>
      <c r="AD51" s="22">
        <f>6465*18/100</f>
        <v>1163.7</v>
      </c>
      <c r="AE51" s="23">
        <f>1164-AD51</f>
        <v>0.29999999999995453</v>
      </c>
      <c r="AF51" s="24" t="s">
        <v>414</v>
      </c>
      <c r="AG51" s="23" t="s">
        <v>425</v>
      </c>
      <c r="AH51" s="24" t="s">
        <v>426</v>
      </c>
      <c r="AI51" s="24" t="s">
        <v>55</v>
      </c>
      <c r="AJ51" s="23"/>
      <c r="AK51" s="25" t="s">
        <v>427</v>
      </c>
    </row>
    <row r="52" spans="1:37" x14ac:dyDescent="0.25">
      <c r="A52" s="13">
        <v>44718</v>
      </c>
      <c r="B52" s="24" t="s">
        <v>428</v>
      </c>
      <c r="C52" s="23" t="s">
        <v>429</v>
      </c>
      <c r="D52" s="23" t="s">
        <v>430</v>
      </c>
      <c r="E52" s="23" t="s">
        <v>431</v>
      </c>
      <c r="F52" s="15" t="s">
        <v>432</v>
      </c>
      <c r="G52" s="16" t="s">
        <v>433</v>
      </c>
      <c r="H52" s="23" t="s">
        <v>434</v>
      </c>
      <c r="I52" s="17" t="s">
        <v>435</v>
      </c>
      <c r="J52" s="18" t="s">
        <v>436</v>
      </c>
      <c r="K52" s="15" t="s">
        <v>133</v>
      </c>
      <c r="L52" s="14" t="s">
        <v>134</v>
      </c>
      <c r="M52" s="24" t="s">
        <v>437</v>
      </c>
      <c r="N52" s="24" t="s">
        <v>438</v>
      </c>
      <c r="O52" s="50" t="s">
        <v>400</v>
      </c>
      <c r="P52" s="15">
        <v>5900</v>
      </c>
      <c r="Q52" s="15">
        <v>5900</v>
      </c>
      <c r="R52" s="15">
        <v>0</v>
      </c>
      <c r="S52" s="15">
        <v>0</v>
      </c>
      <c r="T52" s="15">
        <v>110</v>
      </c>
      <c r="U52" s="15">
        <v>0</v>
      </c>
      <c r="V52" s="15">
        <v>4907</v>
      </c>
      <c r="W52" s="19">
        <v>110</v>
      </c>
      <c r="X52" s="20">
        <v>0</v>
      </c>
      <c r="Y52" s="20">
        <v>0</v>
      </c>
      <c r="Z52" s="20">
        <v>4907</v>
      </c>
      <c r="AA52" s="21">
        <v>4907</v>
      </c>
      <c r="AB52" s="22">
        <v>0</v>
      </c>
      <c r="AC52" s="22">
        <v>0</v>
      </c>
      <c r="AD52" s="22">
        <f>4907*18/100</f>
        <v>883.26</v>
      </c>
      <c r="AE52" s="23">
        <f>883-AD52</f>
        <v>-0.25999999999999091</v>
      </c>
      <c r="AF52" s="14" t="s">
        <v>439</v>
      </c>
      <c r="AG52" s="23" t="s">
        <v>440</v>
      </c>
      <c r="AH52" s="24" t="s">
        <v>441</v>
      </c>
      <c r="AI52" s="24" t="s">
        <v>55</v>
      </c>
      <c r="AJ52" s="23"/>
      <c r="AK52" s="25" t="s">
        <v>442</v>
      </c>
    </row>
    <row r="53" spans="1:37" x14ac:dyDescent="0.25">
      <c r="A53" s="13">
        <v>44718</v>
      </c>
      <c r="B53" s="23" t="s">
        <v>443</v>
      </c>
      <c r="C53" s="24" t="s">
        <v>444</v>
      </c>
      <c r="D53" s="24" t="s">
        <v>46</v>
      </c>
      <c r="E53" s="24" t="s">
        <v>445</v>
      </c>
      <c r="F53" s="15">
        <v>7597218664</v>
      </c>
      <c r="G53" s="16" t="s">
        <v>446</v>
      </c>
      <c r="H53" s="23" t="s">
        <v>447</v>
      </c>
      <c r="I53" s="17" t="s">
        <v>448</v>
      </c>
      <c r="J53" s="18" t="s">
        <v>449</v>
      </c>
      <c r="K53" s="15" t="s">
        <v>196</v>
      </c>
      <c r="L53" s="14" t="s">
        <v>450</v>
      </c>
      <c r="M53" s="23" t="s">
        <v>451</v>
      </c>
      <c r="N53" s="24" t="s">
        <v>452</v>
      </c>
      <c r="O53" s="14" t="s">
        <v>424</v>
      </c>
      <c r="P53" s="15">
        <v>5500</v>
      </c>
      <c r="Q53" s="15">
        <v>2000</v>
      </c>
      <c r="R53" s="15">
        <v>3500</v>
      </c>
      <c r="S53" s="15">
        <v>0</v>
      </c>
      <c r="T53" s="15">
        <v>0</v>
      </c>
      <c r="U53" s="15">
        <v>1534</v>
      </c>
      <c r="V53" s="15">
        <v>3127</v>
      </c>
      <c r="W53" s="19">
        <v>0</v>
      </c>
      <c r="X53" s="20">
        <v>800</v>
      </c>
      <c r="Y53" s="20">
        <v>0</v>
      </c>
      <c r="Z53" s="20">
        <v>3861</v>
      </c>
      <c r="AA53" s="21">
        <v>4661</v>
      </c>
      <c r="AB53" s="22">
        <v>0</v>
      </c>
      <c r="AC53" s="22">
        <v>0</v>
      </c>
      <c r="AD53" s="22">
        <f>4661*18/100</f>
        <v>838.98</v>
      </c>
      <c r="AE53" s="23">
        <f>839-AD53</f>
        <v>1.999999999998181E-2</v>
      </c>
      <c r="AF53" s="24" t="s">
        <v>444</v>
      </c>
      <c r="AG53" s="23"/>
      <c r="AH53" s="24" t="s">
        <v>453</v>
      </c>
      <c r="AI53" s="24" t="s">
        <v>55</v>
      </c>
      <c r="AJ53" s="23"/>
      <c r="AK53" s="25" t="s">
        <v>454</v>
      </c>
    </row>
    <row r="54" spans="1:37" x14ac:dyDescent="0.25">
      <c r="A54" s="13">
        <v>44718</v>
      </c>
      <c r="B54" s="23" t="s">
        <v>455</v>
      </c>
      <c r="C54" s="24" t="s">
        <v>456</v>
      </c>
      <c r="D54" s="24" t="s">
        <v>46</v>
      </c>
      <c r="E54" s="24" t="s">
        <v>457</v>
      </c>
      <c r="F54" s="15" t="s">
        <v>458</v>
      </c>
      <c r="G54" s="23" t="s">
        <v>459</v>
      </c>
      <c r="H54" s="23" t="s">
        <v>460</v>
      </c>
      <c r="I54" s="17" t="s">
        <v>461</v>
      </c>
      <c r="J54" s="18" t="s">
        <v>462</v>
      </c>
      <c r="K54" s="15" t="s">
        <v>64</v>
      </c>
      <c r="L54" s="14" t="s">
        <v>463</v>
      </c>
      <c r="M54" s="24" t="s">
        <v>118</v>
      </c>
      <c r="N54" s="23" t="s">
        <v>173</v>
      </c>
      <c r="O54" s="50" t="s">
        <v>400</v>
      </c>
      <c r="P54" s="15">
        <v>2500</v>
      </c>
      <c r="Q54" s="15">
        <v>2500</v>
      </c>
      <c r="R54" s="15">
        <v>0</v>
      </c>
      <c r="S54" s="15">
        <v>0</v>
      </c>
      <c r="T54" s="15">
        <v>500</v>
      </c>
      <c r="U54" s="15">
        <v>0</v>
      </c>
      <c r="V54" s="15">
        <v>1695</v>
      </c>
      <c r="W54" s="19">
        <v>500</v>
      </c>
      <c r="X54" s="20">
        <v>0</v>
      </c>
      <c r="Y54" s="20">
        <v>0</v>
      </c>
      <c r="Z54" s="20">
        <v>1695</v>
      </c>
      <c r="AA54" s="21">
        <v>1695</v>
      </c>
      <c r="AB54" s="22">
        <v>0</v>
      </c>
      <c r="AC54" s="22">
        <v>0</v>
      </c>
      <c r="AD54" s="22">
        <f>1695*18/100</f>
        <v>305.10000000000002</v>
      </c>
      <c r="AE54" s="22">
        <f>305-AD54</f>
        <v>-0.10000000000002274</v>
      </c>
      <c r="AF54" s="24" t="s">
        <v>456</v>
      </c>
      <c r="AG54" s="23"/>
      <c r="AH54" s="24" t="s">
        <v>464</v>
      </c>
      <c r="AI54" s="24" t="s">
        <v>55</v>
      </c>
      <c r="AJ54" s="23"/>
      <c r="AK54" s="25" t="s">
        <v>465</v>
      </c>
    </row>
    <row r="55" spans="1:37" x14ac:dyDescent="0.25">
      <c r="A55" s="13">
        <v>44718</v>
      </c>
      <c r="B55" s="23" t="s">
        <v>177</v>
      </c>
      <c r="C55" s="24" t="s">
        <v>466</v>
      </c>
      <c r="D55" s="24" t="s">
        <v>46</v>
      </c>
      <c r="E55" s="24" t="s">
        <v>467</v>
      </c>
      <c r="F55" s="15" t="s">
        <v>468</v>
      </c>
      <c r="G55" s="23" t="s">
        <v>469</v>
      </c>
      <c r="H55" s="23" t="s">
        <v>470</v>
      </c>
      <c r="I55" s="17" t="s">
        <v>471</v>
      </c>
      <c r="J55" s="18" t="s">
        <v>472</v>
      </c>
      <c r="K55" s="15" t="s">
        <v>184</v>
      </c>
      <c r="L55" s="14" t="s">
        <v>473</v>
      </c>
      <c r="M55" s="23" t="s">
        <v>51</v>
      </c>
      <c r="N55" s="23" t="s">
        <v>52</v>
      </c>
      <c r="O55" s="14" t="s">
        <v>424</v>
      </c>
      <c r="P55" s="15">
        <v>2999</v>
      </c>
      <c r="Q55" s="15">
        <v>2999</v>
      </c>
      <c r="R55" s="15">
        <v>0</v>
      </c>
      <c r="S55" s="15">
        <v>0</v>
      </c>
      <c r="T55" s="15">
        <v>0</v>
      </c>
      <c r="U55" s="15">
        <v>590</v>
      </c>
      <c r="V55" s="15">
        <v>1952</v>
      </c>
      <c r="W55" s="19">
        <v>0</v>
      </c>
      <c r="X55" s="20">
        <v>0</v>
      </c>
      <c r="Y55" s="20">
        <v>0</v>
      </c>
      <c r="Z55" s="20">
        <v>2542</v>
      </c>
      <c r="AA55" s="21">
        <v>2542</v>
      </c>
      <c r="AB55" s="22">
        <v>0</v>
      </c>
      <c r="AC55" s="22">
        <v>0</v>
      </c>
      <c r="AD55" s="43">
        <f>2542*18/100</f>
        <v>457.56</v>
      </c>
      <c r="AE55" s="43">
        <f>457-AD55</f>
        <v>-0.56000000000000227</v>
      </c>
      <c r="AF55" s="24" t="s">
        <v>466</v>
      </c>
      <c r="AG55" s="23"/>
      <c r="AH55" s="24" t="s">
        <v>474</v>
      </c>
      <c r="AI55" s="24" t="s">
        <v>55</v>
      </c>
      <c r="AJ55" s="23"/>
      <c r="AK55" s="25" t="s">
        <v>56</v>
      </c>
    </row>
    <row r="56" spans="1:37" x14ac:dyDescent="0.25">
      <c r="A56" s="13">
        <v>44718</v>
      </c>
      <c r="B56" s="14" t="s">
        <v>125</v>
      </c>
      <c r="C56" s="14" t="s">
        <v>475</v>
      </c>
      <c r="D56" s="14" t="s">
        <v>46</v>
      </c>
      <c r="E56" s="26" t="s">
        <v>476</v>
      </c>
      <c r="F56" s="16">
        <v>9685932563</v>
      </c>
      <c r="G56" s="26" t="s">
        <v>477</v>
      </c>
      <c r="H56" s="16" t="s">
        <v>46</v>
      </c>
      <c r="I56" s="17" t="s">
        <v>478</v>
      </c>
      <c r="J56" s="18" t="s">
        <v>479</v>
      </c>
      <c r="K56" s="26" t="s">
        <v>255</v>
      </c>
      <c r="L56" s="26" t="s">
        <v>480</v>
      </c>
      <c r="M56" s="18" t="s">
        <v>481</v>
      </c>
      <c r="N56" s="14" t="s">
        <v>482</v>
      </c>
      <c r="O56" s="14" t="s">
        <v>68</v>
      </c>
      <c r="P56" s="16">
        <v>0</v>
      </c>
      <c r="Q56" s="16">
        <v>1390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9">
        <v>0</v>
      </c>
      <c r="X56" s="20">
        <v>0</v>
      </c>
      <c r="Y56" s="20">
        <v>0</v>
      </c>
      <c r="Z56" s="20">
        <v>0</v>
      </c>
      <c r="AA56" s="21">
        <v>0</v>
      </c>
      <c r="AB56" s="22">
        <v>0</v>
      </c>
      <c r="AC56" s="22">
        <v>0</v>
      </c>
      <c r="AD56" s="22">
        <v>0</v>
      </c>
      <c r="AE56" s="22">
        <v>0</v>
      </c>
      <c r="AF56" s="14" t="s">
        <v>475</v>
      </c>
      <c r="AG56" s="23"/>
      <c r="AH56" s="24" t="s">
        <v>46</v>
      </c>
      <c r="AI56" s="24" t="s">
        <v>55</v>
      </c>
      <c r="AJ56" s="23"/>
      <c r="AK56" s="25" t="s">
        <v>46</v>
      </c>
    </row>
    <row r="57" spans="1:37" ht="15.75" thickBot="1" x14ac:dyDescent="0.3">
      <c r="A57" s="107" t="s">
        <v>137</v>
      </c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32">
        <f t="shared" ref="P57:AE57" si="4">SUM(P50:P56)</f>
        <v>43223</v>
      </c>
      <c r="Q57" s="32">
        <f t="shared" si="4"/>
        <v>41113</v>
      </c>
      <c r="R57" s="32">
        <f t="shared" si="4"/>
        <v>3500</v>
      </c>
      <c r="S57" s="32">
        <f t="shared" si="4"/>
        <v>0</v>
      </c>
      <c r="T57" s="32">
        <f t="shared" si="4"/>
        <v>14850</v>
      </c>
      <c r="U57" s="32">
        <f t="shared" si="4"/>
        <v>3624</v>
      </c>
      <c r="V57" s="32">
        <f t="shared" si="4"/>
        <v>20421</v>
      </c>
      <c r="W57" s="33">
        <f t="shared" si="4"/>
        <v>14850</v>
      </c>
      <c r="X57" s="34">
        <f t="shared" si="4"/>
        <v>800</v>
      </c>
      <c r="Y57" s="34">
        <f t="shared" si="4"/>
        <v>0</v>
      </c>
      <c r="Z57" s="34">
        <f t="shared" si="4"/>
        <v>23245</v>
      </c>
      <c r="AA57" s="35">
        <f t="shared" si="4"/>
        <v>24045</v>
      </c>
      <c r="AB57" s="32">
        <f t="shared" si="4"/>
        <v>0</v>
      </c>
      <c r="AC57" s="32">
        <f t="shared" si="4"/>
        <v>0</v>
      </c>
      <c r="AD57" s="32">
        <f t="shared" si="4"/>
        <v>4328.1000000000004</v>
      </c>
      <c r="AE57" s="32">
        <f t="shared" si="4"/>
        <v>-0.10000000000007958</v>
      </c>
      <c r="AF57" s="109"/>
      <c r="AG57" s="109"/>
      <c r="AH57" s="109"/>
      <c r="AI57" s="36"/>
      <c r="AJ57" s="37"/>
      <c r="AK57" s="38"/>
    </row>
    <row r="58" spans="1:37" ht="15.75" thickBot="1" x14ac:dyDescent="0.3"/>
    <row r="59" spans="1:37" x14ac:dyDescent="0.25">
      <c r="A59" s="112" t="s">
        <v>0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4"/>
      <c r="X59" s="113" t="s">
        <v>1</v>
      </c>
      <c r="Y59" s="114"/>
      <c r="Z59" s="114"/>
      <c r="AA59" s="5" t="s">
        <v>225</v>
      </c>
      <c r="AB59" s="115" t="s">
        <v>3</v>
      </c>
      <c r="AC59" s="116"/>
      <c r="AD59" s="116"/>
      <c r="AE59" s="116"/>
      <c r="AF59" s="105" t="s">
        <v>4</v>
      </c>
      <c r="AG59" s="105"/>
      <c r="AH59" s="105"/>
      <c r="AI59" s="111" t="s">
        <v>5</v>
      </c>
      <c r="AJ59" s="111"/>
      <c r="AK59" s="111"/>
    </row>
    <row r="60" spans="1:37" x14ac:dyDescent="0.25">
      <c r="A60" s="6" t="s">
        <v>6</v>
      </c>
      <c r="B60" s="7" t="s">
        <v>7</v>
      </c>
      <c r="C60" s="7" t="s">
        <v>8</v>
      </c>
      <c r="D60" s="7" t="s">
        <v>9</v>
      </c>
      <c r="E60" s="7" t="s">
        <v>10</v>
      </c>
      <c r="F60" s="7" t="s">
        <v>11</v>
      </c>
      <c r="G60" s="7" t="s">
        <v>12</v>
      </c>
      <c r="H60" s="7" t="s">
        <v>13</v>
      </c>
      <c r="I60" s="7" t="s">
        <v>14</v>
      </c>
      <c r="J60" s="7" t="s">
        <v>15</v>
      </c>
      <c r="K60" s="7" t="s">
        <v>16</v>
      </c>
      <c r="L60" s="7" t="s">
        <v>17</v>
      </c>
      <c r="M60" s="7" t="s">
        <v>18</v>
      </c>
      <c r="N60" s="7" t="s">
        <v>19</v>
      </c>
      <c r="O60" s="7" t="s">
        <v>20</v>
      </c>
      <c r="P60" s="7" t="s">
        <v>21</v>
      </c>
      <c r="Q60" s="7" t="s">
        <v>22</v>
      </c>
      <c r="R60" s="7" t="s">
        <v>23</v>
      </c>
      <c r="S60" s="7" t="s">
        <v>24</v>
      </c>
      <c r="T60" s="7" t="s">
        <v>25</v>
      </c>
      <c r="U60" s="7" t="s">
        <v>26</v>
      </c>
      <c r="V60" s="7" t="s">
        <v>27</v>
      </c>
      <c r="W60" s="8" t="s">
        <v>25</v>
      </c>
      <c r="X60" s="9" t="s">
        <v>28</v>
      </c>
      <c r="Y60" s="9" t="s">
        <v>29</v>
      </c>
      <c r="Z60" s="9" t="s">
        <v>30</v>
      </c>
      <c r="AA60" s="10" t="s">
        <v>31</v>
      </c>
      <c r="AB60" s="7" t="s">
        <v>32</v>
      </c>
      <c r="AC60" s="7" t="s">
        <v>33</v>
      </c>
      <c r="AD60" s="7" t="s">
        <v>34</v>
      </c>
      <c r="AE60" s="7" t="s">
        <v>35</v>
      </c>
      <c r="AF60" s="7" t="s">
        <v>36</v>
      </c>
      <c r="AG60" s="7" t="s">
        <v>37</v>
      </c>
      <c r="AH60" s="7" t="s">
        <v>38</v>
      </c>
      <c r="AI60" s="7" t="s">
        <v>39</v>
      </c>
      <c r="AJ60" s="11" t="s">
        <v>40</v>
      </c>
      <c r="AK60" s="11" t="s">
        <v>41</v>
      </c>
    </row>
    <row r="61" spans="1:37" x14ac:dyDescent="0.25">
      <c r="A61" s="13">
        <v>44719</v>
      </c>
      <c r="B61" s="14" t="s">
        <v>483</v>
      </c>
      <c r="C61" s="24" t="s">
        <v>484</v>
      </c>
      <c r="D61" s="24" t="s">
        <v>46</v>
      </c>
      <c r="E61" s="24" t="s">
        <v>485</v>
      </c>
      <c r="F61" s="15">
        <v>9022063603</v>
      </c>
      <c r="G61" s="16" t="s">
        <v>486</v>
      </c>
      <c r="H61" s="23" t="s">
        <v>46</v>
      </c>
      <c r="I61" s="17" t="s">
        <v>487</v>
      </c>
      <c r="J61" s="18" t="s">
        <v>488</v>
      </c>
      <c r="K61" s="15" t="s">
        <v>196</v>
      </c>
      <c r="L61" s="14" t="s">
        <v>489</v>
      </c>
      <c r="M61" s="24" t="s">
        <v>80</v>
      </c>
      <c r="N61" s="24" t="s">
        <v>67</v>
      </c>
      <c r="O61" s="50" t="s">
        <v>400</v>
      </c>
      <c r="P61" s="15">
        <v>1800</v>
      </c>
      <c r="Q61" s="15">
        <v>1800</v>
      </c>
      <c r="R61" s="15">
        <v>0</v>
      </c>
      <c r="S61" s="15">
        <v>0</v>
      </c>
      <c r="T61" s="15">
        <v>614</v>
      </c>
      <c r="U61" s="15">
        <v>0</v>
      </c>
      <c r="V61" s="15">
        <v>1005</v>
      </c>
      <c r="W61" s="19">
        <v>614</v>
      </c>
      <c r="X61" s="20">
        <v>500</v>
      </c>
      <c r="Y61" s="20">
        <v>0</v>
      </c>
      <c r="Z61" s="20">
        <v>505</v>
      </c>
      <c r="AA61" s="21">
        <v>1005</v>
      </c>
      <c r="AB61" s="22">
        <f>1005*18/100/2</f>
        <v>90.45</v>
      </c>
      <c r="AC61" s="22">
        <f>1005*18/100/2</f>
        <v>90.45</v>
      </c>
      <c r="AD61" s="22">
        <v>0</v>
      </c>
      <c r="AE61" s="23">
        <f>181-AC61-AB61</f>
        <v>9.9999999999994316E-2</v>
      </c>
      <c r="AF61" s="24" t="s">
        <v>484</v>
      </c>
      <c r="AG61" s="23"/>
      <c r="AH61" s="24" t="s">
        <v>490</v>
      </c>
      <c r="AI61" s="24" t="s">
        <v>55</v>
      </c>
      <c r="AJ61" s="23"/>
      <c r="AK61" s="24" t="s">
        <v>491</v>
      </c>
    </row>
    <row r="62" spans="1:37" x14ac:dyDescent="0.25">
      <c r="A62" s="13">
        <v>44719</v>
      </c>
      <c r="B62" s="14" t="s">
        <v>492</v>
      </c>
      <c r="C62" s="24" t="s">
        <v>493</v>
      </c>
      <c r="D62" s="24" t="s">
        <v>494</v>
      </c>
      <c r="E62" s="24" t="s">
        <v>495</v>
      </c>
      <c r="F62" s="15" t="s">
        <v>496</v>
      </c>
      <c r="G62" s="16" t="s">
        <v>497</v>
      </c>
      <c r="H62" s="23" t="s">
        <v>498</v>
      </c>
      <c r="I62" s="17" t="s">
        <v>499</v>
      </c>
      <c r="J62" s="18" t="s">
        <v>500</v>
      </c>
      <c r="K62" s="15" t="s">
        <v>501</v>
      </c>
      <c r="L62" s="14" t="s">
        <v>65</v>
      </c>
      <c r="M62" s="24" t="s">
        <v>502</v>
      </c>
      <c r="N62" s="24" t="s">
        <v>503</v>
      </c>
      <c r="O62" s="50" t="s">
        <v>400</v>
      </c>
      <c r="P62" s="15">
        <v>8920</v>
      </c>
      <c r="Q62" s="15">
        <v>8920</v>
      </c>
      <c r="R62" s="15">
        <v>0</v>
      </c>
      <c r="S62" s="15">
        <v>0</v>
      </c>
      <c r="T62" s="15">
        <v>4870</v>
      </c>
      <c r="U62" s="15">
        <v>500</v>
      </c>
      <c r="V62" s="15">
        <v>2932</v>
      </c>
      <c r="W62" s="19">
        <v>4870</v>
      </c>
      <c r="X62" s="20">
        <v>0</v>
      </c>
      <c r="Y62" s="20">
        <v>0</v>
      </c>
      <c r="Z62" s="20">
        <v>3432</v>
      </c>
      <c r="AA62" s="21">
        <v>3432</v>
      </c>
      <c r="AB62" s="22">
        <v>0</v>
      </c>
      <c r="AC62" s="22">
        <v>0</v>
      </c>
      <c r="AD62" s="22">
        <f>3432*18/100</f>
        <v>617.76</v>
      </c>
      <c r="AE62" s="23">
        <f>618-AD62</f>
        <v>0.24000000000000909</v>
      </c>
      <c r="AF62" s="24" t="s">
        <v>504</v>
      </c>
      <c r="AG62" s="23"/>
      <c r="AH62" s="24" t="s">
        <v>505</v>
      </c>
      <c r="AI62" s="24" t="s">
        <v>55</v>
      </c>
      <c r="AJ62" s="23"/>
      <c r="AK62" s="24" t="s">
        <v>506</v>
      </c>
    </row>
    <row r="63" spans="1:37" x14ac:dyDescent="0.25">
      <c r="A63" s="13">
        <v>44719</v>
      </c>
      <c r="B63" s="14" t="s">
        <v>492</v>
      </c>
      <c r="C63" s="24" t="s">
        <v>507</v>
      </c>
      <c r="D63" s="24" t="s">
        <v>508</v>
      </c>
      <c r="E63" s="24" t="s">
        <v>509</v>
      </c>
      <c r="F63" s="15">
        <v>8169320381</v>
      </c>
      <c r="G63" s="51" t="s">
        <v>510</v>
      </c>
      <c r="H63" s="23" t="s">
        <v>46</v>
      </c>
      <c r="I63" s="17" t="s">
        <v>511</v>
      </c>
      <c r="J63" s="18" t="s">
        <v>512</v>
      </c>
      <c r="K63" s="15" t="s">
        <v>501</v>
      </c>
      <c r="L63" s="14" t="s">
        <v>513</v>
      </c>
      <c r="M63" s="24" t="s">
        <v>80</v>
      </c>
      <c r="N63" s="24" t="s">
        <v>67</v>
      </c>
      <c r="O63" s="50" t="s">
        <v>400</v>
      </c>
      <c r="P63" s="15">
        <v>8040</v>
      </c>
      <c r="Q63" s="15">
        <v>8040</v>
      </c>
      <c r="R63" s="15">
        <v>0</v>
      </c>
      <c r="S63" s="15">
        <v>0</v>
      </c>
      <c r="T63" s="15">
        <v>4870</v>
      </c>
      <c r="U63" s="15">
        <v>500</v>
      </c>
      <c r="V63" s="15">
        <v>2186</v>
      </c>
      <c r="W63" s="19">
        <v>4870</v>
      </c>
      <c r="X63" s="20">
        <v>0</v>
      </c>
      <c r="Y63" s="20">
        <v>0</v>
      </c>
      <c r="Z63" s="20">
        <v>2686</v>
      </c>
      <c r="AA63" s="21">
        <v>2686</v>
      </c>
      <c r="AB63" s="22">
        <f>2686*18/100/2</f>
        <v>241.74</v>
      </c>
      <c r="AC63" s="22">
        <f>2686*18/100/2</f>
        <v>241.74</v>
      </c>
      <c r="AD63" s="22">
        <v>0</v>
      </c>
      <c r="AE63" s="23">
        <f>484-AB63-AC63</f>
        <v>0.51999999999998181</v>
      </c>
      <c r="AF63" s="14" t="s">
        <v>514</v>
      </c>
      <c r="AG63" s="23"/>
      <c r="AH63" s="24" t="s">
        <v>515</v>
      </c>
      <c r="AI63" s="24" t="s">
        <v>55</v>
      </c>
      <c r="AJ63" s="23"/>
      <c r="AK63" s="24" t="s">
        <v>506</v>
      </c>
    </row>
    <row r="64" spans="1:37" x14ac:dyDescent="0.25">
      <c r="A64" s="13">
        <v>44719</v>
      </c>
      <c r="B64" s="23" t="s">
        <v>516</v>
      </c>
      <c r="C64" s="24" t="s">
        <v>139</v>
      </c>
      <c r="D64" s="24" t="s">
        <v>46</v>
      </c>
      <c r="E64" s="24" t="s">
        <v>141</v>
      </c>
      <c r="F64" s="15">
        <v>7000785074</v>
      </c>
      <c r="G64" s="16" t="s">
        <v>143</v>
      </c>
      <c r="H64" s="23" t="s">
        <v>46</v>
      </c>
      <c r="I64" s="17" t="s">
        <v>517</v>
      </c>
      <c r="J64" s="18" t="s">
        <v>518</v>
      </c>
      <c r="K64" s="15" t="s">
        <v>64</v>
      </c>
      <c r="L64" s="14" t="s">
        <v>65</v>
      </c>
      <c r="M64" s="24" t="s">
        <v>146</v>
      </c>
      <c r="N64" s="23" t="s">
        <v>147</v>
      </c>
      <c r="O64" s="50" t="s">
        <v>400</v>
      </c>
      <c r="P64" s="15">
        <v>750</v>
      </c>
      <c r="Q64" s="15">
        <v>750</v>
      </c>
      <c r="R64" s="15">
        <v>0</v>
      </c>
      <c r="S64" s="15">
        <v>0</v>
      </c>
      <c r="T64" s="15">
        <v>101</v>
      </c>
      <c r="U64" s="15">
        <v>0</v>
      </c>
      <c r="V64" s="15">
        <v>550</v>
      </c>
      <c r="W64" s="19">
        <v>101</v>
      </c>
      <c r="X64" s="20">
        <v>0</v>
      </c>
      <c r="Y64" s="20">
        <v>0</v>
      </c>
      <c r="Z64" s="20">
        <v>550</v>
      </c>
      <c r="AA64" s="21">
        <v>550</v>
      </c>
      <c r="AB64" s="22">
        <v>0</v>
      </c>
      <c r="AC64" s="22">
        <v>0</v>
      </c>
      <c r="AD64" s="22">
        <f>550*18/100</f>
        <v>99</v>
      </c>
      <c r="AE64" s="23">
        <v>0</v>
      </c>
      <c r="AF64" s="24" t="s">
        <v>139</v>
      </c>
      <c r="AG64" s="23" t="s">
        <v>519</v>
      </c>
      <c r="AH64" s="24" t="s">
        <v>520</v>
      </c>
      <c r="AI64" s="24" t="s">
        <v>55</v>
      </c>
      <c r="AJ64" s="23"/>
      <c r="AK64" s="24" t="s">
        <v>521</v>
      </c>
    </row>
    <row r="65" spans="1:37" x14ac:dyDescent="0.25">
      <c r="A65" s="13">
        <v>44719</v>
      </c>
      <c r="B65" s="23" t="s">
        <v>522</v>
      </c>
      <c r="C65" s="24" t="s">
        <v>523</v>
      </c>
      <c r="D65" s="24" t="s">
        <v>524</v>
      </c>
      <c r="E65" s="24" t="s">
        <v>525</v>
      </c>
      <c r="F65" s="15">
        <v>8879253759</v>
      </c>
      <c r="G65" s="23" t="s">
        <v>526</v>
      </c>
      <c r="H65" s="23" t="s">
        <v>46</v>
      </c>
      <c r="I65" s="17" t="s">
        <v>527</v>
      </c>
      <c r="J65" s="18" t="s">
        <v>528</v>
      </c>
      <c r="K65" s="15" t="s">
        <v>196</v>
      </c>
      <c r="L65" s="14" t="s">
        <v>489</v>
      </c>
      <c r="M65" s="24" t="s">
        <v>80</v>
      </c>
      <c r="N65" s="24" t="s">
        <v>67</v>
      </c>
      <c r="O65" s="14" t="s">
        <v>53</v>
      </c>
      <c r="P65" s="24">
        <v>13000</v>
      </c>
      <c r="Q65" s="15">
        <v>5000</v>
      </c>
      <c r="R65" s="15">
        <v>8000</v>
      </c>
      <c r="S65" s="15">
        <v>0</v>
      </c>
      <c r="T65" s="15">
        <v>5400</v>
      </c>
      <c r="U65" s="15">
        <v>0</v>
      </c>
      <c r="V65" s="15">
        <v>6441</v>
      </c>
      <c r="W65" s="19">
        <v>5400</v>
      </c>
      <c r="X65" s="20">
        <v>1000</v>
      </c>
      <c r="Y65" s="20">
        <v>2720.5</v>
      </c>
      <c r="Z65" s="20">
        <v>2720.5</v>
      </c>
      <c r="AA65" s="21">
        <v>6441</v>
      </c>
      <c r="AB65" s="22">
        <f>6441*18/100/2</f>
        <v>579.69000000000005</v>
      </c>
      <c r="AC65" s="22">
        <f>6441*18/100/2</f>
        <v>579.69000000000005</v>
      </c>
      <c r="AD65" s="22">
        <v>0</v>
      </c>
      <c r="AE65" s="22">
        <f>1159-AB65-AC65</f>
        <v>-0.38000000000010914</v>
      </c>
      <c r="AF65" s="24" t="s">
        <v>523</v>
      </c>
      <c r="AG65" s="23"/>
      <c r="AH65" s="24" t="s">
        <v>529</v>
      </c>
      <c r="AI65" s="24" t="s">
        <v>55</v>
      </c>
      <c r="AJ65" s="23"/>
      <c r="AK65" s="24" t="s">
        <v>530</v>
      </c>
    </row>
    <row r="66" spans="1:37" x14ac:dyDescent="0.25">
      <c r="A66" s="13">
        <v>44719</v>
      </c>
      <c r="B66" s="14" t="s">
        <v>57</v>
      </c>
      <c r="C66" s="24" t="s">
        <v>531</v>
      </c>
      <c r="D66" s="24" t="s">
        <v>532</v>
      </c>
      <c r="E66" s="24" t="s">
        <v>533</v>
      </c>
      <c r="F66" s="15">
        <v>9987980071</v>
      </c>
      <c r="G66" s="23" t="s">
        <v>534</v>
      </c>
      <c r="H66" s="14" t="s">
        <v>535</v>
      </c>
      <c r="I66" s="17" t="s">
        <v>536</v>
      </c>
      <c r="J66" s="18" t="s">
        <v>537</v>
      </c>
      <c r="K66" s="15" t="s">
        <v>255</v>
      </c>
      <c r="L66" s="14" t="s">
        <v>538</v>
      </c>
      <c r="M66" s="24" t="s">
        <v>80</v>
      </c>
      <c r="N66" s="24" t="s">
        <v>67</v>
      </c>
      <c r="O66" s="14" t="s">
        <v>539</v>
      </c>
      <c r="P66" s="15">
        <v>8040</v>
      </c>
      <c r="Q66" s="15">
        <v>8040</v>
      </c>
      <c r="R66" s="15">
        <v>0</v>
      </c>
      <c r="S66" s="15">
        <v>0</v>
      </c>
      <c r="T66" s="15">
        <v>4870</v>
      </c>
      <c r="U66" s="15">
        <v>500</v>
      </c>
      <c r="V66" s="15">
        <v>2186</v>
      </c>
      <c r="W66" s="19">
        <v>4870</v>
      </c>
      <c r="X66" s="20">
        <v>0</v>
      </c>
      <c r="Y66" s="20">
        <v>0</v>
      </c>
      <c r="Z66" s="20">
        <v>2686</v>
      </c>
      <c r="AA66" s="21">
        <v>2686</v>
      </c>
      <c r="AB66" s="22">
        <f>2686*18/100/2</f>
        <v>241.74</v>
      </c>
      <c r="AC66" s="22">
        <f>2686*18/100/2</f>
        <v>241.74</v>
      </c>
      <c r="AD66" s="22">
        <v>0</v>
      </c>
      <c r="AE66" s="43">
        <f>484-AC66-AB66</f>
        <v>0.51999999999998181</v>
      </c>
      <c r="AF66" s="24" t="s">
        <v>531</v>
      </c>
      <c r="AG66" s="23"/>
      <c r="AH66" s="24" t="s">
        <v>540</v>
      </c>
      <c r="AI66" s="24" t="s">
        <v>55</v>
      </c>
      <c r="AJ66" s="23"/>
      <c r="AK66" s="24" t="s">
        <v>506</v>
      </c>
    </row>
    <row r="67" spans="1:37" ht="45" x14ac:dyDescent="0.25">
      <c r="A67" s="13">
        <v>44719</v>
      </c>
      <c r="B67" s="14" t="s">
        <v>57</v>
      </c>
      <c r="C67" s="24" t="s">
        <v>541</v>
      </c>
      <c r="D67" s="24" t="s">
        <v>542</v>
      </c>
      <c r="E67" s="42" t="s">
        <v>543</v>
      </c>
      <c r="F67" s="15">
        <v>9820031016</v>
      </c>
      <c r="G67" s="51" t="s">
        <v>544</v>
      </c>
      <c r="H67" s="14" t="s">
        <v>545</v>
      </c>
      <c r="I67" s="17" t="s">
        <v>546</v>
      </c>
      <c r="J67" s="18" t="s">
        <v>547</v>
      </c>
      <c r="K67" s="15" t="s">
        <v>255</v>
      </c>
      <c r="L67" s="14" t="s">
        <v>548</v>
      </c>
      <c r="M67" s="24" t="s">
        <v>80</v>
      </c>
      <c r="N67" s="24" t="s">
        <v>67</v>
      </c>
      <c r="O67" s="14" t="s">
        <v>53</v>
      </c>
      <c r="P67" s="15">
        <v>7540</v>
      </c>
      <c r="Q67" s="15">
        <v>7540</v>
      </c>
      <c r="R67" s="15">
        <v>0</v>
      </c>
      <c r="S67" s="15">
        <v>0</v>
      </c>
      <c r="T67" s="15">
        <v>4870</v>
      </c>
      <c r="U67" s="15">
        <v>500</v>
      </c>
      <c r="V67" s="15">
        <v>1763</v>
      </c>
      <c r="W67" s="19">
        <v>4870</v>
      </c>
      <c r="X67" s="20">
        <v>500</v>
      </c>
      <c r="Y67" s="20">
        <v>1263</v>
      </c>
      <c r="Z67" s="20">
        <v>500</v>
      </c>
      <c r="AA67" s="21">
        <v>2263</v>
      </c>
      <c r="AB67" s="22">
        <f>2263*18/100/2</f>
        <v>203.67</v>
      </c>
      <c r="AC67" s="22">
        <f>2263*18/100/2</f>
        <v>203.67</v>
      </c>
      <c r="AD67" s="22">
        <v>0</v>
      </c>
      <c r="AE67" s="43">
        <f>407-AB67-AC67</f>
        <v>-0.33999999999997499</v>
      </c>
      <c r="AF67" s="24" t="s">
        <v>549</v>
      </c>
      <c r="AG67" s="23"/>
      <c r="AH67" s="24" t="s">
        <v>550</v>
      </c>
      <c r="AI67" s="24" t="s">
        <v>55</v>
      </c>
      <c r="AJ67" s="23"/>
      <c r="AK67" s="24" t="s">
        <v>506</v>
      </c>
    </row>
    <row r="68" spans="1:37" s="47" customFormat="1" x14ac:dyDescent="0.25">
      <c r="A68" s="13">
        <v>44719</v>
      </c>
      <c r="B68" s="14" t="s">
        <v>125</v>
      </c>
      <c r="C68" s="14" t="s">
        <v>139</v>
      </c>
      <c r="D68" s="14" t="s">
        <v>140</v>
      </c>
      <c r="E68" s="14" t="s">
        <v>141</v>
      </c>
      <c r="F68" s="15" t="s">
        <v>142</v>
      </c>
      <c r="G68" s="16" t="s">
        <v>143</v>
      </c>
      <c r="H68" s="15" t="s">
        <v>46</v>
      </c>
      <c r="I68" s="17" t="s">
        <v>144</v>
      </c>
      <c r="J68" s="18" t="s">
        <v>551</v>
      </c>
      <c r="K68" s="15" t="s">
        <v>64</v>
      </c>
      <c r="L68" s="14" t="s">
        <v>65</v>
      </c>
      <c r="M68" s="23" t="s">
        <v>146</v>
      </c>
      <c r="N68" s="15" t="s">
        <v>147</v>
      </c>
      <c r="O68" s="14" t="s">
        <v>68</v>
      </c>
      <c r="P68" s="15">
        <v>0</v>
      </c>
      <c r="Q68" s="15">
        <v>3000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9">
        <v>0</v>
      </c>
      <c r="Y68" s="20">
        <v>0</v>
      </c>
      <c r="Z68" s="20">
        <v>0</v>
      </c>
      <c r="AA68" s="21">
        <v>0</v>
      </c>
      <c r="AB68" s="15">
        <v>0</v>
      </c>
      <c r="AC68" s="15">
        <v>0</v>
      </c>
      <c r="AD68" s="15">
        <v>0</v>
      </c>
      <c r="AE68" s="15">
        <v>0</v>
      </c>
      <c r="AF68" s="14" t="s">
        <v>139</v>
      </c>
      <c r="AG68" s="52" t="s">
        <v>552</v>
      </c>
      <c r="AH68" s="15" t="s">
        <v>46</v>
      </c>
      <c r="AI68" s="24" t="s">
        <v>55</v>
      </c>
      <c r="AJ68" s="15"/>
      <c r="AK68" s="15"/>
    </row>
    <row r="69" spans="1:37" ht="15.75" thickBot="1" x14ac:dyDescent="0.3">
      <c r="A69" s="107" t="s">
        <v>137</v>
      </c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32">
        <f t="shared" ref="P69:AE69" si="5">SUM(P61:P68)</f>
        <v>48090</v>
      </c>
      <c r="Q69" s="32">
        <f t="shared" si="5"/>
        <v>43090</v>
      </c>
      <c r="R69" s="32">
        <f t="shared" si="5"/>
        <v>8000</v>
      </c>
      <c r="S69" s="32">
        <f t="shared" si="5"/>
        <v>0</v>
      </c>
      <c r="T69" s="32">
        <f t="shared" si="5"/>
        <v>25595</v>
      </c>
      <c r="U69" s="32">
        <f t="shared" si="5"/>
        <v>2000</v>
      </c>
      <c r="V69" s="32">
        <f t="shared" si="5"/>
        <v>17063</v>
      </c>
      <c r="W69" s="33">
        <f t="shared" si="5"/>
        <v>25595</v>
      </c>
      <c r="X69" s="34">
        <f t="shared" si="5"/>
        <v>2000</v>
      </c>
      <c r="Y69" s="34">
        <f t="shared" si="5"/>
        <v>3983.5</v>
      </c>
      <c r="Z69" s="34">
        <f t="shared" si="5"/>
        <v>13079.5</v>
      </c>
      <c r="AA69" s="35">
        <f t="shared" si="5"/>
        <v>19063</v>
      </c>
      <c r="AB69" s="32">
        <f t="shared" si="5"/>
        <v>1357.2900000000002</v>
      </c>
      <c r="AC69" s="32">
        <f t="shared" si="5"/>
        <v>1357.2900000000002</v>
      </c>
      <c r="AD69" s="32">
        <f t="shared" si="5"/>
        <v>716.76</v>
      </c>
      <c r="AE69" s="32">
        <f t="shared" si="5"/>
        <v>0.6599999999998829</v>
      </c>
      <c r="AF69" s="109"/>
      <c r="AG69" s="109"/>
      <c r="AH69" s="109"/>
      <c r="AI69" s="53"/>
      <c r="AJ69" s="54"/>
      <c r="AK69" s="55"/>
    </row>
    <row r="70" spans="1:37" ht="15.75" thickBot="1" x14ac:dyDescent="0.3"/>
    <row r="71" spans="1:37" x14ac:dyDescent="0.25">
      <c r="A71" s="112" t="s">
        <v>0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4"/>
      <c r="X71" s="113" t="s">
        <v>1</v>
      </c>
      <c r="Y71" s="114"/>
      <c r="Z71" s="114"/>
      <c r="AA71" s="5" t="s">
        <v>225</v>
      </c>
      <c r="AB71" s="115" t="s">
        <v>3</v>
      </c>
      <c r="AC71" s="116"/>
      <c r="AD71" s="116"/>
      <c r="AE71" s="116"/>
      <c r="AF71" s="105" t="s">
        <v>4</v>
      </c>
      <c r="AG71" s="105"/>
      <c r="AH71" s="105"/>
      <c r="AI71" s="105" t="s">
        <v>5</v>
      </c>
      <c r="AJ71" s="105"/>
      <c r="AK71" s="106"/>
    </row>
    <row r="72" spans="1:37" x14ac:dyDescent="0.25">
      <c r="A72" s="6" t="s">
        <v>6</v>
      </c>
      <c r="B72" s="7" t="s">
        <v>7</v>
      </c>
      <c r="C72" s="7" t="s">
        <v>8</v>
      </c>
      <c r="D72" s="7" t="s">
        <v>9</v>
      </c>
      <c r="E72" s="7" t="s">
        <v>10</v>
      </c>
      <c r="F72" s="7" t="s">
        <v>11</v>
      </c>
      <c r="G72" s="7" t="s">
        <v>12</v>
      </c>
      <c r="H72" s="7" t="s">
        <v>13</v>
      </c>
      <c r="I72" s="7" t="s">
        <v>14</v>
      </c>
      <c r="J72" s="7" t="s">
        <v>15</v>
      </c>
      <c r="K72" s="7" t="s">
        <v>16</v>
      </c>
      <c r="L72" s="7" t="s">
        <v>17</v>
      </c>
      <c r="M72" s="7" t="s">
        <v>18</v>
      </c>
      <c r="N72" s="7" t="s">
        <v>19</v>
      </c>
      <c r="O72" s="7" t="s">
        <v>20</v>
      </c>
      <c r="P72" s="7" t="s">
        <v>21</v>
      </c>
      <c r="Q72" s="7" t="s">
        <v>22</v>
      </c>
      <c r="R72" s="7" t="s">
        <v>23</v>
      </c>
      <c r="S72" s="7" t="s">
        <v>24</v>
      </c>
      <c r="T72" s="7" t="s">
        <v>25</v>
      </c>
      <c r="U72" s="7" t="s">
        <v>26</v>
      </c>
      <c r="V72" s="7" t="s">
        <v>27</v>
      </c>
      <c r="W72" s="8" t="s">
        <v>25</v>
      </c>
      <c r="X72" s="9" t="s">
        <v>28</v>
      </c>
      <c r="Y72" s="9" t="s">
        <v>29</v>
      </c>
      <c r="Z72" s="9" t="s">
        <v>30</v>
      </c>
      <c r="AA72" s="10" t="s">
        <v>31</v>
      </c>
      <c r="AB72" s="7" t="s">
        <v>32</v>
      </c>
      <c r="AC72" s="7" t="s">
        <v>33</v>
      </c>
      <c r="AD72" s="7" t="s">
        <v>34</v>
      </c>
      <c r="AE72" s="7" t="s">
        <v>35</v>
      </c>
      <c r="AF72" s="7" t="s">
        <v>36</v>
      </c>
      <c r="AG72" s="7" t="s">
        <v>37</v>
      </c>
      <c r="AH72" s="7" t="s">
        <v>38</v>
      </c>
      <c r="AI72" s="7" t="s">
        <v>39</v>
      </c>
      <c r="AJ72" s="11" t="s">
        <v>40</v>
      </c>
      <c r="AK72" s="12" t="s">
        <v>41</v>
      </c>
    </row>
    <row r="73" spans="1:37" x14ac:dyDescent="0.25">
      <c r="A73" s="13">
        <v>44720</v>
      </c>
      <c r="B73" s="14" t="s">
        <v>553</v>
      </c>
      <c r="C73" s="24" t="s">
        <v>554</v>
      </c>
      <c r="D73" s="24" t="s">
        <v>555</v>
      </c>
      <c r="E73" s="24" t="s">
        <v>554</v>
      </c>
      <c r="F73" s="15">
        <v>8779621178</v>
      </c>
      <c r="G73" s="16" t="s">
        <v>556</v>
      </c>
      <c r="H73" s="23" t="s">
        <v>46</v>
      </c>
      <c r="I73" s="17" t="s">
        <v>557</v>
      </c>
      <c r="J73" s="18" t="s">
        <v>558</v>
      </c>
      <c r="K73" s="15" t="s">
        <v>420</v>
      </c>
      <c r="L73" s="14" t="s">
        <v>559</v>
      </c>
      <c r="M73" s="24" t="s">
        <v>80</v>
      </c>
      <c r="N73" s="24" t="s">
        <v>67</v>
      </c>
      <c r="O73" s="50" t="s">
        <v>560</v>
      </c>
      <c r="P73" s="15">
        <v>22500</v>
      </c>
      <c r="Q73" s="15">
        <v>22500</v>
      </c>
      <c r="R73" s="15">
        <v>0</v>
      </c>
      <c r="S73" s="15">
        <v>0</v>
      </c>
      <c r="T73" s="15">
        <v>9370</v>
      </c>
      <c r="U73" s="15">
        <v>1000</v>
      </c>
      <c r="V73" s="15">
        <v>10127</v>
      </c>
      <c r="W73" s="19">
        <v>9370</v>
      </c>
      <c r="X73" s="20">
        <v>0</v>
      </c>
      <c r="Y73" s="20">
        <v>0</v>
      </c>
      <c r="Z73" s="20">
        <v>11127</v>
      </c>
      <c r="AA73" s="21">
        <v>11127</v>
      </c>
      <c r="AB73" s="22">
        <f>11127*18/100/2</f>
        <v>1001.43</v>
      </c>
      <c r="AC73" s="22">
        <f>11127*18/100/2</f>
        <v>1001.43</v>
      </c>
      <c r="AD73" s="22">
        <v>0</v>
      </c>
      <c r="AE73" s="23">
        <f>2003-AB73-AC73</f>
        <v>0.14000000000010004</v>
      </c>
      <c r="AF73" s="24" t="s">
        <v>554</v>
      </c>
      <c r="AG73" s="23" t="s">
        <v>561</v>
      </c>
      <c r="AH73" s="24" t="s">
        <v>562</v>
      </c>
      <c r="AI73" s="24" t="s">
        <v>55</v>
      </c>
      <c r="AJ73" s="23"/>
      <c r="AK73" s="25" t="s">
        <v>563</v>
      </c>
    </row>
    <row r="74" spans="1:37" x14ac:dyDescent="0.25">
      <c r="A74" s="13">
        <v>44720</v>
      </c>
      <c r="B74" s="14" t="s">
        <v>189</v>
      </c>
      <c r="C74" s="24" t="s">
        <v>564</v>
      </c>
      <c r="D74" s="24" t="s">
        <v>565</v>
      </c>
      <c r="E74" s="24" t="s">
        <v>566</v>
      </c>
      <c r="F74" s="15">
        <v>7767018619</v>
      </c>
      <c r="G74" s="16" t="s">
        <v>567</v>
      </c>
      <c r="H74" s="14" t="s">
        <v>568</v>
      </c>
      <c r="I74" s="17" t="s">
        <v>569</v>
      </c>
      <c r="J74" s="18" t="s">
        <v>570</v>
      </c>
      <c r="K74" s="15" t="s">
        <v>196</v>
      </c>
      <c r="L74" s="14" t="s">
        <v>571</v>
      </c>
      <c r="M74" s="24" t="s">
        <v>80</v>
      </c>
      <c r="N74" s="24" t="s">
        <v>67</v>
      </c>
      <c r="O74" s="14" t="s">
        <v>424</v>
      </c>
      <c r="P74" s="15">
        <v>6345</v>
      </c>
      <c r="Q74" s="15">
        <v>6340</v>
      </c>
      <c r="R74" s="15">
        <v>5</v>
      </c>
      <c r="S74" s="15">
        <v>0</v>
      </c>
      <c r="T74" s="15">
        <v>4870</v>
      </c>
      <c r="U74" s="15">
        <v>250</v>
      </c>
      <c r="V74" s="15">
        <v>1000</v>
      </c>
      <c r="W74" s="19">
        <v>4870</v>
      </c>
      <c r="X74" s="20">
        <v>1000</v>
      </c>
      <c r="Y74" s="20">
        <v>250</v>
      </c>
      <c r="Z74" s="20">
        <v>0</v>
      </c>
      <c r="AA74" s="21">
        <v>1250</v>
      </c>
      <c r="AB74" s="22">
        <f>1250*18/100/2</f>
        <v>112.5</v>
      </c>
      <c r="AC74" s="22">
        <f>1250*18/100/2</f>
        <v>112.5</v>
      </c>
      <c r="AD74" s="22">
        <v>0</v>
      </c>
      <c r="AE74" s="23">
        <f>225-AC74-AB74</f>
        <v>0</v>
      </c>
      <c r="AF74" s="24" t="s">
        <v>564</v>
      </c>
      <c r="AG74" s="23"/>
      <c r="AH74" s="24" t="s">
        <v>572</v>
      </c>
      <c r="AI74" s="24" t="s">
        <v>55</v>
      </c>
      <c r="AJ74" s="23"/>
      <c r="AK74" s="25" t="s">
        <v>200</v>
      </c>
    </row>
    <row r="75" spans="1:37" x14ac:dyDescent="0.25">
      <c r="A75" s="13">
        <v>44720</v>
      </c>
      <c r="B75" s="24" t="s">
        <v>553</v>
      </c>
      <c r="C75" s="24" t="s">
        <v>564</v>
      </c>
      <c r="D75" s="24" t="s">
        <v>573</v>
      </c>
      <c r="E75" s="24" t="s">
        <v>574</v>
      </c>
      <c r="F75" s="15">
        <v>9731170238</v>
      </c>
      <c r="G75" s="51" t="s">
        <v>575</v>
      </c>
      <c r="H75" s="23" t="s">
        <v>46</v>
      </c>
      <c r="I75" s="17" t="s">
        <v>576</v>
      </c>
      <c r="J75" s="18" t="s">
        <v>577</v>
      </c>
      <c r="K75" s="14" t="s">
        <v>578</v>
      </c>
      <c r="L75" s="14" t="s">
        <v>579</v>
      </c>
      <c r="M75" s="23" t="s">
        <v>211</v>
      </c>
      <c r="N75" s="24" t="s">
        <v>212</v>
      </c>
      <c r="O75" s="50" t="s">
        <v>400</v>
      </c>
      <c r="P75" s="15">
        <v>8590</v>
      </c>
      <c r="Q75" s="15">
        <v>5000</v>
      </c>
      <c r="R75" s="15">
        <v>3590</v>
      </c>
      <c r="S75" s="15">
        <v>0</v>
      </c>
      <c r="T75" s="15">
        <v>4870</v>
      </c>
      <c r="U75" s="15">
        <v>500</v>
      </c>
      <c r="V75" s="15">
        <v>2653</v>
      </c>
      <c r="W75" s="19">
        <v>4870</v>
      </c>
      <c r="X75" s="20">
        <v>0</v>
      </c>
      <c r="Y75" s="20">
        <v>0</v>
      </c>
      <c r="Z75" s="20">
        <v>3153</v>
      </c>
      <c r="AA75" s="21">
        <v>3153</v>
      </c>
      <c r="AB75" s="22">
        <v>0</v>
      </c>
      <c r="AC75" s="22">
        <v>0</v>
      </c>
      <c r="AD75" s="22">
        <f>3153*18/100</f>
        <v>567.54</v>
      </c>
      <c r="AE75" s="23">
        <f>567-AD75</f>
        <v>-0.53999999999996362</v>
      </c>
      <c r="AF75" s="14" t="s">
        <v>580</v>
      </c>
      <c r="AG75" s="23"/>
      <c r="AH75" s="24" t="s">
        <v>581</v>
      </c>
      <c r="AI75" s="24" t="s">
        <v>55</v>
      </c>
      <c r="AJ75" s="23"/>
      <c r="AK75" s="25" t="s">
        <v>360</v>
      </c>
    </row>
    <row r="76" spans="1:37" x14ac:dyDescent="0.25">
      <c r="A76" s="13">
        <v>44720</v>
      </c>
      <c r="B76" s="24" t="s">
        <v>582</v>
      </c>
      <c r="C76" s="24" t="s">
        <v>583</v>
      </c>
      <c r="D76" s="24" t="s">
        <v>583</v>
      </c>
      <c r="E76" s="24" t="s">
        <v>584</v>
      </c>
      <c r="F76" s="15">
        <v>9898770198</v>
      </c>
      <c r="G76" s="16" t="s">
        <v>585</v>
      </c>
      <c r="H76" s="23" t="s">
        <v>46</v>
      </c>
      <c r="I76" s="17" t="s">
        <v>586</v>
      </c>
      <c r="J76" s="18" t="s">
        <v>587</v>
      </c>
      <c r="K76" s="15" t="s">
        <v>103</v>
      </c>
      <c r="L76" s="14" t="s">
        <v>588</v>
      </c>
      <c r="M76" s="24" t="s">
        <v>186</v>
      </c>
      <c r="N76" s="24" t="s">
        <v>187</v>
      </c>
      <c r="O76" s="50" t="s">
        <v>400</v>
      </c>
      <c r="P76" s="15">
        <v>7360</v>
      </c>
      <c r="Q76" s="15">
        <v>7360</v>
      </c>
      <c r="R76" s="15">
        <v>0</v>
      </c>
      <c r="S76" s="15">
        <v>0</v>
      </c>
      <c r="T76" s="15">
        <v>0</v>
      </c>
      <c r="U76" s="15">
        <v>0</v>
      </c>
      <c r="V76" s="15">
        <v>6237</v>
      </c>
      <c r="W76" s="19">
        <v>0</v>
      </c>
      <c r="X76" s="20">
        <v>0</v>
      </c>
      <c r="Y76" s="20">
        <v>0</v>
      </c>
      <c r="Z76" s="20">
        <v>6237</v>
      </c>
      <c r="AA76" s="21">
        <v>6237</v>
      </c>
      <c r="AB76" s="22">
        <v>0</v>
      </c>
      <c r="AC76" s="22">
        <v>0</v>
      </c>
      <c r="AD76" s="22">
        <f>6237*18/100</f>
        <v>1122.6600000000001</v>
      </c>
      <c r="AE76" s="23">
        <f>1123-AD76</f>
        <v>0.33999999999991815</v>
      </c>
      <c r="AF76" s="24" t="s">
        <v>583</v>
      </c>
      <c r="AG76" s="23" t="s">
        <v>589</v>
      </c>
      <c r="AH76" s="24" t="s">
        <v>590</v>
      </c>
      <c r="AI76" s="24" t="s">
        <v>55</v>
      </c>
      <c r="AJ76" s="23"/>
      <c r="AK76" s="25" t="s">
        <v>46</v>
      </c>
    </row>
    <row r="77" spans="1:37" x14ac:dyDescent="0.25">
      <c r="A77" s="13">
        <v>44720</v>
      </c>
      <c r="B77" s="23" t="s">
        <v>492</v>
      </c>
      <c r="C77" s="24" t="s">
        <v>591</v>
      </c>
      <c r="D77" s="24" t="s">
        <v>592</v>
      </c>
      <c r="E77" s="24" t="s">
        <v>593</v>
      </c>
      <c r="F77" s="15">
        <v>8956462181</v>
      </c>
      <c r="G77" s="23" t="s">
        <v>594</v>
      </c>
      <c r="H77" s="14" t="s">
        <v>595</v>
      </c>
      <c r="I77" s="17" t="s">
        <v>596</v>
      </c>
      <c r="J77" s="18" t="s">
        <v>597</v>
      </c>
      <c r="K77" s="14" t="s">
        <v>170</v>
      </c>
      <c r="L77" s="14" t="s">
        <v>598</v>
      </c>
      <c r="M77" s="24" t="s">
        <v>105</v>
      </c>
      <c r="N77" s="24" t="s">
        <v>67</v>
      </c>
      <c r="O77" s="50" t="s">
        <v>400</v>
      </c>
      <c r="P77" s="24">
        <v>7590</v>
      </c>
      <c r="Q77" s="15">
        <v>7590</v>
      </c>
      <c r="R77" s="15">
        <v>0</v>
      </c>
      <c r="S77" s="15">
        <v>0</v>
      </c>
      <c r="T77" s="15">
        <v>4870</v>
      </c>
      <c r="U77" s="15">
        <v>500</v>
      </c>
      <c r="V77" s="15">
        <v>1805</v>
      </c>
      <c r="W77" s="19">
        <v>4870</v>
      </c>
      <c r="X77" s="20">
        <v>0</v>
      </c>
      <c r="Y77" s="20">
        <v>0</v>
      </c>
      <c r="Z77" s="20">
        <v>2305</v>
      </c>
      <c r="AA77" s="21">
        <v>2305</v>
      </c>
      <c r="AB77" s="22">
        <f>2305*18/100/2</f>
        <v>207.45</v>
      </c>
      <c r="AC77" s="22">
        <f>2305*18/100/2</f>
        <v>207.45</v>
      </c>
      <c r="AD77" s="22">
        <v>0</v>
      </c>
      <c r="AE77" s="22">
        <f>415-AC77-AB77</f>
        <v>0.10000000000002274</v>
      </c>
      <c r="AF77" s="24" t="s">
        <v>591</v>
      </c>
      <c r="AG77" s="23"/>
      <c r="AH77" s="24" t="s">
        <v>599</v>
      </c>
      <c r="AI77" s="24" t="s">
        <v>55</v>
      </c>
      <c r="AJ77" s="23"/>
      <c r="AK77" s="25" t="s">
        <v>360</v>
      </c>
    </row>
    <row r="78" spans="1:37" ht="16.5" customHeight="1" x14ac:dyDescent="0.25">
      <c r="A78" s="13">
        <v>44720</v>
      </c>
      <c r="B78" s="14" t="s">
        <v>57</v>
      </c>
      <c r="C78" s="24" t="s">
        <v>46</v>
      </c>
      <c r="D78" s="24" t="s">
        <v>600</v>
      </c>
      <c r="E78" s="24" t="s">
        <v>601</v>
      </c>
      <c r="F78" s="15" t="s">
        <v>602</v>
      </c>
      <c r="G78" s="23" t="s">
        <v>603</v>
      </c>
      <c r="H78" s="14" t="s">
        <v>604</v>
      </c>
      <c r="I78" s="17" t="s">
        <v>605</v>
      </c>
      <c r="J78" s="18" t="s">
        <v>606</v>
      </c>
      <c r="K78" s="14" t="s">
        <v>170</v>
      </c>
      <c r="L78" s="14" t="s">
        <v>607</v>
      </c>
      <c r="M78" s="23" t="s">
        <v>608</v>
      </c>
      <c r="N78" s="24" t="s">
        <v>609</v>
      </c>
      <c r="O78" s="14" t="s">
        <v>424</v>
      </c>
      <c r="P78" s="15">
        <v>9590</v>
      </c>
      <c r="Q78" s="15">
        <v>9590</v>
      </c>
      <c r="R78" s="15">
        <v>0</v>
      </c>
      <c r="S78" s="15">
        <v>0</v>
      </c>
      <c r="T78" s="15">
        <v>4870</v>
      </c>
      <c r="U78" s="15">
        <v>500</v>
      </c>
      <c r="V78" s="15">
        <v>3500</v>
      </c>
      <c r="W78" s="19">
        <v>4870</v>
      </c>
      <c r="X78" s="20">
        <v>0</v>
      </c>
      <c r="Y78" s="20">
        <v>0</v>
      </c>
      <c r="Z78" s="20">
        <v>4000</v>
      </c>
      <c r="AA78" s="21">
        <v>4000</v>
      </c>
      <c r="AB78" s="22">
        <v>0</v>
      </c>
      <c r="AC78" s="22">
        <v>0</v>
      </c>
      <c r="AD78" s="22">
        <f>4000*18/100</f>
        <v>720</v>
      </c>
      <c r="AE78" s="44">
        <v>0</v>
      </c>
      <c r="AF78" s="24" t="s">
        <v>610</v>
      </c>
      <c r="AG78" s="23"/>
      <c r="AH78" s="24" t="s">
        <v>611</v>
      </c>
      <c r="AI78" s="24" t="s">
        <v>55</v>
      </c>
      <c r="AJ78" s="23"/>
      <c r="AK78" s="25" t="s">
        <v>360</v>
      </c>
    </row>
    <row r="79" spans="1:37" ht="16.5" customHeight="1" x14ac:dyDescent="0.25">
      <c r="A79" s="13">
        <v>44720</v>
      </c>
      <c r="B79" s="14" t="s">
        <v>612</v>
      </c>
      <c r="C79" s="24" t="s">
        <v>613</v>
      </c>
      <c r="D79" s="24" t="s">
        <v>46</v>
      </c>
      <c r="E79" s="24" t="s">
        <v>614</v>
      </c>
      <c r="F79" s="15">
        <v>7619603606</v>
      </c>
      <c r="G79" s="23" t="s">
        <v>615</v>
      </c>
      <c r="H79" s="14" t="s">
        <v>616</v>
      </c>
      <c r="I79" s="17" t="s">
        <v>617</v>
      </c>
      <c r="J79" s="18" t="s">
        <v>618</v>
      </c>
      <c r="K79" s="15" t="s">
        <v>255</v>
      </c>
      <c r="L79" s="14" t="s">
        <v>619</v>
      </c>
      <c r="M79" s="24" t="s">
        <v>620</v>
      </c>
      <c r="N79" s="24" t="s">
        <v>212</v>
      </c>
      <c r="O79" s="50" t="s">
        <v>400</v>
      </c>
      <c r="P79" s="15">
        <v>2630</v>
      </c>
      <c r="Q79" s="15">
        <v>2630</v>
      </c>
      <c r="R79" s="15">
        <v>0</v>
      </c>
      <c r="S79" s="15">
        <v>0</v>
      </c>
      <c r="T79" s="15">
        <v>0</v>
      </c>
      <c r="U79" s="15">
        <v>650</v>
      </c>
      <c r="V79" s="15">
        <v>1579</v>
      </c>
      <c r="W79" s="19">
        <v>0</v>
      </c>
      <c r="X79" s="20">
        <v>0</v>
      </c>
      <c r="Y79" s="20">
        <v>1729</v>
      </c>
      <c r="Z79" s="20">
        <v>500</v>
      </c>
      <c r="AA79" s="21">
        <v>2229</v>
      </c>
      <c r="AB79" s="22">
        <v>0</v>
      </c>
      <c r="AC79" s="22">
        <v>0</v>
      </c>
      <c r="AD79" s="22">
        <f>2229*18/100</f>
        <v>401.22</v>
      </c>
      <c r="AE79" s="22">
        <f>401-AD79</f>
        <v>-0.22000000000002728</v>
      </c>
      <c r="AF79" s="24" t="s">
        <v>621</v>
      </c>
      <c r="AG79" s="23"/>
      <c r="AH79" s="24" t="s">
        <v>622</v>
      </c>
      <c r="AI79" s="24" t="s">
        <v>55</v>
      </c>
      <c r="AJ79" s="23"/>
      <c r="AK79" s="25" t="s">
        <v>623</v>
      </c>
    </row>
    <row r="80" spans="1:37" ht="15.75" thickBot="1" x14ac:dyDescent="0.3">
      <c r="A80" s="107" t="s">
        <v>137</v>
      </c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32">
        <f t="shared" ref="P80:AE80" si="6">SUM(P73:P79)</f>
        <v>64605</v>
      </c>
      <c r="Q80" s="32">
        <f t="shared" si="6"/>
        <v>61010</v>
      </c>
      <c r="R80" s="32">
        <f t="shared" si="6"/>
        <v>3595</v>
      </c>
      <c r="S80" s="32">
        <f t="shared" si="6"/>
        <v>0</v>
      </c>
      <c r="T80" s="32">
        <f t="shared" si="6"/>
        <v>28850</v>
      </c>
      <c r="U80" s="32">
        <f t="shared" si="6"/>
        <v>3400</v>
      </c>
      <c r="V80" s="32">
        <f t="shared" si="6"/>
        <v>26901</v>
      </c>
      <c r="W80" s="33">
        <f t="shared" si="6"/>
        <v>28850</v>
      </c>
      <c r="X80" s="34">
        <f t="shared" si="6"/>
        <v>1000</v>
      </c>
      <c r="Y80" s="34">
        <f t="shared" si="6"/>
        <v>1979</v>
      </c>
      <c r="Z80" s="34">
        <f t="shared" si="6"/>
        <v>27322</v>
      </c>
      <c r="AA80" s="35">
        <f t="shared" si="6"/>
        <v>30301</v>
      </c>
      <c r="AB80" s="32">
        <f t="shared" si="6"/>
        <v>1321.3799999999999</v>
      </c>
      <c r="AC80" s="32">
        <f t="shared" si="6"/>
        <v>1321.3799999999999</v>
      </c>
      <c r="AD80" s="32">
        <f t="shared" si="6"/>
        <v>2811.42</v>
      </c>
      <c r="AE80" s="32">
        <f t="shared" si="6"/>
        <v>-0.17999999999994998</v>
      </c>
      <c r="AF80" s="109"/>
      <c r="AG80" s="109"/>
      <c r="AH80" s="109"/>
      <c r="AI80" s="36"/>
      <c r="AJ80" s="37"/>
      <c r="AK80" s="38"/>
    </row>
    <row r="81" spans="1:38" ht="15.75" thickBot="1" x14ac:dyDescent="0.3"/>
    <row r="82" spans="1:38" x14ac:dyDescent="0.25">
      <c r="A82" s="112" t="s">
        <v>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4"/>
      <c r="X82" s="113" t="s">
        <v>1</v>
      </c>
      <c r="Y82" s="114"/>
      <c r="Z82" s="114"/>
      <c r="AA82" s="5" t="s">
        <v>225</v>
      </c>
      <c r="AB82" s="115" t="s">
        <v>3</v>
      </c>
      <c r="AC82" s="116"/>
      <c r="AD82" s="116"/>
      <c r="AE82" s="116"/>
      <c r="AF82" s="105" t="s">
        <v>4</v>
      </c>
      <c r="AG82" s="105"/>
      <c r="AH82" s="105"/>
      <c r="AI82" s="105" t="s">
        <v>5</v>
      </c>
      <c r="AJ82" s="105"/>
      <c r="AK82" s="106"/>
    </row>
    <row r="83" spans="1:38" x14ac:dyDescent="0.25">
      <c r="A83" s="6" t="s">
        <v>6</v>
      </c>
      <c r="B83" s="7" t="s">
        <v>7</v>
      </c>
      <c r="C83" s="7" t="s">
        <v>8</v>
      </c>
      <c r="D83" s="7" t="s">
        <v>9</v>
      </c>
      <c r="E83" s="7" t="s">
        <v>10</v>
      </c>
      <c r="F83" s="7" t="s">
        <v>11</v>
      </c>
      <c r="G83" s="7" t="s">
        <v>12</v>
      </c>
      <c r="H83" s="7" t="s">
        <v>13</v>
      </c>
      <c r="I83" s="7" t="s">
        <v>14</v>
      </c>
      <c r="J83" s="7" t="s">
        <v>15</v>
      </c>
      <c r="K83" s="7" t="s">
        <v>16</v>
      </c>
      <c r="L83" s="7" t="s">
        <v>17</v>
      </c>
      <c r="M83" s="7" t="s">
        <v>18</v>
      </c>
      <c r="N83" s="7" t="s">
        <v>19</v>
      </c>
      <c r="O83" s="7" t="s">
        <v>20</v>
      </c>
      <c r="P83" s="7" t="s">
        <v>21</v>
      </c>
      <c r="Q83" s="7" t="s">
        <v>22</v>
      </c>
      <c r="R83" s="7" t="s">
        <v>23</v>
      </c>
      <c r="S83" s="7" t="s">
        <v>24</v>
      </c>
      <c r="T83" s="7" t="s">
        <v>25</v>
      </c>
      <c r="U83" s="7" t="s">
        <v>26</v>
      </c>
      <c r="V83" s="7" t="s">
        <v>27</v>
      </c>
      <c r="W83" s="8" t="s">
        <v>25</v>
      </c>
      <c r="X83" s="9" t="s">
        <v>28</v>
      </c>
      <c r="Y83" s="9" t="s">
        <v>29</v>
      </c>
      <c r="Z83" s="9" t="s">
        <v>30</v>
      </c>
      <c r="AA83" s="10" t="s">
        <v>31</v>
      </c>
      <c r="AB83" s="7" t="s">
        <v>32</v>
      </c>
      <c r="AC83" s="7" t="s">
        <v>33</v>
      </c>
      <c r="AD83" s="7" t="s">
        <v>34</v>
      </c>
      <c r="AE83" s="7" t="s">
        <v>35</v>
      </c>
      <c r="AF83" s="7" t="s">
        <v>36</v>
      </c>
      <c r="AG83" s="7" t="s">
        <v>37</v>
      </c>
      <c r="AH83" s="7" t="s">
        <v>38</v>
      </c>
      <c r="AI83" s="7" t="s">
        <v>39</v>
      </c>
      <c r="AJ83" s="11" t="s">
        <v>40</v>
      </c>
      <c r="AK83" s="12" t="s">
        <v>41</v>
      </c>
    </row>
    <row r="84" spans="1:38" ht="16.5" customHeight="1" x14ac:dyDescent="0.25">
      <c r="A84" s="13">
        <v>44721</v>
      </c>
      <c r="B84" s="14" t="s">
        <v>624</v>
      </c>
      <c r="C84" s="24" t="s">
        <v>625</v>
      </c>
      <c r="D84" s="24" t="s">
        <v>46</v>
      </c>
      <c r="E84" s="24" t="s">
        <v>626</v>
      </c>
      <c r="F84" s="15">
        <v>9480132828</v>
      </c>
      <c r="G84" s="16" t="s">
        <v>627</v>
      </c>
      <c r="H84" s="23" t="s">
        <v>46</v>
      </c>
      <c r="I84" s="17" t="s">
        <v>628</v>
      </c>
      <c r="J84" s="18" t="s">
        <v>629</v>
      </c>
      <c r="K84" s="15" t="s">
        <v>196</v>
      </c>
      <c r="L84" s="14" t="s">
        <v>630</v>
      </c>
      <c r="M84" s="24" t="s">
        <v>631</v>
      </c>
      <c r="N84" s="24" t="s">
        <v>212</v>
      </c>
      <c r="O84" s="50" t="s">
        <v>400</v>
      </c>
      <c r="P84" s="15">
        <v>1180</v>
      </c>
      <c r="Q84" s="15">
        <v>1180</v>
      </c>
      <c r="R84" s="15">
        <v>0</v>
      </c>
      <c r="S84" s="15">
        <v>0</v>
      </c>
      <c r="T84" s="15">
        <v>0</v>
      </c>
      <c r="U84" s="15">
        <v>0</v>
      </c>
      <c r="V84" s="15">
        <v>1000</v>
      </c>
      <c r="W84" s="19">
        <v>0</v>
      </c>
      <c r="X84" s="20">
        <v>0</v>
      </c>
      <c r="Y84" s="20">
        <v>500</v>
      </c>
      <c r="Z84" s="20">
        <v>500</v>
      </c>
      <c r="AA84" s="21">
        <v>1000</v>
      </c>
      <c r="AB84" s="22">
        <v>0</v>
      </c>
      <c r="AC84" s="22">
        <v>0</v>
      </c>
      <c r="AD84" s="22">
        <f>1000*18/100</f>
        <v>180</v>
      </c>
      <c r="AE84" s="23">
        <v>0</v>
      </c>
      <c r="AF84" s="24" t="s">
        <v>625</v>
      </c>
      <c r="AG84" s="23"/>
      <c r="AH84" s="24" t="s">
        <v>632</v>
      </c>
      <c r="AI84" s="24" t="s">
        <v>55</v>
      </c>
      <c r="AJ84" s="23"/>
      <c r="AK84" s="25" t="s">
        <v>46</v>
      </c>
    </row>
    <row r="85" spans="1:38" ht="16.5" customHeight="1" x14ac:dyDescent="0.25">
      <c r="A85" s="13">
        <v>44721</v>
      </c>
      <c r="B85" s="14" t="s">
        <v>553</v>
      </c>
      <c r="C85" s="24" t="s">
        <v>633</v>
      </c>
      <c r="D85" s="24" t="s">
        <v>634</v>
      </c>
      <c r="E85" s="24" t="s">
        <v>635</v>
      </c>
      <c r="F85" s="15">
        <v>7488064071</v>
      </c>
      <c r="G85" s="16" t="s">
        <v>636</v>
      </c>
      <c r="H85" s="14" t="s">
        <v>637</v>
      </c>
      <c r="I85" s="17" t="s">
        <v>638</v>
      </c>
      <c r="J85" s="18" t="s">
        <v>639</v>
      </c>
      <c r="K85" s="15" t="s">
        <v>640</v>
      </c>
      <c r="L85" s="14" t="s">
        <v>185</v>
      </c>
      <c r="M85" s="23" t="s">
        <v>641</v>
      </c>
      <c r="N85" s="24" t="s">
        <v>642</v>
      </c>
      <c r="O85" s="50" t="s">
        <v>400</v>
      </c>
      <c r="P85" s="15">
        <v>8590</v>
      </c>
      <c r="Q85" s="15">
        <v>5000</v>
      </c>
      <c r="R85" s="15">
        <v>3590</v>
      </c>
      <c r="S85" s="15">
        <v>0</v>
      </c>
      <c r="T85" s="15">
        <v>4870</v>
      </c>
      <c r="U85" s="15">
        <v>500</v>
      </c>
      <c r="V85" s="15">
        <v>2653</v>
      </c>
      <c r="W85" s="19">
        <v>4870</v>
      </c>
      <c r="X85" s="20">
        <v>0</v>
      </c>
      <c r="Y85" s="20">
        <v>0</v>
      </c>
      <c r="Z85" s="20">
        <v>3153</v>
      </c>
      <c r="AA85" s="21">
        <v>3153</v>
      </c>
      <c r="AB85" s="22">
        <v>0</v>
      </c>
      <c r="AC85" s="22">
        <v>0</v>
      </c>
      <c r="AD85" s="22">
        <f>3153*18/100</f>
        <v>567.54</v>
      </c>
      <c r="AE85" s="23">
        <f>567-AD85</f>
        <v>-0.53999999999996362</v>
      </c>
      <c r="AF85" s="24" t="s">
        <v>633</v>
      </c>
      <c r="AG85" s="23" t="s">
        <v>643</v>
      </c>
      <c r="AH85" s="24" t="s">
        <v>644</v>
      </c>
      <c r="AI85" s="24" t="s">
        <v>55</v>
      </c>
      <c r="AJ85" s="23"/>
      <c r="AK85" s="25" t="s">
        <v>360</v>
      </c>
    </row>
    <row r="86" spans="1:38" ht="16.5" customHeight="1" x14ac:dyDescent="0.25">
      <c r="A86" s="13">
        <v>44721</v>
      </c>
      <c r="B86" s="23" t="s">
        <v>645</v>
      </c>
      <c r="C86" s="24" t="s">
        <v>646</v>
      </c>
      <c r="D86" s="24" t="s">
        <v>46</v>
      </c>
      <c r="E86" s="24" t="s">
        <v>647</v>
      </c>
      <c r="F86" s="15">
        <v>7045042161</v>
      </c>
      <c r="G86" s="16" t="s">
        <v>648</v>
      </c>
      <c r="H86" s="14" t="s">
        <v>649</v>
      </c>
      <c r="I86" s="17" t="s">
        <v>650</v>
      </c>
      <c r="J86" s="18" t="s">
        <v>651</v>
      </c>
      <c r="K86" s="15" t="s">
        <v>652</v>
      </c>
      <c r="L86" s="14" t="s">
        <v>653</v>
      </c>
      <c r="M86" s="24" t="s">
        <v>80</v>
      </c>
      <c r="N86" s="24" t="s">
        <v>67</v>
      </c>
      <c r="O86" s="50" t="s">
        <v>400</v>
      </c>
      <c r="P86" s="15">
        <v>2999</v>
      </c>
      <c r="Q86" s="15">
        <v>2999</v>
      </c>
      <c r="R86" s="15">
        <v>0</v>
      </c>
      <c r="S86" s="15">
        <v>0</v>
      </c>
      <c r="T86" s="15">
        <v>0</v>
      </c>
      <c r="U86" s="15">
        <v>590</v>
      </c>
      <c r="V86" s="15">
        <v>1952</v>
      </c>
      <c r="W86" s="19">
        <v>0</v>
      </c>
      <c r="X86" s="20">
        <v>0</v>
      </c>
      <c r="Y86" s="20">
        <v>0</v>
      </c>
      <c r="Z86" s="20">
        <v>2542</v>
      </c>
      <c r="AA86" s="21">
        <v>2542</v>
      </c>
      <c r="AB86" s="22">
        <f>2542*18/100/2</f>
        <v>228.78</v>
      </c>
      <c r="AC86" s="22">
        <f>2542*18/100/2</f>
        <v>228.78</v>
      </c>
      <c r="AD86" s="22">
        <v>0</v>
      </c>
      <c r="AE86" s="23">
        <f>457-AC86-AB86</f>
        <v>-0.56000000000000227</v>
      </c>
      <c r="AF86" s="24" t="s">
        <v>646</v>
      </c>
      <c r="AG86" s="23" t="s">
        <v>654</v>
      </c>
      <c r="AH86" s="24" t="s">
        <v>655</v>
      </c>
      <c r="AI86" s="24" t="s">
        <v>55</v>
      </c>
      <c r="AJ86" s="23"/>
      <c r="AK86" s="25" t="s">
        <v>56</v>
      </c>
    </row>
    <row r="87" spans="1:38" ht="16.5" customHeight="1" x14ac:dyDescent="0.25">
      <c r="A87" s="13">
        <v>44721</v>
      </c>
      <c r="B87" s="23" t="s">
        <v>455</v>
      </c>
      <c r="C87" s="24" t="s">
        <v>656</v>
      </c>
      <c r="D87" s="24"/>
      <c r="E87" s="24" t="s">
        <v>657</v>
      </c>
      <c r="F87" s="15">
        <v>9890965115</v>
      </c>
      <c r="G87" s="16" t="s">
        <v>658</v>
      </c>
      <c r="H87" s="14" t="s">
        <v>46</v>
      </c>
      <c r="I87" s="17" t="s">
        <v>659</v>
      </c>
      <c r="J87" s="18" t="s">
        <v>660</v>
      </c>
      <c r="K87" s="15" t="s">
        <v>78</v>
      </c>
      <c r="L87" s="14" t="s">
        <v>661</v>
      </c>
      <c r="M87" s="24" t="s">
        <v>105</v>
      </c>
      <c r="N87" s="24" t="s">
        <v>67</v>
      </c>
      <c r="O87" s="50" t="s">
        <v>400</v>
      </c>
      <c r="P87" s="15">
        <v>2999</v>
      </c>
      <c r="Q87" s="15">
        <v>2999</v>
      </c>
      <c r="R87" s="15">
        <v>0</v>
      </c>
      <c r="S87" s="15">
        <v>0</v>
      </c>
      <c r="T87" s="15">
        <v>500</v>
      </c>
      <c r="U87" s="15">
        <v>0</v>
      </c>
      <c r="V87" s="15">
        <v>2118</v>
      </c>
      <c r="W87" s="19">
        <v>500</v>
      </c>
      <c r="X87" s="20">
        <v>0</v>
      </c>
      <c r="Y87" s="20">
        <v>0</v>
      </c>
      <c r="Z87" s="20">
        <v>2118</v>
      </c>
      <c r="AA87" s="21">
        <v>2118</v>
      </c>
      <c r="AB87" s="22">
        <f>2118*18/100/2</f>
        <v>190.62</v>
      </c>
      <c r="AC87" s="22">
        <f>2118*18/100/2</f>
        <v>190.62</v>
      </c>
      <c r="AD87" s="22">
        <v>0</v>
      </c>
      <c r="AE87" s="23">
        <f>381-AC87-AB87</f>
        <v>-0.24000000000000909</v>
      </c>
      <c r="AF87" s="24" t="s">
        <v>656</v>
      </c>
      <c r="AG87" s="23"/>
      <c r="AH87" s="24" t="s">
        <v>662</v>
      </c>
      <c r="AI87" s="24" t="s">
        <v>55</v>
      </c>
      <c r="AJ87" s="23"/>
      <c r="AK87" s="25" t="s">
        <v>465</v>
      </c>
    </row>
    <row r="88" spans="1:38" ht="16.5" customHeight="1" x14ac:dyDescent="0.25">
      <c r="A88" s="13">
        <v>44721</v>
      </c>
      <c r="B88" s="23" t="s">
        <v>663</v>
      </c>
      <c r="C88" s="24" t="s">
        <v>664</v>
      </c>
      <c r="D88" s="24" t="s">
        <v>665</v>
      </c>
      <c r="E88" s="24" t="s">
        <v>666</v>
      </c>
      <c r="F88" s="14" t="s">
        <v>667</v>
      </c>
      <c r="G88" s="51" t="s">
        <v>668</v>
      </c>
      <c r="H88" s="45" t="s">
        <v>46</v>
      </c>
      <c r="I88" s="17" t="s">
        <v>669</v>
      </c>
      <c r="J88" s="18" t="s">
        <v>670</v>
      </c>
      <c r="K88" s="15" t="s">
        <v>103</v>
      </c>
      <c r="L88" s="14" t="s">
        <v>671</v>
      </c>
      <c r="M88" s="24" t="s">
        <v>105</v>
      </c>
      <c r="N88" s="24" t="s">
        <v>67</v>
      </c>
      <c r="O88" s="50" t="s">
        <v>400</v>
      </c>
      <c r="P88" s="15">
        <v>13951</v>
      </c>
      <c r="Q88" s="15">
        <v>5001</v>
      </c>
      <c r="R88" s="15">
        <v>8950</v>
      </c>
      <c r="S88" s="15">
        <v>0</v>
      </c>
      <c r="T88" s="23">
        <v>4870</v>
      </c>
      <c r="U88" s="15">
        <v>2270</v>
      </c>
      <c r="V88" s="15">
        <v>5426</v>
      </c>
      <c r="W88" s="19">
        <v>4870</v>
      </c>
      <c r="X88" s="20">
        <v>0</v>
      </c>
      <c r="Y88" s="20">
        <v>0</v>
      </c>
      <c r="Z88" s="20">
        <v>7696</v>
      </c>
      <c r="AA88" s="21">
        <v>7696</v>
      </c>
      <c r="AB88" s="22">
        <f>7696*18/100/2</f>
        <v>692.64</v>
      </c>
      <c r="AC88" s="22">
        <f>7696*18/100/2</f>
        <v>692.64</v>
      </c>
      <c r="AD88" s="22">
        <v>0</v>
      </c>
      <c r="AE88" s="23">
        <f>1385-AB88-AC88</f>
        <v>-0.27999999999997272</v>
      </c>
      <c r="AF88" s="24" t="s">
        <v>664</v>
      </c>
      <c r="AG88" s="23" t="s">
        <v>672</v>
      </c>
      <c r="AH88" s="24" t="s">
        <v>673</v>
      </c>
      <c r="AI88" s="24" t="s">
        <v>55</v>
      </c>
      <c r="AJ88" s="23"/>
      <c r="AK88" s="25" t="s">
        <v>674</v>
      </c>
    </row>
    <row r="89" spans="1:38" ht="16.5" customHeight="1" x14ac:dyDescent="0.25">
      <c r="A89" s="13">
        <v>44721</v>
      </c>
      <c r="B89" s="14" t="s">
        <v>675</v>
      </c>
      <c r="C89" s="24" t="s">
        <v>676</v>
      </c>
      <c r="D89" s="24" t="s">
        <v>46</v>
      </c>
      <c r="E89" s="24" t="s">
        <v>677</v>
      </c>
      <c r="F89" s="14">
        <v>8975750740</v>
      </c>
      <c r="G89" s="16" t="s">
        <v>678</v>
      </c>
      <c r="H89" s="14" t="s">
        <v>679</v>
      </c>
      <c r="I89" s="17" t="s">
        <v>680</v>
      </c>
      <c r="J89" s="18" t="s">
        <v>681</v>
      </c>
      <c r="K89" s="15" t="s">
        <v>196</v>
      </c>
      <c r="L89" s="14" t="s">
        <v>489</v>
      </c>
      <c r="M89" s="24" t="s">
        <v>105</v>
      </c>
      <c r="N89" s="24" t="s">
        <v>67</v>
      </c>
      <c r="O89" s="50" t="s">
        <v>682</v>
      </c>
      <c r="P89" s="15">
        <v>6000</v>
      </c>
      <c r="Q89" s="15">
        <v>6000</v>
      </c>
      <c r="R89" s="15">
        <v>0</v>
      </c>
      <c r="S89" s="15">
        <v>0</v>
      </c>
      <c r="T89" s="15">
        <v>0</v>
      </c>
      <c r="U89" s="15">
        <v>2950</v>
      </c>
      <c r="V89" s="15">
        <v>2135</v>
      </c>
      <c r="W89" s="19">
        <v>0</v>
      </c>
      <c r="X89" s="20">
        <v>2085</v>
      </c>
      <c r="Y89" s="20">
        <v>1000</v>
      </c>
      <c r="Z89" s="20">
        <v>2000</v>
      </c>
      <c r="AA89" s="21">
        <v>5085</v>
      </c>
      <c r="AB89" s="22">
        <f>5085*18/100/2</f>
        <v>457.65</v>
      </c>
      <c r="AC89" s="22">
        <f>5085*18/100/2</f>
        <v>457.65</v>
      </c>
      <c r="AD89" s="22">
        <v>0</v>
      </c>
      <c r="AE89" s="23">
        <f>915-AC89-AB89</f>
        <v>-0.29999999999995453</v>
      </c>
      <c r="AF89" s="24" t="s">
        <v>676</v>
      </c>
      <c r="AG89" s="23"/>
      <c r="AH89" s="24" t="s">
        <v>683</v>
      </c>
      <c r="AI89" s="24" t="s">
        <v>55</v>
      </c>
      <c r="AJ89" s="23"/>
      <c r="AK89" s="25" t="s">
        <v>684</v>
      </c>
    </row>
    <row r="90" spans="1:38" ht="16.5" customHeight="1" x14ac:dyDescent="0.25">
      <c r="A90" s="13">
        <v>44721</v>
      </c>
      <c r="B90" s="24" t="s">
        <v>685</v>
      </c>
      <c r="C90" s="24" t="s">
        <v>686</v>
      </c>
      <c r="D90" s="24" t="s">
        <v>687</v>
      </c>
      <c r="E90" s="24" t="s">
        <v>688</v>
      </c>
      <c r="F90" s="15">
        <v>9949686333</v>
      </c>
      <c r="G90" s="16" t="s">
        <v>689</v>
      </c>
      <c r="H90" s="23" t="s">
        <v>690</v>
      </c>
      <c r="I90" s="17" t="s">
        <v>691</v>
      </c>
      <c r="J90" s="18" t="s">
        <v>692</v>
      </c>
      <c r="K90" s="14" t="s">
        <v>693</v>
      </c>
      <c r="L90" s="14" t="s">
        <v>134</v>
      </c>
      <c r="M90" s="24" t="s">
        <v>694</v>
      </c>
      <c r="N90" s="24" t="s">
        <v>695</v>
      </c>
      <c r="O90" s="14" t="s">
        <v>53</v>
      </c>
      <c r="P90" s="15">
        <v>7500</v>
      </c>
      <c r="Q90" s="15">
        <v>7500</v>
      </c>
      <c r="R90" s="15">
        <v>0</v>
      </c>
      <c r="S90" s="15">
        <v>0</v>
      </c>
      <c r="T90" s="15">
        <v>4870</v>
      </c>
      <c r="U90" s="15">
        <v>250</v>
      </c>
      <c r="V90" s="15">
        <v>1979</v>
      </c>
      <c r="W90" s="19">
        <v>4870</v>
      </c>
      <c r="X90" s="20">
        <v>0</v>
      </c>
      <c r="Y90" s="20">
        <v>0</v>
      </c>
      <c r="Z90" s="20">
        <v>2229</v>
      </c>
      <c r="AA90" s="21">
        <v>2229</v>
      </c>
      <c r="AB90" s="22">
        <v>0</v>
      </c>
      <c r="AC90" s="22">
        <v>0</v>
      </c>
      <c r="AD90" s="22">
        <f>2229*18/100</f>
        <v>401.22</v>
      </c>
      <c r="AE90" s="23">
        <f>401-AD90</f>
        <v>-0.22000000000002728</v>
      </c>
      <c r="AF90" s="24" t="s">
        <v>686</v>
      </c>
      <c r="AG90" s="23"/>
      <c r="AH90" s="24" t="s">
        <v>696</v>
      </c>
      <c r="AI90" s="24" t="s">
        <v>55</v>
      </c>
      <c r="AJ90" s="23"/>
      <c r="AK90" s="25" t="s">
        <v>697</v>
      </c>
      <c r="AL90" s="3" t="s">
        <v>698</v>
      </c>
    </row>
    <row r="91" spans="1:38" ht="16.5" customHeight="1" x14ac:dyDescent="0.25">
      <c r="A91" s="13">
        <v>44721</v>
      </c>
      <c r="B91" s="14" t="s">
        <v>699</v>
      </c>
      <c r="C91" s="24" t="s">
        <v>700</v>
      </c>
      <c r="D91" s="24" t="s">
        <v>46</v>
      </c>
      <c r="E91" s="24" t="s">
        <v>701</v>
      </c>
      <c r="F91" s="15">
        <v>9619550143</v>
      </c>
      <c r="G91" s="16" t="s">
        <v>702</v>
      </c>
      <c r="H91" s="14" t="s">
        <v>703</v>
      </c>
      <c r="I91" s="17" t="s">
        <v>704</v>
      </c>
      <c r="J91" s="18" t="s">
        <v>705</v>
      </c>
      <c r="K91" s="15" t="s">
        <v>255</v>
      </c>
      <c r="L91" s="14" t="s">
        <v>706</v>
      </c>
      <c r="M91" s="24" t="s">
        <v>80</v>
      </c>
      <c r="N91" s="24" t="s">
        <v>67</v>
      </c>
      <c r="O91" s="50" t="s">
        <v>400</v>
      </c>
      <c r="P91" s="15">
        <v>7080</v>
      </c>
      <c r="Q91" s="15">
        <v>7080</v>
      </c>
      <c r="R91" s="15">
        <v>0</v>
      </c>
      <c r="S91" s="15">
        <v>0</v>
      </c>
      <c r="T91" s="15">
        <v>0</v>
      </c>
      <c r="U91" s="15">
        <v>3200</v>
      </c>
      <c r="V91" s="15">
        <v>2800</v>
      </c>
      <c r="W91" s="19">
        <v>0</v>
      </c>
      <c r="X91" s="20">
        <v>0</v>
      </c>
      <c r="Y91" s="20">
        <v>0</v>
      </c>
      <c r="Z91" s="20">
        <v>6000</v>
      </c>
      <c r="AA91" s="21">
        <v>6000</v>
      </c>
      <c r="AB91" s="22">
        <f>6000*18/100/2</f>
        <v>540</v>
      </c>
      <c r="AC91" s="22">
        <v>540</v>
      </c>
      <c r="AD91" s="22">
        <v>0</v>
      </c>
      <c r="AE91" s="23">
        <v>0</v>
      </c>
      <c r="AF91" s="24" t="s">
        <v>700</v>
      </c>
      <c r="AG91" s="23" t="s">
        <v>707</v>
      </c>
      <c r="AH91" s="24" t="s">
        <v>708</v>
      </c>
      <c r="AI91" s="24" t="s">
        <v>55</v>
      </c>
      <c r="AJ91" s="23"/>
      <c r="AK91" s="25" t="s">
        <v>709</v>
      </c>
    </row>
    <row r="92" spans="1:38" ht="16.5" customHeight="1" x14ac:dyDescent="0.25">
      <c r="A92" s="13">
        <v>44721</v>
      </c>
      <c r="B92" s="14" t="s">
        <v>710</v>
      </c>
      <c r="C92" s="24" t="s">
        <v>711</v>
      </c>
      <c r="D92" s="24" t="s">
        <v>46</v>
      </c>
      <c r="E92" s="24" t="s">
        <v>712</v>
      </c>
      <c r="F92" s="15" t="s">
        <v>713</v>
      </c>
      <c r="G92" s="56" t="s">
        <v>714</v>
      </c>
      <c r="H92" s="14" t="s">
        <v>46</v>
      </c>
      <c r="I92" s="17" t="s">
        <v>715</v>
      </c>
      <c r="J92" s="18" t="s">
        <v>716</v>
      </c>
      <c r="K92" s="15" t="s">
        <v>64</v>
      </c>
      <c r="L92" s="14" t="s">
        <v>717</v>
      </c>
      <c r="M92" s="24" t="s">
        <v>718</v>
      </c>
      <c r="N92" s="24" t="s">
        <v>297</v>
      </c>
      <c r="O92" s="50" t="s">
        <v>400</v>
      </c>
      <c r="P92" s="15">
        <v>6500</v>
      </c>
      <c r="Q92" s="15">
        <v>4000</v>
      </c>
      <c r="R92" s="15">
        <v>2500</v>
      </c>
      <c r="S92" s="15">
        <v>0</v>
      </c>
      <c r="T92" s="15">
        <v>0</v>
      </c>
      <c r="U92" s="15">
        <v>2500</v>
      </c>
      <c r="V92" s="15">
        <v>3008</v>
      </c>
      <c r="W92" s="19">
        <v>0</v>
      </c>
      <c r="X92" s="20">
        <v>1308</v>
      </c>
      <c r="Y92" s="20">
        <v>0</v>
      </c>
      <c r="Z92" s="20">
        <v>4200</v>
      </c>
      <c r="AA92" s="21">
        <v>5508</v>
      </c>
      <c r="AB92" s="22">
        <v>0</v>
      </c>
      <c r="AC92" s="22">
        <v>0</v>
      </c>
      <c r="AD92" s="22">
        <f>5508*18/100</f>
        <v>991.44</v>
      </c>
      <c r="AE92" s="23">
        <f>992-AD92</f>
        <v>0.55999999999994543</v>
      </c>
      <c r="AF92" s="24" t="s">
        <v>711</v>
      </c>
      <c r="AG92" s="23" t="s">
        <v>707</v>
      </c>
      <c r="AH92" s="24" t="s">
        <v>719</v>
      </c>
      <c r="AI92" s="24" t="s">
        <v>55</v>
      </c>
      <c r="AJ92" s="23"/>
      <c r="AK92" s="25" t="s">
        <v>720</v>
      </c>
    </row>
    <row r="93" spans="1:38" s="47" customFormat="1" ht="24.95" customHeight="1" x14ac:dyDescent="0.25">
      <c r="A93" s="13">
        <v>44721</v>
      </c>
      <c r="B93" s="14" t="s">
        <v>125</v>
      </c>
      <c r="C93" s="27" t="s">
        <v>721</v>
      </c>
      <c r="D93" s="24" t="s">
        <v>722</v>
      </c>
      <c r="E93" s="24" t="s">
        <v>723</v>
      </c>
      <c r="F93" s="28">
        <v>9511658585</v>
      </c>
      <c r="G93" s="29" t="s">
        <v>724</v>
      </c>
      <c r="H93" s="14" t="s">
        <v>46</v>
      </c>
      <c r="I93" s="17" t="s">
        <v>725</v>
      </c>
      <c r="J93" s="18" t="s">
        <v>726</v>
      </c>
      <c r="K93" s="24" t="s">
        <v>184</v>
      </c>
      <c r="L93" s="30" t="s">
        <v>727</v>
      </c>
      <c r="M93" s="24" t="s">
        <v>728</v>
      </c>
      <c r="N93" s="24" t="s">
        <v>67</v>
      </c>
      <c r="O93" s="50" t="s">
        <v>400</v>
      </c>
      <c r="P93" s="28">
        <v>0</v>
      </c>
      <c r="Q93" s="28">
        <v>3000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19">
        <v>0</v>
      </c>
      <c r="X93" s="20">
        <v>0</v>
      </c>
      <c r="Y93" s="20">
        <v>0</v>
      </c>
      <c r="Z93" s="20">
        <v>0</v>
      </c>
      <c r="AA93" s="21">
        <v>0</v>
      </c>
      <c r="AB93" s="23">
        <v>0</v>
      </c>
      <c r="AC93" s="23">
        <v>0</v>
      </c>
      <c r="AD93" s="23">
        <v>0</v>
      </c>
      <c r="AE93" s="23">
        <v>0</v>
      </c>
      <c r="AF93" s="27" t="s">
        <v>721</v>
      </c>
      <c r="AG93" s="15"/>
      <c r="AH93" s="15" t="s">
        <v>46</v>
      </c>
      <c r="AI93" s="24" t="s">
        <v>55</v>
      </c>
      <c r="AJ93" s="15"/>
      <c r="AK93" s="46" t="s">
        <v>46</v>
      </c>
    </row>
    <row r="94" spans="1:38" x14ac:dyDescent="0.25">
      <c r="A94" s="13">
        <v>44721</v>
      </c>
      <c r="B94" s="23" t="s">
        <v>125</v>
      </c>
      <c r="C94" s="24" t="s">
        <v>46</v>
      </c>
      <c r="D94" s="24" t="s">
        <v>729</v>
      </c>
      <c r="E94" s="24" t="s">
        <v>730</v>
      </c>
      <c r="F94" s="23">
        <v>9767254363</v>
      </c>
      <c r="G94" s="23" t="s">
        <v>731</v>
      </c>
      <c r="H94" s="23" t="s">
        <v>46</v>
      </c>
      <c r="I94" s="17" t="s">
        <v>732</v>
      </c>
      <c r="J94" s="18" t="s">
        <v>733</v>
      </c>
      <c r="K94" s="23" t="s">
        <v>734</v>
      </c>
      <c r="L94" s="24" t="s">
        <v>735</v>
      </c>
      <c r="M94" s="24" t="s">
        <v>105</v>
      </c>
      <c r="N94" s="24" t="s">
        <v>67</v>
      </c>
      <c r="O94" s="50" t="s">
        <v>400</v>
      </c>
      <c r="P94" s="23">
        <v>0</v>
      </c>
      <c r="Q94" s="23">
        <v>3800</v>
      </c>
      <c r="R94" s="23">
        <v>0</v>
      </c>
      <c r="S94" s="23">
        <v>0</v>
      </c>
      <c r="T94" s="23">
        <v>0</v>
      </c>
      <c r="U94" s="23">
        <v>0</v>
      </c>
      <c r="V94" s="39">
        <v>0</v>
      </c>
      <c r="W94" s="19">
        <v>0</v>
      </c>
      <c r="X94" s="20">
        <v>0</v>
      </c>
      <c r="Y94" s="20">
        <v>0</v>
      </c>
      <c r="Z94" s="20">
        <v>0</v>
      </c>
      <c r="AA94" s="21">
        <v>0</v>
      </c>
      <c r="AB94" s="23">
        <v>0</v>
      </c>
      <c r="AC94" s="23">
        <v>0</v>
      </c>
      <c r="AD94" s="23">
        <v>0</v>
      </c>
      <c r="AE94" s="23">
        <v>0</v>
      </c>
      <c r="AF94" s="24" t="s">
        <v>729</v>
      </c>
      <c r="AG94" s="23"/>
      <c r="AH94" s="15" t="s">
        <v>46</v>
      </c>
      <c r="AI94" s="24" t="s">
        <v>55</v>
      </c>
      <c r="AJ94" s="23"/>
      <c r="AK94" s="46" t="s">
        <v>46</v>
      </c>
    </row>
    <row r="95" spans="1:38" x14ac:dyDescent="0.25">
      <c r="A95" s="13">
        <v>44721</v>
      </c>
      <c r="B95" s="23" t="s">
        <v>125</v>
      </c>
      <c r="C95" s="27" t="s">
        <v>736</v>
      </c>
      <c r="D95" s="24" t="s">
        <v>737</v>
      </c>
      <c r="E95" s="24" t="s">
        <v>738</v>
      </c>
      <c r="F95" s="28">
        <v>9425086882</v>
      </c>
      <c r="G95" s="29" t="s">
        <v>739</v>
      </c>
      <c r="H95" s="23" t="s">
        <v>46</v>
      </c>
      <c r="I95" s="17" t="s">
        <v>740</v>
      </c>
      <c r="J95" s="18" t="s">
        <v>284</v>
      </c>
      <c r="K95" s="24" t="s">
        <v>116</v>
      </c>
      <c r="L95" s="30" t="s">
        <v>741</v>
      </c>
      <c r="M95" s="24" t="s">
        <v>80</v>
      </c>
      <c r="N95" s="24" t="s">
        <v>67</v>
      </c>
      <c r="O95" s="50" t="s">
        <v>400</v>
      </c>
      <c r="P95" s="28">
        <v>0</v>
      </c>
      <c r="Q95" s="28">
        <v>9000</v>
      </c>
      <c r="R95" s="28">
        <v>360</v>
      </c>
      <c r="S95" s="23">
        <v>0</v>
      </c>
      <c r="T95" s="23">
        <v>0</v>
      </c>
      <c r="U95" s="23">
        <v>0</v>
      </c>
      <c r="V95" s="39">
        <v>0</v>
      </c>
      <c r="W95" s="19">
        <v>0</v>
      </c>
      <c r="X95" s="20">
        <v>0</v>
      </c>
      <c r="Y95" s="20">
        <v>0</v>
      </c>
      <c r="Z95" s="20">
        <v>0</v>
      </c>
      <c r="AA95" s="21">
        <v>0</v>
      </c>
      <c r="AB95" s="23">
        <v>0</v>
      </c>
      <c r="AC95" s="23">
        <v>0</v>
      </c>
      <c r="AD95" s="23">
        <v>0</v>
      </c>
      <c r="AE95" s="23">
        <v>0</v>
      </c>
      <c r="AF95" s="27" t="s">
        <v>736</v>
      </c>
      <c r="AG95" s="23" t="s">
        <v>742</v>
      </c>
      <c r="AH95" s="15" t="s">
        <v>46</v>
      </c>
      <c r="AI95" s="24" t="s">
        <v>55</v>
      </c>
      <c r="AJ95" s="23"/>
      <c r="AK95" s="46" t="s">
        <v>46</v>
      </c>
    </row>
    <row r="96" spans="1:38" ht="15.75" thickBot="1" x14ac:dyDescent="0.3">
      <c r="A96" s="107" t="s">
        <v>137</v>
      </c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32">
        <f t="shared" ref="P96:AE96" si="7">SUM(P84:P95)</f>
        <v>56799</v>
      </c>
      <c r="Q96" s="32">
        <f t="shared" si="7"/>
        <v>57559</v>
      </c>
      <c r="R96" s="32">
        <f t="shared" si="7"/>
        <v>15400</v>
      </c>
      <c r="S96" s="32">
        <f t="shared" si="7"/>
        <v>0</v>
      </c>
      <c r="T96" s="32">
        <f t="shared" si="7"/>
        <v>15110</v>
      </c>
      <c r="U96" s="32">
        <f t="shared" si="7"/>
        <v>12260</v>
      </c>
      <c r="V96" s="32">
        <f t="shared" si="7"/>
        <v>23071</v>
      </c>
      <c r="W96" s="33">
        <f t="shared" si="7"/>
        <v>15110</v>
      </c>
      <c r="X96" s="34">
        <f t="shared" si="7"/>
        <v>3393</v>
      </c>
      <c r="Y96" s="34">
        <f t="shared" si="7"/>
        <v>1500</v>
      </c>
      <c r="Z96" s="34">
        <f t="shared" si="7"/>
        <v>30438</v>
      </c>
      <c r="AA96" s="35">
        <f t="shared" si="7"/>
        <v>35331</v>
      </c>
      <c r="AB96" s="32">
        <f t="shared" si="7"/>
        <v>2109.69</v>
      </c>
      <c r="AC96" s="32">
        <f t="shared" si="7"/>
        <v>2109.69</v>
      </c>
      <c r="AD96" s="32">
        <f t="shared" si="7"/>
        <v>2140.1999999999998</v>
      </c>
      <c r="AE96" s="32">
        <f t="shared" si="7"/>
        <v>-1.5799999999999841</v>
      </c>
      <c r="AF96" s="109"/>
      <c r="AG96" s="109"/>
      <c r="AH96" s="109"/>
      <c r="AI96" s="36"/>
      <c r="AJ96" s="37"/>
      <c r="AK96" s="38"/>
    </row>
    <row r="97" spans="1:37" ht="15.75" thickBot="1" x14ac:dyDescent="0.3"/>
    <row r="98" spans="1:37" x14ac:dyDescent="0.25">
      <c r="A98" s="112" t="s">
        <v>0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4"/>
      <c r="X98" s="113" t="s">
        <v>1</v>
      </c>
      <c r="Y98" s="114"/>
      <c r="Z98" s="114"/>
      <c r="AA98" s="5" t="s">
        <v>225</v>
      </c>
      <c r="AB98" s="115" t="s">
        <v>3</v>
      </c>
      <c r="AC98" s="116"/>
      <c r="AD98" s="116"/>
      <c r="AE98" s="116"/>
      <c r="AF98" s="105" t="s">
        <v>4</v>
      </c>
      <c r="AG98" s="105"/>
      <c r="AH98" s="105"/>
      <c r="AI98" s="105" t="s">
        <v>5</v>
      </c>
      <c r="AJ98" s="105"/>
      <c r="AK98" s="106"/>
    </row>
    <row r="99" spans="1:37" x14ac:dyDescent="0.25">
      <c r="A99" s="6" t="s">
        <v>6</v>
      </c>
      <c r="B99" s="7" t="s">
        <v>7</v>
      </c>
      <c r="C99" s="7" t="s">
        <v>8</v>
      </c>
      <c r="D99" s="7" t="s">
        <v>9</v>
      </c>
      <c r="E99" s="7" t="s">
        <v>10</v>
      </c>
      <c r="F99" s="7" t="s">
        <v>11</v>
      </c>
      <c r="G99" s="7" t="s">
        <v>12</v>
      </c>
      <c r="H99" s="7" t="s">
        <v>13</v>
      </c>
      <c r="I99" s="7" t="s">
        <v>14</v>
      </c>
      <c r="J99" s="7" t="s">
        <v>15</v>
      </c>
      <c r="K99" s="7" t="s">
        <v>16</v>
      </c>
      <c r="L99" s="7" t="s">
        <v>17</v>
      </c>
      <c r="M99" s="7" t="s">
        <v>18</v>
      </c>
      <c r="N99" s="7" t="s">
        <v>19</v>
      </c>
      <c r="O99" s="7" t="s">
        <v>20</v>
      </c>
      <c r="P99" s="7" t="s">
        <v>21</v>
      </c>
      <c r="Q99" s="7" t="s">
        <v>22</v>
      </c>
      <c r="R99" s="7" t="s">
        <v>23</v>
      </c>
      <c r="S99" s="7" t="s">
        <v>24</v>
      </c>
      <c r="T99" s="7" t="s">
        <v>25</v>
      </c>
      <c r="U99" s="7" t="s">
        <v>26</v>
      </c>
      <c r="V99" s="7" t="s">
        <v>27</v>
      </c>
      <c r="W99" s="8" t="s">
        <v>25</v>
      </c>
      <c r="X99" s="9" t="s">
        <v>28</v>
      </c>
      <c r="Y99" s="9" t="s">
        <v>29</v>
      </c>
      <c r="Z99" s="9" t="s">
        <v>30</v>
      </c>
      <c r="AA99" s="10" t="s">
        <v>31</v>
      </c>
      <c r="AB99" s="7" t="s">
        <v>32</v>
      </c>
      <c r="AC99" s="7" t="s">
        <v>33</v>
      </c>
      <c r="AD99" s="7" t="s">
        <v>34</v>
      </c>
      <c r="AE99" s="7" t="s">
        <v>35</v>
      </c>
      <c r="AF99" s="7" t="s">
        <v>36</v>
      </c>
      <c r="AG99" s="7" t="s">
        <v>37</v>
      </c>
      <c r="AH99" s="7" t="s">
        <v>38</v>
      </c>
      <c r="AI99" s="7" t="s">
        <v>39</v>
      </c>
      <c r="AJ99" s="11" t="s">
        <v>40</v>
      </c>
      <c r="AK99" s="12" t="s">
        <v>41</v>
      </c>
    </row>
    <row r="100" spans="1:37" x14ac:dyDescent="0.25">
      <c r="A100" s="13">
        <v>44722</v>
      </c>
      <c r="B100" s="14" t="s">
        <v>624</v>
      </c>
      <c r="C100" s="24" t="s">
        <v>743</v>
      </c>
      <c r="D100" s="24" t="s">
        <v>46</v>
      </c>
      <c r="E100" s="24" t="s">
        <v>744</v>
      </c>
      <c r="F100" s="15">
        <v>9920117288</v>
      </c>
      <c r="G100" s="16" t="s">
        <v>745</v>
      </c>
      <c r="H100" s="14" t="s">
        <v>746</v>
      </c>
      <c r="I100" s="17" t="s">
        <v>747</v>
      </c>
      <c r="J100" s="18" t="s">
        <v>748</v>
      </c>
      <c r="K100" s="15" t="s">
        <v>749</v>
      </c>
      <c r="L100" s="14" t="s">
        <v>750</v>
      </c>
      <c r="M100" s="24" t="s">
        <v>80</v>
      </c>
      <c r="N100" s="24" t="s">
        <v>67</v>
      </c>
      <c r="O100" s="50" t="s">
        <v>400</v>
      </c>
      <c r="P100" s="15">
        <v>2000</v>
      </c>
      <c r="Q100" s="15">
        <v>2000</v>
      </c>
      <c r="R100" s="15">
        <v>0</v>
      </c>
      <c r="S100" s="15">
        <v>0</v>
      </c>
      <c r="T100" s="15">
        <v>0</v>
      </c>
      <c r="U100" s="15">
        <v>0</v>
      </c>
      <c r="V100" s="15">
        <v>1695</v>
      </c>
      <c r="W100" s="19">
        <v>0</v>
      </c>
      <c r="X100" s="20">
        <v>0</v>
      </c>
      <c r="Y100" s="20">
        <v>0</v>
      </c>
      <c r="Z100" s="20">
        <v>1695</v>
      </c>
      <c r="AA100" s="21">
        <v>1695</v>
      </c>
      <c r="AB100" s="22">
        <f>1695*18/100/2</f>
        <v>152.55000000000001</v>
      </c>
      <c r="AC100" s="22">
        <f>1695*18/100/2</f>
        <v>152.55000000000001</v>
      </c>
      <c r="AD100" s="22">
        <v>0</v>
      </c>
      <c r="AE100" s="23">
        <f>305-AC100-AB100</f>
        <v>-0.10000000000002274</v>
      </c>
      <c r="AF100" s="24" t="s">
        <v>743</v>
      </c>
      <c r="AG100" s="23"/>
      <c r="AH100" s="24" t="s">
        <v>751</v>
      </c>
      <c r="AI100" s="24" t="s">
        <v>55</v>
      </c>
      <c r="AJ100" s="23"/>
      <c r="AK100" s="25" t="s">
        <v>46</v>
      </c>
    </row>
    <row r="101" spans="1:37" x14ac:dyDescent="0.25">
      <c r="A101" s="13">
        <v>44722</v>
      </c>
      <c r="B101" s="23" t="s">
        <v>752</v>
      </c>
      <c r="C101" s="24" t="s">
        <v>753</v>
      </c>
      <c r="D101" s="24" t="s">
        <v>754</v>
      </c>
      <c r="E101" s="24" t="s">
        <v>755</v>
      </c>
      <c r="F101" s="15">
        <v>9615422223</v>
      </c>
      <c r="G101" s="16" t="s">
        <v>756</v>
      </c>
      <c r="H101" s="23" t="s">
        <v>757</v>
      </c>
      <c r="I101" s="17" t="s">
        <v>758</v>
      </c>
      <c r="J101" s="18" t="s">
        <v>759</v>
      </c>
      <c r="K101" s="14" t="s">
        <v>285</v>
      </c>
      <c r="L101" s="14" t="s">
        <v>760</v>
      </c>
      <c r="M101" s="24" t="s">
        <v>761</v>
      </c>
      <c r="N101" s="23" t="s">
        <v>452</v>
      </c>
      <c r="O101" s="14" t="s">
        <v>53</v>
      </c>
      <c r="P101" s="15">
        <v>8000</v>
      </c>
      <c r="Q101" s="15">
        <v>8000</v>
      </c>
      <c r="R101" s="15">
        <v>0</v>
      </c>
      <c r="S101" s="15">
        <v>0</v>
      </c>
      <c r="T101" s="15">
        <v>4870</v>
      </c>
      <c r="U101" s="15">
        <v>500</v>
      </c>
      <c r="V101" s="15">
        <v>2153</v>
      </c>
      <c r="W101" s="19">
        <v>4870</v>
      </c>
      <c r="X101" s="20">
        <v>0</v>
      </c>
      <c r="Y101" s="20">
        <v>0</v>
      </c>
      <c r="Z101" s="20">
        <v>2653</v>
      </c>
      <c r="AA101" s="21">
        <v>2653</v>
      </c>
      <c r="AB101" s="22">
        <v>0</v>
      </c>
      <c r="AC101" s="22">
        <v>0</v>
      </c>
      <c r="AD101" s="22">
        <f>2653*18/100</f>
        <v>477.54</v>
      </c>
      <c r="AE101" s="23">
        <f>477-AD101</f>
        <v>-0.54000000000002046</v>
      </c>
      <c r="AF101" s="24" t="s">
        <v>753</v>
      </c>
      <c r="AG101" s="23"/>
      <c r="AH101" s="24" t="s">
        <v>762</v>
      </c>
      <c r="AI101" s="24" t="s">
        <v>55</v>
      </c>
      <c r="AJ101" s="23"/>
      <c r="AK101" s="25" t="s">
        <v>413</v>
      </c>
    </row>
    <row r="102" spans="1:37" x14ac:dyDescent="0.25">
      <c r="A102" s="13">
        <v>44722</v>
      </c>
      <c r="B102" s="23" t="s">
        <v>763</v>
      </c>
      <c r="C102" s="24" t="s">
        <v>493</v>
      </c>
      <c r="D102" s="24" t="s">
        <v>46</v>
      </c>
      <c r="E102" s="24" t="s">
        <v>764</v>
      </c>
      <c r="F102" s="15" t="s">
        <v>496</v>
      </c>
      <c r="G102" s="16" t="s">
        <v>497</v>
      </c>
      <c r="H102" s="23" t="s">
        <v>498</v>
      </c>
      <c r="I102" s="17" t="s">
        <v>765</v>
      </c>
      <c r="J102" s="18" t="s">
        <v>766</v>
      </c>
      <c r="K102" s="15" t="s">
        <v>501</v>
      </c>
      <c r="L102" s="14" t="s">
        <v>65</v>
      </c>
      <c r="M102" s="24" t="s">
        <v>502</v>
      </c>
      <c r="N102" s="24" t="s">
        <v>503</v>
      </c>
      <c r="O102" s="50" t="s">
        <v>400</v>
      </c>
      <c r="P102" s="15">
        <v>2499</v>
      </c>
      <c r="Q102" s="15">
        <v>2499</v>
      </c>
      <c r="R102" s="15">
        <v>0</v>
      </c>
      <c r="S102" s="15">
        <v>0</v>
      </c>
      <c r="T102" s="15">
        <v>0</v>
      </c>
      <c r="U102" s="15">
        <v>590</v>
      </c>
      <c r="V102" s="15">
        <v>1528</v>
      </c>
      <c r="W102" s="19">
        <v>0</v>
      </c>
      <c r="X102" s="20">
        <v>0</v>
      </c>
      <c r="Y102" s="20">
        <v>0</v>
      </c>
      <c r="Z102" s="20">
        <v>2118</v>
      </c>
      <c r="AA102" s="21">
        <v>2118</v>
      </c>
      <c r="AB102" s="22">
        <v>0</v>
      </c>
      <c r="AC102" s="22">
        <v>0</v>
      </c>
      <c r="AD102" s="22">
        <f>2118*18/100</f>
        <v>381.24</v>
      </c>
      <c r="AE102" s="23">
        <f>381-AD102</f>
        <v>-0.24000000000000909</v>
      </c>
      <c r="AF102" s="24" t="s">
        <v>493</v>
      </c>
      <c r="AG102" s="23"/>
      <c r="AH102" s="24" t="s">
        <v>767</v>
      </c>
      <c r="AI102" s="24" t="s">
        <v>55</v>
      </c>
      <c r="AJ102" s="23"/>
      <c r="AK102" s="25" t="s">
        <v>56</v>
      </c>
    </row>
    <row r="103" spans="1:37" x14ac:dyDescent="0.25">
      <c r="A103" s="13">
        <v>44722</v>
      </c>
      <c r="B103" s="23" t="s">
        <v>768</v>
      </c>
      <c r="C103" s="24" t="s">
        <v>769</v>
      </c>
      <c r="D103" s="42" t="s">
        <v>770</v>
      </c>
      <c r="E103" s="24" t="s">
        <v>771</v>
      </c>
      <c r="F103" s="15">
        <v>9350991239</v>
      </c>
      <c r="G103" s="51" t="s">
        <v>772</v>
      </c>
      <c r="H103" s="24" t="s">
        <v>773</v>
      </c>
      <c r="I103" s="17" t="s">
        <v>774</v>
      </c>
      <c r="J103" s="18" t="s">
        <v>775</v>
      </c>
      <c r="K103" s="15" t="s">
        <v>49</v>
      </c>
      <c r="L103" s="14" t="s">
        <v>776</v>
      </c>
      <c r="M103" s="24" t="s">
        <v>777</v>
      </c>
      <c r="N103" s="24" t="s">
        <v>452</v>
      </c>
      <c r="O103" s="50" t="s">
        <v>400</v>
      </c>
      <c r="P103" s="15">
        <v>7270</v>
      </c>
      <c r="Q103" s="15">
        <v>7270</v>
      </c>
      <c r="R103" s="15">
        <v>0</v>
      </c>
      <c r="S103" s="15">
        <v>0</v>
      </c>
      <c r="T103" s="23">
        <v>2700</v>
      </c>
      <c r="U103" s="15">
        <v>0</v>
      </c>
      <c r="V103" s="15">
        <v>3873</v>
      </c>
      <c r="W103" s="19">
        <v>2700</v>
      </c>
      <c r="X103" s="20">
        <v>0</v>
      </c>
      <c r="Y103" s="20">
        <v>0</v>
      </c>
      <c r="Z103" s="20">
        <v>3873</v>
      </c>
      <c r="AA103" s="21">
        <v>3873</v>
      </c>
      <c r="AB103" s="22">
        <v>0</v>
      </c>
      <c r="AC103" s="22">
        <v>0</v>
      </c>
      <c r="AD103" s="22">
        <f>3873*18/100</f>
        <v>697.14</v>
      </c>
      <c r="AE103" s="23">
        <f>697-AD103</f>
        <v>-0.13999999999998636</v>
      </c>
      <c r="AF103" s="24" t="s">
        <v>769</v>
      </c>
      <c r="AG103" s="23"/>
      <c r="AH103" s="24" t="s">
        <v>778</v>
      </c>
      <c r="AI103" s="24" t="s">
        <v>55</v>
      </c>
      <c r="AJ103" s="23"/>
      <c r="AK103" s="25" t="s">
        <v>176</v>
      </c>
    </row>
    <row r="104" spans="1:37" x14ac:dyDescent="0.25">
      <c r="A104" s="13">
        <v>44722</v>
      </c>
      <c r="B104" s="23" t="s">
        <v>779</v>
      </c>
      <c r="C104" s="24" t="s">
        <v>780</v>
      </c>
      <c r="D104" s="24" t="s">
        <v>781</v>
      </c>
      <c r="E104" s="23" t="s">
        <v>782</v>
      </c>
      <c r="F104" s="14">
        <v>9310973212</v>
      </c>
      <c r="G104" s="26" t="s">
        <v>783</v>
      </c>
      <c r="H104" s="23" t="s">
        <v>784</v>
      </c>
      <c r="I104" s="17" t="s">
        <v>785</v>
      </c>
      <c r="J104" s="18" t="s">
        <v>786</v>
      </c>
      <c r="K104" s="15" t="s">
        <v>749</v>
      </c>
      <c r="L104" s="14" t="s">
        <v>65</v>
      </c>
      <c r="M104" s="23" t="s">
        <v>308</v>
      </c>
      <c r="N104" s="24" t="s">
        <v>173</v>
      </c>
      <c r="O104" s="14" t="s">
        <v>424</v>
      </c>
      <c r="P104" s="15">
        <v>6345</v>
      </c>
      <c r="Q104" s="15">
        <v>6345</v>
      </c>
      <c r="R104" s="15">
        <v>0</v>
      </c>
      <c r="S104" s="15">
        <v>0</v>
      </c>
      <c r="T104" s="15">
        <v>4870</v>
      </c>
      <c r="U104" s="15">
        <v>250</v>
      </c>
      <c r="V104" s="15">
        <v>1000</v>
      </c>
      <c r="W104" s="19">
        <v>4870</v>
      </c>
      <c r="X104" s="20">
        <v>0</v>
      </c>
      <c r="Y104" s="20">
        <v>0</v>
      </c>
      <c r="Z104" s="20">
        <v>1250</v>
      </c>
      <c r="AA104" s="21">
        <v>1250</v>
      </c>
      <c r="AB104" s="22">
        <v>0</v>
      </c>
      <c r="AC104" s="22">
        <v>0</v>
      </c>
      <c r="AD104" s="22">
        <f>1250*18/100</f>
        <v>225</v>
      </c>
      <c r="AE104" s="23">
        <v>0</v>
      </c>
      <c r="AF104" s="24" t="s">
        <v>780</v>
      </c>
      <c r="AG104" s="23"/>
      <c r="AH104" s="24" t="s">
        <v>787</v>
      </c>
      <c r="AI104" s="24" t="s">
        <v>55</v>
      </c>
      <c r="AJ104" s="23"/>
      <c r="AK104" s="25" t="s">
        <v>697</v>
      </c>
    </row>
    <row r="105" spans="1:37" x14ac:dyDescent="0.25">
      <c r="A105" s="13">
        <v>44722</v>
      </c>
      <c r="B105" s="24" t="s">
        <v>788</v>
      </c>
      <c r="C105" s="24" t="s">
        <v>789</v>
      </c>
      <c r="D105" s="24" t="s">
        <v>790</v>
      </c>
      <c r="E105" s="23" t="s">
        <v>791</v>
      </c>
      <c r="F105" s="14">
        <v>8459901704</v>
      </c>
      <c r="G105" s="16" t="s">
        <v>46</v>
      </c>
      <c r="H105" s="23" t="s">
        <v>46</v>
      </c>
      <c r="I105" s="17" t="s">
        <v>792</v>
      </c>
      <c r="J105" s="18" t="s">
        <v>793</v>
      </c>
      <c r="K105" s="15" t="s">
        <v>116</v>
      </c>
      <c r="L105" s="14" t="s">
        <v>741</v>
      </c>
      <c r="M105" s="23" t="s">
        <v>105</v>
      </c>
      <c r="N105" s="24" t="s">
        <v>67</v>
      </c>
      <c r="O105" s="50" t="s">
        <v>400</v>
      </c>
      <c r="P105" s="15">
        <v>14753</v>
      </c>
      <c r="Q105" s="15">
        <v>14753</v>
      </c>
      <c r="R105" s="15">
        <v>0</v>
      </c>
      <c r="S105" s="15">
        <v>0</v>
      </c>
      <c r="T105" s="15">
        <v>0</v>
      </c>
      <c r="U105" s="15">
        <v>4500</v>
      </c>
      <c r="V105" s="15">
        <v>8003</v>
      </c>
      <c r="W105" s="19">
        <v>0</v>
      </c>
      <c r="X105" s="20">
        <v>0</v>
      </c>
      <c r="Y105" s="20">
        <v>0</v>
      </c>
      <c r="Z105" s="20">
        <v>12503</v>
      </c>
      <c r="AA105" s="21">
        <v>12503</v>
      </c>
      <c r="AB105" s="22">
        <f>12503*18/100/2</f>
        <v>1125.27</v>
      </c>
      <c r="AC105" s="22">
        <f>12503*18/100/2</f>
        <v>1125.27</v>
      </c>
      <c r="AD105" s="22">
        <v>0</v>
      </c>
      <c r="AE105" s="23">
        <f>2250-AC105-AB105</f>
        <v>-0.53999999999996362</v>
      </c>
      <c r="AF105" s="24" t="s">
        <v>789</v>
      </c>
      <c r="AG105" s="23"/>
      <c r="AH105" s="24" t="s">
        <v>794</v>
      </c>
      <c r="AI105" s="24" t="s">
        <v>795</v>
      </c>
      <c r="AJ105" s="23"/>
      <c r="AK105" s="25" t="s">
        <v>796</v>
      </c>
    </row>
    <row r="106" spans="1:37" x14ac:dyDescent="0.25">
      <c r="A106" s="13">
        <v>44722</v>
      </c>
      <c r="B106" s="24" t="s">
        <v>788</v>
      </c>
      <c r="C106" s="24" t="s">
        <v>797</v>
      </c>
      <c r="D106" s="24" t="s">
        <v>798</v>
      </c>
      <c r="E106" s="23" t="s">
        <v>799</v>
      </c>
      <c r="F106" s="14">
        <v>9892498786</v>
      </c>
      <c r="G106" s="16" t="s">
        <v>46</v>
      </c>
      <c r="H106" s="16" t="s">
        <v>46</v>
      </c>
      <c r="I106" s="17" t="s">
        <v>800</v>
      </c>
      <c r="J106" s="18" t="s">
        <v>801</v>
      </c>
      <c r="K106" s="15" t="s">
        <v>116</v>
      </c>
      <c r="L106" s="14" t="s">
        <v>741</v>
      </c>
      <c r="M106" s="23" t="s">
        <v>105</v>
      </c>
      <c r="N106" s="24" t="s">
        <v>67</v>
      </c>
      <c r="O106" s="14" t="s">
        <v>802</v>
      </c>
      <c r="P106" s="15">
        <v>18000</v>
      </c>
      <c r="Q106" s="15">
        <v>18000</v>
      </c>
      <c r="R106" s="15">
        <v>0</v>
      </c>
      <c r="S106" s="15">
        <v>0</v>
      </c>
      <c r="T106" s="15">
        <v>0</v>
      </c>
      <c r="U106" s="15">
        <v>8000</v>
      </c>
      <c r="V106" s="15">
        <v>10000</v>
      </c>
      <c r="W106" s="19">
        <v>0</v>
      </c>
      <c r="X106" s="20">
        <v>0</v>
      </c>
      <c r="Y106" s="20">
        <v>0</v>
      </c>
      <c r="Z106" s="20">
        <v>18000</v>
      </c>
      <c r="AA106" s="21">
        <v>0</v>
      </c>
      <c r="AB106" s="22">
        <v>0</v>
      </c>
      <c r="AC106" s="22">
        <v>0</v>
      </c>
      <c r="AD106" s="22">
        <v>0</v>
      </c>
      <c r="AE106" s="22">
        <v>0</v>
      </c>
      <c r="AF106" s="24" t="s">
        <v>797</v>
      </c>
      <c r="AG106" s="23"/>
      <c r="AH106" s="24" t="s">
        <v>803</v>
      </c>
      <c r="AI106" s="24" t="s">
        <v>795</v>
      </c>
      <c r="AJ106" s="23"/>
      <c r="AK106" s="25" t="s">
        <v>804</v>
      </c>
    </row>
    <row r="107" spans="1:37" x14ac:dyDescent="0.25">
      <c r="A107" s="13">
        <v>44722</v>
      </c>
      <c r="B107" s="24" t="s">
        <v>788</v>
      </c>
      <c r="C107" s="24" t="s">
        <v>805</v>
      </c>
      <c r="D107" s="24" t="s">
        <v>806</v>
      </c>
      <c r="E107" s="24" t="s">
        <v>791</v>
      </c>
      <c r="F107" s="23">
        <v>8459901704</v>
      </c>
      <c r="G107" s="23" t="s">
        <v>46</v>
      </c>
      <c r="H107" s="23" t="s">
        <v>46</v>
      </c>
      <c r="I107" s="17" t="s">
        <v>807</v>
      </c>
      <c r="J107" s="18" t="s">
        <v>808</v>
      </c>
      <c r="K107" s="15" t="s">
        <v>116</v>
      </c>
      <c r="L107" s="23" t="s">
        <v>741</v>
      </c>
      <c r="M107" s="23" t="s">
        <v>105</v>
      </c>
      <c r="N107" s="24" t="s">
        <v>67</v>
      </c>
      <c r="O107" s="50" t="s">
        <v>400</v>
      </c>
      <c r="P107" s="23">
        <v>14753</v>
      </c>
      <c r="Q107" s="23">
        <v>14753</v>
      </c>
      <c r="R107" s="23">
        <v>0</v>
      </c>
      <c r="S107" s="23">
        <v>0</v>
      </c>
      <c r="T107" s="23">
        <v>0</v>
      </c>
      <c r="U107" s="23">
        <v>8500</v>
      </c>
      <c r="V107" s="23">
        <v>4003</v>
      </c>
      <c r="W107" s="19">
        <v>0</v>
      </c>
      <c r="X107" s="20">
        <v>0</v>
      </c>
      <c r="Y107" s="20">
        <v>0</v>
      </c>
      <c r="Z107" s="20">
        <v>12503</v>
      </c>
      <c r="AA107" s="21">
        <v>12503</v>
      </c>
      <c r="AB107" s="23">
        <f>12503*18/100/2</f>
        <v>1125.27</v>
      </c>
      <c r="AC107" s="23">
        <f>12503*18/100/2</f>
        <v>1125.27</v>
      </c>
      <c r="AD107" s="23">
        <v>0</v>
      </c>
      <c r="AE107" s="23">
        <f>2250-AC107-AB107</f>
        <v>-0.53999999999996362</v>
      </c>
      <c r="AF107" s="24" t="s">
        <v>805</v>
      </c>
      <c r="AG107" s="23" t="s">
        <v>561</v>
      </c>
      <c r="AH107" s="24" t="s">
        <v>809</v>
      </c>
      <c r="AI107" s="24" t="s">
        <v>795</v>
      </c>
      <c r="AJ107" s="23"/>
      <c r="AK107" s="25" t="s">
        <v>796</v>
      </c>
    </row>
    <row r="108" spans="1:37" x14ac:dyDescent="0.25">
      <c r="A108" s="13">
        <v>44722</v>
      </c>
      <c r="B108" s="23" t="s">
        <v>810</v>
      </c>
      <c r="C108" s="24" t="s">
        <v>811</v>
      </c>
      <c r="D108" s="24" t="s">
        <v>46</v>
      </c>
      <c r="E108" s="24" t="s">
        <v>812</v>
      </c>
      <c r="F108" s="15" t="s">
        <v>813</v>
      </c>
      <c r="G108" s="16" t="s">
        <v>814</v>
      </c>
      <c r="H108" s="14" t="s">
        <v>46</v>
      </c>
      <c r="I108" s="17" t="s">
        <v>815</v>
      </c>
      <c r="J108" s="18" t="s">
        <v>816</v>
      </c>
      <c r="K108" s="15" t="s">
        <v>749</v>
      </c>
      <c r="L108" s="14" t="s">
        <v>817</v>
      </c>
      <c r="M108" s="23" t="s">
        <v>818</v>
      </c>
      <c r="N108" s="24" t="s">
        <v>297</v>
      </c>
      <c r="O108" s="14" t="s">
        <v>53</v>
      </c>
      <c r="P108" s="15">
        <v>4000</v>
      </c>
      <c r="Q108" s="15">
        <v>4000</v>
      </c>
      <c r="R108" s="15">
        <v>0</v>
      </c>
      <c r="S108" s="15">
        <v>0</v>
      </c>
      <c r="T108" s="15">
        <v>0</v>
      </c>
      <c r="U108" s="15">
        <v>1850</v>
      </c>
      <c r="V108" s="15">
        <v>1540</v>
      </c>
      <c r="W108" s="19">
        <v>0</v>
      </c>
      <c r="X108" s="20">
        <v>0</v>
      </c>
      <c r="Y108" s="20">
        <v>1150</v>
      </c>
      <c r="Z108" s="20">
        <v>2240</v>
      </c>
      <c r="AA108" s="21">
        <v>3390</v>
      </c>
      <c r="AB108" s="22">
        <v>0</v>
      </c>
      <c r="AC108" s="22">
        <v>0</v>
      </c>
      <c r="AD108" s="22">
        <f>3390*18/100</f>
        <v>610.20000000000005</v>
      </c>
      <c r="AE108" s="23">
        <f>610-AD108</f>
        <v>-0.20000000000004547</v>
      </c>
      <c r="AF108" s="24" t="s">
        <v>811</v>
      </c>
      <c r="AG108" s="23"/>
      <c r="AH108" s="24" t="s">
        <v>819</v>
      </c>
      <c r="AI108" s="24" t="s">
        <v>55</v>
      </c>
      <c r="AJ108" s="23"/>
      <c r="AK108" s="25" t="s">
        <v>820</v>
      </c>
    </row>
    <row r="109" spans="1:37" x14ac:dyDescent="0.25">
      <c r="A109" s="13">
        <v>44722</v>
      </c>
      <c r="B109" s="24" t="s">
        <v>788</v>
      </c>
      <c r="C109" s="24" t="s">
        <v>821</v>
      </c>
      <c r="D109" s="24" t="s">
        <v>822</v>
      </c>
      <c r="E109" s="24" t="s">
        <v>823</v>
      </c>
      <c r="F109" s="15">
        <v>9412858777</v>
      </c>
      <c r="G109" s="16" t="s">
        <v>46</v>
      </c>
      <c r="H109" s="16" t="s">
        <v>46</v>
      </c>
      <c r="I109" s="17" t="s">
        <v>824</v>
      </c>
      <c r="J109" s="18" t="s">
        <v>825</v>
      </c>
      <c r="K109" s="15" t="s">
        <v>116</v>
      </c>
      <c r="L109" s="14" t="s">
        <v>741</v>
      </c>
      <c r="M109" s="24" t="s">
        <v>826</v>
      </c>
      <c r="N109" s="24" t="s">
        <v>173</v>
      </c>
      <c r="O109" s="14" t="s">
        <v>53</v>
      </c>
      <c r="P109" s="15">
        <v>14753</v>
      </c>
      <c r="Q109" s="15">
        <v>14753</v>
      </c>
      <c r="R109" s="15">
        <v>0</v>
      </c>
      <c r="S109" s="15">
        <v>0</v>
      </c>
      <c r="T109" s="15">
        <v>0</v>
      </c>
      <c r="U109" s="15">
        <v>4500</v>
      </c>
      <c r="V109" s="15">
        <v>8003</v>
      </c>
      <c r="W109" s="19">
        <v>0</v>
      </c>
      <c r="X109" s="20">
        <v>0</v>
      </c>
      <c r="Y109" s="20">
        <v>0</v>
      </c>
      <c r="Z109" s="20">
        <v>12503</v>
      </c>
      <c r="AA109" s="21">
        <v>12503</v>
      </c>
      <c r="AB109" s="22">
        <v>0</v>
      </c>
      <c r="AC109" s="22">
        <v>0</v>
      </c>
      <c r="AD109" s="22">
        <f>12503*18/100</f>
        <v>2250.54</v>
      </c>
      <c r="AE109" s="23">
        <f>2250-AD109</f>
        <v>-0.53999999999996362</v>
      </c>
      <c r="AF109" s="24" t="s">
        <v>821</v>
      </c>
      <c r="AG109" s="23" t="s">
        <v>561</v>
      </c>
      <c r="AH109" s="24" t="s">
        <v>809</v>
      </c>
      <c r="AI109" s="24" t="s">
        <v>55</v>
      </c>
      <c r="AJ109" s="23"/>
      <c r="AK109" s="25" t="s">
        <v>827</v>
      </c>
    </row>
    <row r="110" spans="1:37" x14ac:dyDescent="0.25">
      <c r="A110" s="13">
        <v>44722</v>
      </c>
      <c r="B110" s="23" t="s">
        <v>828</v>
      </c>
      <c r="C110" s="24" t="s">
        <v>829</v>
      </c>
      <c r="D110" s="24" t="s">
        <v>830</v>
      </c>
      <c r="E110" s="24" t="s">
        <v>831</v>
      </c>
      <c r="F110" s="15">
        <v>9569474552</v>
      </c>
      <c r="G110" s="51" t="s">
        <v>832</v>
      </c>
      <c r="H110" s="23" t="s">
        <v>833</v>
      </c>
      <c r="I110" s="17" t="s">
        <v>834</v>
      </c>
      <c r="J110" s="18" t="s">
        <v>835</v>
      </c>
      <c r="K110" s="14" t="s">
        <v>285</v>
      </c>
      <c r="L110" s="14" t="s">
        <v>836</v>
      </c>
      <c r="M110" s="23" t="s">
        <v>837</v>
      </c>
      <c r="N110" s="24" t="s">
        <v>173</v>
      </c>
      <c r="O110" s="50" t="s">
        <v>400</v>
      </c>
      <c r="P110" s="15">
        <v>5090</v>
      </c>
      <c r="Q110" s="15">
        <v>4000</v>
      </c>
      <c r="R110" s="15">
        <v>1090</v>
      </c>
      <c r="S110" s="15">
        <v>0</v>
      </c>
      <c r="T110" s="15">
        <f>900+110</f>
        <v>1010</v>
      </c>
      <c r="U110" s="15">
        <v>0</v>
      </c>
      <c r="V110" s="15">
        <v>3458</v>
      </c>
      <c r="W110" s="19">
        <v>1010</v>
      </c>
      <c r="X110" s="20">
        <v>0</v>
      </c>
      <c r="Y110" s="20">
        <v>0</v>
      </c>
      <c r="Z110" s="20">
        <v>3458</v>
      </c>
      <c r="AA110" s="21">
        <v>3458</v>
      </c>
      <c r="AB110" s="22">
        <v>0</v>
      </c>
      <c r="AC110" s="22">
        <v>0</v>
      </c>
      <c r="AD110" s="22">
        <f>3458*18/100</f>
        <v>622.44000000000005</v>
      </c>
      <c r="AE110" s="23">
        <f>622-AD110</f>
        <v>-0.44000000000005457</v>
      </c>
      <c r="AF110" s="24" t="s">
        <v>829</v>
      </c>
      <c r="AG110" s="23" t="s">
        <v>838</v>
      </c>
      <c r="AH110" s="24" t="s">
        <v>839</v>
      </c>
      <c r="AI110" s="24" t="s">
        <v>55</v>
      </c>
      <c r="AJ110" s="23"/>
      <c r="AK110" s="25" t="s">
        <v>840</v>
      </c>
    </row>
    <row r="111" spans="1:37" x14ac:dyDescent="0.25">
      <c r="A111" s="13">
        <v>44722</v>
      </c>
      <c r="B111" s="23" t="s">
        <v>125</v>
      </c>
      <c r="C111" s="24" t="s">
        <v>564</v>
      </c>
      <c r="D111" s="24" t="s">
        <v>565</v>
      </c>
      <c r="E111" s="24" t="s">
        <v>566</v>
      </c>
      <c r="F111" s="15">
        <v>7767018619</v>
      </c>
      <c r="G111" s="16" t="s">
        <v>567</v>
      </c>
      <c r="H111" s="14" t="s">
        <v>568</v>
      </c>
      <c r="I111" s="17" t="s">
        <v>569</v>
      </c>
      <c r="J111" s="18" t="s">
        <v>841</v>
      </c>
      <c r="K111" s="15" t="s">
        <v>196</v>
      </c>
      <c r="L111" s="14" t="s">
        <v>571</v>
      </c>
      <c r="M111" s="24" t="s">
        <v>80</v>
      </c>
      <c r="N111" s="24" t="s">
        <v>67</v>
      </c>
      <c r="O111" s="14" t="s">
        <v>424</v>
      </c>
      <c r="P111" s="15">
        <v>0</v>
      </c>
      <c r="Q111" s="15">
        <v>5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9">
        <v>0</v>
      </c>
      <c r="X111" s="15">
        <v>0</v>
      </c>
      <c r="Y111" s="15">
        <v>0</v>
      </c>
      <c r="Z111" s="15">
        <v>0</v>
      </c>
      <c r="AA111" s="21">
        <v>0</v>
      </c>
      <c r="AB111" s="15">
        <v>0</v>
      </c>
      <c r="AC111" s="15">
        <v>0</v>
      </c>
      <c r="AD111" s="15">
        <v>0</v>
      </c>
      <c r="AE111" s="15">
        <v>0</v>
      </c>
      <c r="AF111" s="24" t="s">
        <v>564</v>
      </c>
      <c r="AG111" s="23"/>
      <c r="AH111" s="24" t="s">
        <v>46</v>
      </c>
      <c r="AI111" s="24" t="s">
        <v>55</v>
      </c>
      <c r="AJ111" s="23"/>
      <c r="AK111" s="25"/>
    </row>
    <row r="112" spans="1:37" x14ac:dyDescent="0.25">
      <c r="A112" s="13">
        <v>44722</v>
      </c>
      <c r="B112" s="23" t="s">
        <v>125</v>
      </c>
      <c r="C112" s="24" t="s">
        <v>842</v>
      </c>
      <c r="D112" s="30" t="s">
        <v>843</v>
      </c>
      <c r="E112" s="24" t="s">
        <v>844</v>
      </c>
      <c r="F112" s="28">
        <v>9352693815</v>
      </c>
      <c r="G112" s="56" t="s">
        <v>845</v>
      </c>
      <c r="H112" s="23" t="s">
        <v>846</v>
      </c>
      <c r="I112" s="17" t="s">
        <v>847</v>
      </c>
      <c r="J112" s="18" t="s">
        <v>848</v>
      </c>
      <c r="K112" s="30" t="s">
        <v>170</v>
      </c>
      <c r="L112" s="30" t="s">
        <v>849</v>
      </c>
      <c r="M112" s="24" t="s">
        <v>451</v>
      </c>
      <c r="N112" s="24" t="s">
        <v>452</v>
      </c>
      <c r="O112" s="50" t="s">
        <v>400</v>
      </c>
      <c r="P112" s="28">
        <v>0</v>
      </c>
      <c r="Q112" s="28">
        <v>4500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19">
        <v>0</v>
      </c>
      <c r="X112" s="23">
        <v>0</v>
      </c>
      <c r="Y112" s="23">
        <v>0</v>
      </c>
      <c r="Z112" s="23">
        <v>0</v>
      </c>
      <c r="AA112" s="21">
        <v>0</v>
      </c>
      <c r="AB112" s="23">
        <v>0</v>
      </c>
      <c r="AC112" s="23">
        <v>0</v>
      </c>
      <c r="AD112" s="23">
        <v>0</v>
      </c>
      <c r="AE112" s="23">
        <v>0</v>
      </c>
      <c r="AF112" s="24" t="s">
        <v>842</v>
      </c>
      <c r="AG112" s="23"/>
      <c r="AH112" s="24" t="s">
        <v>46</v>
      </c>
      <c r="AI112" s="24" t="s">
        <v>55</v>
      </c>
      <c r="AJ112" s="23"/>
      <c r="AK112" s="25"/>
    </row>
    <row r="113" spans="1:37" ht="15.75" thickBot="1" x14ac:dyDescent="0.3">
      <c r="A113" s="107" t="s">
        <v>137</v>
      </c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32">
        <f t="shared" ref="P113:AE113" si="8">SUM(P100:P112)</f>
        <v>97463</v>
      </c>
      <c r="Q113" s="32">
        <f t="shared" si="8"/>
        <v>100878</v>
      </c>
      <c r="R113" s="32">
        <f t="shared" si="8"/>
        <v>1090</v>
      </c>
      <c r="S113" s="32">
        <f t="shared" si="8"/>
        <v>0</v>
      </c>
      <c r="T113" s="32">
        <f t="shared" si="8"/>
        <v>13450</v>
      </c>
      <c r="U113" s="32">
        <f t="shared" si="8"/>
        <v>28690</v>
      </c>
      <c r="V113" s="32">
        <f t="shared" si="8"/>
        <v>45256</v>
      </c>
      <c r="W113" s="33">
        <f t="shared" si="8"/>
        <v>13450</v>
      </c>
      <c r="X113" s="34">
        <f t="shared" si="8"/>
        <v>0</v>
      </c>
      <c r="Y113" s="34">
        <f t="shared" si="8"/>
        <v>1150</v>
      </c>
      <c r="Z113" s="34">
        <f t="shared" si="8"/>
        <v>72796</v>
      </c>
      <c r="AA113" s="35">
        <f t="shared" si="8"/>
        <v>55946</v>
      </c>
      <c r="AB113" s="32">
        <f t="shared" si="8"/>
        <v>2403.09</v>
      </c>
      <c r="AC113" s="32">
        <f t="shared" si="8"/>
        <v>2403.09</v>
      </c>
      <c r="AD113" s="32">
        <f t="shared" si="8"/>
        <v>5264.1</v>
      </c>
      <c r="AE113" s="32">
        <f t="shared" si="8"/>
        <v>-3.2800000000000296</v>
      </c>
      <c r="AF113" s="109"/>
      <c r="AG113" s="109"/>
      <c r="AH113" s="109"/>
      <c r="AI113" s="36"/>
      <c r="AJ113" s="37"/>
      <c r="AK113" s="38"/>
    </row>
    <row r="114" spans="1:37" ht="15.75" thickBot="1" x14ac:dyDescent="0.3"/>
    <row r="115" spans="1:37" x14ac:dyDescent="0.25">
      <c r="A115" s="112" t="s">
        <v>0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4"/>
      <c r="X115" s="113" t="s">
        <v>1</v>
      </c>
      <c r="Y115" s="114"/>
      <c r="Z115" s="114"/>
      <c r="AA115" s="5" t="s">
        <v>225</v>
      </c>
      <c r="AB115" s="115" t="s">
        <v>3</v>
      </c>
      <c r="AC115" s="116"/>
      <c r="AD115" s="116"/>
      <c r="AE115" s="116"/>
      <c r="AF115" s="105" t="s">
        <v>4</v>
      </c>
      <c r="AG115" s="105"/>
      <c r="AH115" s="105"/>
      <c r="AI115" s="105" t="s">
        <v>5</v>
      </c>
      <c r="AJ115" s="105"/>
      <c r="AK115" s="106"/>
    </row>
    <row r="116" spans="1:37" x14ac:dyDescent="0.25">
      <c r="A116" s="6" t="s">
        <v>6</v>
      </c>
      <c r="B116" s="7" t="s">
        <v>7</v>
      </c>
      <c r="C116" s="7" t="s">
        <v>8</v>
      </c>
      <c r="D116" s="7" t="s">
        <v>9</v>
      </c>
      <c r="E116" s="7" t="s">
        <v>10</v>
      </c>
      <c r="F116" s="7" t="s">
        <v>11</v>
      </c>
      <c r="G116" s="7" t="s">
        <v>12</v>
      </c>
      <c r="H116" s="7" t="s">
        <v>13</v>
      </c>
      <c r="I116" s="7" t="s">
        <v>14</v>
      </c>
      <c r="J116" s="7" t="s">
        <v>15</v>
      </c>
      <c r="K116" s="7" t="s">
        <v>16</v>
      </c>
      <c r="L116" s="7" t="s">
        <v>17</v>
      </c>
      <c r="M116" s="7" t="s">
        <v>18</v>
      </c>
      <c r="N116" s="7" t="s">
        <v>19</v>
      </c>
      <c r="O116" s="7" t="s">
        <v>20</v>
      </c>
      <c r="P116" s="7" t="s">
        <v>21</v>
      </c>
      <c r="Q116" s="7" t="s">
        <v>22</v>
      </c>
      <c r="R116" s="7" t="s">
        <v>23</v>
      </c>
      <c r="S116" s="7" t="s">
        <v>24</v>
      </c>
      <c r="T116" s="7" t="s">
        <v>25</v>
      </c>
      <c r="U116" s="7" t="s">
        <v>26</v>
      </c>
      <c r="V116" s="7" t="s">
        <v>27</v>
      </c>
      <c r="W116" s="8" t="s">
        <v>25</v>
      </c>
      <c r="X116" s="9" t="s">
        <v>28</v>
      </c>
      <c r="Y116" s="9" t="s">
        <v>29</v>
      </c>
      <c r="Z116" s="9" t="s">
        <v>30</v>
      </c>
      <c r="AA116" s="10" t="s">
        <v>31</v>
      </c>
      <c r="AB116" s="7" t="s">
        <v>32</v>
      </c>
      <c r="AC116" s="7" t="s">
        <v>33</v>
      </c>
      <c r="AD116" s="7" t="s">
        <v>34</v>
      </c>
      <c r="AE116" s="7" t="s">
        <v>35</v>
      </c>
      <c r="AF116" s="7" t="s">
        <v>36</v>
      </c>
      <c r="AG116" s="7" t="s">
        <v>37</v>
      </c>
      <c r="AH116" s="7" t="s">
        <v>38</v>
      </c>
      <c r="AI116" s="7" t="s">
        <v>39</v>
      </c>
      <c r="AJ116" s="11" t="s">
        <v>40</v>
      </c>
      <c r="AK116" s="12" t="s">
        <v>41</v>
      </c>
    </row>
    <row r="117" spans="1:37" x14ac:dyDescent="0.25">
      <c r="A117" s="13">
        <v>44725</v>
      </c>
      <c r="B117" s="14" t="s">
        <v>850</v>
      </c>
      <c r="C117" s="18" t="s">
        <v>851</v>
      </c>
      <c r="D117" s="18" t="s">
        <v>46</v>
      </c>
      <c r="E117" s="18" t="s">
        <v>852</v>
      </c>
      <c r="F117" s="15">
        <v>8369326729</v>
      </c>
      <c r="G117" s="15" t="s">
        <v>853</v>
      </c>
      <c r="H117" s="14" t="s">
        <v>46</v>
      </c>
      <c r="I117" s="17" t="s">
        <v>854</v>
      </c>
      <c r="J117" s="18" t="s">
        <v>855</v>
      </c>
      <c r="K117" s="15" t="s">
        <v>285</v>
      </c>
      <c r="L117" s="14" t="s">
        <v>856</v>
      </c>
      <c r="M117" s="18" t="s">
        <v>80</v>
      </c>
      <c r="N117" s="18" t="s">
        <v>67</v>
      </c>
      <c r="O117" s="50" t="s">
        <v>400</v>
      </c>
      <c r="P117" s="15">
        <v>500</v>
      </c>
      <c r="Q117" s="15">
        <v>500</v>
      </c>
      <c r="R117" s="15">
        <v>0</v>
      </c>
      <c r="S117" s="15">
        <v>0</v>
      </c>
      <c r="T117" s="15">
        <v>0</v>
      </c>
      <c r="U117" s="15">
        <v>0</v>
      </c>
      <c r="V117" s="15">
        <v>424</v>
      </c>
      <c r="W117" s="19">
        <v>0</v>
      </c>
      <c r="X117" s="20">
        <v>0</v>
      </c>
      <c r="Y117" s="20">
        <v>0</v>
      </c>
      <c r="Z117" s="20">
        <v>424</v>
      </c>
      <c r="AA117" s="21">
        <v>424</v>
      </c>
      <c r="AB117" s="57">
        <f>424*18/100/2</f>
        <v>38.159999999999997</v>
      </c>
      <c r="AC117" s="57">
        <f>424*18/100/2</f>
        <v>38.159999999999997</v>
      </c>
      <c r="AD117" s="57">
        <v>0</v>
      </c>
      <c r="AE117" s="58">
        <f>76-AC117-AB117</f>
        <v>-0.31999999999999318</v>
      </c>
      <c r="AF117" s="18" t="s">
        <v>857</v>
      </c>
      <c r="AG117" s="58"/>
      <c r="AH117" s="18" t="s">
        <v>858</v>
      </c>
      <c r="AI117" s="24" t="s">
        <v>55</v>
      </c>
      <c r="AJ117" s="23"/>
      <c r="AK117" s="25" t="s">
        <v>46</v>
      </c>
    </row>
    <row r="118" spans="1:37" x14ac:dyDescent="0.25">
      <c r="A118" s="13">
        <v>44725</v>
      </c>
      <c r="B118" s="24" t="s">
        <v>859</v>
      </c>
      <c r="C118" s="24" t="s">
        <v>860</v>
      </c>
      <c r="D118" s="24" t="s">
        <v>46</v>
      </c>
      <c r="E118" s="24" t="s">
        <v>861</v>
      </c>
      <c r="F118" s="15">
        <v>9441756806</v>
      </c>
      <c r="G118" s="16" t="s">
        <v>862</v>
      </c>
      <c r="H118" s="23" t="s">
        <v>863</v>
      </c>
      <c r="I118" s="17" t="s">
        <v>864</v>
      </c>
      <c r="J118" s="18" t="s">
        <v>865</v>
      </c>
      <c r="K118" s="14" t="s">
        <v>285</v>
      </c>
      <c r="L118" s="14" t="s">
        <v>866</v>
      </c>
      <c r="M118" s="24" t="s">
        <v>867</v>
      </c>
      <c r="N118" s="24" t="s">
        <v>868</v>
      </c>
      <c r="O118" s="50" t="s">
        <v>400</v>
      </c>
      <c r="P118" s="15">
        <v>2999</v>
      </c>
      <c r="Q118" s="15">
        <v>1000</v>
      </c>
      <c r="R118" s="15">
        <v>1999</v>
      </c>
      <c r="S118" s="15">
        <v>0</v>
      </c>
      <c r="T118" s="15">
        <v>0</v>
      </c>
      <c r="U118" s="15">
        <v>590</v>
      </c>
      <c r="V118" s="15">
        <v>1952</v>
      </c>
      <c r="W118" s="19">
        <v>0</v>
      </c>
      <c r="X118" s="20">
        <v>0</v>
      </c>
      <c r="Y118" s="20">
        <v>0</v>
      </c>
      <c r="Z118" s="20">
        <v>2542</v>
      </c>
      <c r="AA118" s="21">
        <v>2542</v>
      </c>
      <c r="AB118" s="22">
        <v>0</v>
      </c>
      <c r="AC118" s="22">
        <v>0</v>
      </c>
      <c r="AD118" s="22">
        <f>2542*18/100</f>
        <v>457.56</v>
      </c>
      <c r="AE118" s="23">
        <f>457-AD118</f>
        <v>-0.56000000000000227</v>
      </c>
      <c r="AF118" s="24" t="s">
        <v>860</v>
      </c>
      <c r="AG118" s="23"/>
      <c r="AH118" s="24" t="s">
        <v>869</v>
      </c>
      <c r="AI118" s="24" t="s">
        <v>55</v>
      </c>
      <c r="AJ118" s="23"/>
      <c r="AK118" s="25" t="s">
        <v>56</v>
      </c>
    </row>
    <row r="119" spans="1:37" x14ac:dyDescent="0.25">
      <c r="A119" s="13">
        <v>44725</v>
      </c>
      <c r="B119" s="23" t="s">
        <v>870</v>
      </c>
      <c r="C119" s="24" t="s">
        <v>871</v>
      </c>
      <c r="D119" s="24" t="s">
        <v>46</v>
      </c>
      <c r="E119" s="24" t="s">
        <v>872</v>
      </c>
      <c r="F119" s="15">
        <v>9359651879</v>
      </c>
      <c r="G119" s="26" t="s">
        <v>873</v>
      </c>
      <c r="H119" s="23" t="s">
        <v>46</v>
      </c>
      <c r="I119" s="17" t="s">
        <v>874</v>
      </c>
      <c r="J119" s="18" t="s">
        <v>875</v>
      </c>
      <c r="K119" s="15" t="s">
        <v>196</v>
      </c>
      <c r="L119" s="14" t="s">
        <v>489</v>
      </c>
      <c r="M119" s="24" t="s">
        <v>105</v>
      </c>
      <c r="N119" s="18" t="s">
        <v>67</v>
      </c>
      <c r="O119" s="50" t="s">
        <v>400</v>
      </c>
      <c r="P119" s="15">
        <v>3500</v>
      </c>
      <c r="Q119" s="15">
        <v>3500</v>
      </c>
      <c r="R119" s="15">
        <v>0</v>
      </c>
      <c r="S119" s="15">
        <v>0</v>
      </c>
      <c r="T119" s="15">
        <v>312</v>
      </c>
      <c r="U119" s="15">
        <v>0</v>
      </c>
      <c r="V119" s="15">
        <v>2702</v>
      </c>
      <c r="W119" s="19">
        <v>312</v>
      </c>
      <c r="X119" s="20">
        <v>500</v>
      </c>
      <c r="Y119" s="20">
        <v>1101</v>
      </c>
      <c r="Z119" s="20">
        <v>1101</v>
      </c>
      <c r="AA119" s="21">
        <v>2702</v>
      </c>
      <c r="AB119" s="22">
        <f>2702*18/100/2</f>
        <v>243.18</v>
      </c>
      <c r="AC119" s="22">
        <f>2702*18/100/2</f>
        <v>243.18</v>
      </c>
      <c r="AD119" s="22">
        <v>0</v>
      </c>
      <c r="AE119" s="23">
        <f>486-AC119-AB119</f>
        <v>-0.36000000000001364</v>
      </c>
      <c r="AF119" s="24" t="s">
        <v>871</v>
      </c>
      <c r="AG119" s="23" t="s">
        <v>876</v>
      </c>
      <c r="AH119" s="24" t="s">
        <v>877</v>
      </c>
      <c r="AI119" s="24" t="s">
        <v>55</v>
      </c>
      <c r="AJ119" s="23"/>
      <c r="AK119" s="25" t="s">
        <v>878</v>
      </c>
    </row>
    <row r="120" spans="1:37" x14ac:dyDescent="0.25">
      <c r="A120" s="13">
        <v>44725</v>
      </c>
      <c r="B120" s="24" t="s">
        <v>879</v>
      </c>
      <c r="C120" s="24" t="s">
        <v>880</v>
      </c>
      <c r="D120" s="24" t="s">
        <v>46</v>
      </c>
      <c r="E120" s="24" t="s">
        <v>881</v>
      </c>
      <c r="F120" s="15">
        <v>9016741175</v>
      </c>
      <c r="G120" s="51" t="s">
        <v>882</v>
      </c>
      <c r="H120" s="23" t="s">
        <v>883</v>
      </c>
      <c r="I120" s="17" t="s">
        <v>884</v>
      </c>
      <c r="J120" s="18" t="s">
        <v>885</v>
      </c>
      <c r="K120" s="15" t="s">
        <v>78</v>
      </c>
      <c r="L120" s="14" t="s">
        <v>886</v>
      </c>
      <c r="M120" s="23" t="s">
        <v>186</v>
      </c>
      <c r="N120" s="24" t="s">
        <v>187</v>
      </c>
      <c r="O120" s="14" t="s">
        <v>53</v>
      </c>
      <c r="P120" s="15">
        <v>6000</v>
      </c>
      <c r="Q120" s="15">
        <v>6000</v>
      </c>
      <c r="R120" s="15">
        <v>0</v>
      </c>
      <c r="S120" s="15">
        <v>0</v>
      </c>
      <c r="T120" s="23">
        <v>0</v>
      </c>
      <c r="U120" s="15">
        <v>2360</v>
      </c>
      <c r="V120" s="15">
        <v>2725</v>
      </c>
      <c r="W120" s="19">
        <v>0</v>
      </c>
      <c r="X120" s="20">
        <v>0</v>
      </c>
      <c r="Y120" s="20">
        <v>0</v>
      </c>
      <c r="Z120" s="20">
        <v>5085</v>
      </c>
      <c r="AA120" s="21">
        <v>5085</v>
      </c>
      <c r="AB120" s="22">
        <v>0</v>
      </c>
      <c r="AC120" s="22">
        <v>0</v>
      </c>
      <c r="AD120" s="22">
        <f>5085*18/100</f>
        <v>915.3</v>
      </c>
      <c r="AE120" s="23">
        <f>915-AD120</f>
        <v>-0.29999999999995453</v>
      </c>
      <c r="AF120" s="24" t="s">
        <v>880</v>
      </c>
      <c r="AG120" s="23"/>
      <c r="AH120" s="24" t="s">
        <v>887</v>
      </c>
      <c r="AI120" s="24" t="s">
        <v>55</v>
      </c>
      <c r="AJ120" s="23"/>
      <c r="AK120" s="25" t="s">
        <v>684</v>
      </c>
    </row>
    <row r="121" spans="1:37" x14ac:dyDescent="0.25">
      <c r="A121" s="13">
        <v>44725</v>
      </c>
      <c r="B121" s="24" t="s">
        <v>879</v>
      </c>
      <c r="C121" s="24" t="s">
        <v>888</v>
      </c>
      <c r="D121" s="24" t="s">
        <v>46</v>
      </c>
      <c r="E121" s="24" t="s">
        <v>889</v>
      </c>
      <c r="F121" s="14">
        <v>9722443585</v>
      </c>
      <c r="G121" s="16" t="s">
        <v>890</v>
      </c>
      <c r="H121" s="23" t="s">
        <v>891</v>
      </c>
      <c r="I121" s="17" t="s">
        <v>892</v>
      </c>
      <c r="J121" s="18" t="s">
        <v>893</v>
      </c>
      <c r="K121" s="15" t="s">
        <v>78</v>
      </c>
      <c r="L121" s="14" t="s">
        <v>894</v>
      </c>
      <c r="M121" s="23" t="s">
        <v>186</v>
      </c>
      <c r="N121" s="23" t="s">
        <v>187</v>
      </c>
      <c r="O121" s="50" t="s">
        <v>400</v>
      </c>
      <c r="P121" s="15">
        <v>6000</v>
      </c>
      <c r="Q121" s="15">
        <v>6000</v>
      </c>
      <c r="R121" s="15">
        <v>0</v>
      </c>
      <c r="S121" s="15">
        <v>0</v>
      </c>
      <c r="T121" s="15">
        <v>0</v>
      </c>
      <c r="U121" s="15">
        <v>2360</v>
      </c>
      <c r="V121" s="15">
        <v>2725</v>
      </c>
      <c r="W121" s="19">
        <v>0</v>
      </c>
      <c r="X121" s="20">
        <v>0</v>
      </c>
      <c r="Y121" s="20">
        <v>0</v>
      </c>
      <c r="Z121" s="20">
        <v>5085</v>
      </c>
      <c r="AA121" s="21">
        <v>5085</v>
      </c>
      <c r="AB121" s="22">
        <v>0</v>
      </c>
      <c r="AC121" s="22">
        <v>0</v>
      </c>
      <c r="AD121" s="22">
        <f>5085*18/100</f>
        <v>915.3</v>
      </c>
      <c r="AE121" s="23">
        <f>915-AD121</f>
        <v>-0.29999999999995453</v>
      </c>
      <c r="AF121" s="24" t="s">
        <v>888</v>
      </c>
      <c r="AG121" s="23" t="s">
        <v>895</v>
      </c>
      <c r="AH121" s="24" t="s">
        <v>896</v>
      </c>
      <c r="AI121" s="24" t="s">
        <v>55</v>
      </c>
      <c r="AJ121" s="23"/>
      <c r="AK121" s="25" t="s">
        <v>684</v>
      </c>
    </row>
    <row r="122" spans="1:37" x14ac:dyDescent="0.25">
      <c r="A122" s="13">
        <v>44725</v>
      </c>
      <c r="B122" s="24" t="s">
        <v>897</v>
      </c>
      <c r="C122" s="24" t="s">
        <v>898</v>
      </c>
      <c r="D122" s="24" t="s">
        <v>899</v>
      </c>
      <c r="E122" s="24" t="s">
        <v>900</v>
      </c>
      <c r="F122" s="14">
        <v>9869431983</v>
      </c>
      <c r="G122" s="26" t="s">
        <v>901</v>
      </c>
      <c r="H122" s="23" t="s">
        <v>902</v>
      </c>
      <c r="I122" s="17" t="s">
        <v>903</v>
      </c>
      <c r="J122" s="18" t="s">
        <v>904</v>
      </c>
      <c r="K122" s="15" t="s">
        <v>64</v>
      </c>
      <c r="L122" s="14" t="s">
        <v>653</v>
      </c>
      <c r="M122" s="23" t="s">
        <v>80</v>
      </c>
      <c r="N122" s="18" t="s">
        <v>67</v>
      </c>
      <c r="O122" s="14" t="s">
        <v>53</v>
      </c>
      <c r="P122" s="15">
        <v>6345</v>
      </c>
      <c r="Q122" s="15">
        <v>5000</v>
      </c>
      <c r="R122" s="15">
        <v>1345</v>
      </c>
      <c r="S122" s="15">
        <v>0</v>
      </c>
      <c r="T122" s="15">
        <v>4870</v>
      </c>
      <c r="U122" s="15">
        <v>250</v>
      </c>
      <c r="V122" s="15">
        <v>1000</v>
      </c>
      <c r="W122" s="19">
        <v>4870</v>
      </c>
      <c r="X122" s="20">
        <v>0</v>
      </c>
      <c r="Y122" s="20">
        <v>0</v>
      </c>
      <c r="Z122" s="20">
        <v>1250</v>
      </c>
      <c r="AA122" s="21">
        <v>1250</v>
      </c>
      <c r="AB122" s="22">
        <f>1250*18/100/2</f>
        <v>112.5</v>
      </c>
      <c r="AC122" s="22">
        <f>1250*18/100/2</f>
        <v>112.5</v>
      </c>
      <c r="AD122" s="22">
        <v>0</v>
      </c>
      <c r="AE122" s="23">
        <f>225-AC122-AB122</f>
        <v>0</v>
      </c>
      <c r="AF122" s="24" t="s">
        <v>898</v>
      </c>
      <c r="AG122" s="23"/>
      <c r="AH122" s="24" t="s">
        <v>905</v>
      </c>
      <c r="AI122" s="24" t="s">
        <v>55</v>
      </c>
      <c r="AJ122" s="23"/>
      <c r="AK122" s="25" t="s">
        <v>697</v>
      </c>
    </row>
    <row r="123" spans="1:37" x14ac:dyDescent="0.25">
      <c r="A123" s="13">
        <v>44725</v>
      </c>
      <c r="B123" s="24" t="s">
        <v>906</v>
      </c>
      <c r="C123" s="24" t="s">
        <v>907</v>
      </c>
      <c r="D123" s="24" t="s">
        <v>46</v>
      </c>
      <c r="E123" s="24" t="s">
        <v>907</v>
      </c>
      <c r="F123" s="14">
        <v>9821312649</v>
      </c>
      <c r="G123" s="16" t="s">
        <v>46</v>
      </c>
      <c r="H123" s="16" t="s">
        <v>46</v>
      </c>
      <c r="I123" s="17" t="s">
        <v>908</v>
      </c>
      <c r="J123" s="18" t="s">
        <v>909</v>
      </c>
      <c r="K123" s="15" t="s">
        <v>116</v>
      </c>
      <c r="L123" s="14" t="s">
        <v>741</v>
      </c>
      <c r="M123" s="23" t="s">
        <v>80</v>
      </c>
      <c r="N123" s="18" t="s">
        <v>67</v>
      </c>
      <c r="O123" s="50" t="s">
        <v>400</v>
      </c>
      <c r="P123" s="15">
        <v>20350</v>
      </c>
      <c r="Q123" s="15">
        <v>20350</v>
      </c>
      <c r="R123" s="15">
        <v>0</v>
      </c>
      <c r="S123" s="15">
        <v>0</v>
      </c>
      <c r="T123" s="15">
        <v>13500</v>
      </c>
      <c r="U123" s="15">
        <v>0</v>
      </c>
      <c r="V123" s="15">
        <v>5805</v>
      </c>
      <c r="W123" s="19">
        <v>13500</v>
      </c>
      <c r="X123" s="20">
        <v>2903</v>
      </c>
      <c r="Y123" s="20">
        <v>0</v>
      </c>
      <c r="Z123" s="20">
        <v>2902</v>
      </c>
      <c r="AA123" s="21">
        <v>5805</v>
      </c>
      <c r="AB123" s="22">
        <f>5805*18/100/2</f>
        <v>522.45000000000005</v>
      </c>
      <c r="AC123" s="22">
        <f>5805*18/100/2</f>
        <v>522.45000000000005</v>
      </c>
      <c r="AD123" s="22">
        <v>0</v>
      </c>
      <c r="AE123" s="22">
        <f>1045-AC123-AB123</f>
        <v>9.9999999999909051E-2</v>
      </c>
      <c r="AF123" s="24" t="s">
        <v>907</v>
      </c>
      <c r="AG123" s="23"/>
      <c r="AH123" s="24" t="s">
        <v>910</v>
      </c>
      <c r="AI123" s="24" t="s">
        <v>55</v>
      </c>
      <c r="AJ123" s="23"/>
      <c r="AK123" s="25" t="s">
        <v>911</v>
      </c>
    </row>
    <row r="124" spans="1:37" x14ac:dyDescent="0.25">
      <c r="A124" s="13">
        <v>44725</v>
      </c>
      <c r="B124" s="24" t="s">
        <v>912</v>
      </c>
      <c r="C124" s="24" t="s">
        <v>913</v>
      </c>
      <c r="D124" s="24" t="s">
        <v>914</v>
      </c>
      <c r="E124" s="24" t="s">
        <v>915</v>
      </c>
      <c r="F124" s="14">
        <v>9819638838</v>
      </c>
      <c r="G124" s="16" t="s">
        <v>916</v>
      </c>
      <c r="H124" s="23" t="s">
        <v>917</v>
      </c>
      <c r="I124" s="17" t="s">
        <v>918</v>
      </c>
      <c r="J124" s="18" t="s">
        <v>919</v>
      </c>
      <c r="K124" s="15" t="s">
        <v>255</v>
      </c>
      <c r="L124" s="14" t="s">
        <v>920</v>
      </c>
      <c r="M124" s="23" t="s">
        <v>80</v>
      </c>
      <c r="N124" s="18" t="s">
        <v>67</v>
      </c>
      <c r="O124" s="14" t="s">
        <v>53</v>
      </c>
      <c r="P124" s="15">
        <v>2360</v>
      </c>
      <c r="Q124" s="15">
        <v>2360</v>
      </c>
      <c r="R124" s="15">
        <v>0</v>
      </c>
      <c r="S124" s="15">
        <v>0</v>
      </c>
      <c r="T124" s="15">
        <v>0</v>
      </c>
      <c r="U124" s="15">
        <v>0</v>
      </c>
      <c r="V124" s="15">
        <v>2000</v>
      </c>
      <c r="W124" s="19">
        <v>0</v>
      </c>
      <c r="X124" s="20">
        <v>0</v>
      </c>
      <c r="Y124" s="20">
        <v>0</v>
      </c>
      <c r="Z124" s="20">
        <v>2000</v>
      </c>
      <c r="AA124" s="21">
        <v>2000</v>
      </c>
      <c r="AB124" s="22">
        <f>2000*18/100/2</f>
        <v>180</v>
      </c>
      <c r="AC124" s="22">
        <f>2000*18/100/2</f>
        <v>180</v>
      </c>
      <c r="AD124" s="22">
        <v>0</v>
      </c>
      <c r="AE124" s="22">
        <v>0</v>
      </c>
      <c r="AF124" s="24" t="s">
        <v>913</v>
      </c>
      <c r="AG124" s="23"/>
      <c r="AH124" s="24" t="s">
        <v>921</v>
      </c>
      <c r="AI124" s="24" t="s">
        <v>55</v>
      </c>
      <c r="AJ124" s="23"/>
      <c r="AK124" s="25" t="s">
        <v>46</v>
      </c>
    </row>
    <row r="125" spans="1:37" x14ac:dyDescent="0.25">
      <c r="A125" s="13">
        <v>44725</v>
      </c>
      <c r="B125" s="24" t="s">
        <v>612</v>
      </c>
      <c r="C125" s="24" t="s">
        <v>922</v>
      </c>
      <c r="D125" s="24" t="s">
        <v>46</v>
      </c>
      <c r="E125" s="24" t="s">
        <v>923</v>
      </c>
      <c r="F125" s="14">
        <v>7619603606</v>
      </c>
      <c r="G125" s="16" t="s">
        <v>615</v>
      </c>
      <c r="H125" s="23" t="s">
        <v>616</v>
      </c>
      <c r="I125" s="17" t="s">
        <v>924</v>
      </c>
      <c r="J125" s="18" t="s">
        <v>925</v>
      </c>
      <c r="K125" s="15" t="s">
        <v>255</v>
      </c>
      <c r="L125" s="14" t="s">
        <v>926</v>
      </c>
      <c r="M125" s="24" t="s">
        <v>620</v>
      </c>
      <c r="N125" s="24" t="s">
        <v>212</v>
      </c>
      <c r="O125" s="50" t="s">
        <v>400</v>
      </c>
      <c r="P125" s="15">
        <v>2630</v>
      </c>
      <c r="Q125" s="15">
        <v>2630</v>
      </c>
      <c r="R125" s="15">
        <v>0</v>
      </c>
      <c r="S125" s="15">
        <v>0</v>
      </c>
      <c r="T125" s="15">
        <v>0</v>
      </c>
      <c r="U125" s="15">
        <v>650</v>
      </c>
      <c r="V125" s="15">
        <v>1579</v>
      </c>
      <c r="W125" s="19">
        <v>0</v>
      </c>
      <c r="X125" s="20">
        <v>500</v>
      </c>
      <c r="Y125" s="20">
        <v>1729</v>
      </c>
      <c r="Z125" s="20">
        <v>0</v>
      </c>
      <c r="AA125" s="21">
        <v>2229</v>
      </c>
      <c r="AB125" s="22">
        <v>0</v>
      </c>
      <c r="AC125" s="22">
        <v>0</v>
      </c>
      <c r="AD125" s="22">
        <f>2229*18/100</f>
        <v>401.22</v>
      </c>
      <c r="AE125" s="22">
        <f>401-AD125</f>
        <v>-0.22000000000002728</v>
      </c>
      <c r="AF125" s="24" t="s">
        <v>621</v>
      </c>
      <c r="AG125" s="23"/>
      <c r="AH125" s="24" t="s">
        <v>927</v>
      </c>
      <c r="AI125" s="24" t="s">
        <v>55</v>
      </c>
      <c r="AJ125" s="23"/>
      <c r="AK125" s="25" t="s">
        <v>623</v>
      </c>
    </row>
    <row r="126" spans="1:37" ht="15.75" thickBot="1" x14ac:dyDescent="0.3">
      <c r="A126" s="107" t="s">
        <v>137</v>
      </c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32">
        <f t="shared" ref="P126:AE126" si="9">SUM(P117:P125)</f>
        <v>50684</v>
      </c>
      <c r="Q126" s="32">
        <f t="shared" si="9"/>
        <v>47340</v>
      </c>
      <c r="R126" s="32">
        <f t="shared" si="9"/>
        <v>3344</v>
      </c>
      <c r="S126" s="32">
        <f t="shared" si="9"/>
        <v>0</v>
      </c>
      <c r="T126" s="32">
        <f t="shared" si="9"/>
        <v>18682</v>
      </c>
      <c r="U126" s="32">
        <f t="shared" si="9"/>
        <v>6210</v>
      </c>
      <c r="V126" s="32">
        <f t="shared" si="9"/>
        <v>20912</v>
      </c>
      <c r="W126" s="33">
        <f t="shared" si="9"/>
        <v>18682</v>
      </c>
      <c r="X126" s="34">
        <f t="shared" si="9"/>
        <v>3903</v>
      </c>
      <c r="Y126" s="34">
        <f t="shared" si="9"/>
        <v>2830</v>
      </c>
      <c r="Z126" s="34">
        <f t="shared" si="9"/>
        <v>20389</v>
      </c>
      <c r="AA126" s="35">
        <f t="shared" si="9"/>
        <v>27122</v>
      </c>
      <c r="AB126" s="32">
        <f t="shared" si="9"/>
        <v>1096.29</v>
      </c>
      <c r="AC126" s="32">
        <f t="shared" si="9"/>
        <v>1096.29</v>
      </c>
      <c r="AD126" s="32">
        <f t="shared" si="9"/>
        <v>2689.38</v>
      </c>
      <c r="AE126" s="32">
        <f t="shared" si="9"/>
        <v>-1.9600000000000364</v>
      </c>
      <c r="AF126" s="109"/>
      <c r="AG126" s="109"/>
      <c r="AH126" s="109"/>
      <c r="AI126" s="36"/>
      <c r="AJ126" s="37"/>
      <c r="AK126" s="38"/>
    </row>
    <row r="127" spans="1:37" ht="15.75" thickBot="1" x14ac:dyDescent="0.3"/>
    <row r="128" spans="1:37" x14ac:dyDescent="0.25">
      <c r="A128" s="112" t="s">
        <v>0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4"/>
      <c r="X128" s="113" t="s">
        <v>1</v>
      </c>
      <c r="Y128" s="114"/>
      <c r="Z128" s="114"/>
      <c r="AA128" s="5" t="s">
        <v>225</v>
      </c>
      <c r="AB128" s="115" t="s">
        <v>3</v>
      </c>
      <c r="AC128" s="116"/>
      <c r="AD128" s="116"/>
      <c r="AE128" s="116"/>
      <c r="AF128" s="105" t="s">
        <v>4</v>
      </c>
      <c r="AG128" s="105"/>
      <c r="AH128" s="105"/>
      <c r="AI128" s="105" t="s">
        <v>5</v>
      </c>
      <c r="AJ128" s="105"/>
      <c r="AK128" s="106"/>
    </row>
    <row r="129" spans="1:37" x14ac:dyDescent="0.25">
      <c r="A129" s="6" t="s">
        <v>6</v>
      </c>
      <c r="B129" s="7" t="s">
        <v>7</v>
      </c>
      <c r="C129" s="7" t="s">
        <v>8</v>
      </c>
      <c r="D129" s="7" t="s">
        <v>9</v>
      </c>
      <c r="E129" s="7" t="s">
        <v>10</v>
      </c>
      <c r="F129" s="7" t="s">
        <v>11</v>
      </c>
      <c r="G129" s="7" t="s">
        <v>12</v>
      </c>
      <c r="H129" s="7" t="s">
        <v>13</v>
      </c>
      <c r="I129" s="7" t="s">
        <v>14</v>
      </c>
      <c r="J129" s="7" t="s">
        <v>15</v>
      </c>
      <c r="K129" s="7" t="s">
        <v>16</v>
      </c>
      <c r="L129" s="7" t="s">
        <v>17</v>
      </c>
      <c r="M129" s="7" t="s">
        <v>18</v>
      </c>
      <c r="N129" s="7" t="s">
        <v>19</v>
      </c>
      <c r="O129" s="7" t="s">
        <v>20</v>
      </c>
      <c r="P129" s="7" t="s">
        <v>21</v>
      </c>
      <c r="Q129" s="7" t="s">
        <v>22</v>
      </c>
      <c r="R129" s="7" t="s">
        <v>23</v>
      </c>
      <c r="S129" s="7" t="s">
        <v>24</v>
      </c>
      <c r="T129" s="7" t="s">
        <v>25</v>
      </c>
      <c r="U129" s="7" t="s">
        <v>26</v>
      </c>
      <c r="V129" s="7" t="s">
        <v>27</v>
      </c>
      <c r="W129" s="8" t="s">
        <v>25</v>
      </c>
      <c r="X129" s="9" t="s">
        <v>28</v>
      </c>
      <c r="Y129" s="9" t="s">
        <v>29</v>
      </c>
      <c r="Z129" s="9" t="s">
        <v>30</v>
      </c>
      <c r="AA129" s="10" t="s">
        <v>31</v>
      </c>
      <c r="AB129" s="7" t="s">
        <v>32</v>
      </c>
      <c r="AC129" s="7" t="s">
        <v>33</v>
      </c>
      <c r="AD129" s="7" t="s">
        <v>34</v>
      </c>
      <c r="AE129" s="7" t="s">
        <v>35</v>
      </c>
      <c r="AF129" s="7" t="s">
        <v>36</v>
      </c>
      <c r="AG129" s="7" t="s">
        <v>37</v>
      </c>
      <c r="AH129" s="7" t="s">
        <v>38</v>
      </c>
      <c r="AI129" s="7" t="s">
        <v>39</v>
      </c>
      <c r="AJ129" s="11" t="s">
        <v>40</v>
      </c>
      <c r="AK129" s="12" t="s">
        <v>41</v>
      </c>
    </row>
    <row r="130" spans="1:37" x14ac:dyDescent="0.25">
      <c r="A130" s="13">
        <v>44726</v>
      </c>
      <c r="B130" s="14" t="s">
        <v>928</v>
      </c>
      <c r="C130" s="18" t="s">
        <v>929</v>
      </c>
      <c r="D130" s="18" t="s">
        <v>46</v>
      </c>
      <c r="E130" s="18" t="s">
        <v>930</v>
      </c>
      <c r="F130" s="15">
        <v>9733350958</v>
      </c>
      <c r="G130" s="15" t="s">
        <v>931</v>
      </c>
      <c r="H130" s="14" t="s">
        <v>46</v>
      </c>
      <c r="I130" s="17" t="s">
        <v>932</v>
      </c>
      <c r="J130" s="18" t="s">
        <v>933</v>
      </c>
      <c r="K130" s="14" t="s">
        <v>285</v>
      </c>
      <c r="L130" s="14" t="s">
        <v>117</v>
      </c>
      <c r="M130" s="24" t="s">
        <v>934</v>
      </c>
      <c r="N130" s="18" t="s">
        <v>935</v>
      </c>
      <c r="O130" s="50" t="s">
        <v>400</v>
      </c>
      <c r="P130" s="15">
        <v>5000</v>
      </c>
      <c r="Q130" s="15">
        <v>4000</v>
      </c>
      <c r="R130" s="15">
        <v>1000</v>
      </c>
      <c r="S130" s="15">
        <v>0</v>
      </c>
      <c r="T130" s="15">
        <v>500</v>
      </c>
      <c r="U130" s="15">
        <v>0</v>
      </c>
      <c r="V130" s="15">
        <v>3814</v>
      </c>
      <c r="W130" s="19">
        <v>500</v>
      </c>
      <c r="X130" s="20">
        <v>0</v>
      </c>
      <c r="Y130" s="20">
        <v>0</v>
      </c>
      <c r="Z130" s="20">
        <v>3814</v>
      </c>
      <c r="AA130" s="21">
        <v>3814</v>
      </c>
      <c r="AB130" s="57">
        <v>0</v>
      </c>
      <c r="AC130" s="57">
        <v>0</v>
      </c>
      <c r="AD130" s="57">
        <f>3814*18/100</f>
        <v>686.52</v>
      </c>
      <c r="AE130" s="58">
        <f>686-AD130</f>
        <v>-0.51999999999998181</v>
      </c>
      <c r="AF130" s="18" t="s">
        <v>929</v>
      </c>
      <c r="AG130" s="58"/>
      <c r="AH130" s="18" t="s">
        <v>936</v>
      </c>
      <c r="AI130" s="24" t="s">
        <v>55</v>
      </c>
      <c r="AJ130" s="23"/>
      <c r="AK130" s="25" t="s">
        <v>465</v>
      </c>
    </row>
    <row r="131" spans="1:37" x14ac:dyDescent="0.25">
      <c r="A131" s="13">
        <v>44726</v>
      </c>
      <c r="B131" s="24" t="s">
        <v>937</v>
      </c>
      <c r="C131" s="24" t="s">
        <v>938</v>
      </c>
      <c r="D131" s="24" t="s">
        <v>939</v>
      </c>
      <c r="E131" s="24" t="s">
        <v>940</v>
      </c>
      <c r="F131" s="15">
        <v>9653649522</v>
      </c>
      <c r="G131" s="16" t="s">
        <v>941</v>
      </c>
      <c r="H131" s="23" t="s">
        <v>942</v>
      </c>
      <c r="I131" s="17" t="s">
        <v>943</v>
      </c>
      <c r="J131" s="18" t="s">
        <v>944</v>
      </c>
      <c r="K131" s="15" t="s">
        <v>196</v>
      </c>
      <c r="L131" s="14" t="s">
        <v>945</v>
      </c>
      <c r="M131" s="24" t="s">
        <v>80</v>
      </c>
      <c r="N131" s="18" t="s">
        <v>67</v>
      </c>
      <c r="O131" s="50" t="s">
        <v>400</v>
      </c>
      <c r="P131" s="15">
        <v>6830</v>
      </c>
      <c r="Q131" s="15">
        <v>6830</v>
      </c>
      <c r="R131" s="15">
        <v>0</v>
      </c>
      <c r="S131" s="15">
        <v>0</v>
      </c>
      <c r="T131" s="15">
        <v>2700</v>
      </c>
      <c r="U131" s="15">
        <v>0</v>
      </c>
      <c r="V131" s="15">
        <v>3500</v>
      </c>
      <c r="W131" s="19">
        <v>2700</v>
      </c>
      <c r="X131" s="20">
        <v>1000</v>
      </c>
      <c r="Y131" s="20">
        <v>1000</v>
      </c>
      <c r="Z131" s="20">
        <v>1500</v>
      </c>
      <c r="AA131" s="21">
        <v>3500</v>
      </c>
      <c r="AB131" s="22">
        <f>3500*18/100/2</f>
        <v>315</v>
      </c>
      <c r="AC131" s="22">
        <f>3500*18/100/2</f>
        <v>315</v>
      </c>
      <c r="AD131" s="22">
        <v>0</v>
      </c>
      <c r="AE131" s="23">
        <f>630-AC131-AB131</f>
        <v>0</v>
      </c>
      <c r="AF131" s="24" t="s">
        <v>946</v>
      </c>
      <c r="AG131" s="23" t="s">
        <v>947</v>
      </c>
      <c r="AH131" s="24" t="s">
        <v>948</v>
      </c>
      <c r="AI131" s="24" t="s">
        <v>55</v>
      </c>
      <c r="AJ131" s="23"/>
      <c r="AK131" s="25" t="s">
        <v>176</v>
      </c>
    </row>
    <row r="132" spans="1:37" x14ac:dyDescent="0.25">
      <c r="A132" s="13">
        <v>44726</v>
      </c>
      <c r="B132" s="24" t="s">
        <v>949</v>
      </c>
      <c r="C132" s="24" t="s">
        <v>950</v>
      </c>
      <c r="D132" s="24" t="s">
        <v>46</v>
      </c>
      <c r="E132" s="24" t="s">
        <v>951</v>
      </c>
      <c r="F132" s="15" t="s">
        <v>952</v>
      </c>
      <c r="G132" s="16" t="s">
        <v>953</v>
      </c>
      <c r="H132" s="23" t="s">
        <v>46</v>
      </c>
      <c r="I132" s="17" t="s">
        <v>954</v>
      </c>
      <c r="J132" s="18" t="s">
        <v>955</v>
      </c>
      <c r="K132" s="15" t="s">
        <v>501</v>
      </c>
      <c r="L132" s="14" t="s">
        <v>65</v>
      </c>
      <c r="M132" s="24" t="s">
        <v>956</v>
      </c>
      <c r="N132" s="18" t="s">
        <v>452</v>
      </c>
      <c r="O132" s="50" t="s">
        <v>400</v>
      </c>
      <c r="P132" s="15">
        <v>2699</v>
      </c>
      <c r="Q132" s="15">
        <v>2699</v>
      </c>
      <c r="R132" s="15">
        <v>0</v>
      </c>
      <c r="S132" s="15">
        <v>0</v>
      </c>
      <c r="T132" s="15">
        <v>0</v>
      </c>
      <c r="U132" s="15">
        <v>590</v>
      </c>
      <c r="V132" s="15">
        <v>1697</v>
      </c>
      <c r="W132" s="19">
        <v>0</v>
      </c>
      <c r="X132" s="20">
        <v>0</v>
      </c>
      <c r="Y132" s="20">
        <v>0</v>
      </c>
      <c r="Z132" s="20">
        <v>2287</v>
      </c>
      <c r="AA132" s="21">
        <v>2287</v>
      </c>
      <c r="AB132" s="22">
        <v>0</v>
      </c>
      <c r="AC132" s="22">
        <v>0</v>
      </c>
      <c r="AD132" s="22">
        <f>2287*18/100</f>
        <v>411.66</v>
      </c>
      <c r="AE132" s="23">
        <f>412-AD132</f>
        <v>0.33999999999997499</v>
      </c>
      <c r="AF132" s="24" t="s">
        <v>950</v>
      </c>
      <c r="AG132" s="23"/>
      <c r="AH132" s="24" t="s">
        <v>957</v>
      </c>
      <c r="AI132" s="24" t="s">
        <v>55</v>
      </c>
      <c r="AJ132" s="23"/>
      <c r="AK132" s="25" t="s">
        <v>56</v>
      </c>
    </row>
    <row r="133" spans="1:37" x14ac:dyDescent="0.25">
      <c r="A133" s="13">
        <v>44726</v>
      </c>
      <c r="B133" s="23" t="s">
        <v>958</v>
      </c>
      <c r="C133" s="24" t="s">
        <v>959</v>
      </c>
      <c r="D133" s="24" t="s">
        <v>960</v>
      </c>
      <c r="E133" s="24" t="s">
        <v>961</v>
      </c>
      <c r="F133" s="15" t="s">
        <v>962</v>
      </c>
      <c r="G133" s="51" t="s">
        <v>963</v>
      </c>
      <c r="H133" s="23" t="s">
        <v>964</v>
      </c>
      <c r="I133" s="17" t="s">
        <v>965</v>
      </c>
      <c r="J133" s="18" t="s">
        <v>966</v>
      </c>
      <c r="K133" s="15" t="s">
        <v>78</v>
      </c>
      <c r="L133" s="14" t="s">
        <v>967</v>
      </c>
      <c r="M133" s="24" t="s">
        <v>968</v>
      </c>
      <c r="N133" s="23" t="s">
        <v>642</v>
      </c>
      <c r="O133" s="50" t="s">
        <v>400</v>
      </c>
      <c r="P133" s="15">
        <v>8410</v>
      </c>
      <c r="Q133" s="15">
        <v>4000</v>
      </c>
      <c r="R133" s="15">
        <v>4410</v>
      </c>
      <c r="S133" s="15">
        <v>0</v>
      </c>
      <c r="T133" s="23">
        <v>4870</v>
      </c>
      <c r="U133" s="15">
        <v>500</v>
      </c>
      <c r="V133" s="15">
        <v>2500</v>
      </c>
      <c r="W133" s="19">
        <v>4870</v>
      </c>
      <c r="X133" s="20">
        <v>0</v>
      </c>
      <c r="Y133" s="20">
        <v>0</v>
      </c>
      <c r="Z133" s="20">
        <v>3000</v>
      </c>
      <c r="AA133" s="21">
        <v>3000</v>
      </c>
      <c r="AB133" s="22">
        <v>0</v>
      </c>
      <c r="AC133" s="22">
        <v>0</v>
      </c>
      <c r="AD133" s="22">
        <f>3000*18/100</f>
        <v>540</v>
      </c>
      <c r="AE133" s="23">
        <v>0</v>
      </c>
      <c r="AF133" s="24" t="s">
        <v>959</v>
      </c>
      <c r="AG133" s="23" t="s">
        <v>969</v>
      </c>
      <c r="AH133" s="24" t="s">
        <v>970</v>
      </c>
      <c r="AI133" s="24" t="s">
        <v>55</v>
      </c>
      <c r="AJ133" s="23"/>
      <c r="AK133" s="25" t="s">
        <v>971</v>
      </c>
    </row>
    <row r="134" spans="1:37" x14ac:dyDescent="0.25">
      <c r="A134" s="13">
        <v>44726</v>
      </c>
      <c r="B134" s="23" t="s">
        <v>624</v>
      </c>
      <c r="C134" s="24" t="s">
        <v>972</v>
      </c>
      <c r="D134" s="24" t="s">
        <v>46</v>
      </c>
      <c r="E134" s="24" t="s">
        <v>973</v>
      </c>
      <c r="F134" s="14" t="s">
        <v>974</v>
      </c>
      <c r="G134" s="16" t="s">
        <v>975</v>
      </c>
      <c r="H134" s="24" t="s">
        <v>976</v>
      </c>
      <c r="I134" s="17" t="s">
        <v>977</v>
      </c>
      <c r="J134" s="18" t="s">
        <v>978</v>
      </c>
      <c r="K134" s="15" t="s">
        <v>501</v>
      </c>
      <c r="L134" s="14" t="s">
        <v>979</v>
      </c>
      <c r="M134" s="24" t="s">
        <v>980</v>
      </c>
      <c r="N134" s="24" t="s">
        <v>981</v>
      </c>
      <c r="O134" s="50" t="s">
        <v>400</v>
      </c>
      <c r="P134" s="15">
        <v>2770</v>
      </c>
      <c r="Q134" s="15">
        <v>2770</v>
      </c>
      <c r="R134" s="15">
        <v>0</v>
      </c>
      <c r="S134" s="15">
        <v>0</v>
      </c>
      <c r="T134" s="15">
        <v>0</v>
      </c>
      <c r="U134" s="15">
        <v>0</v>
      </c>
      <c r="V134" s="15">
        <v>2347</v>
      </c>
      <c r="W134" s="19">
        <v>0</v>
      </c>
      <c r="X134" s="20">
        <v>0</v>
      </c>
      <c r="Y134" s="20">
        <v>0</v>
      </c>
      <c r="Z134" s="20">
        <v>2347</v>
      </c>
      <c r="AA134" s="21">
        <v>2347</v>
      </c>
      <c r="AB134" s="22">
        <v>0</v>
      </c>
      <c r="AC134" s="22">
        <v>0</v>
      </c>
      <c r="AD134" s="22">
        <f>2347*18/100</f>
        <v>422.46</v>
      </c>
      <c r="AE134" s="23">
        <f>423-AD134</f>
        <v>0.54000000000002046</v>
      </c>
      <c r="AF134" s="24" t="s">
        <v>972</v>
      </c>
      <c r="AG134" s="23"/>
      <c r="AH134" s="24" t="s">
        <v>982</v>
      </c>
      <c r="AI134" s="24" t="s">
        <v>55</v>
      </c>
      <c r="AJ134" s="23"/>
      <c r="AK134" s="25" t="s">
        <v>46</v>
      </c>
    </row>
    <row r="135" spans="1:37" x14ac:dyDescent="0.25">
      <c r="A135" s="13">
        <v>44726</v>
      </c>
      <c r="B135" s="24" t="s">
        <v>983</v>
      </c>
      <c r="C135" s="24" t="s">
        <v>984</v>
      </c>
      <c r="D135" s="24" t="s">
        <v>985</v>
      </c>
      <c r="E135" s="24" t="s">
        <v>986</v>
      </c>
      <c r="F135" s="14">
        <v>9930594979</v>
      </c>
      <c r="G135" s="26" t="s">
        <v>987</v>
      </c>
      <c r="H135" s="23" t="s">
        <v>988</v>
      </c>
      <c r="I135" s="17" t="s">
        <v>989</v>
      </c>
      <c r="J135" s="18" t="s">
        <v>990</v>
      </c>
      <c r="K135" s="15" t="s">
        <v>78</v>
      </c>
      <c r="L135" s="14" t="s">
        <v>991</v>
      </c>
      <c r="M135" s="23" t="s">
        <v>80</v>
      </c>
      <c r="N135" s="18" t="s">
        <v>67</v>
      </c>
      <c r="O135" s="50" t="s">
        <v>400</v>
      </c>
      <c r="P135" s="15">
        <v>1180</v>
      </c>
      <c r="Q135" s="15">
        <v>1180</v>
      </c>
      <c r="R135" s="15">
        <v>0</v>
      </c>
      <c r="S135" s="15">
        <v>0</v>
      </c>
      <c r="T135" s="15">
        <v>0</v>
      </c>
      <c r="U135" s="15">
        <v>0</v>
      </c>
      <c r="V135" s="15">
        <v>1000</v>
      </c>
      <c r="W135" s="19">
        <v>0</v>
      </c>
      <c r="X135" s="20">
        <v>0</v>
      </c>
      <c r="Y135" s="20">
        <v>0</v>
      </c>
      <c r="Z135" s="20">
        <v>1000</v>
      </c>
      <c r="AA135" s="21">
        <v>1000</v>
      </c>
      <c r="AB135" s="22">
        <f>1000*18/100/2</f>
        <v>90</v>
      </c>
      <c r="AC135" s="22">
        <f>1000*18/100/2</f>
        <v>90</v>
      </c>
      <c r="AD135" s="22">
        <v>0</v>
      </c>
      <c r="AE135" s="23">
        <v>0</v>
      </c>
      <c r="AF135" s="24" t="s">
        <v>984</v>
      </c>
      <c r="AG135" s="23"/>
      <c r="AH135" s="24" t="s">
        <v>992</v>
      </c>
      <c r="AI135" s="24" t="s">
        <v>55</v>
      </c>
      <c r="AJ135" s="23"/>
      <c r="AK135" s="25" t="s">
        <v>46</v>
      </c>
    </row>
    <row r="136" spans="1:37" x14ac:dyDescent="0.25">
      <c r="A136" s="13">
        <v>44726</v>
      </c>
      <c r="B136" s="23" t="s">
        <v>125</v>
      </c>
      <c r="C136" s="24" t="s">
        <v>444</v>
      </c>
      <c r="D136" s="24" t="s">
        <v>46</v>
      </c>
      <c r="E136" s="24" t="s">
        <v>445</v>
      </c>
      <c r="F136" s="15">
        <v>7597218664</v>
      </c>
      <c r="G136" s="16" t="s">
        <v>446</v>
      </c>
      <c r="H136" s="23" t="s">
        <v>447</v>
      </c>
      <c r="I136" s="17" t="s">
        <v>448</v>
      </c>
      <c r="J136" s="18" t="s">
        <v>284</v>
      </c>
      <c r="K136" s="15" t="s">
        <v>196</v>
      </c>
      <c r="L136" s="14" t="s">
        <v>450</v>
      </c>
      <c r="M136" s="23" t="s">
        <v>451</v>
      </c>
      <c r="N136" s="24" t="s">
        <v>452</v>
      </c>
      <c r="O136" s="14" t="s">
        <v>993</v>
      </c>
      <c r="P136" s="15">
        <v>0</v>
      </c>
      <c r="Q136" s="15">
        <v>3000</v>
      </c>
      <c r="R136" s="15">
        <v>500</v>
      </c>
      <c r="S136" s="15">
        <v>0</v>
      </c>
      <c r="T136" s="15">
        <v>0</v>
      </c>
      <c r="U136" s="15">
        <v>0</v>
      </c>
      <c r="V136" s="15">
        <v>0</v>
      </c>
      <c r="W136" s="19">
        <v>0</v>
      </c>
      <c r="X136" s="20">
        <v>0</v>
      </c>
      <c r="Y136" s="20">
        <v>0</v>
      </c>
      <c r="Z136" s="20">
        <v>0</v>
      </c>
      <c r="AA136" s="21">
        <v>0</v>
      </c>
      <c r="AB136" s="23">
        <v>0</v>
      </c>
      <c r="AC136" s="23">
        <v>0</v>
      </c>
      <c r="AD136" s="23">
        <v>0</v>
      </c>
      <c r="AE136" s="23">
        <v>0</v>
      </c>
      <c r="AF136" s="24" t="s">
        <v>444</v>
      </c>
      <c r="AG136" s="23"/>
      <c r="AH136" s="24" t="s">
        <v>46</v>
      </c>
      <c r="AI136" s="24" t="s">
        <v>55</v>
      </c>
      <c r="AJ136" s="23"/>
      <c r="AK136" s="25"/>
    </row>
    <row r="137" spans="1:37" x14ac:dyDescent="0.25">
      <c r="A137" s="13">
        <v>44726</v>
      </c>
      <c r="B137" s="23" t="s">
        <v>125</v>
      </c>
      <c r="C137" s="14" t="s">
        <v>58</v>
      </c>
      <c r="D137" s="14" t="s">
        <v>59</v>
      </c>
      <c r="E137" s="14" t="s">
        <v>60</v>
      </c>
      <c r="F137" s="15">
        <v>9967707550</v>
      </c>
      <c r="G137" s="26" t="s">
        <v>61</v>
      </c>
      <c r="H137" s="15" t="s">
        <v>46</v>
      </c>
      <c r="I137" s="17" t="s">
        <v>62</v>
      </c>
      <c r="J137" s="18" t="s">
        <v>994</v>
      </c>
      <c r="K137" s="15" t="s">
        <v>64</v>
      </c>
      <c r="L137" s="14" t="s">
        <v>65</v>
      </c>
      <c r="M137" s="15" t="s">
        <v>66</v>
      </c>
      <c r="N137" s="24" t="s">
        <v>67</v>
      </c>
      <c r="O137" s="50" t="s">
        <v>400</v>
      </c>
      <c r="P137" s="15">
        <v>0</v>
      </c>
      <c r="Q137" s="15">
        <v>2040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9">
        <v>0</v>
      </c>
      <c r="X137" s="20">
        <v>0</v>
      </c>
      <c r="Y137" s="20">
        <v>0</v>
      </c>
      <c r="Z137" s="20">
        <v>0</v>
      </c>
      <c r="AA137" s="21">
        <v>0</v>
      </c>
      <c r="AB137" s="23">
        <v>0</v>
      </c>
      <c r="AC137" s="23">
        <v>0</v>
      </c>
      <c r="AD137" s="23">
        <v>0</v>
      </c>
      <c r="AE137" s="23">
        <v>0</v>
      </c>
      <c r="AF137" s="14" t="s">
        <v>58</v>
      </c>
      <c r="AG137" s="23"/>
      <c r="AH137" s="24" t="s">
        <v>46</v>
      </c>
      <c r="AI137" s="24" t="s">
        <v>55</v>
      </c>
      <c r="AJ137" s="23"/>
      <c r="AK137" s="25"/>
    </row>
    <row r="138" spans="1:37" ht="15.75" thickBot="1" x14ac:dyDescent="0.3">
      <c r="A138" s="107" t="s">
        <v>137</v>
      </c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32">
        <f t="shared" ref="P138:AE138" si="10">SUM(P130:P137)</f>
        <v>26889</v>
      </c>
      <c r="Q138" s="32">
        <f t="shared" si="10"/>
        <v>26519</v>
      </c>
      <c r="R138" s="32">
        <f t="shared" si="10"/>
        <v>5910</v>
      </c>
      <c r="S138" s="32">
        <f t="shared" si="10"/>
        <v>0</v>
      </c>
      <c r="T138" s="32">
        <f t="shared" si="10"/>
        <v>8070</v>
      </c>
      <c r="U138" s="32">
        <f t="shared" si="10"/>
        <v>1090</v>
      </c>
      <c r="V138" s="32">
        <f t="shared" si="10"/>
        <v>14858</v>
      </c>
      <c r="W138" s="33">
        <f t="shared" si="10"/>
        <v>8070</v>
      </c>
      <c r="X138" s="34">
        <f t="shared" si="10"/>
        <v>1000</v>
      </c>
      <c r="Y138" s="34">
        <f t="shared" si="10"/>
        <v>1000</v>
      </c>
      <c r="Z138" s="34">
        <f t="shared" si="10"/>
        <v>13948</v>
      </c>
      <c r="AA138" s="35">
        <f t="shared" si="10"/>
        <v>15948</v>
      </c>
      <c r="AB138" s="32">
        <f t="shared" si="10"/>
        <v>405</v>
      </c>
      <c r="AC138" s="32">
        <f t="shared" si="10"/>
        <v>405</v>
      </c>
      <c r="AD138" s="32">
        <f t="shared" si="10"/>
        <v>2060.64</v>
      </c>
      <c r="AE138" s="32">
        <f t="shared" si="10"/>
        <v>0.36000000000001364</v>
      </c>
      <c r="AF138" s="109"/>
      <c r="AG138" s="109"/>
      <c r="AH138" s="109"/>
      <c r="AI138" s="36"/>
      <c r="AJ138" s="37"/>
      <c r="AK138" s="38"/>
    </row>
    <row r="139" spans="1:37" ht="15.75" thickBot="1" x14ac:dyDescent="0.3"/>
    <row r="140" spans="1:37" x14ac:dyDescent="0.25">
      <c r="A140" s="112" t="s">
        <v>0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4"/>
      <c r="X140" s="113" t="s">
        <v>1</v>
      </c>
      <c r="Y140" s="114"/>
      <c r="Z140" s="114"/>
      <c r="AA140" s="5" t="s">
        <v>225</v>
      </c>
      <c r="AB140" s="115" t="s">
        <v>3</v>
      </c>
      <c r="AC140" s="116"/>
      <c r="AD140" s="116"/>
      <c r="AE140" s="116"/>
      <c r="AF140" s="105" t="s">
        <v>4</v>
      </c>
      <c r="AG140" s="105"/>
      <c r="AH140" s="105"/>
      <c r="AI140" s="105" t="s">
        <v>5</v>
      </c>
      <c r="AJ140" s="105"/>
      <c r="AK140" s="106"/>
    </row>
    <row r="141" spans="1:37" x14ac:dyDescent="0.25">
      <c r="A141" s="6" t="s">
        <v>6</v>
      </c>
      <c r="B141" s="7" t="s">
        <v>7</v>
      </c>
      <c r="C141" s="7" t="s">
        <v>8</v>
      </c>
      <c r="D141" s="7" t="s">
        <v>9</v>
      </c>
      <c r="E141" s="7" t="s">
        <v>10</v>
      </c>
      <c r="F141" s="7" t="s">
        <v>11</v>
      </c>
      <c r="G141" s="7" t="s">
        <v>12</v>
      </c>
      <c r="H141" s="7" t="s">
        <v>13</v>
      </c>
      <c r="I141" s="7" t="s">
        <v>14</v>
      </c>
      <c r="J141" s="7" t="s">
        <v>15</v>
      </c>
      <c r="K141" s="7" t="s">
        <v>16</v>
      </c>
      <c r="L141" s="7" t="s">
        <v>17</v>
      </c>
      <c r="M141" s="7" t="s">
        <v>18</v>
      </c>
      <c r="N141" s="7" t="s">
        <v>19</v>
      </c>
      <c r="O141" s="7" t="s">
        <v>20</v>
      </c>
      <c r="P141" s="7" t="s">
        <v>21</v>
      </c>
      <c r="Q141" s="7" t="s">
        <v>22</v>
      </c>
      <c r="R141" s="7" t="s">
        <v>23</v>
      </c>
      <c r="S141" s="7" t="s">
        <v>24</v>
      </c>
      <c r="T141" s="7" t="s">
        <v>25</v>
      </c>
      <c r="U141" s="7" t="s">
        <v>26</v>
      </c>
      <c r="V141" s="7" t="s">
        <v>27</v>
      </c>
      <c r="W141" s="8" t="s">
        <v>25</v>
      </c>
      <c r="X141" s="9" t="s">
        <v>28</v>
      </c>
      <c r="Y141" s="9" t="s">
        <v>29</v>
      </c>
      <c r="Z141" s="9" t="s">
        <v>30</v>
      </c>
      <c r="AA141" s="10" t="s">
        <v>31</v>
      </c>
      <c r="AB141" s="7" t="s">
        <v>32</v>
      </c>
      <c r="AC141" s="7" t="s">
        <v>33</v>
      </c>
      <c r="AD141" s="7" t="s">
        <v>34</v>
      </c>
      <c r="AE141" s="7" t="s">
        <v>35</v>
      </c>
      <c r="AF141" s="7" t="s">
        <v>36</v>
      </c>
      <c r="AG141" s="7" t="s">
        <v>37</v>
      </c>
      <c r="AH141" s="7" t="s">
        <v>38</v>
      </c>
      <c r="AI141" s="7" t="s">
        <v>39</v>
      </c>
      <c r="AJ141" s="11" t="s">
        <v>40</v>
      </c>
      <c r="AK141" s="12" t="s">
        <v>41</v>
      </c>
    </row>
    <row r="142" spans="1:37" x14ac:dyDescent="0.25">
      <c r="A142" s="13">
        <v>44727</v>
      </c>
      <c r="B142" s="14" t="s">
        <v>995</v>
      </c>
      <c r="C142" s="18" t="s">
        <v>996</v>
      </c>
      <c r="D142" s="18" t="s">
        <v>997</v>
      </c>
      <c r="E142" s="18" t="s">
        <v>998</v>
      </c>
      <c r="F142" s="15">
        <v>9934980578</v>
      </c>
      <c r="G142" s="15" t="s">
        <v>999</v>
      </c>
      <c r="H142" s="24" t="s">
        <v>1000</v>
      </c>
      <c r="I142" s="17" t="s">
        <v>1001</v>
      </c>
      <c r="J142" s="18" t="s">
        <v>1002</v>
      </c>
      <c r="K142" s="15" t="s">
        <v>196</v>
      </c>
      <c r="L142" s="14" t="s">
        <v>1003</v>
      </c>
      <c r="M142" s="24" t="s">
        <v>1004</v>
      </c>
      <c r="N142" s="24" t="s">
        <v>642</v>
      </c>
      <c r="O142" s="50" t="s">
        <v>400</v>
      </c>
      <c r="P142" s="15">
        <v>8500</v>
      </c>
      <c r="Q142" s="15">
        <v>8500</v>
      </c>
      <c r="R142" s="15">
        <v>0</v>
      </c>
      <c r="S142" s="15">
        <v>0</v>
      </c>
      <c r="T142" s="15">
        <v>0</v>
      </c>
      <c r="U142" s="15">
        <v>2250</v>
      </c>
      <c r="V142" s="15">
        <v>4953</v>
      </c>
      <c r="W142" s="19">
        <v>0</v>
      </c>
      <c r="X142" s="20">
        <v>1000</v>
      </c>
      <c r="Y142" s="20">
        <v>4000</v>
      </c>
      <c r="Z142" s="20">
        <v>2203</v>
      </c>
      <c r="AA142" s="21">
        <v>7203</v>
      </c>
      <c r="AB142" s="57">
        <v>0</v>
      </c>
      <c r="AC142" s="57">
        <v>0</v>
      </c>
      <c r="AD142" s="57">
        <f>7203*18/100</f>
        <v>1296.54</v>
      </c>
      <c r="AE142" s="58">
        <f>1297-AD142</f>
        <v>0.46000000000003638</v>
      </c>
      <c r="AF142" s="18" t="s">
        <v>996</v>
      </c>
      <c r="AG142" s="58"/>
      <c r="AH142" s="18" t="s">
        <v>1005</v>
      </c>
      <c r="AI142" s="24" t="s">
        <v>55</v>
      </c>
      <c r="AJ142" s="23"/>
      <c r="AK142" s="25" t="s">
        <v>1006</v>
      </c>
    </row>
    <row r="143" spans="1:37" x14ac:dyDescent="0.25">
      <c r="A143" s="13">
        <v>44727</v>
      </c>
      <c r="B143" s="24" t="s">
        <v>1007</v>
      </c>
      <c r="C143" s="24" t="s">
        <v>1008</v>
      </c>
      <c r="D143" s="24" t="s">
        <v>1009</v>
      </c>
      <c r="E143" s="24" t="s">
        <v>1010</v>
      </c>
      <c r="F143" s="15">
        <v>7870101448</v>
      </c>
      <c r="G143" s="26" t="s">
        <v>1011</v>
      </c>
      <c r="H143" s="23" t="s">
        <v>46</v>
      </c>
      <c r="I143" s="17" t="s">
        <v>1012</v>
      </c>
      <c r="J143" s="18" t="s">
        <v>1013</v>
      </c>
      <c r="K143" s="15" t="s">
        <v>116</v>
      </c>
      <c r="L143" s="14" t="s">
        <v>741</v>
      </c>
      <c r="M143" s="23" t="s">
        <v>1014</v>
      </c>
      <c r="N143" s="24" t="s">
        <v>642</v>
      </c>
      <c r="O143" s="14" t="s">
        <v>993</v>
      </c>
      <c r="P143" s="15">
        <v>12272</v>
      </c>
      <c r="Q143" s="15">
        <v>12272</v>
      </c>
      <c r="R143" s="15">
        <v>0</v>
      </c>
      <c r="S143" s="15">
        <v>0</v>
      </c>
      <c r="T143" s="15">
        <v>4760</v>
      </c>
      <c r="U143" s="15">
        <v>500</v>
      </c>
      <c r="V143" s="15">
        <v>5866</v>
      </c>
      <c r="W143" s="19">
        <v>4760</v>
      </c>
      <c r="X143" s="20">
        <v>0</v>
      </c>
      <c r="Y143" s="20">
        <v>0</v>
      </c>
      <c r="Z143" s="20">
        <v>6366</v>
      </c>
      <c r="AA143" s="21">
        <v>6366</v>
      </c>
      <c r="AB143" s="22">
        <v>0</v>
      </c>
      <c r="AC143" s="22">
        <v>0</v>
      </c>
      <c r="AD143" s="22">
        <f>6366*18/100</f>
        <v>1145.8800000000001</v>
      </c>
      <c r="AE143" s="23">
        <f>1146-AD143</f>
        <v>0.11999999999989086</v>
      </c>
      <c r="AF143" s="24" t="s">
        <v>1008</v>
      </c>
      <c r="AG143" s="23" t="s">
        <v>707</v>
      </c>
      <c r="AH143" s="24" t="s">
        <v>1015</v>
      </c>
      <c r="AI143" s="24" t="s">
        <v>55</v>
      </c>
      <c r="AJ143" s="23"/>
      <c r="AK143" s="25" t="s">
        <v>1016</v>
      </c>
    </row>
    <row r="144" spans="1:37" x14ac:dyDescent="0.25">
      <c r="A144" s="13">
        <v>44727</v>
      </c>
      <c r="B144" s="23" t="s">
        <v>350</v>
      </c>
      <c r="C144" s="24" t="s">
        <v>1017</v>
      </c>
      <c r="D144" s="24" t="s">
        <v>1018</v>
      </c>
      <c r="E144" s="24" t="s">
        <v>1019</v>
      </c>
      <c r="F144" s="15">
        <v>9875262575</v>
      </c>
      <c r="G144" s="51" t="s">
        <v>1020</v>
      </c>
      <c r="H144" s="23" t="s">
        <v>1021</v>
      </c>
      <c r="I144" s="17" t="s">
        <v>1022</v>
      </c>
      <c r="J144" s="18" t="s">
        <v>1023</v>
      </c>
      <c r="K144" s="15" t="s">
        <v>78</v>
      </c>
      <c r="L144" s="14" t="s">
        <v>1024</v>
      </c>
      <c r="M144" s="24" t="s">
        <v>1025</v>
      </c>
      <c r="N144" s="24" t="s">
        <v>187</v>
      </c>
      <c r="O144" s="14" t="s">
        <v>993</v>
      </c>
      <c r="P144" s="15">
        <v>7500</v>
      </c>
      <c r="Q144" s="15">
        <v>7500</v>
      </c>
      <c r="R144" s="15">
        <v>0</v>
      </c>
      <c r="S144" s="15">
        <v>0</v>
      </c>
      <c r="T144" s="23">
        <v>4870</v>
      </c>
      <c r="U144" s="15">
        <v>500</v>
      </c>
      <c r="V144" s="15">
        <v>1729</v>
      </c>
      <c r="W144" s="19">
        <v>4870</v>
      </c>
      <c r="X144" s="20">
        <v>0</v>
      </c>
      <c r="Y144" s="20">
        <v>0</v>
      </c>
      <c r="Z144" s="20">
        <v>2229</v>
      </c>
      <c r="AA144" s="21">
        <v>2229</v>
      </c>
      <c r="AB144" s="22">
        <v>0</v>
      </c>
      <c r="AC144" s="22">
        <v>0</v>
      </c>
      <c r="AD144" s="22">
        <f>2229*18/100</f>
        <v>401.22</v>
      </c>
      <c r="AE144" s="23">
        <f>401-AD144</f>
        <v>-0.22000000000002728</v>
      </c>
      <c r="AF144" s="24" t="s">
        <v>1017</v>
      </c>
      <c r="AG144" s="23"/>
      <c r="AH144" s="24" t="s">
        <v>1026</v>
      </c>
      <c r="AI144" s="24" t="s">
        <v>55</v>
      </c>
      <c r="AJ144" s="23"/>
      <c r="AK144" s="25" t="s">
        <v>1027</v>
      </c>
    </row>
    <row r="145" spans="1:37" x14ac:dyDescent="0.25">
      <c r="A145" s="13">
        <v>44727</v>
      </c>
      <c r="B145" s="23" t="s">
        <v>1028</v>
      </c>
      <c r="C145" s="24" t="s">
        <v>1029</v>
      </c>
      <c r="D145" s="24" t="s">
        <v>1029</v>
      </c>
      <c r="E145" s="24" t="s">
        <v>1030</v>
      </c>
      <c r="F145" s="14">
        <v>9867628880</v>
      </c>
      <c r="G145" s="16" t="s">
        <v>1031</v>
      </c>
      <c r="H145" s="24" t="s">
        <v>46</v>
      </c>
      <c r="I145" s="17" t="s">
        <v>1032</v>
      </c>
      <c r="J145" s="18" t="s">
        <v>1033</v>
      </c>
      <c r="K145" s="14" t="s">
        <v>170</v>
      </c>
      <c r="L145" s="14" t="s">
        <v>117</v>
      </c>
      <c r="M145" s="24" t="s">
        <v>1034</v>
      </c>
      <c r="N145" s="18" t="s">
        <v>67</v>
      </c>
      <c r="O145" s="14" t="s">
        <v>1035</v>
      </c>
      <c r="P145" s="15">
        <v>2000</v>
      </c>
      <c r="Q145" s="15">
        <v>2000</v>
      </c>
      <c r="R145" s="15">
        <v>0</v>
      </c>
      <c r="S145" s="15">
        <v>0</v>
      </c>
      <c r="T145" s="15">
        <v>0</v>
      </c>
      <c r="U145" s="15">
        <v>0</v>
      </c>
      <c r="V145" s="15">
        <v>2000</v>
      </c>
      <c r="W145" s="19">
        <v>0</v>
      </c>
      <c r="X145" s="20">
        <v>0</v>
      </c>
      <c r="Y145" s="20">
        <v>0</v>
      </c>
      <c r="Z145" s="20">
        <v>2000</v>
      </c>
      <c r="AA145" s="21">
        <v>0</v>
      </c>
      <c r="AB145" s="22">
        <v>0</v>
      </c>
      <c r="AC145" s="22">
        <v>0</v>
      </c>
      <c r="AD145" s="22">
        <v>0</v>
      </c>
      <c r="AE145" s="22">
        <v>0</v>
      </c>
      <c r="AF145" s="24" t="s">
        <v>1029</v>
      </c>
      <c r="AG145" s="23"/>
      <c r="AH145" s="24" t="s">
        <v>1036</v>
      </c>
      <c r="AI145" s="24" t="s">
        <v>55</v>
      </c>
      <c r="AJ145" s="23"/>
      <c r="AK145" s="25" t="s">
        <v>46</v>
      </c>
    </row>
    <row r="146" spans="1:37" x14ac:dyDescent="0.25">
      <c r="A146" s="13">
        <v>44727</v>
      </c>
      <c r="B146" s="23" t="s">
        <v>1037</v>
      </c>
      <c r="C146" s="24" t="s">
        <v>1038</v>
      </c>
      <c r="D146" s="24" t="s">
        <v>1039</v>
      </c>
      <c r="E146" s="24" t="s">
        <v>1040</v>
      </c>
      <c r="F146" s="14">
        <v>8919993233</v>
      </c>
      <c r="G146" s="26" t="s">
        <v>1041</v>
      </c>
      <c r="H146" s="23" t="s">
        <v>46</v>
      </c>
      <c r="I146" s="17" t="s">
        <v>1042</v>
      </c>
      <c r="J146" s="18" t="s">
        <v>1043</v>
      </c>
      <c r="K146" s="15" t="s">
        <v>78</v>
      </c>
      <c r="L146" s="14" t="s">
        <v>1044</v>
      </c>
      <c r="M146" s="24" t="s">
        <v>1045</v>
      </c>
      <c r="N146" s="23" t="s">
        <v>1046</v>
      </c>
      <c r="O146" s="14" t="s">
        <v>53</v>
      </c>
      <c r="P146" s="15">
        <v>10924</v>
      </c>
      <c r="Q146" s="15">
        <v>10924</v>
      </c>
      <c r="R146" s="15">
        <v>0</v>
      </c>
      <c r="S146" s="15">
        <v>0</v>
      </c>
      <c r="T146" s="15">
        <v>4870</v>
      </c>
      <c r="U146" s="15">
        <v>1090</v>
      </c>
      <c r="V146" s="15">
        <v>4041</v>
      </c>
      <c r="W146" s="19">
        <v>4870</v>
      </c>
      <c r="X146" s="20">
        <v>0</v>
      </c>
      <c r="Y146" s="20">
        <v>0</v>
      </c>
      <c r="Z146" s="20">
        <v>5131</v>
      </c>
      <c r="AA146" s="21">
        <v>5131</v>
      </c>
      <c r="AB146" s="22">
        <v>0</v>
      </c>
      <c r="AC146" s="22">
        <v>0</v>
      </c>
      <c r="AD146" s="22">
        <f>5131*18/100</f>
        <v>923.58</v>
      </c>
      <c r="AE146" s="23">
        <f>923-AD146</f>
        <v>-0.58000000000004093</v>
      </c>
      <c r="AF146" s="24" t="s">
        <v>1038</v>
      </c>
      <c r="AG146" s="23"/>
      <c r="AH146" s="24" t="s">
        <v>1047</v>
      </c>
      <c r="AI146" s="24" t="s">
        <v>55</v>
      </c>
      <c r="AJ146" s="23"/>
      <c r="AK146" s="25" t="s">
        <v>1048</v>
      </c>
    </row>
    <row r="147" spans="1:37" x14ac:dyDescent="0.25">
      <c r="A147" s="13">
        <v>44727</v>
      </c>
      <c r="B147" s="24" t="s">
        <v>1049</v>
      </c>
      <c r="C147" s="24" t="s">
        <v>1050</v>
      </c>
      <c r="D147" s="24" t="s">
        <v>46</v>
      </c>
      <c r="E147" s="24" t="s">
        <v>1051</v>
      </c>
      <c r="F147" s="23">
        <v>9619676765</v>
      </c>
      <c r="G147" s="23" t="s">
        <v>1052</v>
      </c>
      <c r="H147" s="23" t="s">
        <v>46</v>
      </c>
      <c r="I147" s="17" t="s">
        <v>1053</v>
      </c>
      <c r="J147" s="18" t="s">
        <v>1054</v>
      </c>
      <c r="K147" s="23" t="s">
        <v>255</v>
      </c>
      <c r="L147" s="23" t="s">
        <v>1055</v>
      </c>
      <c r="M147" s="23" t="s">
        <v>80</v>
      </c>
      <c r="N147" s="18" t="s">
        <v>67</v>
      </c>
      <c r="O147" s="50" t="s">
        <v>400</v>
      </c>
      <c r="P147" s="23">
        <v>4090</v>
      </c>
      <c r="Q147" s="23">
        <v>4090</v>
      </c>
      <c r="R147" s="23">
        <v>0</v>
      </c>
      <c r="S147" s="23">
        <v>0</v>
      </c>
      <c r="T147" s="23">
        <v>0</v>
      </c>
      <c r="U147" s="23">
        <v>590</v>
      </c>
      <c r="V147" s="23">
        <v>2876</v>
      </c>
      <c r="W147" s="19">
        <v>0</v>
      </c>
      <c r="X147" s="20">
        <v>500</v>
      </c>
      <c r="Y147" s="20">
        <v>1483</v>
      </c>
      <c r="Z147" s="20">
        <v>1483</v>
      </c>
      <c r="AA147" s="21">
        <v>3466</v>
      </c>
      <c r="AB147" s="23">
        <f>3466*18/100/2</f>
        <v>311.94</v>
      </c>
      <c r="AC147" s="23">
        <f>3466*18/100/2</f>
        <v>311.94</v>
      </c>
      <c r="AD147" s="23">
        <v>0</v>
      </c>
      <c r="AE147" s="23">
        <f>624-AB147-AC147</f>
        <v>0.12000000000000455</v>
      </c>
      <c r="AF147" s="24" t="s">
        <v>1050</v>
      </c>
      <c r="AG147" s="23"/>
      <c r="AH147" s="24" t="s">
        <v>1056</v>
      </c>
      <c r="AI147" s="24" t="s">
        <v>55</v>
      </c>
      <c r="AJ147" s="23"/>
      <c r="AK147" s="41" t="s">
        <v>56</v>
      </c>
    </row>
    <row r="148" spans="1:37" x14ac:dyDescent="0.25">
      <c r="A148" s="13">
        <v>44727</v>
      </c>
      <c r="B148" s="24" t="s">
        <v>350</v>
      </c>
      <c r="C148" s="24" t="s">
        <v>1057</v>
      </c>
      <c r="D148" s="24" t="s">
        <v>1058</v>
      </c>
      <c r="E148" s="24" t="s">
        <v>1059</v>
      </c>
      <c r="F148" s="23">
        <v>9813500534</v>
      </c>
      <c r="G148" s="23" t="s">
        <v>1060</v>
      </c>
      <c r="H148" s="24" t="s">
        <v>1061</v>
      </c>
      <c r="I148" s="17" t="s">
        <v>1062</v>
      </c>
      <c r="J148" s="18" t="s">
        <v>1063</v>
      </c>
      <c r="K148" s="23" t="s">
        <v>255</v>
      </c>
      <c r="L148" s="23" t="s">
        <v>1064</v>
      </c>
      <c r="M148" s="23" t="s">
        <v>1065</v>
      </c>
      <c r="N148" s="24" t="s">
        <v>423</v>
      </c>
      <c r="O148" s="50" t="s">
        <v>400</v>
      </c>
      <c r="P148" s="23">
        <v>8000</v>
      </c>
      <c r="Q148" s="23">
        <v>8000</v>
      </c>
      <c r="R148" s="23">
        <v>0</v>
      </c>
      <c r="S148" s="23">
        <v>0</v>
      </c>
      <c r="T148" s="23">
        <v>4610</v>
      </c>
      <c r="U148" s="23">
        <v>500</v>
      </c>
      <c r="V148" s="23">
        <v>2373</v>
      </c>
      <c r="W148" s="19">
        <v>4610</v>
      </c>
      <c r="X148" s="20">
        <v>500</v>
      </c>
      <c r="Y148" s="20">
        <v>1271</v>
      </c>
      <c r="Z148" s="20">
        <v>1102</v>
      </c>
      <c r="AA148" s="21">
        <v>2873</v>
      </c>
      <c r="AB148" s="23">
        <v>0</v>
      </c>
      <c r="AC148" s="23">
        <v>0</v>
      </c>
      <c r="AD148" s="23">
        <f>2873*18/100</f>
        <v>517.14</v>
      </c>
      <c r="AE148" s="23">
        <f>517-AD148</f>
        <v>-0.13999999999998636</v>
      </c>
      <c r="AF148" s="24" t="s">
        <v>1057</v>
      </c>
      <c r="AG148" s="23"/>
      <c r="AH148" s="24" t="s">
        <v>1066</v>
      </c>
      <c r="AI148" s="24" t="s">
        <v>55</v>
      </c>
      <c r="AJ148" s="23"/>
      <c r="AK148" s="41" t="s">
        <v>1067</v>
      </c>
    </row>
    <row r="149" spans="1:37" x14ac:dyDescent="0.25">
      <c r="A149" s="13">
        <v>44727</v>
      </c>
      <c r="B149" s="23" t="s">
        <v>1068</v>
      </c>
      <c r="C149" s="24" t="s">
        <v>1069</v>
      </c>
      <c r="D149" s="24" t="s">
        <v>1070</v>
      </c>
      <c r="E149" s="24" t="s">
        <v>1071</v>
      </c>
      <c r="F149" s="23">
        <v>7025046616</v>
      </c>
      <c r="G149" s="23" t="s">
        <v>1072</v>
      </c>
      <c r="H149" s="23" t="s">
        <v>1073</v>
      </c>
      <c r="I149" s="17" t="s">
        <v>1074</v>
      </c>
      <c r="J149" s="18" t="s">
        <v>1075</v>
      </c>
      <c r="K149" s="23" t="s">
        <v>78</v>
      </c>
      <c r="L149" s="23" t="s">
        <v>1076</v>
      </c>
      <c r="M149" s="24" t="s">
        <v>1077</v>
      </c>
      <c r="N149" s="23" t="s">
        <v>1078</v>
      </c>
      <c r="O149" s="50" t="s">
        <v>400</v>
      </c>
      <c r="P149" s="23">
        <v>2500</v>
      </c>
      <c r="Q149" s="23">
        <v>2500</v>
      </c>
      <c r="R149" s="23">
        <v>0</v>
      </c>
      <c r="S149" s="23">
        <v>0</v>
      </c>
      <c r="T149" s="23">
        <v>1270</v>
      </c>
      <c r="U149" s="23">
        <v>250</v>
      </c>
      <c r="V149" s="23">
        <v>792</v>
      </c>
      <c r="W149" s="19">
        <v>1270</v>
      </c>
      <c r="X149" s="20">
        <v>0</v>
      </c>
      <c r="Y149" s="20">
        <v>0</v>
      </c>
      <c r="Z149" s="20">
        <v>1042</v>
      </c>
      <c r="AA149" s="21">
        <v>1042</v>
      </c>
      <c r="AB149" s="23">
        <v>0</v>
      </c>
      <c r="AC149" s="23">
        <v>0</v>
      </c>
      <c r="AD149" s="23">
        <f>1042*18/100</f>
        <v>187.56</v>
      </c>
      <c r="AE149" s="23">
        <f>188-AD149</f>
        <v>0.43999999999999773</v>
      </c>
      <c r="AF149" s="24" t="s">
        <v>1069</v>
      </c>
      <c r="AG149" s="23" t="s">
        <v>1079</v>
      </c>
      <c r="AH149" s="24" t="s">
        <v>1080</v>
      </c>
      <c r="AI149" s="24" t="s">
        <v>55</v>
      </c>
      <c r="AJ149" s="23"/>
      <c r="AK149" s="41" t="s">
        <v>1081</v>
      </c>
    </row>
    <row r="150" spans="1:37" x14ac:dyDescent="0.25">
      <c r="A150" s="13">
        <v>44727</v>
      </c>
      <c r="B150" s="23" t="s">
        <v>1082</v>
      </c>
      <c r="C150" s="24" t="s">
        <v>1083</v>
      </c>
      <c r="D150" s="27" t="s">
        <v>1084</v>
      </c>
      <c r="E150" s="24" t="s">
        <v>1085</v>
      </c>
      <c r="F150" s="23">
        <v>7066701106</v>
      </c>
      <c r="G150" s="23" t="s">
        <v>1086</v>
      </c>
      <c r="H150" s="23" t="s">
        <v>1087</v>
      </c>
      <c r="I150" s="17" t="s">
        <v>1088</v>
      </c>
      <c r="J150" s="18" t="s">
        <v>1089</v>
      </c>
      <c r="K150" s="23" t="s">
        <v>255</v>
      </c>
      <c r="L150" s="24" t="s">
        <v>1090</v>
      </c>
      <c r="M150" s="23" t="s">
        <v>80</v>
      </c>
      <c r="N150" s="18" t="s">
        <v>67</v>
      </c>
      <c r="O150" s="14" t="s">
        <v>993</v>
      </c>
      <c r="P150" s="23">
        <v>3540</v>
      </c>
      <c r="Q150" s="23">
        <v>3540</v>
      </c>
      <c r="R150" s="23">
        <v>0</v>
      </c>
      <c r="S150" s="23">
        <v>0</v>
      </c>
      <c r="T150" s="23">
        <v>0</v>
      </c>
      <c r="U150" s="23">
        <v>250</v>
      </c>
      <c r="V150" s="23">
        <v>2750</v>
      </c>
      <c r="W150" s="19">
        <v>0</v>
      </c>
      <c r="X150" s="20">
        <v>0</v>
      </c>
      <c r="Y150" s="20">
        <v>2750</v>
      </c>
      <c r="Z150" s="20">
        <v>250</v>
      </c>
      <c r="AA150" s="21">
        <v>3000</v>
      </c>
      <c r="AB150" s="23">
        <f>3000*18/100/2</f>
        <v>270</v>
      </c>
      <c r="AC150" s="23">
        <f>3000*18/100/2</f>
        <v>270</v>
      </c>
      <c r="AD150" s="23">
        <v>0</v>
      </c>
      <c r="AE150" s="23">
        <v>0</v>
      </c>
      <c r="AF150" s="24" t="s">
        <v>1091</v>
      </c>
      <c r="AG150" s="23"/>
      <c r="AH150" s="24" t="s">
        <v>1092</v>
      </c>
      <c r="AI150" s="24" t="s">
        <v>55</v>
      </c>
      <c r="AJ150" s="23"/>
      <c r="AK150" s="41" t="s">
        <v>1093</v>
      </c>
    </row>
    <row r="151" spans="1:37" x14ac:dyDescent="0.25">
      <c r="A151" s="13">
        <v>44727</v>
      </c>
      <c r="B151" s="24" t="s">
        <v>1094</v>
      </c>
      <c r="C151" s="24" t="s">
        <v>1095</v>
      </c>
      <c r="D151" s="24" t="s">
        <v>46</v>
      </c>
      <c r="E151" s="24" t="s">
        <v>1096</v>
      </c>
      <c r="F151" s="23">
        <v>9892136771</v>
      </c>
      <c r="G151" s="23" t="s">
        <v>1097</v>
      </c>
      <c r="H151" s="23" t="s">
        <v>46</v>
      </c>
      <c r="I151" s="17" t="s">
        <v>1098</v>
      </c>
      <c r="J151" s="18" t="s">
        <v>1099</v>
      </c>
      <c r="K151" s="23" t="s">
        <v>255</v>
      </c>
      <c r="L151" s="24" t="s">
        <v>1100</v>
      </c>
      <c r="M151" s="23" t="s">
        <v>80</v>
      </c>
      <c r="N151" s="18" t="s">
        <v>67</v>
      </c>
      <c r="O151" s="14" t="s">
        <v>1101</v>
      </c>
      <c r="P151" s="23">
        <v>1000</v>
      </c>
      <c r="Q151" s="23">
        <v>1000</v>
      </c>
      <c r="R151" s="23">
        <v>0</v>
      </c>
      <c r="S151" s="23">
        <v>0</v>
      </c>
      <c r="T151" s="23">
        <v>0</v>
      </c>
      <c r="U151" s="23">
        <v>0</v>
      </c>
      <c r="V151" s="23">
        <v>847</v>
      </c>
      <c r="W151" s="19">
        <v>0</v>
      </c>
      <c r="X151" s="20">
        <v>0</v>
      </c>
      <c r="Y151" s="20">
        <v>0</v>
      </c>
      <c r="Z151" s="20">
        <v>847</v>
      </c>
      <c r="AA151" s="21">
        <v>847</v>
      </c>
      <c r="AB151" s="23">
        <f>847*18/100/2</f>
        <v>76.23</v>
      </c>
      <c r="AC151" s="23">
        <f>847*18/100/2</f>
        <v>76.23</v>
      </c>
      <c r="AD151" s="23">
        <v>0</v>
      </c>
      <c r="AE151" s="23">
        <f>153-AB151-AC151</f>
        <v>0.53999999999999204</v>
      </c>
      <c r="AF151" s="24" t="s">
        <v>1095</v>
      </c>
      <c r="AG151" s="23"/>
      <c r="AH151" s="24" t="s">
        <v>1102</v>
      </c>
      <c r="AI151" s="24" t="s">
        <v>55</v>
      </c>
      <c r="AJ151" s="23"/>
      <c r="AK151" s="41" t="s">
        <v>46</v>
      </c>
    </row>
    <row r="152" spans="1:37" x14ac:dyDescent="0.25">
      <c r="A152" s="13">
        <v>44727</v>
      </c>
      <c r="B152" s="23" t="s">
        <v>125</v>
      </c>
      <c r="C152" s="24" t="s">
        <v>1103</v>
      </c>
      <c r="D152" s="30" t="s">
        <v>1104</v>
      </c>
      <c r="E152" s="24" t="s">
        <v>1105</v>
      </c>
      <c r="F152" s="28">
        <v>7014000715</v>
      </c>
      <c r="G152" s="23" t="s">
        <v>1106</v>
      </c>
      <c r="H152" s="23" t="s">
        <v>1107</v>
      </c>
      <c r="I152" s="17" t="s">
        <v>1108</v>
      </c>
      <c r="J152" s="18" t="s">
        <v>1109</v>
      </c>
      <c r="K152" s="30" t="s">
        <v>255</v>
      </c>
      <c r="L152" s="30" t="s">
        <v>1110</v>
      </c>
      <c r="M152" s="24" t="s">
        <v>777</v>
      </c>
      <c r="N152" s="24" t="s">
        <v>452</v>
      </c>
      <c r="O152" s="14" t="s">
        <v>993</v>
      </c>
      <c r="P152" s="28">
        <v>0</v>
      </c>
      <c r="Q152" s="28">
        <v>1590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19">
        <v>0</v>
      </c>
      <c r="X152" s="20">
        <v>0</v>
      </c>
      <c r="Y152" s="20">
        <v>0</v>
      </c>
      <c r="Z152" s="20">
        <v>0</v>
      </c>
      <c r="AA152" s="21">
        <v>0</v>
      </c>
      <c r="AB152" s="28">
        <v>0</v>
      </c>
      <c r="AC152" s="28">
        <v>0</v>
      </c>
      <c r="AD152" s="28">
        <v>0</v>
      </c>
      <c r="AE152" s="28">
        <v>0</v>
      </c>
      <c r="AF152" s="24" t="s">
        <v>1111</v>
      </c>
      <c r="AG152" s="58"/>
      <c r="AH152" s="18" t="s">
        <v>46</v>
      </c>
      <c r="AI152" s="24" t="s">
        <v>55</v>
      </c>
      <c r="AJ152" s="23"/>
      <c r="AK152" s="25" t="s">
        <v>46</v>
      </c>
    </row>
    <row r="153" spans="1:37" x14ac:dyDescent="0.25">
      <c r="A153" s="13">
        <v>44727</v>
      </c>
      <c r="B153" s="23" t="s">
        <v>125</v>
      </c>
      <c r="C153" s="24" t="s">
        <v>1112</v>
      </c>
      <c r="D153" s="30" t="s">
        <v>1113</v>
      </c>
      <c r="E153" s="24" t="s">
        <v>1114</v>
      </c>
      <c r="F153" s="28">
        <v>7020433576</v>
      </c>
      <c r="G153" s="24" t="s">
        <v>1115</v>
      </c>
      <c r="H153" s="23" t="s">
        <v>1116</v>
      </c>
      <c r="I153" s="17" t="s">
        <v>1117</v>
      </c>
      <c r="J153" s="18" t="s">
        <v>1118</v>
      </c>
      <c r="K153" s="30" t="s">
        <v>78</v>
      </c>
      <c r="L153" s="30" t="s">
        <v>1119</v>
      </c>
      <c r="M153" s="24" t="s">
        <v>80</v>
      </c>
      <c r="N153" s="24" t="s">
        <v>67</v>
      </c>
      <c r="O153" s="50" t="s">
        <v>400</v>
      </c>
      <c r="P153" s="28">
        <v>0</v>
      </c>
      <c r="Q153" s="28">
        <v>2040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19">
        <v>0</v>
      </c>
      <c r="X153" s="20">
        <v>0</v>
      </c>
      <c r="Y153" s="20">
        <v>0</v>
      </c>
      <c r="Z153" s="20">
        <v>0</v>
      </c>
      <c r="AA153" s="21">
        <v>0</v>
      </c>
      <c r="AB153" s="28">
        <v>0</v>
      </c>
      <c r="AC153" s="28">
        <v>0</v>
      </c>
      <c r="AD153" s="28">
        <v>0</v>
      </c>
      <c r="AE153" s="28">
        <v>0</v>
      </c>
      <c r="AF153" s="24" t="s">
        <v>1112</v>
      </c>
      <c r="AG153" s="23" t="s">
        <v>1120</v>
      </c>
      <c r="AH153" s="18" t="s">
        <v>46</v>
      </c>
      <c r="AI153" s="24" t="s">
        <v>55</v>
      </c>
      <c r="AJ153" s="23"/>
      <c r="AK153" s="25" t="s">
        <v>46</v>
      </c>
    </row>
    <row r="154" spans="1:37" x14ac:dyDescent="0.25">
      <c r="A154" s="13">
        <v>44727</v>
      </c>
      <c r="B154" s="23" t="s">
        <v>125</v>
      </c>
      <c r="C154" s="42" t="s">
        <v>1121</v>
      </c>
      <c r="D154" s="42" t="s">
        <v>46</v>
      </c>
      <c r="E154" s="24" t="s">
        <v>1122</v>
      </c>
      <c r="F154" s="48">
        <v>8600726007</v>
      </c>
      <c r="G154" s="22" t="s">
        <v>1123</v>
      </c>
      <c r="H154" s="14" t="s">
        <v>46</v>
      </c>
      <c r="I154" s="17" t="s">
        <v>1124</v>
      </c>
      <c r="J154" s="18" t="s">
        <v>1125</v>
      </c>
      <c r="K154" s="48" t="s">
        <v>78</v>
      </c>
      <c r="L154" s="48" t="s">
        <v>1126</v>
      </c>
      <c r="M154" s="42" t="s">
        <v>105</v>
      </c>
      <c r="N154" s="24" t="s">
        <v>67</v>
      </c>
      <c r="O154" s="14" t="s">
        <v>68</v>
      </c>
      <c r="P154" s="39">
        <v>0</v>
      </c>
      <c r="Q154" s="39">
        <v>11980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19">
        <v>0</v>
      </c>
      <c r="X154" s="20">
        <v>0</v>
      </c>
      <c r="Y154" s="20">
        <v>0</v>
      </c>
      <c r="Z154" s="20">
        <v>0</v>
      </c>
      <c r="AA154" s="21">
        <v>0</v>
      </c>
      <c r="AB154" s="28">
        <v>0</v>
      </c>
      <c r="AC154" s="28">
        <v>0</v>
      </c>
      <c r="AD154" s="28">
        <v>0</v>
      </c>
      <c r="AE154" s="28">
        <v>0</v>
      </c>
      <c r="AF154" s="42" t="s">
        <v>1121</v>
      </c>
      <c r="AG154" s="23" t="s">
        <v>1127</v>
      </c>
      <c r="AH154" s="18" t="s">
        <v>46</v>
      </c>
      <c r="AI154" s="24" t="s">
        <v>55</v>
      </c>
      <c r="AJ154" s="59"/>
      <c r="AK154" s="25" t="s">
        <v>46</v>
      </c>
    </row>
    <row r="155" spans="1:37" ht="15.75" thickBot="1" x14ac:dyDescent="0.3">
      <c r="A155" s="107" t="s">
        <v>137</v>
      </c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32">
        <f t="shared" ref="P155:AE155" si="11">SUM(P142:P154)</f>
        <v>60326</v>
      </c>
      <c r="Q155" s="32">
        <f t="shared" si="11"/>
        <v>75936</v>
      </c>
      <c r="R155" s="32">
        <f t="shared" si="11"/>
        <v>0</v>
      </c>
      <c r="S155" s="32">
        <f t="shared" si="11"/>
        <v>0</v>
      </c>
      <c r="T155" s="32">
        <f t="shared" si="11"/>
        <v>20380</v>
      </c>
      <c r="U155" s="32">
        <f t="shared" si="11"/>
        <v>5930</v>
      </c>
      <c r="V155" s="32">
        <f t="shared" si="11"/>
        <v>28227</v>
      </c>
      <c r="W155" s="33">
        <f t="shared" si="11"/>
        <v>20380</v>
      </c>
      <c r="X155" s="34">
        <f t="shared" si="11"/>
        <v>2000</v>
      </c>
      <c r="Y155" s="34">
        <f t="shared" si="11"/>
        <v>9504</v>
      </c>
      <c r="Z155" s="34">
        <f t="shared" si="11"/>
        <v>22653</v>
      </c>
      <c r="AA155" s="35">
        <f t="shared" si="11"/>
        <v>32157</v>
      </c>
      <c r="AB155" s="32">
        <f t="shared" si="11"/>
        <v>658.17000000000007</v>
      </c>
      <c r="AC155" s="32">
        <f t="shared" si="11"/>
        <v>658.17000000000007</v>
      </c>
      <c r="AD155" s="32">
        <f t="shared" si="11"/>
        <v>4471.920000000001</v>
      </c>
      <c r="AE155" s="32">
        <f t="shared" si="11"/>
        <v>0.73999999999986699</v>
      </c>
      <c r="AF155" s="109"/>
      <c r="AG155" s="109"/>
      <c r="AH155" s="109"/>
      <c r="AI155" s="36"/>
      <c r="AJ155" s="37"/>
      <c r="AK155" s="38"/>
    </row>
    <row r="156" spans="1:37" ht="15.75" thickBot="1" x14ac:dyDescent="0.3"/>
    <row r="157" spans="1:37" x14ac:dyDescent="0.25">
      <c r="A157" s="112" t="s">
        <v>0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4"/>
      <c r="X157" s="113" t="s">
        <v>1</v>
      </c>
      <c r="Y157" s="114"/>
      <c r="Z157" s="114"/>
      <c r="AA157" s="5" t="s">
        <v>225</v>
      </c>
      <c r="AB157" s="115" t="s">
        <v>3</v>
      </c>
      <c r="AC157" s="116"/>
      <c r="AD157" s="116"/>
      <c r="AE157" s="116"/>
      <c r="AF157" s="105" t="s">
        <v>4</v>
      </c>
      <c r="AG157" s="105"/>
      <c r="AH157" s="105"/>
      <c r="AI157" s="105" t="s">
        <v>5</v>
      </c>
      <c r="AJ157" s="105"/>
      <c r="AK157" s="106"/>
    </row>
    <row r="158" spans="1:37" x14ac:dyDescent="0.25">
      <c r="A158" s="6" t="s">
        <v>6</v>
      </c>
      <c r="B158" s="7" t="s">
        <v>7</v>
      </c>
      <c r="C158" s="7" t="s">
        <v>8</v>
      </c>
      <c r="D158" s="7" t="s">
        <v>9</v>
      </c>
      <c r="E158" s="7" t="s">
        <v>10</v>
      </c>
      <c r="F158" s="7" t="s">
        <v>11</v>
      </c>
      <c r="G158" s="7" t="s">
        <v>12</v>
      </c>
      <c r="H158" s="7" t="s">
        <v>13</v>
      </c>
      <c r="I158" s="7" t="s">
        <v>14</v>
      </c>
      <c r="J158" s="7" t="s">
        <v>15</v>
      </c>
      <c r="K158" s="7" t="s">
        <v>16</v>
      </c>
      <c r="L158" s="7" t="s">
        <v>17</v>
      </c>
      <c r="M158" s="7" t="s">
        <v>18</v>
      </c>
      <c r="N158" s="7" t="s">
        <v>19</v>
      </c>
      <c r="O158" s="7" t="s">
        <v>20</v>
      </c>
      <c r="P158" s="7" t="s">
        <v>21</v>
      </c>
      <c r="Q158" s="7" t="s">
        <v>22</v>
      </c>
      <c r="R158" s="7" t="s">
        <v>23</v>
      </c>
      <c r="S158" s="7" t="s">
        <v>24</v>
      </c>
      <c r="T158" s="7" t="s">
        <v>25</v>
      </c>
      <c r="U158" s="7" t="s">
        <v>26</v>
      </c>
      <c r="V158" s="7" t="s">
        <v>27</v>
      </c>
      <c r="W158" s="8" t="s">
        <v>25</v>
      </c>
      <c r="X158" s="9" t="s">
        <v>28</v>
      </c>
      <c r="Y158" s="9" t="s">
        <v>29</v>
      </c>
      <c r="Z158" s="9" t="s">
        <v>30</v>
      </c>
      <c r="AA158" s="10" t="s">
        <v>31</v>
      </c>
      <c r="AB158" s="7" t="s">
        <v>32</v>
      </c>
      <c r="AC158" s="7" t="s">
        <v>33</v>
      </c>
      <c r="AD158" s="7" t="s">
        <v>34</v>
      </c>
      <c r="AE158" s="7" t="s">
        <v>35</v>
      </c>
      <c r="AF158" s="7" t="s">
        <v>36</v>
      </c>
      <c r="AG158" s="7" t="s">
        <v>37</v>
      </c>
      <c r="AH158" s="7" t="s">
        <v>38</v>
      </c>
      <c r="AI158" s="7" t="s">
        <v>39</v>
      </c>
      <c r="AJ158" s="11" t="s">
        <v>40</v>
      </c>
      <c r="AK158" s="12" t="s">
        <v>41</v>
      </c>
    </row>
    <row r="159" spans="1:37" x14ac:dyDescent="0.25">
      <c r="A159" s="13">
        <v>44728</v>
      </c>
      <c r="B159" s="14" t="s">
        <v>95</v>
      </c>
      <c r="C159" s="18" t="s">
        <v>1128</v>
      </c>
      <c r="D159" s="18" t="s">
        <v>1129</v>
      </c>
      <c r="E159" s="18" t="s">
        <v>1130</v>
      </c>
      <c r="F159" s="15">
        <v>8976068740</v>
      </c>
      <c r="G159" s="15" t="s">
        <v>1131</v>
      </c>
      <c r="H159" s="23" t="s">
        <v>1132</v>
      </c>
      <c r="I159" s="17" t="s">
        <v>1133</v>
      </c>
      <c r="J159" s="18" t="s">
        <v>1134</v>
      </c>
      <c r="K159" s="15" t="s">
        <v>78</v>
      </c>
      <c r="L159" s="14" t="s">
        <v>1135</v>
      </c>
      <c r="M159" s="24" t="s">
        <v>80</v>
      </c>
      <c r="N159" s="24" t="s">
        <v>67</v>
      </c>
      <c r="O159" s="14" t="s">
        <v>53</v>
      </c>
      <c r="P159" s="15">
        <v>11360</v>
      </c>
      <c r="Q159" s="15">
        <v>11360</v>
      </c>
      <c r="R159" s="15">
        <v>0</v>
      </c>
      <c r="S159" s="15">
        <v>0</v>
      </c>
      <c r="T159" s="15">
        <v>9110</v>
      </c>
      <c r="U159" s="15">
        <v>0</v>
      </c>
      <c r="V159" s="15">
        <v>1907</v>
      </c>
      <c r="W159" s="19">
        <v>9110</v>
      </c>
      <c r="X159" s="20">
        <v>0</v>
      </c>
      <c r="Y159" s="20">
        <v>0</v>
      </c>
      <c r="Z159" s="20">
        <v>1907</v>
      </c>
      <c r="AA159" s="21">
        <v>1907</v>
      </c>
      <c r="AB159" s="57">
        <f>1907*18/100/2</f>
        <v>171.63</v>
      </c>
      <c r="AC159" s="57">
        <f>1907*18/100/2</f>
        <v>171.63</v>
      </c>
      <c r="AD159" s="57">
        <v>0</v>
      </c>
      <c r="AE159" s="58">
        <f>343-AC159-AB159</f>
        <v>-0.25999999999999091</v>
      </c>
      <c r="AF159" s="18" t="s">
        <v>1128</v>
      </c>
      <c r="AG159" s="58"/>
      <c r="AH159" s="18" t="s">
        <v>1136</v>
      </c>
      <c r="AI159" s="24" t="s">
        <v>55</v>
      </c>
      <c r="AJ159" s="23"/>
      <c r="AK159" s="25" t="s">
        <v>1137</v>
      </c>
    </row>
    <row r="160" spans="1:37" x14ac:dyDescent="0.25">
      <c r="A160" s="13">
        <v>44728</v>
      </c>
      <c r="B160" s="24" t="s">
        <v>1138</v>
      </c>
      <c r="C160" s="24" t="s">
        <v>1139</v>
      </c>
      <c r="D160" s="24" t="s">
        <v>1140</v>
      </c>
      <c r="E160" s="24" t="s">
        <v>1141</v>
      </c>
      <c r="F160" s="15" t="s">
        <v>1142</v>
      </c>
      <c r="G160" s="16" t="s">
        <v>1143</v>
      </c>
      <c r="H160" s="23" t="s">
        <v>1144</v>
      </c>
      <c r="I160" s="17" t="s">
        <v>1145</v>
      </c>
      <c r="J160" s="18" t="s">
        <v>1146</v>
      </c>
      <c r="K160" s="15" t="s">
        <v>116</v>
      </c>
      <c r="L160" s="14" t="s">
        <v>1147</v>
      </c>
      <c r="M160" s="23" t="s">
        <v>80</v>
      </c>
      <c r="N160" s="24" t="s">
        <v>67</v>
      </c>
      <c r="O160" s="14" t="s">
        <v>53</v>
      </c>
      <c r="P160" s="15">
        <v>67740</v>
      </c>
      <c r="Q160" s="15">
        <v>67740</v>
      </c>
      <c r="R160" s="15">
        <v>0</v>
      </c>
      <c r="S160" s="15">
        <v>0</v>
      </c>
      <c r="T160" s="15">
        <v>47610</v>
      </c>
      <c r="U160" s="15">
        <v>0</v>
      </c>
      <c r="V160" s="15">
        <v>17059</v>
      </c>
      <c r="W160" s="19">
        <v>47610</v>
      </c>
      <c r="X160" s="20">
        <v>8530</v>
      </c>
      <c r="Y160" s="20">
        <v>8529</v>
      </c>
      <c r="Z160" s="20">
        <v>0</v>
      </c>
      <c r="AA160" s="21">
        <v>17059</v>
      </c>
      <c r="AB160" s="22">
        <f>17059*18/100/2</f>
        <v>1535.31</v>
      </c>
      <c r="AC160" s="22">
        <f>17059*18/100/2</f>
        <v>1535.31</v>
      </c>
      <c r="AD160" s="22">
        <v>0</v>
      </c>
      <c r="AE160" s="23">
        <f>3071-AC160-AB160</f>
        <v>0.38000000000010914</v>
      </c>
      <c r="AF160" s="24" t="s">
        <v>1148</v>
      </c>
      <c r="AG160" s="23" t="s">
        <v>1149</v>
      </c>
      <c r="AH160" s="24" t="s">
        <v>1150</v>
      </c>
      <c r="AI160" s="24" t="s">
        <v>795</v>
      </c>
      <c r="AJ160" s="23"/>
      <c r="AK160" s="25" t="s">
        <v>1151</v>
      </c>
    </row>
    <row r="161" spans="1:37" x14ac:dyDescent="0.25">
      <c r="A161" s="13">
        <v>44728</v>
      </c>
      <c r="B161" s="24" t="s">
        <v>1152</v>
      </c>
      <c r="C161" s="24" t="s">
        <v>1139</v>
      </c>
      <c r="D161" s="24" t="s">
        <v>1140</v>
      </c>
      <c r="E161" s="24" t="s">
        <v>1141</v>
      </c>
      <c r="F161" s="15" t="s">
        <v>1142</v>
      </c>
      <c r="G161" s="51" t="s">
        <v>1143</v>
      </c>
      <c r="H161" s="23" t="s">
        <v>1144</v>
      </c>
      <c r="I161" s="17" t="s">
        <v>1153</v>
      </c>
      <c r="J161" s="18" t="s">
        <v>1154</v>
      </c>
      <c r="K161" s="15" t="s">
        <v>116</v>
      </c>
      <c r="L161" s="14" t="s">
        <v>1147</v>
      </c>
      <c r="M161" s="24" t="s">
        <v>80</v>
      </c>
      <c r="N161" s="24" t="s">
        <v>67</v>
      </c>
      <c r="O161" s="14" t="s">
        <v>53</v>
      </c>
      <c r="P161" s="15">
        <v>23760</v>
      </c>
      <c r="Q161" s="15">
        <v>19000</v>
      </c>
      <c r="R161" s="15">
        <f>P161-Q161</f>
        <v>4760</v>
      </c>
      <c r="S161" s="15">
        <v>0</v>
      </c>
      <c r="T161" s="23">
        <v>15870</v>
      </c>
      <c r="U161" s="15">
        <v>0</v>
      </c>
      <c r="V161" s="15">
        <v>6686</v>
      </c>
      <c r="W161" s="19">
        <v>15870</v>
      </c>
      <c r="X161" s="20">
        <v>3343</v>
      </c>
      <c r="Y161" s="20">
        <v>3343</v>
      </c>
      <c r="Z161" s="20">
        <v>0</v>
      </c>
      <c r="AA161" s="21">
        <v>6686</v>
      </c>
      <c r="AB161" s="22">
        <f>6686*18/100/2</f>
        <v>601.74</v>
      </c>
      <c r="AC161" s="22">
        <f>6686*18/100/2</f>
        <v>601.74</v>
      </c>
      <c r="AD161" s="22">
        <v>0</v>
      </c>
      <c r="AE161" s="23">
        <f>1204-AC161-AB161</f>
        <v>0.51999999999998181</v>
      </c>
      <c r="AF161" s="24" t="s">
        <v>1148</v>
      </c>
      <c r="AG161" s="23"/>
      <c r="AH161" s="24" t="s">
        <v>1155</v>
      </c>
      <c r="AI161" s="24" t="s">
        <v>795</v>
      </c>
      <c r="AJ161" s="23"/>
      <c r="AK161" s="25" t="s">
        <v>1156</v>
      </c>
    </row>
    <row r="162" spans="1:37" x14ac:dyDescent="0.25">
      <c r="A162" s="13">
        <v>44728</v>
      </c>
      <c r="B162" s="24" t="s">
        <v>1157</v>
      </c>
      <c r="C162" s="24" t="s">
        <v>1158</v>
      </c>
      <c r="D162" s="24" t="s">
        <v>46</v>
      </c>
      <c r="E162" s="24" t="s">
        <v>1159</v>
      </c>
      <c r="F162" s="14">
        <v>9768305943</v>
      </c>
      <c r="G162" s="26" t="s">
        <v>1160</v>
      </c>
      <c r="H162" s="24" t="s">
        <v>1161</v>
      </c>
      <c r="I162" s="17" t="s">
        <v>1162</v>
      </c>
      <c r="J162" s="18" t="s">
        <v>1163</v>
      </c>
      <c r="K162" s="15" t="s">
        <v>78</v>
      </c>
      <c r="L162" s="14" t="s">
        <v>1164</v>
      </c>
      <c r="M162" s="24" t="s">
        <v>80</v>
      </c>
      <c r="N162" s="24" t="s">
        <v>67</v>
      </c>
      <c r="O162" s="14" t="s">
        <v>53</v>
      </c>
      <c r="P162" s="15">
        <v>11500</v>
      </c>
      <c r="Q162" s="15">
        <v>11500</v>
      </c>
      <c r="R162" s="15">
        <v>0</v>
      </c>
      <c r="S162" s="15">
        <v>0</v>
      </c>
      <c r="T162" s="15">
        <v>0</v>
      </c>
      <c r="U162" s="15">
        <v>4720</v>
      </c>
      <c r="V162" s="15">
        <v>5026</v>
      </c>
      <c r="W162" s="19">
        <v>0</v>
      </c>
      <c r="X162" s="20">
        <v>0</v>
      </c>
      <c r="Y162" s="20">
        <v>0</v>
      </c>
      <c r="Z162" s="20">
        <v>9746</v>
      </c>
      <c r="AA162" s="21">
        <v>9746</v>
      </c>
      <c r="AB162" s="22">
        <f>9746*18/100/2</f>
        <v>877.14</v>
      </c>
      <c r="AC162" s="22">
        <f>9746*18/100/2</f>
        <v>877.14</v>
      </c>
      <c r="AD162" s="22">
        <v>0</v>
      </c>
      <c r="AE162" s="23">
        <f>1754-AC162-AB162</f>
        <v>-0.27999999999997272</v>
      </c>
      <c r="AF162" s="24" t="s">
        <v>1165</v>
      </c>
      <c r="AG162" s="23" t="s">
        <v>1166</v>
      </c>
      <c r="AH162" s="24" t="s">
        <v>1167</v>
      </c>
      <c r="AI162" s="24" t="s">
        <v>55</v>
      </c>
      <c r="AJ162" s="23"/>
      <c r="AK162" s="25" t="s">
        <v>259</v>
      </c>
    </row>
    <row r="163" spans="1:37" x14ac:dyDescent="0.25">
      <c r="A163" s="13">
        <v>44728</v>
      </c>
      <c r="B163" s="24" t="s">
        <v>788</v>
      </c>
      <c r="C163" s="24" t="s">
        <v>1168</v>
      </c>
      <c r="D163" s="24" t="s">
        <v>1169</v>
      </c>
      <c r="E163" s="24" t="s">
        <v>1170</v>
      </c>
      <c r="F163" s="23">
        <v>9825318646</v>
      </c>
      <c r="G163" s="23" t="s">
        <v>46</v>
      </c>
      <c r="H163" s="24" t="s">
        <v>1171</v>
      </c>
      <c r="I163" s="17" t="s">
        <v>1172</v>
      </c>
      <c r="J163" s="18" t="s">
        <v>1173</v>
      </c>
      <c r="K163" s="23" t="s">
        <v>116</v>
      </c>
      <c r="L163" s="23" t="s">
        <v>1147</v>
      </c>
      <c r="M163" s="23" t="s">
        <v>186</v>
      </c>
      <c r="N163" s="24" t="s">
        <v>187</v>
      </c>
      <c r="O163" s="14" t="s">
        <v>53</v>
      </c>
      <c r="P163" s="23">
        <v>13570</v>
      </c>
      <c r="Q163" s="23">
        <v>13570</v>
      </c>
      <c r="R163" s="23">
        <v>0</v>
      </c>
      <c r="S163" s="23">
        <v>0</v>
      </c>
      <c r="T163" s="23">
        <v>0</v>
      </c>
      <c r="U163" s="23">
        <v>4500</v>
      </c>
      <c r="V163" s="23">
        <v>7000</v>
      </c>
      <c r="W163" s="19">
        <v>0</v>
      </c>
      <c r="X163" s="20">
        <v>0</v>
      </c>
      <c r="Y163" s="20">
        <v>0</v>
      </c>
      <c r="Z163" s="20">
        <v>11500</v>
      </c>
      <c r="AA163" s="21">
        <v>11500</v>
      </c>
      <c r="AB163" s="23">
        <v>0</v>
      </c>
      <c r="AC163" s="23">
        <v>0</v>
      </c>
      <c r="AD163" s="23">
        <f>11500*18/100</f>
        <v>2070</v>
      </c>
      <c r="AE163" s="23">
        <v>0</v>
      </c>
      <c r="AF163" s="24" t="s">
        <v>1168</v>
      </c>
      <c r="AG163" s="23"/>
      <c r="AH163" s="24" t="s">
        <v>1174</v>
      </c>
      <c r="AI163" s="24" t="s">
        <v>795</v>
      </c>
      <c r="AJ163" s="23"/>
      <c r="AK163" s="41" t="s">
        <v>1175</v>
      </c>
    </row>
    <row r="164" spans="1:37" x14ac:dyDescent="0.25">
      <c r="A164" s="13">
        <v>44728</v>
      </c>
      <c r="B164" s="23" t="s">
        <v>350</v>
      </c>
      <c r="C164" s="60" t="s">
        <v>1176</v>
      </c>
      <c r="D164" s="60" t="s">
        <v>1177</v>
      </c>
      <c r="E164" s="60" t="s">
        <v>1178</v>
      </c>
      <c r="F164" s="59">
        <v>9727755080</v>
      </c>
      <c r="G164" s="59" t="s">
        <v>1179</v>
      </c>
      <c r="H164" s="60" t="s">
        <v>46</v>
      </c>
      <c r="I164" s="17" t="s">
        <v>1180</v>
      </c>
      <c r="J164" s="18" t="s">
        <v>1181</v>
      </c>
      <c r="K164" s="59" t="s">
        <v>91</v>
      </c>
      <c r="L164" s="59" t="s">
        <v>1182</v>
      </c>
      <c r="M164" s="61" t="s">
        <v>1183</v>
      </c>
      <c r="N164" s="59" t="s">
        <v>319</v>
      </c>
      <c r="O164" s="14" t="s">
        <v>1184</v>
      </c>
      <c r="P164" s="59">
        <v>6800</v>
      </c>
      <c r="Q164" s="59">
        <v>5000</v>
      </c>
      <c r="R164" s="59">
        <v>1800</v>
      </c>
      <c r="S164" s="59">
        <v>0</v>
      </c>
      <c r="T164" s="59">
        <v>4870</v>
      </c>
      <c r="U164" s="59">
        <v>500</v>
      </c>
      <c r="V164" s="59">
        <v>1136</v>
      </c>
      <c r="W164" s="62">
        <v>4870</v>
      </c>
      <c r="X164" s="63">
        <v>1136</v>
      </c>
      <c r="Y164" s="63">
        <v>0</v>
      </c>
      <c r="Z164" s="63">
        <v>500</v>
      </c>
      <c r="AA164" s="64">
        <v>1636</v>
      </c>
      <c r="AB164" s="59">
        <v>0</v>
      </c>
      <c r="AC164" s="59">
        <v>0</v>
      </c>
      <c r="AD164" s="59">
        <f>1636*18/100</f>
        <v>294.48</v>
      </c>
      <c r="AE164" s="59">
        <f>294-AD164</f>
        <v>-0.48000000000001819</v>
      </c>
      <c r="AF164" s="60" t="s">
        <v>1176</v>
      </c>
      <c r="AG164" s="59"/>
      <c r="AH164" s="60" t="s">
        <v>1185</v>
      </c>
      <c r="AI164" s="24" t="s">
        <v>55</v>
      </c>
      <c r="AJ164" s="59"/>
      <c r="AK164" s="65" t="s">
        <v>971</v>
      </c>
    </row>
    <row r="165" spans="1:37" ht="15.75" thickBot="1" x14ac:dyDescent="0.3">
      <c r="A165" s="107" t="s">
        <v>137</v>
      </c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32">
        <f t="shared" ref="P165:AE165" si="12">SUM(P159:P164)</f>
        <v>134730</v>
      </c>
      <c r="Q165" s="32">
        <f t="shared" si="12"/>
        <v>128170</v>
      </c>
      <c r="R165" s="32">
        <f t="shared" si="12"/>
        <v>6560</v>
      </c>
      <c r="S165" s="32">
        <f t="shared" si="12"/>
        <v>0</v>
      </c>
      <c r="T165" s="32">
        <f t="shared" si="12"/>
        <v>77460</v>
      </c>
      <c r="U165" s="32">
        <f t="shared" si="12"/>
        <v>9720</v>
      </c>
      <c r="V165" s="32">
        <f t="shared" si="12"/>
        <v>38814</v>
      </c>
      <c r="W165" s="33">
        <f t="shared" si="12"/>
        <v>77460</v>
      </c>
      <c r="X165" s="34">
        <f t="shared" si="12"/>
        <v>13009</v>
      </c>
      <c r="Y165" s="34">
        <f t="shared" si="12"/>
        <v>11872</v>
      </c>
      <c r="Z165" s="34">
        <f t="shared" si="12"/>
        <v>23653</v>
      </c>
      <c r="AA165" s="35">
        <f t="shared" si="12"/>
        <v>48534</v>
      </c>
      <c r="AB165" s="32">
        <f t="shared" si="12"/>
        <v>3185.82</v>
      </c>
      <c r="AC165" s="32">
        <f t="shared" si="12"/>
        <v>3185.82</v>
      </c>
      <c r="AD165" s="32">
        <f t="shared" si="12"/>
        <v>2364.48</v>
      </c>
      <c r="AE165" s="32">
        <f t="shared" si="12"/>
        <v>-0.11999999999989086</v>
      </c>
      <c r="AF165" s="109"/>
      <c r="AG165" s="109"/>
      <c r="AH165" s="109"/>
      <c r="AI165" s="36"/>
      <c r="AJ165" s="37"/>
      <c r="AK165" s="38"/>
    </row>
    <row r="166" spans="1:37" ht="15.75" thickBot="1" x14ac:dyDescent="0.3"/>
    <row r="167" spans="1:37" x14ac:dyDescent="0.25">
      <c r="A167" s="112" t="s">
        <v>0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4"/>
      <c r="X167" s="113" t="s">
        <v>1</v>
      </c>
      <c r="Y167" s="114"/>
      <c r="Z167" s="114"/>
      <c r="AA167" s="5" t="s">
        <v>225</v>
      </c>
      <c r="AB167" s="115" t="s">
        <v>3</v>
      </c>
      <c r="AC167" s="116"/>
      <c r="AD167" s="116"/>
      <c r="AE167" s="116"/>
      <c r="AF167" s="105" t="s">
        <v>4</v>
      </c>
      <c r="AG167" s="105"/>
      <c r="AH167" s="105"/>
      <c r="AI167" s="105" t="s">
        <v>5</v>
      </c>
      <c r="AJ167" s="105"/>
      <c r="AK167" s="106"/>
    </row>
    <row r="168" spans="1:37" x14ac:dyDescent="0.25">
      <c r="A168" s="6" t="s">
        <v>6</v>
      </c>
      <c r="B168" s="7" t="s">
        <v>7</v>
      </c>
      <c r="C168" s="7" t="s">
        <v>8</v>
      </c>
      <c r="D168" s="7" t="s">
        <v>9</v>
      </c>
      <c r="E168" s="7" t="s">
        <v>10</v>
      </c>
      <c r="F168" s="7" t="s">
        <v>11</v>
      </c>
      <c r="G168" s="7" t="s">
        <v>12</v>
      </c>
      <c r="H168" s="7" t="s">
        <v>13</v>
      </c>
      <c r="I168" s="7" t="s">
        <v>14</v>
      </c>
      <c r="J168" s="7" t="s">
        <v>15</v>
      </c>
      <c r="K168" s="7" t="s">
        <v>16</v>
      </c>
      <c r="L168" s="7" t="s">
        <v>17</v>
      </c>
      <c r="M168" s="7" t="s">
        <v>18</v>
      </c>
      <c r="N168" s="7" t="s">
        <v>19</v>
      </c>
      <c r="O168" s="7" t="s">
        <v>20</v>
      </c>
      <c r="P168" s="7" t="s">
        <v>21</v>
      </c>
      <c r="Q168" s="7" t="s">
        <v>22</v>
      </c>
      <c r="R168" s="7" t="s">
        <v>23</v>
      </c>
      <c r="S168" s="7" t="s">
        <v>24</v>
      </c>
      <c r="T168" s="7" t="s">
        <v>25</v>
      </c>
      <c r="U168" s="7" t="s">
        <v>26</v>
      </c>
      <c r="V168" s="7" t="s">
        <v>27</v>
      </c>
      <c r="W168" s="8" t="s">
        <v>25</v>
      </c>
      <c r="X168" s="9" t="s">
        <v>28</v>
      </c>
      <c r="Y168" s="9" t="s">
        <v>29</v>
      </c>
      <c r="Z168" s="9" t="s">
        <v>30</v>
      </c>
      <c r="AA168" s="10" t="s">
        <v>31</v>
      </c>
      <c r="AB168" s="7" t="s">
        <v>32</v>
      </c>
      <c r="AC168" s="7" t="s">
        <v>33</v>
      </c>
      <c r="AD168" s="7" t="s">
        <v>34</v>
      </c>
      <c r="AE168" s="7" t="s">
        <v>35</v>
      </c>
      <c r="AF168" s="7" t="s">
        <v>36</v>
      </c>
      <c r="AG168" s="7" t="s">
        <v>37</v>
      </c>
      <c r="AH168" s="7" t="s">
        <v>38</v>
      </c>
      <c r="AI168" s="7" t="s">
        <v>39</v>
      </c>
      <c r="AJ168" s="11" t="s">
        <v>40</v>
      </c>
      <c r="AK168" s="12" t="s">
        <v>41</v>
      </c>
    </row>
    <row r="169" spans="1:37" x14ac:dyDescent="0.25">
      <c r="A169" s="13">
        <v>44729</v>
      </c>
      <c r="B169" s="14" t="s">
        <v>1186</v>
      </c>
      <c r="C169" s="18" t="s">
        <v>1187</v>
      </c>
      <c r="D169" s="18" t="s">
        <v>1187</v>
      </c>
      <c r="E169" s="18" t="s">
        <v>1188</v>
      </c>
      <c r="F169" s="15">
        <v>8424971213</v>
      </c>
      <c r="G169" s="15" t="s">
        <v>1189</v>
      </c>
      <c r="H169" s="23" t="s">
        <v>46</v>
      </c>
      <c r="I169" s="17" t="s">
        <v>1190</v>
      </c>
      <c r="J169" s="66" t="s">
        <v>1191</v>
      </c>
      <c r="K169" s="15" t="s">
        <v>116</v>
      </c>
      <c r="L169" s="14" t="s">
        <v>1147</v>
      </c>
      <c r="M169" s="23" t="s">
        <v>1192</v>
      </c>
      <c r="N169" s="24" t="s">
        <v>1078</v>
      </c>
      <c r="O169" s="14" t="s">
        <v>68</v>
      </c>
      <c r="P169" s="15">
        <v>13800</v>
      </c>
      <c r="Q169" s="15">
        <v>11000</v>
      </c>
      <c r="R169" s="15">
        <v>2800</v>
      </c>
      <c r="S169" s="15">
        <v>0</v>
      </c>
      <c r="T169" s="15">
        <v>4176</v>
      </c>
      <c r="U169" s="15">
        <v>2500</v>
      </c>
      <c r="V169" s="15">
        <v>5656</v>
      </c>
      <c r="W169" s="19">
        <v>4176</v>
      </c>
      <c r="X169" s="20">
        <v>5656</v>
      </c>
      <c r="Y169" s="20">
        <v>2500</v>
      </c>
      <c r="Z169" s="20">
        <v>0</v>
      </c>
      <c r="AA169" s="21">
        <v>8156</v>
      </c>
      <c r="AB169" s="57">
        <v>0</v>
      </c>
      <c r="AC169" s="57">
        <v>0</v>
      </c>
      <c r="AD169" s="57">
        <f>8156*18/100</f>
        <v>1468.08</v>
      </c>
      <c r="AE169" s="58">
        <f>1468-AD169</f>
        <v>-7.999999999992724E-2</v>
      </c>
      <c r="AF169" s="18" t="s">
        <v>1188</v>
      </c>
      <c r="AG169" s="58" t="s">
        <v>1193</v>
      </c>
      <c r="AH169" s="18" t="s">
        <v>1194</v>
      </c>
      <c r="AI169" s="24" t="s">
        <v>55</v>
      </c>
      <c r="AJ169" s="23"/>
      <c r="AK169" s="25" t="s">
        <v>1195</v>
      </c>
    </row>
    <row r="170" spans="1:37" x14ac:dyDescent="0.25">
      <c r="A170" s="13">
        <v>44729</v>
      </c>
      <c r="B170" s="14" t="s">
        <v>624</v>
      </c>
      <c r="C170" s="18" t="s">
        <v>1196</v>
      </c>
      <c r="D170" s="18" t="s">
        <v>46</v>
      </c>
      <c r="E170" s="18" t="s">
        <v>1197</v>
      </c>
      <c r="F170" s="15">
        <v>9823054585</v>
      </c>
      <c r="G170" s="15" t="s">
        <v>1198</v>
      </c>
      <c r="H170" s="23" t="s">
        <v>46</v>
      </c>
      <c r="I170" s="17" t="s">
        <v>1199</v>
      </c>
      <c r="J170" s="18" t="s">
        <v>1200</v>
      </c>
      <c r="K170" s="15" t="s">
        <v>1201</v>
      </c>
      <c r="L170" s="14" t="s">
        <v>1202</v>
      </c>
      <c r="M170" s="24" t="s">
        <v>1203</v>
      </c>
      <c r="N170" s="24" t="s">
        <v>67</v>
      </c>
      <c r="O170" s="14" t="s">
        <v>68</v>
      </c>
      <c r="P170" s="15">
        <v>1000</v>
      </c>
      <c r="Q170" s="15">
        <v>1000</v>
      </c>
      <c r="R170" s="15">
        <v>0</v>
      </c>
      <c r="S170" s="15">
        <v>0</v>
      </c>
      <c r="T170" s="15">
        <v>0</v>
      </c>
      <c r="U170" s="15">
        <v>0</v>
      </c>
      <c r="V170" s="15">
        <v>847</v>
      </c>
      <c r="W170" s="19">
        <v>0</v>
      </c>
      <c r="X170" s="20">
        <v>0</v>
      </c>
      <c r="Y170" s="20">
        <v>0</v>
      </c>
      <c r="Z170" s="20">
        <v>847</v>
      </c>
      <c r="AA170" s="21">
        <v>847</v>
      </c>
      <c r="AB170" s="57">
        <f>847*18/100/2</f>
        <v>76.23</v>
      </c>
      <c r="AC170" s="57">
        <f>847*18/100/2</f>
        <v>76.23</v>
      </c>
      <c r="AD170" s="57">
        <v>0</v>
      </c>
      <c r="AE170" s="58">
        <f>153-AC170-AB170</f>
        <v>0.53999999999999204</v>
      </c>
      <c r="AF170" s="18" t="s">
        <v>1196</v>
      </c>
      <c r="AG170" s="58"/>
      <c r="AH170" s="18" t="s">
        <v>1204</v>
      </c>
      <c r="AI170" s="24" t="s">
        <v>55</v>
      </c>
      <c r="AJ170" s="23"/>
      <c r="AK170" s="25" t="s">
        <v>46</v>
      </c>
    </row>
    <row r="171" spans="1:37" x14ac:dyDescent="0.25">
      <c r="A171" s="13">
        <v>44729</v>
      </c>
      <c r="B171" s="14" t="s">
        <v>350</v>
      </c>
      <c r="C171" s="18" t="s">
        <v>1205</v>
      </c>
      <c r="D171" s="18" t="s">
        <v>1206</v>
      </c>
      <c r="E171" s="18" t="s">
        <v>1207</v>
      </c>
      <c r="F171" s="15">
        <v>8866779808</v>
      </c>
      <c r="G171" s="15" t="s">
        <v>1208</v>
      </c>
      <c r="H171" s="23" t="s">
        <v>46</v>
      </c>
      <c r="I171" s="17" t="s">
        <v>1209</v>
      </c>
      <c r="J171" s="18" t="s">
        <v>1210</v>
      </c>
      <c r="K171" s="15" t="s">
        <v>103</v>
      </c>
      <c r="L171" s="14" t="s">
        <v>1211</v>
      </c>
      <c r="M171" s="24" t="s">
        <v>186</v>
      </c>
      <c r="N171" s="23" t="s">
        <v>187</v>
      </c>
      <c r="O171" s="14" t="s">
        <v>68</v>
      </c>
      <c r="P171" s="15">
        <v>8140</v>
      </c>
      <c r="Q171" s="15">
        <v>8140</v>
      </c>
      <c r="R171" s="15">
        <v>0</v>
      </c>
      <c r="S171" s="15">
        <v>0</v>
      </c>
      <c r="T171" s="15">
        <v>4870</v>
      </c>
      <c r="U171" s="15">
        <v>500</v>
      </c>
      <c r="V171" s="15">
        <v>2271</v>
      </c>
      <c r="W171" s="19">
        <v>4870</v>
      </c>
      <c r="X171" s="20">
        <v>0</v>
      </c>
      <c r="Y171" s="20">
        <v>0</v>
      </c>
      <c r="Z171" s="20">
        <v>2771</v>
      </c>
      <c r="AA171" s="21">
        <v>2771</v>
      </c>
      <c r="AB171" s="57">
        <v>0</v>
      </c>
      <c r="AC171" s="57">
        <v>0</v>
      </c>
      <c r="AD171" s="57">
        <f>2771*18/100</f>
        <v>498.78</v>
      </c>
      <c r="AE171" s="58">
        <f>499-AD171</f>
        <v>0.22000000000002728</v>
      </c>
      <c r="AF171" s="18" t="s">
        <v>1205</v>
      </c>
      <c r="AG171" s="58"/>
      <c r="AH171" s="18" t="s">
        <v>1212</v>
      </c>
      <c r="AI171" s="24" t="s">
        <v>55</v>
      </c>
      <c r="AJ171" s="23"/>
      <c r="AK171" s="25" t="s">
        <v>1213</v>
      </c>
    </row>
    <row r="172" spans="1:37" x14ac:dyDescent="0.25">
      <c r="A172" s="13">
        <v>44729</v>
      </c>
      <c r="B172" s="23" t="s">
        <v>1214</v>
      </c>
      <c r="C172" s="23" t="s">
        <v>1215</v>
      </c>
      <c r="D172" s="23" t="s">
        <v>1216</v>
      </c>
      <c r="E172" s="23" t="s">
        <v>1217</v>
      </c>
      <c r="F172" s="23" t="s">
        <v>1218</v>
      </c>
      <c r="G172" s="23" t="s">
        <v>1219</v>
      </c>
      <c r="H172" s="23" t="s">
        <v>46</v>
      </c>
      <c r="I172" s="17" t="s">
        <v>1220</v>
      </c>
      <c r="J172" s="18" t="s">
        <v>1221</v>
      </c>
      <c r="K172" s="15" t="s">
        <v>170</v>
      </c>
      <c r="L172" s="14" t="s">
        <v>1222</v>
      </c>
      <c r="M172" s="24" t="s">
        <v>80</v>
      </c>
      <c r="N172" s="24" t="s">
        <v>67</v>
      </c>
      <c r="O172" s="14" t="s">
        <v>68</v>
      </c>
      <c r="P172" s="15">
        <v>13770</v>
      </c>
      <c r="Q172" s="15">
        <v>13770</v>
      </c>
      <c r="R172" s="15">
        <v>0</v>
      </c>
      <c r="S172" s="15">
        <v>0</v>
      </c>
      <c r="T172" s="15">
        <v>4870</v>
      </c>
      <c r="U172" s="15">
        <v>1090</v>
      </c>
      <c r="V172" s="15">
        <v>6452</v>
      </c>
      <c r="W172" s="19">
        <v>4870</v>
      </c>
      <c r="X172" s="20">
        <v>0</v>
      </c>
      <c r="Y172" s="20">
        <v>0</v>
      </c>
      <c r="Z172" s="20">
        <v>7542</v>
      </c>
      <c r="AA172" s="21">
        <v>7542</v>
      </c>
      <c r="AB172" s="57">
        <f>7542*18/100/2</f>
        <v>678.78</v>
      </c>
      <c r="AC172" s="57">
        <f>7542*18/100/2</f>
        <v>678.78</v>
      </c>
      <c r="AD172" s="57">
        <v>0</v>
      </c>
      <c r="AE172" s="58">
        <f>1358-AB172-AC172</f>
        <v>0.44000000000005457</v>
      </c>
      <c r="AF172" s="18" t="s">
        <v>1215</v>
      </c>
      <c r="AG172" s="58" t="s">
        <v>1223</v>
      </c>
      <c r="AH172" s="18" t="s">
        <v>1224</v>
      </c>
      <c r="AI172" s="24" t="s">
        <v>55</v>
      </c>
      <c r="AJ172" s="23"/>
      <c r="AK172" s="25" t="s">
        <v>1225</v>
      </c>
    </row>
    <row r="173" spans="1:37" x14ac:dyDescent="0.25">
      <c r="A173" s="13">
        <v>44729</v>
      </c>
      <c r="B173" s="14" t="s">
        <v>350</v>
      </c>
      <c r="C173" s="18" t="s">
        <v>1226</v>
      </c>
      <c r="D173" s="18" t="s">
        <v>1227</v>
      </c>
      <c r="E173" s="18" t="s">
        <v>1228</v>
      </c>
      <c r="F173" s="15" t="s">
        <v>1229</v>
      </c>
      <c r="G173" s="15" t="s">
        <v>1230</v>
      </c>
      <c r="H173" s="14" t="s">
        <v>1231</v>
      </c>
      <c r="I173" s="17" t="s">
        <v>1232</v>
      </c>
      <c r="J173" s="18" t="s">
        <v>1233</v>
      </c>
      <c r="K173" s="15" t="s">
        <v>184</v>
      </c>
      <c r="L173" s="14" t="s">
        <v>65</v>
      </c>
      <c r="M173" s="24" t="s">
        <v>1234</v>
      </c>
      <c r="N173" s="24" t="s">
        <v>423</v>
      </c>
      <c r="O173" s="14" t="s">
        <v>68</v>
      </c>
      <c r="P173" s="15">
        <v>9220</v>
      </c>
      <c r="Q173" s="15">
        <v>9220</v>
      </c>
      <c r="R173" s="15">
        <v>0</v>
      </c>
      <c r="S173" s="15">
        <v>0</v>
      </c>
      <c r="T173" s="15">
        <v>4870</v>
      </c>
      <c r="U173" s="15">
        <v>500</v>
      </c>
      <c r="V173" s="15">
        <v>3186</v>
      </c>
      <c r="W173" s="19">
        <v>4870</v>
      </c>
      <c r="X173" s="20">
        <v>0</v>
      </c>
      <c r="Y173" s="20">
        <v>0</v>
      </c>
      <c r="Z173" s="20">
        <v>3686</v>
      </c>
      <c r="AA173" s="21">
        <v>3686</v>
      </c>
      <c r="AB173" s="57">
        <v>0</v>
      </c>
      <c r="AC173" s="57">
        <v>0</v>
      </c>
      <c r="AD173" s="57">
        <f>3686*18/100</f>
        <v>663.48</v>
      </c>
      <c r="AE173" s="58">
        <f>664-AD173</f>
        <v>0.51999999999998181</v>
      </c>
      <c r="AF173" s="18" t="s">
        <v>1226</v>
      </c>
      <c r="AG173" s="58"/>
      <c r="AH173" s="18" t="s">
        <v>1235</v>
      </c>
      <c r="AI173" s="24" t="s">
        <v>55</v>
      </c>
      <c r="AJ173" s="23"/>
      <c r="AK173" s="25" t="s">
        <v>971</v>
      </c>
    </row>
    <row r="174" spans="1:37" x14ac:dyDescent="0.25">
      <c r="A174" s="13">
        <v>44729</v>
      </c>
      <c r="B174" s="14" t="s">
        <v>1236</v>
      </c>
      <c r="C174" s="18" t="s">
        <v>1237</v>
      </c>
      <c r="D174" s="18" t="s">
        <v>1238</v>
      </c>
      <c r="E174" s="18" t="s">
        <v>1239</v>
      </c>
      <c r="F174" s="15">
        <v>9662360369</v>
      </c>
      <c r="G174" s="15" t="s">
        <v>1240</v>
      </c>
      <c r="H174" s="14" t="s">
        <v>1241</v>
      </c>
      <c r="I174" s="17" t="s">
        <v>1242</v>
      </c>
      <c r="J174" s="18" t="s">
        <v>1243</v>
      </c>
      <c r="K174" s="15" t="s">
        <v>78</v>
      </c>
      <c r="L174" s="14" t="s">
        <v>1244</v>
      </c>
      <c r="M174" s="23" t="s">
        <v>1245</v>
      </c>
      <c r="N174" s="24" t="s">
        <v>452</v>
      </c>
      <c r="O174" s="14" t="s">
        <v>68</v>
      </c>
      <c r="P174" s="15">
        <v>2360</v>
      </c>
      <c r="Q174" s="15">
        <v>2360</v>
      </c>
      <c r="R174" s="15">
        <v>0</v>
      </c>
      <c r="S174" s="15">
        <v>0</v>
      </c>
      <c r="T174" s="15">
        <v>0</v>
      </c>
      <c r="U174" s="15">
        <v>0</v>
      </c>
      <c r="V174" s="15">
        <v>2000</v>
      </c>
      <c r="W174" s="19">
        <v>0</v>
      </c>
      <c r="X174" s="20">
        <v>0</v>
      </c>
      <c r="Y174" s="20">
        <v>0</v>
      </c>
      <c r="Z174" s="20">
        <v>2000</v>
      </c>
      <c r="AA174" s="21">
        <v>2000</v>
      </c>
      <c r="AB174" s="57">
        <v>0</v>
      </c>
      <c r="AC174" s="57">
        <v>0</v>
      </c>
      <c r="AD174" s="57">
        <f>2000*18/100</f>
        <v>360</v>
      </c>
      <c r="AE174" s="58">
        <v>0</v>
      </c>
      <c r="AF174" s="18" t="s">
        <v>1237</v>
      </c>
      <c r="AG174" s="58" t="s">
        <v>1246</v>
      </c>
      <c r="AH174" s="18" t="s">
        <v>1247</v>
      </c>
      <c r="AI174" s="24" t="s">
        <v>55</v>
      </c>
      <c r="AJ174" s="23"/>
      <c r="AK174" s="25" t="s">
        <v>46</v>
      </c>
    </row>
    <row r="175" spans="1:37" x14ac:dyDescent="0.25">
      <c r="A175" s="13">
        <v>44729</v>
      </c>
      <c r="B175" s="23" t="s">
        <v>1248</v>
      </c>
      <c r="C175" s="18" t="s">
        <v>1249</v>
      </c>
      <c r="D175" s="18" t="s">
        <v>1250</v>
      </c>
      <c r="E175" s="18" t="s">
        <v>1251</v>
      </c>
      <c r="F175" s="15">
        <v>9324976002</v>
      </c>
      <c r="G175" s="15" t="s">
        <v>1252</v>
      </c>
      <c r="H175" s="24" t="s">
        <v>1253</v>
      </c>
      <c r="I175" s="17" t="s">
        <v>1254</v>
      </c>
      <c r="J175" s="18" t="s">
        <v>1255</v>
      </c>
      <c r="K175" s="15" t="s">
        <v>78</v>
      </c>
      <c r="L175" s="14" t="s">
        <v>1244</v>
      </c>
      <c r="M175" s="24" t="s">
        <v>80</v>
      </c>
      <c r="N175" s="24" t="s">
        <v>67</v>
      </c>
      <c r="O175" s="14" t="s">
        <v>68</v>
      </c>
      <c r="P175" s="15">
        <v>2360</v>
      </c>
      <c r="Q175" s="15">
        <v>2360</v>
      </c>
      <c r="R175" s="15">
        <v>0</v>
      </c>
      <c r="S175" s="15">
        <v>0</v>
      </c>
      <c r="T175" s="15">
        <v>0</v>
      </c>
      <c r="U175" s="15">
        <v>0</v>
      </c>
      <c r="V175" s="15">
        <v>2000</v>
      </c>
      <c r="W175" s="19">
        <v>0</v>
      </c>
      <c r="X175" s="20">
        <v>0</v>
      </c>
      <c r="Y175" s="20">
        <v>0</v>
      </c>
      <c r="Z175" s="20">
        <v>2000</v>
      </c>
      <c r="AA175" s="21">
        <v>2000</v>
      </c>
      <c r="AB175" s="57">
        <f>2000*18/100/2</f>
        <v>180</v>
      </c>
      <c r="AC175" s="57">
        <f>2000*18/100/2</f>
        <v>180</v>
      </c>
      <c r="AD175" s="57">
        <v>0</v>
      </c>
      <c r="AE175" s="58">
        <v>0</v>
      </c>
      <c r="AF175" s="18" t="s">
        <v>1249</v>
      </c>
      <c r="AG175" s="58"/>
      <c r="AH175" s="18" t="s">
        <v>1256</v>
      </c>
      <c r="AI175" s="24" t="s">
        <v>55</v>
      </c>
      <c r="AJ175" s="23"/>
      <c r="AK175" s="25" t="s">
        <v>46</v>
      </c>
    </row>
    <row r="176" spans="1:37" x14ac:dyDescent="0.25">
      <c r="A176" s="13">
        <v>44729</v>
      </c>
      <c r="B176" s="23" t="s">
        <v>1257</v>
      </c>
      <c r="C176" s="24" t="s">
        <v>1258</v>
      </c>
      <c r="D176" s="24" t="s">
        <v>1259</v>
      </c>
      <c r="E176" s="24" t="s">
        <v>1260</v>
      </c>
      <c r="F176" s="15">
        <v>9922543211</v>
      </c>
      <c r="G176" s="16" t="s">
        <v>1261</v>
      </c>
      <c r="H176" s="24" t="s">
        <v>1262</v>
      </c>
      <c r="I176" s="17" t="s">
        <v>1263</v>
      </c>
      <c r="J176" s="18" t="s">
        <v>1264</v>
      </c>
      <c r="K176" s="15" t="s">
        <v>64</v>
      </c>
      <c r="L176" s="14" t="s">
        <v>65</v>
      </c>
      <c r="M176" s="23" t="s">
        <v>728</v>
      </c>
      <c r="N176" s="24" t="s">
        <v>67</v>
      </c>
      <c r="O176" s="14" t="s">
        <v>53</v>
      </c>
      <c r="P176" s="15">
        <v>6500</v>
      </c>
      <c r="Q176" s="15">
        <v>6500</v>
      </c>
      <c r="R176" s="15">
        <v>0</v>
      </c>
      <c r="S176" s="15">
        <v>0</v>
      </c>
      <c r="T176" s="15">
        <v>4870</v>
      </c>
      <c r="U176" s="15">
        <v>250</v>
      </c>
      <c r="V176" s="15">
        <v>1131</v>
      </c>
      <c r="W176" s="19">
        <v>4870</v>
      </c>
      <c r="X176" s="20">
        <v>0</v>
      </c>
      <c r="Y176" s="20">
        <v>0</v>
      </c>
      <c r="Z176" s="20">
        <v>1381</v>
      </c>
      <c r="AA176" s="21">
        <v>1381</v>
      </c>
      <c r="AB176" s="22">
        <f>1381*18/100/2</f>
        <v>124.29</v>
      </c>
      <c r="AC176" s="22">
        <f>1381*18/100/2</f>
        <v>124.29</v>
      </c>
      <c r="AD176" s="22">
        <v>0</v>
      </c>
      <c r="AE176" s="23">
        <f>249-AB176-AC176</f>
        <v>0.41999999999998749</v>
      </c>
      <c r="AF176" s="24" t="s">
        <v>1258</v>
      </c>
      <c r="AG176" s="23"/>
      <c r="AH176" s="24" t="s">
        <v>1265</v>
      </c>
      <c r="AI176" s="24" t="s">
        <v>55</v>
      </c>
      <c r="AJ176" s="23"/>
      <c r="AK176" s="25" t="s">
        <v>697</v>
      </c>
    </row>
    <row r="177" spans="1:37" x14ac:dyDescent="0.25">
      <c r="A177" s="13">
        <v>44729</v>
      </c>
      <c r="B177" s="23" t="s">
        <v>1266</v>
      </c>
      <c r="C177" s="24" t="s">
        <v>1267</v>
      </c>
      <c r="D177" s="24" t="s">
        <v>46</v>
      </c>
      <c r="E177" s="24" t="s">
        <v>1268</v>
      </c>
      <c r="F177" s="15" t="s">
        <v>1269</v>
      </c>
      <c r="G177" s="51" t="s">
        <v>1270</v>
      </c>
      <c r="H177" s="24" t="s">
        <v>1271</v>
      </c>
      <c r="I177" s="17" t="s">
        <v>1272</v>
      </c>
      <c r="J177" s="18" t="s">
        <v>1273</v>
      </c>
      <c r="K177" s="15" t="s">
        <v>196</v>
      </c>
      <c r="L177" s="14" t="s">
        <v>489</v>
      </c>
      <c r="M177" s="24" t="s">
        <v>80</v>
      </c>
      <c r="N177" s="24" t="s">
        <v>67</v>
      </c>
      <c r="O177" s="14" t="s">
        <v>68</v>
      </c>
      <c r="P177" s="15">
        <v>6000</v>
      </c>
      <c r="Q177" s="15">
        <v>3000</v>
      </c>
      <c r="R177" s="15">
        <v>3000</v>
      </c>
      <c r="S177" s="15">
        <v>0</v>
      </c>
      <c r="T177" s="23">
        <v>0</v>
      </c>
      <c r="U177" s="15">
        <v>2360</v>
      </c>
      <c r="V177" s="15">
        <v>2725</v>
      </c>
      <c r="W177" s="19">
        <v>0</v>
      </c>
      <c r="X177" s="20">
        <v>500</v>
      </c>
      <c r="Y177" s="20">
        <v>1585</v>
      </c>
      <c r="Z177" s="20">
        <v>3000</v>
      </c>
      <c r="AA177" s="21">
        <v>5085</v>
      </c>
      <c r="AB177" s="22">
        <f>5085*18/100/2</f>
        <v>457.65</v>
      </c>
      <c r="AC177" s="22">
        <f>5085*18/100/2</f>
        <v>457.65</v>
      </c>
      <c r="AD177" s="22">
        <v>0</v>
      </c>
      <c r="AE177" s="23">
        <f>915-AC177-AB177</f>
        <v>-0.29999999999995453</v>
      </c>
      <c r="AF177" s="24" t="s">
        <v>1267</v>
      </c>
      <c r="AG177" s="23"/>
      <c r="AH177" s="24" t="s">
        <v>1274</v>
      </c>
      <c r="AI177" s="24" t="s">
        <v>55</v>
      </c>
      <c r="AJ177" s="23"/>
      <c r="AK177" s="25" t="s">
        <v>1275</v>
      </c>
    </row>
    <row r="178" spans="1:37" x14ac:dyDescent="0.25">
      <c r="A178" s="13">
        <v>44729</v>
      </c>
      <c r="B178" s="23" t="s">
        <v>1276</v>
      </c>
      <c r="C178" s="24" t="s">
        <v>1277</v>
      </c>
      <c r="D178" s="24" t="s">
        <v>1277</v>
      </c>
      <c r="E178" s="24" t="s">
        <v>1278</v>
      </c>
      <c r="F178" s="14">
        <v>9930821284</v>
      </c>
      <c r="G178" s="26" t="s">
        <v>1279</v>
      </c>
      <c r="H178" s="24" t="s">
        <v>46</v>
      </c>
      <c r="I178" s="17" t="s">
        <v>1280</v>
      </c>
      <c r="J178" s="18" t="s">
        <v>1281</v>
      </c>
      <c r="K178" s="15" t="s">
        <v>170</v>
      </c>
      <c r="L178" s="14" t="s">
        <v>1282</v>
      </c>
      <c r="M178" s="24" t="s">
        <v>80</v>
      </c>
      <c r="N178" s="24" t="s">
        <v>67</v>
      </c>
      <c r="O178" s="14" t="s">
        <v>1283</v>
      </c>
      <c r="P178" s="15">
        <v>24000</v>
      </c>
      <c r="Q178" s="15">
        <v>24000</v>
      </c>
      <c r="R178" s="15">
        <v>0</v>
      </c>
      <c r="S178" s="15">
        <v>0</v>
      </c>
      <c r="T178" s="15">
        <v>0</v>
      </c>
      <c r="U178" s="15">
        <v>16500</v>
      </c>
      <c r="V178" s="15">
        <v>7500</v>
      </c>
      <c r="W178" s="19">
        <v>0</v>
      </c>
      <c r="X178" s="20">
        <v>0</v>
      </c>
      <c r="Y178" s="20">
        <v>0</v>
      </c>
      <c r="Z178" s="20">
        <v>24000</v>
      </c>
      <c r="AA178" s="21">
        <v>0</v>
      </c>
      <c r="AB178" s="22">
        <v>0</v>
      </c>
      <c r="AC178" s="22">
        <v>0</v>
      </c>
      <c r="AD178" s="22">
        <v>0</v>
      </c>
      <c r="AE178" s="22">
        <v>0</v>
      </c>
      <c r="AF178" s="24" t="s">
        <v>1277</v>
      </c>
      <c r="AG178" s="23"/>
      <c r="AH178" s="24" t="s">
        <v>1284</v>
      </c>
      <c r="AI178" s="24" t="s">
        <v>55</v>
      </c>
      <c r="AJ178" s="23"/>
      <c r="AK178" s="25" t="s">
        <v>1285</v>
      </c>
    </row>
    <row r="179" spans="1:37" x14ac:dyDescent="0.25">
      <c r="A179" s="13">
        <v>44729</v>
      </c>
      <c r="B179" s="23" t="s">
        <v>1286</v>
      </c>
      <c r="C179" s="24" t="s">
        <v>1287</v>
      </c>
      <c r="D179" s="24" t="s">
        <v>1288</v>
      </c>
      <c r="E179" s="24" t="s">
        <v>1289</v>
      </c>
      <c r="F179" s="14">
        <v>8908990888</v>
      </c>
      <c r="G179" s="26" t="s">
        <v>1290</v>
      </c>
      <c r="H179" s="23" t="s">
        <v>1291</v>
      </c>
      <c r="I179" s="17" t="s">
        <v>1292</v>
      </c>
      <c r="J179" s="18" t="s">
        <v>1293</v>
      </c>
      <c r="K179" s="15" t="s">
        <v>170</v>
      </c>
      <c r="L179" s="14" t="s">
        <v>1294</v>
      </c>
      <c r="M179" s="23" t="s">
        <v>1295</v>
      </c>
      <c r="N179" s="24" t="s">
        <v>503</v>
      </c>
      <c r="O179" s="14" t="s">
        <v>68</v>
      </c>
      <c r="P179" s="15">
        <v>11360</v>
      </c>
      <c r="Q179" s="15">
        <v>11360</v>
      </c>
      <c r="R179" s="15">
        <v>0</v>
      </c>
      <c r="S179" s="15">
        <v>0</v>
      </c>
      <c r="T179" s="15">
        <v>5400</v>
      </c>
      <c r="U179" s="15">
        <v>0</v>
      </c>
      <c r="V179" s="15">
        <v>5051</v>
      </c>
      <c r="W179" s="19">
        <v>5400</v>
      </c>
      <c r="X179" s="20">
        <v>0</v>
      </c>
      <c r="Y179" s="20">
        <v>0</v>
      </c>
      <c r="Z179" s="20">
        <v>5051</v>
      </c>
      <c r="AA179" s="21">
        <v>5051</v>
      </c>
      <c r="AB179" s="22">
        <v>0</v>
      </c>
      <c r="AC179" s="22">
        <v>0</v>
      </c>
      <c r="AD179" s="22">
        <f>5051*18/100</f>
        <v>909.18</v>
      </c>
      <c r="AE179" s="22">
        <f>909-AD179</f>
        <v>-0.17999999999994998</v>
      </c>
      <c r="AF179" s="24" t="s">
        <v>1287</v>
      </c>
      <c r="AG179" s="23"/>
      <c r="AH179" s="24" t="s">
        <v>1296</v>
      </c>
      <c r="AI179" s="24" t="s">
        <v>55</v>
      </c>
      <c r="AJ179" s="23"/>
      <c r="AK179" s="25" t="s">
        <v>530</v>
      </c>
    </row>
    <row r="180" spans="1:37" x14ac:dyDescent="0.25">
      <c r="A180" s="13">
        <v>44729</v>
      </c>
      <c r="B180" s="24" t="s">
        <v>995</v>
      </c>
      <c r="C180" s="24" t="s">
        <v>1297</v>
      </c>
      <c r="D180" s="24" t="s">
        <v>1298</v>
      </c>
      <c r="E180" s="24" t="s">
        <v>1299</v>
      </c>
      <c r="F180" s="14">
        <v>9820529221</v>
      </c>
      <c r="G180" s="26" t="s">
        <v>1300</v>
      </c>
      <c r="H180" s="24" t="s">
        <v>1301</v>
      </c>
      <c r="I180" s="17" t="s">
        <v>1302</v>
      </c>
      <c r="J180" s="18" t="s">
        <v>1303</v>
      </c>
      <c r="K180" s="15" t="s">
        <v>196</v>
      </c>
      <c r="L180" s="14" t="s">
        <v>489</v>
      </c>
      <c r="M180" s="24" t="s">
        <v>80</v>
      </c>
      <c r="N180" s="24" t="s">
        <v>67</v>
      </c>
      <c r="O180" s="14" t="s">
        <v>68</v>
      </c>
      <c r="P180" s="15">
        <v>7500</v>
      </c>
      <c r="Q180" s="15">
        <v>7500</v>
      </c>
      <c r="R180" s="15">
        <v>0</v>
      </c>
      <c r="S180" s="15">
        <v>0</v>
      </c>
      <c r="T180" s="15">
        <v>0</v>
      </c>
      <c r="U180" s="15">
        <v>2250</v>
      </c>
      <c r="V180" s="15">
        <v>4106</v>
      </c>
      <c r="W180" s="19">
        <v>0</v>
      </c>
      <c r="X180" s="20">
        <v>1000</v>
      </c>
      <c r="Y180" s="20">
        <v>1500</v>
      </c>
      <c r="Z180" s="20">
        <v>3856</v>
      </c>
      <c r="AA180" s="21">
        <v>6356</v>
      </c>
      <c r="AB180" s="22">
        <f>6356*18/100/2</f>
        <v>572.04</v>
      </c>
      <c r="AC180" s="22">
        <f>6356*18/100/2</f>
        <v>572.04</v>
      </c>
      <c r="AD180" s="22">
        <v>0</v>
      </c>
      <c r="AE180" s="22">
        <f>1144-AC180-AB180</f>
        <v>-7.999999999992724E-2</v>
      </c>
      <c r="AF180" s="24" t="s">
        <v>1297</v>
      </c>
      <c r="AG180" s="23"/>
      <c r="AH180" s="24" t="s">
        <v>1304</v>
      </c>
      <c r="AI180" s="24" t="s">
        <v>55</v>
      </c>
      <c r="AJ180" s="23"/>
      <c r="AK180" s="25" t="s">
        <v>1305</v>
      </c>
    </row>
    <row r="181" spans="1:37" x14ac:dyDescent="0.25">
      <c r="A181" s="13">
        <v>44729</v>
      </c>
      <c r="B181" s="24" t="s">
        <v>328</v>
      </c>
      <c r="C181" s="24" t="s">
        <v>1306</v>
      </c>
      <c r="D181" s="24" t="s">
        <v>46</v>
      </c>
      <c r="E181" s="24" t="s">
        <v>1307</v>
      </c>
      <c r="F181" s="14">
        <v>8369773320</v>
      </c>
      <c r="G181" s="26" t="s">
        <v>1308</v>
      </c>
      <c r="H181" s="45" t="s">
        <v>1309</v>
      </c>
      <c r="I181" s="17" t="s">
        <v>1310</v>
      </c>
      <c r="J181" s="18" t="s">
        <v>1311</v>
      </c>
      <c r="K181" s="14" t="s">
        <v>255</v>
      </c>
      <c r="L181" s="14" t="s">
        <v>1312</v>
      </c>
      <c r="M181" s="24" t="s">
        <v>80</v>
      </c>
      <c r="N181" s="24" t="s">
        <v>67</v>
      </c>
      <c r="O181" s="14" t="s">
        <v>53</v>
      </c>
      <c r="P181" s="15">
        <v>3540</v>
      </c>
      <c r="Q181" s="15">
        <v>3540</v>
      </c>
      <c r="R181" s="15">
        <v>0</v>
      </c>
      <c r="S181" s="15">
        <v>0</v>
      </c>
      <c r="T181" s="15">
        <v>0</v>
      </c>
      <c r="U181" s="15">
        <v>590</v>
      </c>
      <c r="V181" s="15">
        <v>2410</v>
      </c>
      <c r="W181" s="19">
        <v>0</v>
      </c>
      <c r="X181" s="20">
        <v>500</v>
      </c>
      <c r="Y181" s="20">
        <v>1000</v>
      </c>
      <c r="Z181" s="20">
        <v>1500</v>
      </c>
      <c r="AA181" s="21">
        <v>3000</v>
      </c>
      <c r="AB181" s="22">
        <f>3000*18/100/2</f>
        <v>270</v>
      </c>
      <c r="AC181" s="22">
        <f>3000*18/100/2</f>
        <v>270</v>
      </c>
      <c r="AD181" s="22">
        <v>0</v>
      </c>
      <c r="AE181" s="22">
        <v>0</v>
      </c>
      <c r="AF181" s="24" t="s">
        <v>1306</v>
      </c>
      <c r="AG181" s="23"/>
      <c r="AH181" s="24" t="s">
        <v>1313</v>
      </c>
      <c r="AI181" s="24" t="s">
        <v>55</v>
      </c>
      <c r="AJ181" s="23"/>
      <c r="AK181" s="25" t="s">
        <v>56</v>
      </c>
    </row>
    <row r="182" spans="1:37" x14ac:dyDescent="0.25">
      <c r="A182" s="13">
        <v>44729</v>
      </c>
      <c r="B182" s="24" t="s">
        <v>1314</v>
      </c>
      <c r="C182" s="24" t="s">
        <v>1315</v>
      </c>
      <c r="D182" s="24" t="s">
        <v>1316</v>
      </c>
      <c r="E182" s="24" t="s">
        <v>1317</v>
      </c>
      <c r="F182" s="14">
        <v>8866668826</v>
      </c>
      <c r="G182" s="26" t="s">
        <v>1318</v>
      </c>
      <c r="H182" s="23" t="s">
        <v>1319</v>
      </c>
      <c r="I182" s="17" t="s">
        <v>1320</v>
      </c>
      <c r="J182" s="18" t="s">
        <v>1321</v>
      </c>
      <c r="K182" s="14" t="s">
        <v>255</v>
      </c>
      <c r="L182" s="14" t="s">
        <v>1322</v>
      </c>
      <c r="M182" s="24" t="s">
        <v>319</v>
      </c>
      <c r="N182" s="24" t="s">
        <v>187</v>
      </c>
      <c r="O182" s="14" t="s">
        <v>53</v>
      </c>
      <c r="P182" s="15">
        <v>8151</v>
      </c>
      <c r="Q182" s="15">
        <v>8151</v>
      </c>
      <c r="R182" s="15">
        <v>0</v>
      </c>
      <c r="S182" s="15">
        <v>0</v>
      </c>
      <c r="T182" s="15">
        <v>4870</v>
      </c>
      <c r="U182" s="15">
        <v>500</v>
      </c>
      <c r="V182" s="15">
        <v>2281</v>
      </c>
      <c r="W182" s="19">
        <v>4870</v>
      </c>
      <c r="X182" s="20">
        <v>500</v>
      </c>
      <c r="Y182" s="20">
        <v>1000</v>
      </c>
      <c r="Z182" s="20">
        <v>1281</v>
      </c>
      <c r="AA182" s="21">
        <v>2781</v>
      </c>
      <c r="AB182" s="22">
        <v>0</v>
      </c>
      <c r="AC182" s="22">
        <v>0</v>
      </c>
      <c r="AD182" s="22">
        <f>2781*18/100</f>
        <v>500.58</v>
      </c>
      <c r="AE182" s="22">
        <f>500-AD182</f>
        <v>-0.57999999999998408</v>
      </c>
      <c r="AF182" s="24" t="s">
        <v>1323</v>
      </c>
      <c r="AG182" s="23"/>
      <c r="AH182" s="24" t="s">
        <v>1324</v>
      </c>
      <c r="AI182" s="24" t="s">
        <v>55</v>
      </c>
      <c r="AJ182" s="23"/>
      <c r="AK182" s="25" t="s">
        <v>1325</v>
      </c>
    </row>
    <row r="183" spans="1:37" x14ac:dyDescent="0.25">
      <c r="A183" s="13">
        <v>44729</v>
      </c>
      <c r="B183" s="24" t="s">
        <v>1314</v>
      </c>
      <c r="C183" s="24" t="s">
        <v>1326</v>
      </c>
      <c r="D183" s="24" t="s">
        <v>1327</v>
      </c>
      <c r="E183" s="24" t="s">
        <v>1328</v>
      </c>
      <c r="F183" s="14">
        <v>9820339394</v>
      </c>
      <c r="G183" s="26" t="s">
        <v>1329</v>
      </c>
      <c r="H183" s="24" t="s">
        <v>1330</v>
      </c>
      <c r="I183" s="17" t="s">
        <v>1331</v>
      </c>
      <c r="J183" s="18" t="s">
        <v>1332</v>
      </c>
      <c r="K183" s="14" t="s">
        <v>255</v>
      </c>
      <c r="L183" s="14" t="s">
        <v>1333</v>
      </c>
      <c r="M183" s="24" t="s">
        <v>80</v>
      </c>
      <c r="N183" s="24" t="s">
        <v>67</v>
      </c>
      <c r="O183" s="14" t="s">
        <v>53</v>
      </c>
      <c r="P183" s="15">
        <v>10950</v>
      </c>
      <c r="Q183" s="15">
        <v>10950</v>
      </c>
      <c r="R183" s="15">
        <v>0</v>
      </c>
      <c r="S183" s="15">
        <v>0</v>
      </c>
      <c r="T183" s="15">
        <v>4870</v>
      </c>
      <c r="U183" s="15">
        <v>500</v>
      </c>
      <c r="V183" s="15">
        <v>4653</v>
      </c>
      <c r="W183" s="19">
        <v>4870</v>
      </c>
      <c r="X183" s="20">
        <v>1000</v>
      </c>
      <c r="Y183" s="20">
        <v>0</v>
      </c>
      <c r="Z183" s="20">
        <v>4153</v>
      </c>
      <c r="AA183" s="21">
        <v>5153</v>
      </c>
      <c r="AB183" s="22">
        <f>5153*18/100/2</f>
        <v>463.77</v>
      </c>
      <c r="AC183" s="22">
        <f>5153*18/100/2</f>
        <v>463.77</v>
      </c>
      <c r="AD183" s="22">
        <v>0</v>
      </c>
      <c r="AE183" s="22">
        <f>927-AB183-AC183</f>
        <v>-0.53999999999996362</v>
      </c>
      <c r="AF183" s="24" t="s">
        <v>1326</v>
      </c>
      <c r="AG183" s="23"/>
      <c r="AH183" s="24" t="s">
        <v>1334</v>
      </c>
      <c r="AI183" s="24" t="s">
        <v>55</v>
      </c>
      <c r="AJ183" s="23"/>
      <c r="AK183" s="25" t="s">
        <v>1325</v>
      </c>
    </row>
    <row r="184" spans="1:37" x14ac:dyDescent="0.25">
      <c r="A184" s="13">
        <v>44729</v>
      </c>
      <c r="B184" s="24" t="s">
        <v>1335</v>
      </c>
      <c r="C184" s="24" t="s">
        <v>1336</v>
      </c>
      <c r="D184" s="24" t="s">
        <v>1337</v>
      </c>
      <c r="E184" s="24" t="s">
        <v>1338</v>
      </c>
      <c r="F184" s="14">
        <v>9916026112</v>
      </c>
      <c r="G184" s="26" t="s">
        <v>1339</v>
      </c>
      <c r="H184" s="45" t="s">
        <v>1340</v>
      </c>
      <c r="I184" s="17" t="s">
        <v>1341</v>
      </c>
      <c r="J184" s="18" t="s">
        <v>1342</v>
      </c>
      <c r="K184" s="14" t="s">
        <v>255</v>
      </c>
      <c r="L184" s="14" t="s">
        <v>1343</v>
      </c>
      <c r="M184" s="24" t="s">
        <v>211</v>
      </c>
      <c r="N184" s="24" t="s">
        <v>212</v>
      </c>
      <c r="O184" s="14" t="s">
        <v>68</v>
      </c>
      <c r="P184" s="15">
        <v>16000</v>
      </c>
      <c r="Q184" s="15">
        <v>16000</v>
      </c>
      <c r="R184" s="15">
        <v>0</v>
      </c>
      <c r="S184" s="15">
        <v>0</v>
      </c>
      <c r="T184" s="15">
        <v>9370</v>
      </c>
      <c r="U184" s="15">
        <v>1000</v>
      </c>
      <c r="V184" s="15">
        <v>4619</v>
      </c>
      <c r="W184" s="19">
        <v>9370</v>
      </c>
      <c r="X184" s="20">
        <v>1000</v>
      </c>
      <c r="Y184" s="20">
        <v>1500</v>
      </c>
      <c r="Z184" s="20">
        <v>3119</v>
      </c>
      <c r="AA184" s="21">
        <v>5619</v>
      </c>
      <c r="AB184" s="22">
        <v>0</v>
      </c>
      <c r="AC184" s="22">
        <v>0</v>
      </c>
      <c r="AD184" s="22">
        <f>5619*18/100</f>
        <v>1011.42</v>
      </c>
      <c r="AE184" s="22">
        <f>1011-AD184</f>
        <v>-0.41999999999995907</v>
      </c>
      <c r="AF184" s="24" t="s">
        <v>1336</v>
      </c>
      <c r="AG184" s="23"/>
      <c r="AH184" s="24" t="s">
        <v>1344</v>
      </c>
      <c r="AI184" s="24" t="s">
        <v>55</v>
      </c>
      <c r="AJ184" s="23"/>
      <c r="AK184" s="25" t="s">
        <v>1345</v>
      </c>
    </row>
    <row r="185" spans="1:37" ht="15.75" thickBot="1" x14ac:dyDescent="0.3">
      <c r="A185" s="107" t="s">
        <v>137</v>
      </c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32">
        <f t="shared" ref="P185:AE185" si="13">SUM(P169:P184)</f>
        <v>144651</v>
      </c>
      <c r="Q185" s="32">
        <f t="shared" si="13"/>
        <v>138851</v>
      </c>
      <c r="R185" s="32">
        <f t="shared" si="13"/>
        <v>5800</v>
      </c>
      <c r="S185" s="32">
        <f t="shared" si="13"/>
        <v>0</v>
      </c>
      <c r="T185" s="32">
        <f t="shared" si="13"/>
        <v>48166</v>
      </c>
      <c r="U185" s="32">
        <f t="shared" si="13"/>
        <v>28540</v>
      </c>
      <c r="V185" s="32">
        <f t="shared" si="13"/>
        <v>56888</v>
      </c>
      <c r="W185" s="33">
        <f t="shared" si="13"/>
        <v>48166</v>
      </c>
      <c r="X185" s="34">
        <f t="shared" si="13"/>
        <v>10156</v>
      </c>
      <c r="Y185" s="34">
        <f t="shared" si="13"/>
        <v>9085</v>
      </c>
      <c r="Z185" s="34">
        <f t="shared" si="13"/>
        <v>66187</v>
      </c>
      <c r="AA185" s="35">
        <f t="shared" si="13"/>
        <v>61428</v>
      </c>
      <c r="AB185" s="32">
        <f t="shared" si="13"/>
        <v>2822.7599999999998</v>
      </c>
      <c r="AC185" s="32">
        <f t="shared" si="13"/>
        <v>2822.7599999999998</v>
      </c>
      <c r="AD185" s="32">
        <f t="shared" si="13"/>
        <v>5411.52</v>
      </c>
      <c r="AE185" s="32">
        <f t="shared" si="13"/>
        <v>-3.999999999962256E-2</v>
      </c>
      <c r="AF185" s="109"/>
      <c r="AG185" s="109"/>
      <c r="AH185" s="109"/>
      <c r="AI185" s="36"/>
      <c r="AJ185" s="37"/>
      <c r="AK185" s="38"/>
    </row>
    <row r="186" spans="1:37" ht="15.75" thickBot="1" x14ac:dyDescent="0.3"/>
    <row r="187" spans="1:37" x14ac:dyDescent="0.25">
      <c r="A187" s="112" t="s">
        <v>0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4"/>
      <c r="X187" s="113" t="s">
        <v>1</v>
      </c>
      <c r="Y187" s="114"/>
      <c r="Z187" s="114"/>
      <c r="AA187" s="5" t="s">
        <v>225</v>
      </c>
      <c r="AB187" s="115" t="s">
        <v>3</v>
      </c>
      <c r="AC187" s="116"/>
      <c r="AD187" s="116"/>
      <c r="AE187" s="116"/>
      <c r="AF187" s="105" t="s">
        <v>4</v>
      </c>
      <c r="AG187" s="105"/>
      <c r="AH187" s="105"/>
      <c r="AI187" s="105" t="s">
        <v>5</v>
      </c>
      <c r="AJ187" s="105"/>
      <c r="AK187" s="106"/>
    </row>
    <row r="188" spans="1:37" x14ac:dyDescent="0.25">
      <c r="A188" s="6" t="s">
        <v>6</v>
      </c>
      <c r="B188" s="7" t="s">
        <v>7</v>
      </c>
      <c r="C188" s="7" t="s">
        <v>8</v>
      </c>
      <c r="D188" s="7" t="s">
        <v>9</v>
      </c>
      <c r="E188" s="7" t="s">
        <v>10</v>
      </c>
      <c r="F188" s="7" t="s">
        <v>11</v>
      </c>
      <c r="G188" s="7" t="s">
        <v>12</v>
      </c>
      <c r="H188" s="7" t="s">
        <v>13</v>
      </c>
      <c r="I188" s="7" t="s">
        <v>14</v>
      </c>
      <c r="J188" s="7" t="s">
        <v>15</v>
      </c>
      <c r="K188" s="7" t="s">
        <v>16</v>
      </c>
      <c r="L188" s="7" t="s">
        <v>17</v>
      </c>
      <c r="M188" s="7" t="s">
        <v>18</v>
      </c>
      <c r="N188" s="7" t="s">
        <v>19</v>
      </c>
      <c r="O188" s="7" t="s">
        <v>20</v>
      </c>
      <c r="P188" s="7" t="s">
        <v>21</v>
      </c>
      <c r="Q188" s="7" t="s">
        <v>22</v>
      </c>
      <c r="R188" s="7" t="s">
        <v>23</v>
      </c>
      <c r="S188" s="7" t="s">
        <v>24</v>
      </c>
      <c r="T188" s="7" t="s">
        <v>25</v>
      </c>
      <c r="U188" s="7" t="s">
        <v>26</v>
      </c>
      <c r="V188" s="7" t="s">
        <v>27</v>
      </c>
      <c r="W188" s="8" t="s">
        <v>25</v>
      </c>
      <c r="X188" s="9" t="s">
        <v>28</v>
      </c>
      <c r="Y188" s="9" t="s">
        <v>29</v>
      </c>
      <c r="Z188" s="9" t="s">
        <v>30</v>
      </c>
      <c r="AA188" s="10" t="s">
        <v>31</v>
      </c>
      <c r="AB188" s="7" t="s">
        <v>32</v>
      </c>
      <c r="AC188" s="7" t="s">
        <v>33</v>
      </c>
      <c r="AD188" s="7" t="s">
        <v>34</v>
      </c>
      <c r="AE188" s="7" t="s">
        <v>35</v>
      </c>
      <c r="AF188" s="7" t="s">
        <v>36</v>
      </c>
      <c r="AG188" s="7" t="s">
        <v>37</v>
      </c>
      <c r="AH188" s="7" t="s">
        <v>38</v>
      </c>
      <c r="AI188" s="7" t="s">
        <v>39</v>
      </c>
      <c r="AJ188" s="11" t="s">
        <v>40</v>
      </c>
      <c r="AK188" s="12" t="s">
        <v>41</v>
      </c>
    </row>
    <row r="189" spans="1:37" x14ac:dyDescent="0.25">
      <c r="A189" s="13">
        <v>44730</v>
      </c>
      <c r="B189" s="14" t="s">
        <v>1346</v>
      </c>
      <c r="C189" s="18" t="s">
        <v>1347</v>
      </c>
      <c r="D189" s="18"/>
      <c r="E189" s="18" t="s">
        <v>1348</v>
      </c>
      <c r="F189" s="15">
        <v>9322033786</v>
      </c>
      <c r="G189" s="15" t="s">
        <v>1349</v>
      </c>
      <c r="H189" s="14" t="s">
        <v>1350</v>
      </c>
      <c r="I189" s="17" t="s">
        <v>1351</v>
      </c>
      <c r="J189" s="18" t="s">
        <v>1352</v>
      </c>
      <c r="K189" s="15" t="s">
        <v>78</v>
      </c>
      <c r="L189" s="14" t="s">
        <v>1353</v>
      </c>
      <c r="M189" s="23" t="s">
        <v>80</v>
      </c>
      <c r="N189" s="24" t="s">
        <v>67</v>
      </c>
      <c r="O189" s="14" t="s">
        <v>68</v>
      </c>
      <c r="P189" s="15">
        <v>1180</v>
      </c>
      <c r="Q189" s="15">
        <v>1180</v>
      </c>
      <c r="R189" s="15">
        <v>0</v>
      </c>
      <c r="S189" s="15">
        <v>0</v>
      </c>
      <c r="T189" s="15">
        <v>0</v>
      </c>
      <c r="U189" s="15">
        <v>0</v>
      </c>
      <c r="V189" s="15">
        <v>1000</v>
      </c>
      <c r="W189" s="19">
        <v>0</v>
      </c>
      <c r="X189" s="20">
        <v>0</v>
      </c>
      <c r="Y189" s="20">
        <v>0</v>
      </c>
      <c r="Z189" s="20">
        <v>1000</v>
      </c>
      <c r="AA189" s="21">
        <v>1000</v>
      </c>
      <c r="AB189" s="57">
        <f>1000*18/100/2</f>
        <v>90</v>
      </c>
      <c r="AC189" s="57">
        <f>1000*18/100/2</f>
        <v>90</v>
      </c>
      <c r="AD189" s="57">
        <v>0</v>
      </c>
      <c r="AE189" s="58">
        <v>0</v>
      </c>
      <c r="AF189" s="18" t="s">
        <v>1347</v>
      </c>
      <c r="AG189" s="58"/>
      <c r="AH189" s="18"/>
      <c r="AI189" s="24" t="s">
        <v>55</v>
      </c>
      <c r="AJ189" s="23"/>
      <c r="AK189" s="25" t="s">
        <v>46</v>
      </c>
    </row>
    <row r="190" spans="1:37" x14ac:dyDescent="0.25">
      <c r="A190" s="13">
        <v>44730</v>
      </c>
      <c r="B190" s="23" t="s">
        <v>1354</v>
      </c>
      <c r="C190" s="18" t="s">
        <v>1355</v>
      </c>
      <c r="D190" s="18" t="s">
        <v>1356</v>
      </c>
      <c r="E190" s="18" t="s">
        <v>1357</v>
      </c>
      <c r="F190" s="15" t="s">
        <v>1358</v>
      </c>
      <c r="G190" s="15" t="s">
        <v>1359</v>
      </c>
      <c r="H190" s="14" t="s">
        <v>1360</v>
      </c>
      <c r="I190" s="17" t="s">
        <v>1361</v>
      </c>
      <c r="J190" s="18" t="s">
        <v>1362</v>
      </c>
      <c r="K190" s="15" t="s">
        <v>420</v>
      </c>
      <c r="L190" s="14" t="s">
        <v>421</v>
      </c>
      <c r="M190" s="24" t="s">
        <v>1363</v>
      </c>
      <c r="N190" s="24" t="s">
        <v>187</v>
      </c>
      <c r="O190" s="14" t="s">
        <v>68</v>
      </c>
      <c r="P190" s="15">
        <v>10000</v>
      </c>
      <c r="Q190" s="15">
        <v>10000</v>
      </c>
      <c r="R190" s="15">
        <v>0</v>
      </c>
      <c r="S190" s="15">
        <v>0</v>
      </c>
      <c r="T190" s="15">
        <v>4870</v>
      </c>
      <c r="U190" s="15">
        <v>1090</v>
      </c>
      <c r="V190" s="15">
        <v>3258</v>
      </c>
      <c r="W190" s="19">
        <v>4870</v>
      </c>
      <c r="X190" s="20">
        <v>0</v>
      </c>
      <c r="Y190" s="20">
        <v>0</v>
      </c>
      <c r="Z190" s="20">
        <v>4348</v>
      </c>
      <c r="AA190" s="21">
        <v>4348</v>
      </c>
      <c r="AB190" s="57">
        <v>0</v>
      </c>
      <c r="AC190" s="57">
        <v>0</v>
      </c>
      <c r="AD190" s="57">
        <f>4348*18/100</f>
        <v>782.64</v>
      </c>
      <c r="AE190" s="58">
        <f>782-AD190</f>
        <v>-0.63999999999998636</v>
      </c>
      <c r="AF190" s="18" t="s">
        <v>1355</v>
      </c>
      <c r="AG190" s="58" t="s">
        <v>1364</v>
      </c>
      <c r="AH190" s="14"/>
      <c r="AI190" s="24" t="s">
        <v>55</v>
      </c>
      <c r="AJ190" s="23"/>
      <c r="AK190" s="25" t="s">
        <v>1365</v>
      </c>
    </row>
    <row r="191" spans="1:37" x14ac:dyDescent="0.25">
      <c r="A191" s="13">
        <v>44730</v>
      </c>
      <c r="B191" s="24" t="s">
        <v>1366</v>
      </c>
      <c r="C191" s="18" t="s">
        <v>1367</v>
      </c>
      <c r="D191" s="18" t="s">
        <v>1368</v>
      </c>
      <c r="E191" s="18" t="s">
        <v>1369</v>
      </c>
      <c r="F191" s="15">
        <v>9262630777</v>
      </c>
      <c r="G191" s="67" t="s">
        <v>1370</v>
      </c>
      <c r="H191" s="23" t="s">
        <v>46</v>
      </c>
      <c r="I191" s="17" t="s">
        <v>1371</v>
      </c>
      <c r="J191" s="18" t="s">
        <v>1372</v>
      </c>
      <c r="K191" s="15" t="s">
        <v>196</v>
      </c>
      <c r="L191" s="14" t="s">
        <v>65</v>
      </c>
      <c r="M191" s="23" t="s">
        <v>1373</v>
      </c>
      <c r="N191" s="24" t="s">
        <v>935</v>
      </c>
      <c r="O191" s="14" t="s">
        <v>1374</v>
      </c>
      <c r="P191" s="15">
        <v>47400</v>
      </c>
      <c r="Q191" s="15">
        <v>18000</v>
      </c>
      <c r="R191" s="15">
        <v>29400</v>
      </c>
      <c r="S191" s="15">
        <v>0</v>
      </c>
      <c r="T191" s="15">
        <v>4870</v>
      </c>
      <c r="U191" s="15">
        <v>19500</v>
      </c>
      <c r="V191" s="15">
        <v>16542</v>
      </c>
      <c r="W191" s="19">
        <v>4870</v>
      </c>
      <c r="X191" s="20">
        <v>3000</v>
      </c>
      <c r="Y191" s="20">
        <v>0</v>
      </c>
      <c r="Z191" s="20">
        <v>33042</v>
      </c>
      <c r="AA191" s="21">
        <v>36042</v>
      </c>
      <c r="AB191" s="57">
        <v>0</v>
      </c>
      <c r="AC191" s="57">
        <v>0</v>
      </c>
      <c r="AD191" s="57">
        <f>36042*18/100</f>
        <v>6487.56</v>
      </c>
      <c r="AE191" s="58">
        <f>6488-AD191</f>
        <v>0.43999999999959982</v>
      </c>
      <c r="AF191" s="18" t="s">
        <v>1367</v>
      </c>
      <c r="AG191" s="18" t="s">
        <v>1375</v>
      </c>
      <c r="AH191" s="18"/>
      <c r="AI191" s="24" t="s">
        <v>55</v>
      </c>
      <c r="AJ191" s="23"/>
      <c r="AK191" s="25" t="s">
        <v>1376</v>
      </c>
    </row>
    <row r="192" spans="1:37" x14ac:dyDescent="0.25">
      <c r="A192" s="13">
        <v>44730</v>
      </c>
      <c r="B192" s="23" t="s">
        <v>1377</v>
      </c>
      <c r="C192" s="24" t="s">
        <v>1378</v>
      </c>
      <c r="D192" s="24" t="s">
        <v>46</v>
      </c>
      <c r="E192" s="24" t="s">
        <v>1379</v>
      </c>
      <c r="F192" s="23">
        <v>9819646613</v>
      </c>
      <c r="G192" s="23" t="s">
        <v>1380</v>
      </c>
      <c r="H192" s="23" t="s">
        <v>46</v>
      </c>
      <c r="I192" s="17" t="s">
        <v>1381</v>
      </c>
      <c r="J192" s="18" t="s">
        <v>1382</v>
      </c>
      <c r="K192" s="15" t="s">
        <v>196</v>
      </c>
      <c r="L192" s="14" t="s">
        <v>489</v>
      </c>
      <c r="M192" s="24" t="s">
        <v>80</v>
      </c>
      <c r="N192" s="24" t="s">
        <v>67</v>
      </c>
      <c r="O192" s="14" t="s">
        <v>993</v>
      </c>
      <c r="P192" s="15">
        <v>3700</v>
      </c>
      <c r="Q192" s="15">
        <v>3700</v>
      </c>
      <c r="R192" s="15">
        <v>0</v>
      </c>
      <c r="S192" s="15">
        <v>0</v>
      </c>
      <c r="T192" s="15">
        <v>0</v>
      </c>
      <c r="U192" s="15">
        <v>944</v>
      </c>
      <c r="V192" s="15">
        <v>2192</v>
      </c>
      <c r="W192" s="19">
        <v>0</v>
      </c>
      <c r="X192" s="20">
        <v>500</v>
      </c>
      <c r="Y192" s="20">
        <v>1318</v>
      </c>
      <c r="Z192" s="20">
        <v>1318</v>
      </c>
      <c r="AA192" s="21">
        <v>3136</v>
      </c>
      <c r="AB192" s="57">
        <f>3136*18/100/2</f>
        <v>282.24</v>
      </c>
      <c r="AC192" s="57">
        <f>3136*18/100/2</f>
        <v>282.24</v>
      </c>
      <c r="AD192" s="57">
        <v>0</v>
      </c>
      <c r="AE192" s="58">
        <f>564-AC192-AB192</f>
        <v>-0.48000000000001819</v>
      </c>
      <c r="AF192" s="24" t="s">
        <v>1378</v>
      </c>
      <c r="AG192" s="58" t="s">
        <v>1383</v>
      </c>
      <c r="AH192" s="18"/>
      <c r="AI192" s="24" t="s">
        <v>55</v>
      </c>
      <c r="AJ192" s="23"/>
      <c r="AK192" s="25" t="s">
        <v>1384</v>
      </c>
    </row>
    <row r="193" spans="1:37" ht="15.75" thickBot="1" x14ac:dyDescent="0.3">
      <c r="A193" s="107" t="s">
        <v>137</v>
      </c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32">
        <f t="shared" ref="P193:AE193" si="14">SUM(P189:P192)</f>
        <v>62280</v>
      </c>
      <c r="Q193" s="32">
        <f t="shared" si="14"/>
        <v>32880</v>
      </c>
      <c r="R193" s="32">
        <f t="shared" si="14"/>
        <v>29400</v>
      </c>
      <c r="S193" s="32">
        <f t="shared" si="14"/>
        <v>0</v>
      </c>
      <c r="T193" s="32">
        <f t="shared" si="14"/>
        <v>9740</v>
      </c>
      <c r="U193" s="32">
        <f t="shared" si="14"/>
        <v>21534</v>
      </c>
      <c r="V193" s="32">
        <f t="shared" si="14"/>
        <v>22992</v>
      </c>
      <c r="W193" s="33">
        <f t="shared" si="14"/>
        <v>9740</v>
      </c>
      <c r="X193" s="34">
        <f t="shared" si="14"/>
        <v>3500</v>
      </c>
      <c r="Y193" s="34">
        <f t="shared" si="14"/>
        <v>1318</v>
      </c>
      <c r="Z193" s="34">
        <f t="shared" si="14"/>
        <v>39708</v>
      </c>
      <c r="AA193" s="35">
        <f t="shared" si="14"/>
        <v>44526</v>
      </c>
      <c r="AB193" s="32">
        <f t="shared" si="14"/>
        <v>372.24</v>
      </c>
      <c r="AC193" s="32">
        <f t="shared" si="14"/>
        <v>372.24</v>
      </c>
      <c r="AD193" s="32">
        <f t="shared" si="14"/>
        <v>7270.2000000000007</v>
      </c>
      <c r="AE193" s="32">
        <f t="shared" si="14"/>
        <v>-0.68000000000040473</v>
      </c>
      <c r="AF193" s="109"/>
      <c r="AG193" s="109"/>
      <c r="AH193" s="109"/>
      <c r="AI193" s="36"/>
      <c r="AJ193" s="37"/>
      <c r="AK193" s="38"/>
    </row>
    <row r="194" spans="1:37" ht="15.75" thickBot="1" x14ac:dyDescent="0.3"/>
    <row r="195" spans="1:37" x14ac:dyDescent="0.25">
      <c r="A195" s="112" t="s">
        <v>0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4"/>
      <c r="X195" s="113" t="s">
        <v>1</v>
      </c>
      <c r="Y195" s="114"/>
      <c r="Z195" s="114"/>
      <c r="AA195" s="5" t="s">
        <v>225</v>
      </c>
      <c r="AB195" s="115" t="s">
        <v>3</v>
      </c>
      <c r="AC195" s="116"/>
      <c r="AD195" s="116"/>
      <c r="AE195" s="116"/>
      <c r="AF195" s="105" t="s">
        <v>4</v>
      </c>
      <c r="AG195" s="105"/>
      <c r="AH195" s="105"/>
      <c r="AI195" s="105" t="s">
        <v>5</v>
      </c>
      <c r="AJ195" s="105"/>
      <c r="AK195" s="106"/>
    </row>
    <row r="196" spans="1:37" x14ac:dyDescent="0.25">
      <c r="A196" s="6" t="s">
        <v>6</v>
      </c>
      <c r="B196" s="7" t="s">
        <v>7</v>
      </c>
      <c r="C196" s="7" t="s">
        <v>8</v>
      </c>
      <c r="D196" s="7" t="s">
        <v>9</v>
      </c>
      <c r="E196" s="7" t="s">
        <v>10</v>
      </c>
      <c r="F196" s="7" t="s">
        <v>11</v>
      </c>
      <c r="G196" s="7" t="s">
        <v>12</v>
      </c>
      <c r="H196" s="7" t="s">
        <v>13</v>
      </c>
      <c r="I196" s="7" t="s">
        <v>14</v>
      </c>
      <c r="J196" s="7" t="s">
        <v>15</v>
      </c>
      <c r="K196" s="7" t="s">
        <v>16</v>
      </c>
      <c r="L196" s="7" t="s">
        <v>17</v>
      </c>
      <c r="M196" s="7" t="s">
        <v>18</v>
      </c>
      <c r="N196" s="7" t="s">
        <v>19</v>
      </c>
      <c r="O196" s="7" t="s">
        <v>20</v>
      </c>
      <c r="P196" s="7" t="s">
        <v>21</v>
      </c>
      <c r="Q196" s="7" t="s">
        <v>22</v>
      </c>
      <c r="R196" s="7" t="s">
        <v>23</v>
      </c>
      <c r="S196" s="7" t="s">
        <v>24</v>
      </c>
      <c r="T196" s="7" t="s">
        <v>25</v>
      </c>
      <c r="U196" s="7" t="s">
        <v>26</v>
      </c>
      <c r="V196" s="7" t="s">
        <v>27</v>
      </c>
      <c r="W196" s="8" t="s">
        <v>25</v>
      </c>
      <c r="X196" s="9" t="s">
        <v>28</v>
      </c>
      <c r="Y196" s="9" t="s">
        <v>29</v>
      </c>
      <c r="Z196" s="9" t="s">
        <v>30</v>
      </c>
      <c r="AA196" s="10" t="s">
        <v>31</v>
      </c>
      <c r="AB196" s="7" t="s">
        <v>32</v>
      </c>
      <c r="AC196" s="7" t="s">
        <v>33</v>
      </c>
      <c r="AD196" s="7" t="s">
        <v>34</v>
      </c>
      <c r="AE196" s="7" t="s">
        <v>35</v>
      </c>
      <c r="AF196" s="7" t="s">
        <v>36</v>
      </c>
      <c r="AG196" s="7" t="s">
        <v>37</v>
      </c>
      <c r="AH196" s="7" t="s">
        <v>38</v>
      </c>
      <c r="AI196" s="7" t="s">
        <v>39</v>
      </c>
      <c r="AJ196" s="11" t="s">
        <v>40</v>
      </c>
      <c r="AK196" s="12" t="s">
        <v>41</v>
      </c>
    </row>
    <row r="197" spans="1:37" x14ac:dyDescent="0.25">
      <c r="A197" s="13">
        <v>44732</v>
      </c>
      <c r="B197" s="14" t="s">
        <v>1385</v>
      </c>
      <c r="C197" s="18" t="s">
        <v>1386</v>
      </c>
      <c r="D197" s="18" t="s">
        <v>46</v>
      </c>
      <c r="E197" s="18" t="s">
        <v>1387</v>
      </c>
      <c r="F197" s="15">
        <v>9029669197</v>
      </c>
      <c r="G197" s="15" t="s">
        <v>1388</v>
      </c>
      <c r="H197" s="14" t="s">
        <v>46</v>
      </c>
      <c r="I197" s="17" t="s">
        <v>1389</v>
      </c>
      <c r="J197" s="18" t="s">
        <v>1390</v>
      </c>
      <c r="K197" s="15" t="s">
        <v>196</v>
      </c>
      <c r="L197" s="14" t="s">
        <v>489</v>
      </c>
      <c r="M197" s="23" t="s">
        <v>80</v>
      </c>
      <c r="N197" s="24" t="s">
        <v>67</v>
      </c>
      <c r="O197" s="14" t="s">
        <v>68</v>
      </c>
      <c r="P197" s="15">
        <v>3500</v>
      </c>
      <c r="Q197" s="15">
        <v>3500</v>
      </c>
      <c r="R197" s="15">
        <v>0</v>
      </c>
      <c r="S197" s="15">
        <v>0</v>
      </c>
      <c r="T197" s="15">
        <v>0</v>
      </c>
      <c r="U197" s="15">
        <v>944</v>
      </c>
      <c r="V197" s="15">
        <v>2022</v>
      </c>
      <c r="W197" s="19">
        <v>0</v>
      </c>
      <c r="X197" s="20">
        <v>500</v>
      </c>
      <c r="Y197" s="20">
        <v>1233</v>
      </c>
      <c r="Z197" s="20">
        <v>1233</v>
      </c>
      <c r="AA197" s="21">
        <v>2966</v>
      </c>
      <c r="AB197" s="57">
        <f>2966*18/100/2</f>
        <v>266.94</v>
      </c>
      <c r="AC197" s="57">
        <f>2966*18/100/2</f>
        <v>266.94</v>
      </c>
      <c r="AD197" s="57">
        <v>0</v>
      </c>
      <c r="AE197" s="58">
        <f>534-AC197-AB197</f>
        <v>0.12000000000000455</v>
      </c>
      <c r="AF197" s="18" t="s">
        <v>1386</v>
      </c>
      <c r="AG197" s="58"/>
      <c r="AH197" s="18"/>
      <c r="AI197" s="24" t="s">
        <v>55</v>
      </c>
      <c r="AJ197" s="23"/>
      <c r="AK197" s="25" t="s">
        <v>1384</v>
      </c>
    </row>
    <row r="198" spans="1:37" x14ac:dyDescent="0.25">
      <c r="A198" s="13">
        <v>44732</v>
      </c>
      <c r="B198" s="14" t="s">
        <v>1391</v>
      </c>
      <c r="C198" s="18" t="s">
        <v>1392</v>
      </c>
      <c r="D198" s="18" t="s">
        <v>1393</v>
      </c>
      <c r="E198" s="18" t="s">
        <v>1394</v>
      </c>
      <c r="F198" s="15">
        <v>9969804144</v>
      </c>
      <c r="G198" s="15" t="s">
        <v>1395</v>
      </c>
      <c r="H198" s="14" t="s">
        <v>46</v>
      </c>
      <c r="I198" s="17" t="s">
        <v>1396</v>
      </c>
      <c r="J198" s="18" t="s">
        <v>1397</v>
      </c>
      <c r="K198" s="15" t="s">
        <v>196</v>
      </c>
      <c r="L198" s="14" t="s">
        <v>1398</v>
      </c>
      <c r="M198" s="23" t="s">
        <v>80</v>
      </c>
      <c r="N198" s="24" t="s">
        <v>67</v>
      </c>
      <c r="O198" s="14" t="s">
        <v>68</v>
      </c>
      <c r="P198" s="15">
        <v>12000</v>
      </c>
      <c r="Q198" s="15">
        <v>12000</v>
      </c>
      <c r="R198" s="15">
        <v>0</v>
      </c>
      <c r="S198" s="15">
        <v>0</v>
      </c>
      <c r="T198" s="15">
        <v>5484</v>
      </c>
      <c r="U198" s="15">
        <v>250</v>
      </c>
      <c r="V198" s="15">
        <v>5272</v>
      </c>
      <c r="W198" s="19">
        <v>5484</v>
      </c>
      <c r="X198" s="20">
        <v>2000</v>
      </c>
      <c r="Y198" s="20">
        <v>1511</v>
      </c>
      <c r="Z198" s="20">
        <v>2011</v>
      </c>
      <c r="AA198" s="21">
        <v>5522</v>
      </c>
      <c r="AB198" s="57">
        <f>5522*18/100/2</f>
        <v>496.98</v>
      </c>
      <c r="AC198" s="57">
        <f>5522*18/100/2</f>
        <v>496.98</v>
      </c>
      <c r="AD198" s="57">
        <v>0</v>
      </c>
      <c r="AE198" s="58">
        <f>994-AB198-AC198</f>
        <v>3.999999999996362E-2</v>
      </c>
      <c r="AF198" s="18" t="s">
        <v>1392</v>
      </c>
      <c r="AG198" s="58"/>
      <c r="AH198" s="18"/>
      <c r="AI198" s="24" t="s">
        <v>55</v>
      </c>
      <c r="AJ198" s="23"/>
      <c r="AK198" s="25" t="s">
        <v>1399</v>
      </c>
    </row>
    <row r="199" spans="1:37" x14ac:dyDescent="0.25">
      <c r="A199" s="13">
        <v>44732</v>
      </c>
      <c r="B199" s="14" t="s">
        <v>1400</v>
      </c>
      <c r="C199" s="18" t="s">
        <v>1401</v>
      </c>
      <c r="D199" s="18" t="s">
        <v>1402</v>
      </c>
      <c r="E199" s="18" t="s">
        <v>1403</v>
      </c>
      <c r="F199" s="15">
        <v>9872839939</v>
      </c>
      <c r="G199" s="15" t="s">
        <v>1404</v>
      </c>
      <c r="H199" s="14" t="s">
        <v>1405</v>
      </c>
      <c r="I199" s="17" t="s">
        <v>1406</v>
      </c>
      <c r="J199" s="18" t="s">
        <v>1407</v>
      </c>
      <c r="K199" s="15" t="s">
        <v>196</v>
      </c>
      <c r="L199" s="14" t="s">
        <v>945</v>
      </c>
      <c r="M199" s="23" t="s">
        <v>1408</v>
      </c>
      <c r="N199" s="24" t="s">
        <v>297</v>
      </c>
      <c r="O199" s="14" t="s">
        <v>53</v>
      </c>
      <c r="P199" s="15">
        <v>7350</v>
      </c>
      <c r="Q199" s="15">
        <v>7350</v>
      </c>
      <c r="R199" s="15">
        <v>0</v>
      </c>
      <c r="S199" s="15">
        <v>0</v>
      </c>
      <c r="T199" s="15">
        <v>4870</v>
      </c>
      <c r="U199" s="15">
        <v>250</v>
      </c>
      <c r="V199" s="15">
        <v>1852</v>
      </c>
      <c r="W199" s="19">
        <v>4870</v>
      </c>
      <c r="X199" s="20">
        <v>1000</v>
      </c>
      <c r="Y199" s="20">
        <v>500</v>
      </c>
      <c r="Z199" s="20">
        <v>602</v>
      </c>
      <c r="AA199" s="21">
        <v>2102</v>
      </c>
      <c r="AB199" s="57">
        <v>0</v>
      </c>
      <c r="AC199" s="57">
        <v>0</v>
      </c>
      <c r="AD199" s="57">
        <f>2102*18/100</f>
        <v>378.36</v>
      </c>
      <c r="AE199" s="58">
        <f>378-AD199</f>
        <v>-0.36000000000001364</v>
      </c>
      <c r="AF199" s="18" t="s">
        <v>1409</v>
      </c>
      <c r="AG199" s="58"/>
      <c r="AH199" s="18"/>
      <c r="AI199" s="24" t="s">
        <v>55</v>
      </c>
      <c r="AJ199" s="23"/>
      <c r="AK199" s="25" t="s">
        <v>1410</v>
      </c>
    </row>
    <row r="200" spans="1:37" x14ac:dyDescent="0.25">
      <c r="A200" s="13">
        <v>44732</v>
      </c>
      <c r="B200" s="23" t="s">
        <v>125</v>
      </c>
      <c r="C200" s="14" t="s">
        <v>1411</v>
      </c>
      <c r="D200" s="14" t="s">
        <v>1412</v>
      </c>
      <c r="E200" s="14" t="s">
        <v>1413</v>
      </c>
      <c r="F200" s="15">
        <v>8007368986</v>
      </c>
      <c r="G200" s="15" t="s">
        <v>1414</v>
      </c>
      <c r="H200" s="14" t="s">
        <v>46</v>
      </c>
      <c r="I200" s="17" t="s">
        <v>1415</v>
      </c>
      <c r="J200" s="14" t="s">
        <v>284</v>
      </c>
      <c r="K200" s="14" t="s">
        <v>196</v>
      </c>
      <c r="L200" s="14" t="s">
        <v>727</v>
      </c>
      <c r="M200" s="14" t="s">
        <v>80</v>
      </c>
      <c r="N200" s="15" t="s">
        <v>67</v>
      </c>
      <c r="O200" s="14" t="s">
        <v>68</v>
      </c>
      <c r="P200" s="15">
        <v>0</v>
      </c>
      <c r="Q200" s="15">
        <v>4000</v>
      </c>
      <c r="R200" s="15">
        <v>12999</v>
      </c>
      <c r="S200" s="15">
        <v>0</v>
      </c>
      <c r="T200" s="15">
        <v>0</v>
      </c>
      <c r="U200" s="15">
        <v>0</v>
      </c>
      <c r="V200" s="15">
        <v>0</v>
      </c>
      <c r="W200" s="19">
        <v>0</v>
      </c>
      <c r="X200" s="20">
        <v>0</v>
      </c>
      <c r="Y200" s="20">
        <v>0</v>
      </c>
      <c r="Z200" s="20">
        <v>0</v>
      </c>
      <c r="AA200" s="21">
        <v>0</v>
      </c>
      <c r="AB200" s="23">
        <v>0</v>
      </c>
      <c r="AC200" s="23">
        <v>0</v>
      </c>
      <c r="AD200" s="23">
        <v>0</v>
      </c>
      <c r="AE200" s="23">
        <v>0</v>
      </c>
      <c r="AF200" s="14" t="s">
        <v>1411</v>
      </c>
      <c r="AG200" s="58"/>
      <c r="AH200" s="18"/>
      <c r="AI200" s="24" t="s">
        <v>55</v>
      </c>
      <c r="AJ200" s="23"/>
      <c r="AK200" s="25"/>
    </row>
    <row r="201" spans="1:37" x14ac:dyDescent="0.25">
      <c r="A201" s="13">
        <v>44732</v>
      </c>
      <c r="B201" s="23" t="s">
        <v>125</v>
      </c>
      <c r="C201" s="14" t="s">
        <v>249</v>
      </c>
      <c r="D201" s="14" t="s">
        <v>46</v>
      </c>
      <c r="E201" s="14" t="s">
        <v>250</v>
      </c>
      <c r="F201" s="15">
        <v>9819034634</v>
      </c>
      <c r="G201" s="16" t="s">
        <v>251</v>
      </c>
      <c r="H201" s="14" t="s">
        <v>252</v>
      </c>
      <c r="I201" s="17" t="s">
        <v>253</v>
      </c>
      <c r="J201" s="18" t="s">
        <v>1416</v>
      </c>
      <c r="K201" s="15" t="s">
        <v>255</v>
      </c>
      <c r="L201" s="14" t="s">
        <v>256</v>
      </c>
      <c r="M201" s="23" t="s">
        <v>80</v>
      </c>
      <c r="N201" s="24" t="s">
        <v>67</v>
      </c>
      <c r="O201" s="14" t="s">
        <v>68</v>
      </c>
      <c r="P201" s="15">
        <v>0</v>
      </c>
      <c r="Q201" s="15">
        <v>3714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9">
        <v>0</v>
      </c>
      <c r="X201" s="20">
        <v>0</v>
      </c>
      <c r="Y201" s="20">
        <v>0</v>
      </c>
      <c r="Z201" s="20">
        <v>0</v>
      </c>
      <c r="AA201" s="21">
        <v>0</v>
      </c>
      <c r="AB201" s="23">
        <v>0</v>
      </c>
      <c r="AC201" s="23">
        <v>0</v>
      </c>
      <c r="AD201" s="23">
        <v>0</v>
      </c>
      <c r="AE201" s="23">
        <v>0</v>
      </c>
      <c r="AF201" s="14" t="s">
        <v>257</v>
      </c>
      <c r="AG201" s="58"/>
      <c r="AH201" s="18"/>
      <c r="AI201" s="24" t="s">
        <v>55</v>
      </c>
      <c r="AJ201" s="23"/>
      <c r="AK201" s="25"/>
    </row>
    <row r="202" spans="1:37" x14ac:dyDescent="0.25">
      <c r="A202" s="13">
        <v>44732</v>
      </c>
      <c r="B202" s="23" t="s">
        <v>125</v>
      </c>
      <c r="C202" s="27" t="s">
        <v>1417</v>
      </c>
      <c r="D202" s="24" t="s">
        <v>1418</v>
      </c>
      <c r="E202" s="24" t="s">
        <v>1419</v>
      </c>
      <c r="F202" s="68" t="s">
        <v>1420</v>
      </c>
      <c r="G202" s="29" t="s">
        <v>46</v>
      </c>
      <c r="H202" s="23" t="s">
        <v>1421</v>
      </c>
      <c r="I202" s="17" t="s">
        <v>1422</v>
      </c>
      <c r="J202" s="18" t="s">
        <v>1423</v>
      </c>
      <c r="K202" s="24" t="s">
        <v>116</v>
      </c>
      <c r="L202" s="30" t="s">
        <v>1424</v>
      </c>
      <c r="M202" s="24" t="s">
        <v>80</v>
      </c>
      <c r="N202" s="42" t="s">
        <v>67</v>
      </c>
      <c r="O202" s="14" t="s">
        <v>68</v>
      </c>
      <c r="P202" s="28">
        <v>0</v>
      </c>
      <c r="Q202" s="28">
        <v>10000</v>
      </c>
      <c r="R202" s="28">
        <v>0</v>
      </c>
      <c r="S202" s="28">
        <v>0</v>
      </c>
      <c r="T202" s="28">
        <v>0</v>
      </c>
      <c r="U202" s="28">
        <v>0</v>
      </c>
      <c r="V202" s="28">
        <v>0</v>
      </c>
      <c r="W202" s="19">
        <v>0</v>
      </c>
      <c r="X202" s="20">
        <v>0</v>
      </c>
      <c r="Y202" s="20">
        <v>0</v>
      </c>
      <c r="Z202" s="20">
        <v>0</v>
      </c>
      <c r="AA202" s="21">
        <v>0</v>
      </c>
      <c r="AB202" s="23">
        <v>0</v>
      </c>
      <c r="AC202" s="23">
        <v>0</v>
      </c>
      <c r="AD202" s="23">
        <v>0</v>
      </c>
      <c r="AE202" s="23">
        <v>0</v>
      </c>
      <c r="AF202" s="27" t="s">
        <v>1417</v>
      </c>
      <c r="AG202" s="58" t="s">
        <v>1425</v>
      </c>
      <c r="AH202" s="18"/>
      <c r="AI202" s="24" t="s">
        <v>123</v>
      </c>
      <c r="AJ202" s="23"/>
      <c r="AK202" s="25"/>
    </row>
    <row r="203" spans="1:37" ht="15.75" thickBot="1" x14ac:dyDescent="0.3">
      <c r="A203" s="107" t="s">
        <v>137</v>
      </c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32">
        <f t="shared" ref="P203:AE203" si="15">SUM(P197:P202)</f>
        <v>22850</v>
      </c>
      <c r="Q203" s="32">
        <f t="shared" si="15"/>
        <v>40564</v>
      </c>
      <c r="R203" s="32">
        <f t="shared" si="15"/>
        <v>12999</v>
      </c>
      <c r="S203" s="32">
        <f t="shared" si="15"/>
        <v>0</v>
      </c>
      <c r="T203" s="32">
        <f t="shared" si="15"/>
        <v>10354</v>
      </c>
      <c r="U203" s="32">
        <f t="shared" si="15"/>
        <v>1444</v>
      </c>
      <c r="V203" s="32">
        <f t="shared" si="15"/>
        <v>9146</v>
      </c>
      <c r="W203" s="33">
        <f t="shared" si="15"/>
        <v>10354</v>
      </c>
      <c r="X203" s="34">
        <f t="shared" si="15"/>
        <v>3500</v>
      </c>
      <c r="Y203" s="34">
        <f t="shared" si="15"/>
        <v>3244</v>
      </c>
      <c r="Z203" s="34">
        <f t="shared" si="15"/>
        <v>3846</v>
      </c>
      <c r="AA203" s="35">
        <f t="shared" si="15"/>
        <v>10590</v>
      </c>
      <c r="AB203" s="32">
        <f t="shared" si="15"/>
        <v>763.92000000000007</v>
      </c>
      <c r="AC203" s="32">
        <f t="shared" si="15"/>
        <v>763.92000000000007</v>
      </c>
      <c r="AD203" s="32">
        <f t="shared" si="15"/>
        <v>378.36</v>
      </c>
      <c r="AE203" s="32">
        <f t="shared" si="15"/>
        <v>-0.20000000000004547</v>
      </c>
      <c r="AF203" s="109"/>
      <c r="AG203" s="109"/>
      <c r="AH203" s="109"/>
      <c r="AI203" s="36"/>
      <c r="AJ203" s="37"/>
      <c r="AK203" s="38"/>
    </row>
    <row r="204" spans="1:37" ht="15.75" thickBot="1" x14ac:dyDescent="0.3"/>
    <row r="205" spans="1:37" x14ac:dyDescent="0.25">
      <c r="A205" s="112" t="s">
        <v>0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4"/>
      <c r="X205" s="113" t="s">
        <v>1</v>
      </c>
      <c r="Y205" s="114"/>
      <c r="Z205" s="114"/>
      <c r="AA205" s="5" t="s">
        <v>225</v>
      </c>
      <c r="AB205" s="115" t="s">
        <v>3</v>
      </c>
      <c r="AC205" s="116"/>
      <c r="AD205" s="116"/>
      <c r="AE205" s="116"/>
      <c r="AF205" s="105" t="s">
        <v>4</v>
      </c>
      <c r="AG205" s="105"/>
      <c r="AH205" s="105"/>
      <c r="AI205" s="105" t="s">
        <v>5</v>
      </c>
      <c r="AJ205" s="105"/>
      <c r="AK205" s="106"/>
    </row>
    <row r="206" spans="1:37" x14ac:dyDescent="0.25">
      <c r="A206" s="6" t="s">
        <v>6</v>
      </c>
      <c r="B206" s="7" t="s">
        <v>7</v>
      </c>
      <c r="C206" s="7" t="s">
        <v>8</v>
      </c>
      <c r="D206" s="7" t="s">
        <v>9</v>
      </c>
      <c r="E206" s="7" t="s">
        <v>10</v>
      </c>
      <c r="F206" s="7" t="s">
        <v>11</v>
      </c>
      <c r="G206" s="7" t="s">
        <v>12</v>
      </c>
      <c r="H206" s="7" t="s">
        <v>13</v>
      </c>
      <c r="I206" s="7" t="s">
        <v>14</v>
      </c>
      <c r="J206" s="7" t="s">
        <v>15</v>
      </c>
      <c r="K206" s="7" t="s">
        <v>16</v>
      </c>
      <c r="L206" s="7" t="s">
        <v>17</v>
      </c>
      <c r="M206" s="7" t="s">
        <v>18</v>
      </c>
      <c r="N206" s="7" t="s">
        <v>19</v>
      </c>
      <c r="O206" s="7" t="s">
        <v>20</v>
      </c>
      <c r="P206" s="7" t="s">
        <v>21</v>
      </c>
      <c r="Q206" s="7" t="s">
        <v>22</v>
      </c>
      <c r="R206" s="7" t="s">
        <v>23</v>
      </c>
      <c r="S206" s="7" t="s">
        <v>24</v>
      </c>
      <c r="T206" s="7" t="s">
        <v>25</v>
      </c>
      <c r="U206" s="7" t="s">
        <v>26</v>
      </c>
      <c r="V206" s="7" t="s">
        <v>27</v>
      </c>
      <c r="W206" s="8" t="s">
        <v>25</v>
      </c>
      <c r="X206" s="9" t="s">
        <v>28</v>
      </c>
      <c r="Y206" s="9" t="s">
        <v>29</v>
      </c>
      <c r="Z206" s="9" t="s">
        <v>30</v>
      </c>
      <c r="AA206" s="10" t="s">
        <v>31</v>
      </c>
      <c r="AB206" s="7" t="s">
        <v>32</v>
      </c>
      <c r="AC206" s="7" t="s">
        <v>33</v>
      </c>
      <c r="AD206" s="7" t="s">
        <v>34</v>
      </c>
      <c r="AE206" s="7" t="s">
        <v>35</v>
      </c>
      <c r="AF206" s="7" t="s">
        <v>36</v>
      </c>
      <c r="AG206" s="7" t="s">
        <v>37</v>
      </c>
      <c r="AH206" s="7" t="s">
        <v>38</v>
      </c>
      <c r="AI206" s="7" t="s">
        <v>39</v>
      </c>
      <c r="AJ206" s="11" t="s">
        <v>40</v>
      </c>
      <c r="AK206" s="12" t="s">
        <v>41</v>
      </c>
    </row>
    <row r="207" spans="1:37" x14ac:dyDescent="0.25">
      <c r="A207" s="13">
        <v>44733</v>
      </c>
      <c r="B207" s="14" t="s">
        <v>1400</v>
      </c>
      <c r="C207" s="18" t="s">
        <v>1426</v>
      </c>
      <c r="D207" s="18" t="s">
        <v>1427</v>
      </c>
      <c r="E207" s="18" t="s">
        <v>1428</v>
      </c>
      <c r="F207" s="15">
        <v>9924644105</v>
      </c>
      <c r="G207" s="15" t="s">
        <v>1429</v>
      </c>
      <c r="H207" s="14" t="s">
        <v>1430</v>
      </c>
      <c r="I207" s="17" t="s">
        <v>1431</v>
      </c>
      <c r="J207" s="18" t="s">
        <v>1432</v>
      </c>
      <c r="K207" s="15" t="s">
        <v>196</v>
      </c>
      <c r="L207" s="14" t="s">
        <v>945</v>
      </c>
      <c r="M207" s="23" t="s">
        <v>186</v>
      </c>
      <c r="N207" s="24" t="s">
        <v>187</v>
      </c>
      <c r="O207" s="14" t="s">
        <v>68</v>
      </c>
      <c r="P207" s="15">
        <v>8500</v>
      </c>
      <c r="Q207" s="15">
        <v>8500</v>
      </c>
      <c r="R207" s="15">
        <v>0</v>
      </c>
      <c r="S207" s="15">
        <v>0</v>
      </c>
      <c r="T207" s="15">
        <v>4870</v>
      </c>
      <c r="U207" s="15">
        <v>250</v>
      </c>
      <c r="V207" s="15">
        <v>2826</v>
      </c>
      <c r="W207" s="19">
        <v>4870</v>
      </c>
      <c r="X207" s="20">
        <v>1200</v>
      </c>
      <c r="Y207" s="20">
        <v>1376</v>
      </c>
      <c r="Z207" s="20">
        <v>500</v>
      </c>
      <c r="AA207" s="21">
        <v>3076</v>
      </c>
      <c r="AB207" s="57">
        <v>0</v>
      </c>
      <c r="AC207" s="57">
        <v>0</v>
      </c>
      <c r="AD207" s="57">
        <f>3076*18/100</f>
        <v>553.67999999999995</v>
      </c>
      <c r="AE207" s="58">
        <f>554-AD207</f>
        <v>0.32000000000005002</v>
      </c>
      <c r="AF207" s="18" t="s">
        <v>1426</v>
      </c>
      <c r="AG207" s="58"/>
      <c r="AH207" s="18" t="s">
        <v>1433</v>
      </c>
      <c r="AI207" s="24" t="s">
        <v>55</v>
      </c>
      <c r="AJ207" s="23"/>
      <c r="AK207" s="25" t="s">
        <v>200</v>
      </c>
    </row>
    <row r="208" spans="1:37" x14ac:dyDescent="0.25">
      <c r="A208" s="13">
        <v>44733</v>
      </c>
      <c r="B208" s="23" t="s">
        <v>1434</v>
      </c>
      <c r="C208" s="18" t="s">
        <v>1435</v>
      </c>
      <c r="D208" s="18" t="s">
        <v>46</v>
      </c>
      <c r="E208" s="18" t="s">
        <v>1436</v>
      </c>
      <c r="F208" s="15">
        <v>9833532254</v>
      </c>
      <c r="G208" s="15" t="s">
        <v>1437</v>
      </c>
      <c r="H208" s="14" t="s">
        <v>1438</v>
      </c>
      <c r="I208" s="17" t="s">
        <v>1439</v>
      </c>
      <c r="J208" s="18" t="s">
        <v>1440</v>
      </c>
      <c r="K208" s="15" t="s">
        <v>196</v>
      </c>
      <c r="L208" s="14" t="s">
        <v>945</v>
      </c>
      <c r="M208" s="23" t="s">
        <v>80</v>
      </c>
      <c r="N208" s="42" t="s">
        <v>67</v>
      </c>
      <c r="O208" s="14" t="s">
        <v>68</v>
      </c>
      <c r="P208" s="15">
        <v>5500</v>
      </c>
      <c r="Q208" s="15">
        <v>4000</v>
      </c>
      <c r="R208" s="15">
        <v>1500</v>
      </c>
      <c r="S208" s="15">
        <v>0</v>
      </c>
      <c r="T208" s="15">
        <v>0</v>
      </c>
      <c r="U208" s="15">
        <v>2360</v>
      </c>
      <c r="V208" s="15">
        <v>2301</v>
      </c>
      <c r="W208" s="19">
        <v>0</v>
      </c>
      <c r="X208" s="20">
        <v>161</v>
      </c>
      <c r="Y208" s="20">
        <v>3000</v>
      </c>
      <c r="Z208" s="20">
        <v>1500</v>
      </c>
      <c r="AA208" s="21">
        <v>4661</v>
      </c>
      <c r="AB208" s="57">
        <f>4661*18/100/2</f>
        <v>419.49</v>
      </c>
      <c r="AC208" s="57">
        <f>4661*18/100/2</f>
        <v>419.49</v>
      </c>
      <c r="AD208" s="57">
        <v>0</v>
      </c>
      <c r="AE208" s="58">
        <f>839-AC208-AB208</f>
        <v>1.999999999998181E-2</v>
      </c>
      <c r="AF208" s="18" t="s">
        <v>1441</v>
      </c>
      <c r="AG208" s="58"/>
      <c r="AH208" s="18" t="s">
        <v>1442</v>
      </c>
      <c r="AI208" s="24" t="s">
        <v>55</v>
      </c>
      <c r="AJ208" s="23"/>
      <c r="AK208" s="25" t="s">
        <v>684</v>
      </c>
    </row>
    <row r="209" spans="1:37" x14ac:dyDescent="0.25">
      <c r="A209" s="13">
        <v>44733</v>
      </c>
      <c r="B209" s="23" t="s">
        <v>350</v>
      </c>
      <c r="C209" s="18" t="s">
        <v>1249</v>
      </c>
      <c r="D209" s="18" t="s">
        <v>1443</v>
      </c>
      <c r="E209" s="18" t="s">
        <v>1251</v>
      </c>
      <c r="F209" s="15">
        <v>9324976002</v>
      </c>
      <c r="G209" s="15" t="s">
        <v>1252</v>
      </c>
      <c r="H209" s="14" t="s">
        <v>1253</v>
      </c>
      <c r="I209" s="17" t="s">
        <v>1444</v>
      </c>
      <c r="J209" s="18" t="s">
        <v>1445</v>
      </c>
      <c r="K209" s="15" t="s">
        <v>78</v>
      </c>
      <c r="L209" s="14" t="s">
        <v>1244</v>
      </c>
      <c r="M209" s="23" t="s">
        <v>80</v>
      </c>
      <c r="N209" s="42" t="s">
        <v>67</v>
      </c>
      <c r="O209" s="14" t="s">
        <v>68</v>
      </c>
      <c r="P209" s="15">
        <v>8410</v>
      </c>
      <c r="Q209" s="15">
        <v>8410</v>
      </c>
      <c r="R209" s="15">
        <v>0</v>
      </c>
      <c r="S209" s="15">
        <v>0</v>
      </c>
      <c r="T209" s="15">
        <v>4870</v>
      </c>
      <c r="U209" s="15">
        <v>500</v>
      </c>
      <c r="V209" s="15">
        <v>2500</v>
      </c>
      <c r="W209" s="19">
        <v>4870</v>
      </c>
      <c r="X209" s="20">
        <v>0</v>
      </c>
      <c r="Y209" s="20">
        <v>0</v>
      </c>
      <c r="Z209" s="20">
        <v>3000</v>
      </c>
      <c r="AA209" s="21">
        <v>3000</v>
      </c>
      <c r="AB209" s="57">
        <f>3000*18/100/2</f>
        <v>270</v>
      </c>
      <c r="AC209" s="57">
        <f>3000*18/100/2</f>
        <v>270</v>
      </c>
      <c r="AD209" s="57">
        <v>0</v>
      </c>
      <c r="AE209" s="58">
        <v>0</v>
      </c>
      <c r="AF209" s="18" t="s">
        <v>1249</v>
      </c>
      <c r="AG209" s="58"/>
      <c r="AH209" s="18" t="s">
        <v>1446</v>
      </c>
      <c r="AI209" s="24" t="s">
        <v>55</v>
      </c>
      <c r="AJ209" s="23"/>
      <c r="AK209" s="25" t="s">
        <v>360</v>
      </c>
    </row>
    <row r="210" spans="1:37" x14ac:dyDescent="0.25">
      <c r="A210" s="13">
        <v>44733</v>
      </c>
      <c r="B210" s="23" t="s">
        <v>1447</v>
      </c>
      <c r="C210" s="18" t="s">
        <v>1448</v>
      </c>
      <c r="D210" s="18" t="s">
        <v>46</v>
      </c>
      <c r="E210" s="18" t="s">
        <v>1449</v>
      </c>
      <c r="F210" s="15">
        <v>9833499791</v>
      </c>
      <c r="G210" s="15" t="s">
        <v>1450</v>
      </c>
      <c r="H210" s="14" t="s">
        <v>1451</v>
      </c>
      <c r="I210" s="17" t="s">
        <v>1452</v>
      </c>
      <c r="J210" s="18" t="s">
        <v>1453</v>
      </c>
      <c r="K210" s="15" t="s">
        <v>285</v>
      </c>
      <c r="L210" s="14" t="s">
        <v>117</v>
      </c>
      <c r="M210" s="23" t="s">
        <v>80</v>
      </c>
      <c r="N210" s="42" t="s">
        <v>67</v>
      </c>
      <c r="O210" s="14" t="s">
        <v>53</v>
      </c>
      <c r="P210" s="15">
        <v>19720</v>
      </c>
      <c r="Q210" s="15">
        <v>19720</v>
      </c>
      <c r="R210" s="15">
        <v>0</v>
      </c>
      <c r="S210" s="15">
        <v>0</v>
      </c>
      <c r="T210" s="15">
        <v>15000</v>
      </c>
      <c r="U210" s="15">
        <v>0</v>
      </c>
      <c r="V210" s="15">
        <v>4000</v>
      </c>
      <c r="W210" s="19">
        <v>15000</v>
      </c>
      <c r="X210" s="20">
        <v>0</v>
      </c>
      <c r="Y210" s="20">
        <v>0</v>
      </c>
      <c r="Z210" s="20">
        <v>4000</v>
      </c>
      <c r="AA210" s="21">
        <v>4000</v>
      </c>
      <c r="AB210" s="57">
        <f>4000*18/100/2</f>
        <v>360</v>
      </c>
      <c r="AC210" s="57">
        <f>4000*18/100/2</f>
        <v>360</v>
      </c>
      <c r="AD210" s="57">
        <v>0</v>
      </c>
      <c r="AE210" s="57">
        <v>0</v>
      </c>
      <c r="AF210" s="18" t="s">
        <v>1448</v>
      </c>
      <c r="AG210" s="58"/>
      <c r="AH210" s="18" t="s">
        <v>1454</v>
      </c>
      <c r="AI210" s="24" t="s">
        <v>55</v>
      </c>
      <c r="AJ210" s="23"/>
      <c r="AK210" s="25" t="s">
        <v>1455</v>
      </c>
    </row>
    <row r="211" spans="1:37" x14ac:dyDescent="0.25">
      <c r="A211" s="13">
        <v>44733</v>
      </c>
      <c r="B211" s="23" t="s">
        <v>1314</v>
      </c>
      <c r="C211" s="18" t="s">
        <v>46</v>
      </c>
      <c r="D211" s="18" t="s">
        <v>1456</v>
      </c>
      <c r="E211" s="18" t="s">
        <v>1457</v>
      </c>
      <c r="F211" s="15">
        <v>7978450343</v>
      </c>
      <c r="G211" s="15" t="s">
        <v>1458</v>
      </c>
      <c r="H211" s="14" t="s">
        <v>1459</v>
      </c>
      <c r="I211" s="17" t="s">
        <v>1460</v>
      </c>
      <c r="J211" s="18" t="s">
        <v>1461</v>
      </c>
      <c r="K211" s="15" t="s">
        <v>170</v>
      </c>
      <c r="L211" s="14" t="s">
        <v>1462</v>
      </c>
      <c r="M211" s="23" t="s">
        <v>1463</v>
      </c>
      <c r="N211" s="23" t="s">
        <v>503</v>
      </c>
      <c r="O211" s="14" t="s">
        <v>993</v>
      </c>
      <c r="P211" s="15">
        <v>9090</v>
      </c>
      <c r="Q211" s="15">
        <v>9090</v>
      </c>
      <c r="R211" s="15">
        <v>0</v>
      </c>
      <c r="S211" s="15">
        <v>0</v>
      </c>
      <c r="T211" s="15">
        <v>4870</v>
      </c>
      <c r="U211" s="15">
        <v>500</v>
      </c>
      <c r="V211" s="15">
        <v>3076</v>
      </c>
      <c r="W211" s="19">
        <v>4870</v>
      </c>
      <c r="X211" s="20">
        <v>0</v>
      </c>
      <c r="Y211" s="20">
        <v>0</v>
      </c>
      <c r="Z211" s="20">
        <v>3576</v>
      </c>
      <c r="AA211" s="21">
        <v>3576</v>
      </c>
      <c r="AB211" s="57">
        <v>0</v>
      </c>
      <c r="AC211" s="57">
        <v>0</v>
      </c>
      <c r="AD211" s="57">
        <f>3576*18/100</f>
        <v>643.67999999999995</v>
      </c>
      <c r="AE211" s="58">
        <f>644-AD211</f>
        <v>0.32000000000005002</v>
      </c>
      <c r="AF211" s="18" t="s">
        <v>1464</v>
      </c>
      <c r="AG211" s="58"/>
      <c r="AH211" s="18" t="s">
        <v>1465</v>
      </c>
      <c r="AI211" s="24" t="s">
        <v>55</v>
      </c>
      <c r="AJ211" s="23"/>
      <c r="AK211" s="25" t="s">
        <v>360</v>
      </c>
    </row>
    <row r="212" spans="1:37" x14ac:dyDescent="0.25">
      <c r="A212" s="13">
        <v>44733</v>
      </c>
      <c r="B212" s="14" t="s">
        <v>1400</v>
      </c>
      <c r="C212" s="18" t="s">
        <v>1466</v>
      </c>
      <c r="D212" s="18" t="s">
        <v>1467</v>
      </c>
      <c r="E212" s="18" t="s">
        <v>1468</v>
      </c>
      <c r="F212" s="15">
        <v>9012558558</v>
      </c>
      <c r="G212" s="15" t="s">
        <v>1469</v>
      </c>
      <c r="H212" s="14" t="s">
        <v>1470</v>
      </c>
      <c r="I212" s="17" t="s">
        <v>1471</v>
      </c>
      <c r="J212" s="18" t="s">
        <v>1472</v>
      </c>
      <c r="K212" s="15" t="s">
        <v>64</v>
      </c>
      <c r="L212" s="14" t="s">
        <v>185</v>
      </c>
      <c r="M212" s="24" t="s">
        <v>1473</v>
      </c>
      <c r="N212" s="24" t="s">
        <v>173</v>
      </c>
      <c r="O212" s="14" t="s">
        <v>68</v>
      </c>
      <c r="P212" s="15">
        <v>6500</v>
      </c>
      <c r="Q212" s="15">
        <v>6500</v>
      </c>
      <c r="R212" s="15">
        <v>0</v>
      </c>
      <c r="S212" s="15">
        <v>0</v>
      </c>
      <c r="T212" s="15">
        <v>4870</v>
      </c>
      <c r="U212" s="15">
        <v>250</v>
      </c>
      <c r="V212" s="15">
        <v>1131</v>
      </c>
      <c r="W212" s="19">
        <v>4870</v>
      </c>
      <c r="X212" s="20">
        <v>0</v>
      </c>
      <c r="Y212" s="20">
        <v>0</v>
      </c>
      <c r="Z212" s="20">
        <v>1381</v>
      </c>
      <c r="AA212" s="21">
        <v>1381</v>
      </c>
      <c r="AB212" s="57">
        <v>0</v>
      </c>
      <c r="AC212" s="57">
        <v>0</v>
      </c>
      <c r="AD212" s="57">
        <f>1381*18/100</f>
        <v>248.58</v>
      </c>
      <c r="AE212" s="58">
        <f>249-AD212</f>
        <v>0.41999999999998749</v>
      </c>
      <c r="AF212" s="18" t="s">
        <v>1466</v>
      </c>
      <c r="AG212" s="58"/>
      <c r="AH212" s="18" t="s">
        <v>1474</v>
      </c>
      <c r="AI212" s="24" t="s">
        <v>55</v>
      </c>
      <c r="AJ212" s="23"/>
      <c r="AK212" s="25" t="s">
        <v>200</v>
      </c>
    </row>
    <row r="213" spans="1:37" x14ac:dyDescent="0.25">
      <c r="A213" s="13">
        <v>44733</v>
      </c>
      <c r="B213" s="24" t="s">
        <v>1475</v>
      </c>
      <c r="C213" s="18" t="s">
        <v>1476</v>
      </c>
      <c r="D213" s="18" t="s">
        <v>1477</v>
      </c>
      <c r="E213" s="18" t="s">
        <v>1478</v>
      </c>
      <c r="F213" s="15">
        <v>9012558558</v>
      </c>
      <c r="G213" s="15" t="s">
        <v>1479</v>
      </c>
      <c r="H213" s="14" t="s">
        <v>46</v>
      </c>
      <c r="I213" s="17" t="s">
        <v>1480</v>
      </c>
      <c r="J213" s="18" t="s">
        <v>1481</v>
      </c>
      <c r="K213" s="15" t="s">
        <v>64</v>
      </c>
      <c r="L213" s="14" t="s">
        <v>1482</v>
      </c>
      <c r="M213" s="23" t="s">
        <v>1483</v>
      </c>
      <c r="N213" s="24" t="s">
        <v>297</v>
      </c>
      <c r="O213" s="14" t="s">
        <v>336</v>
      </c>
      <c r="P213" s="15">
        <v>10500</v>
      </c>
      <c r="Q213" s="15">
        <v>10500</v>
      </c>
      <c r="R213" s="15">
        <v>0</v>
      </c>
      <c r="S213" s="15">
        <v>0</v>
      </c>
      <c r="T213" s="15">
        <v>0</v>
      </c>
      <c r="U213" s="15">
        <v>4500</v>
      </c>
      <c r="V213" s="15">
        <v>6000</v>
      </c>
      <c r="W213" s="19">
        <v>0</v>
      </c>
      <c r="X213" s="20">
        <v>3000</v>
      </c>
      <c r="Y213" s="20">
        <v>7500</v>
      </c>
      <c r="Z213" s="20">
        <v>0</v>
      </c>
      <c r="AA213" s="21">
        <v>0</v>
      </c>
      <c r="AB213" s="57">
        <v>0</v>
      </c>
      <c r="AC213" s="57">
        <v>0</v>
      </c>
      <c r="AD213" s="57">
        <v>0</v>
      </c>
      <c r="AE213" s="57">
        <v>0</v>
      </c>
      <c r="AF213" s="18" t="s">
        <v>1476</v>
      </c>
      <c r="AG213" s="58"/>
      <c r="AH213" s="18" t="s">
        <v>1484</v>
      </c>
      <c r="AI213" s="24" t="s">
        <v>55</v>
      </c>
      <c r="AJ213" s="23"/>
      <c r="AK213" s="25" t="s">
        <v>1485</v>
      </c>
    </row>
    <row r="214" spans="1:37" x14ac:dyDescent="0.25">
      <c r="A214" s="13">
        <v>44733</v>
      </c>
      <c r="B214" s="23" t="s">
        <v>125</v>
      </c>
      <c r="C214" s="69" t="s">
        <v>1486</v>
      </c>
      <c r="D214" s="24" t="s">
        <v>1486</v>
      </c>
      <c r="E214" s="42" t="s">
        <v>1487</v>
      </c>
      <c r="F214" s="28">
        <v>7830200123</v>
      </c>
      <c r="G214" s="29" t="s">
        <v>1488</v>
      </c>
      <c r="H214" s="24" t="s">
        <v>46</v>
      </c>
      <c r="I214" s="17" t="s">
        <v>1489</v>
      </c>
      <c r="J214" s="18" t="s">
        <v>284</v>
      </c>
      <c r="K214" s="24" t="s">
        <v>103</v>
      </c>
      <c r="L214" s="30" t="s">
        <v>1490</v>
      </c>
      <c r="M214" s="24" t="s">
        <v>1491</v>
      </c>
      <c r="N214" s="24" t="s">
        <v>136</v>
      </c>
      <c r="O214" s="14" t="s">
        <v>993</v>
      </c>
      <c r="P214" s="28">
        <v>0</v>
      </c>
      <c r="Q214" s="28">
        <v>1000</v>
      </c>
      <c r="R214" s="23">
        <v>1800</v>
      </c>
      <c r="S214" s="23">
        <v>0</v>
      </c>
      <c r="T214" s="23">
        <v>0</v>
      </c>
      <c r="U214" s="23">
        <v>0</v>
      </c>
      <c r="V214" s="39">
        <v>0</v>
      </c>
      <c r="W214" s="19">
        <v>0</v>
      </c>
      <c r="X214" s="20">
        <v>0</v>
      </c>
      <c r="Y214" s="20">
        <v>0</v>
      </c>
      <c r="Z214" s="20">
        <v>0</v>
      </c>
      <c r="AA214" s="21">
        <v>0</v>
      </c>
      <c r="AB214" s="23">
        <v>0</v>
      </c>
      <c r="AC214" s="23">
        <v>0</v>
      </c>
      <c r="AD214" s="23">
        <v>0</v>
      </c>
      <c r="AE214" s="23">
        <v>0</v>
      </c>
      <c r="AF214" s="69" t="s">
        <v>1486</v>
      </c>
      <c r="AG214" s="58"/>
      <c r="AH214" s="18" t="s">
        <v>46</v>
      </c>
      <c r="AI214" s="24" t="s">
        <v>284</v>
      </c>
      <c r="AJ214" s="23"/>
      <c r="AK214" s="25"/>
    </row>
    <row r="215" spans="1:37" ht="15.75" thickBot="1" x14ac:dyDescent="0.3">
      <c r="A215" s="107" t="s">
        <v>137</v>
      </c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32">
        <f t="shared" ref="P215:AE215" si="16">SUM(P207:P214)</f>
        <v>68220</v>
      </c>
      <c r="Q215" s="32">
        <f t="shared" si="16"/>
        <v>67720</v>
      </c>
      <c r="R215" s="32">
        <f t="shared" si="16"/>
        <v>3300</v>
      </c>
      <c r="S215" s="32">
        <f t="shared" si="16"/>
        <v>0</v>
      </c>
      <c r="T215" s="32">
        <f t="shared" si="16"/>
        <v>34480</v>
      </c>
      <c r="U215" s="32">
        <f t="shared" si="16"/>
        <v>8360</v>
      </c>
      <c r="V215" s="32">
        <f t="shared" si="16"/>
        <v>21834</v>
      </c>
      <c r="W215" s="33">
        <f t="shared" si="16"/>
        <v>34480</v>
      </c>
      <c r="X215" s="34">
        <f t="shared" si="16"/>
        <v>4361</v>
      </c>
      <c r="Y215" s="34">
        <f t="shared" si="16"/>
        <v>11876</v>
      </c>
      <c r="Z215" s="34">
        <f t="shared" si="16"/>
        <v>13957</v>
      </c>
      <c r="AA215" s="35">
        <f t="shared" si="16"/>
        <v>19694</v>
      </c>
      <c r="AB215" s="32">
        <f t="shared" si="16"/>
        <v>1049.49</v>
      </c>
      <c r="AC215" s="32">
        <f t="shared" si="16"/>
        <v>1049.49</v>
      </c>
      <c r="AD215" s="32">
        <f t="shared" si="16"/>
        <v>1445.9399999999998</v>
      </c>
      <c r="AE215" s="32">
        <f t="shared" si="16"/>
        <v>1.0800000000000693</v>
      </c>
      <c r="AF215" s="109"/>
      <c r="AG215" s="109"/>
      <c r="AH215" s="109"/>
      <c r="AI215" s="36"/>
      <c r="AJ215" s="37"/>
      <c r="AK215" s="38"/>
    </row>
    <row r="216" spans="1:37" ht="15.75" thickBot="1" x14ac:dyDescent="0.3"/>
    <row r="217" spans="1:37" x14ac:dyDescent="0.25">
      <c r="A217" s="112" t="s">
        <v>0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4"/>
      <c r="X217" s="113" t="s">
        <v>1</v>
      </c>
      <c r="Y217" s="114"/>
      <c r="Z217" s="114"/>
      <c r="AA217" s="5" t="s">
        <v>225</v>
      </c>
      <c r="AB217" s="115" t="s">
        <v>3</v>
      </c>
      <c r="AC217" s="116"/>
      <c r="AD217" s="116"/>
      <c r="AE217" s="116"/>
      <c r="AF217" s="105" t="s">
        <v>4</v>
      </c>
      <c r="AG217" s="105"/>
      <c r="AH217" s="105"/>
      <c r="AI217" s="105" t="s">
        <v>5</v>
      </c>
      <c r="AJ217" s="105"/>
      <c r="AK217" s="106"/>
    </row>
    <row r="218" spans="1:37" x14ac:dyDescent="0.25">
      <c r="A218" s="6" t="s">
        <v>6</v>
      </c>
      <c r="B218" s="7" t="s">
        <v>7</v>
      </c>
      <c r="C218" s="7" t="s">
        <v>8</v>
      </c>
      <c r="D218" s="7" t="s">
        <v>9</v>
      </c>
      <c r="E218" s="7" t="s">
        <v>10</v>
      </c>
      <c r="F218" s="7" t="s">
        <v>11</v>
      </c>
      <c r="G218" s="7" t="s">
        <v>12</v>
      </c>
      <c r="H218" s="7" t="s">
        <v>13</v>
      </c>
      <c r="I218" s="7" t="s">
        <v>14</v>
      </c>
      <c r="J218" s="7" t="s">
        <v>15</v>
      </c>
      <c r="K218" s="7" t="s">
        <v>16</v>
      </c>
      <c r="L218" s="7" t="s">
        <v>17</v>
      </c>
      <c r="M218" s="7" t="s">
        <v>18</v>
      </c>
      <c r="N218" s="7" t="s">
        <v>19</v>
      </c>
      <c r="O218" s="7" t="s">
        <v>20</v>
      </c>
      <c r="P218" s="7" t="s">
        <v>21</v>
      </c>
      <c r="Q218" s="7" t="s">
        <v>22</v>
      </c>
      <c r="R218" s="7" t="s">
        <v>23</v>
      </c>
      <c r="S218" s="7" t="s">
        <v>24</v>
      </c>
      <c r="T218" s="7" t="s">
        <v>25</v>
      </c>
      <c r="U218" s="7" t="s">
        <v>26</v>
      </c>
      <c r="V218" s="7" t="s">
        <v>27</v>
      </c>
      <c r="W218" s="8" t="s">
        <v>25</v>
      </c>
      <c r="X218" s="9" t="s">
        <v>28</v>
      </c>
      <c r="Y218" s="9" t="s">
        <v>29</v>
      </c>
      <c r="Z218" s="9" t="s">
        <v>30</v>
      </c>
      <c r="AA218" s="10" t="s">
        <v>31</v>
      </c>
      <c r="AB218" s="7" t="s">
        <v>32</v>
      </c>
      <c r="AC218" s="7" t="s">
        <v>33</v>
      </c>
      <c r="AD218" s="7" t="s">
        <v>34</v>
      </c>
      <c r="AE218" s="7" t="s">
        <v>35</v>
      </c>
      <c r="AF218" s="7" t="s">
        <v>36</v>
      </c>
      <c r="AG218" s="7" t="s">
        <v>37</v>
      </c>
      <c r="AH218" s="7" t="s">
        <v>38</v>
      </c>
      <c r="AI218" s="7" t="s">
        <v>39</v>
      </c>
      <c r="AJ218" s="11" t="s">
        <v>40</v>
      </c>
      <c r="AK218" s="12" t="s">
        <v>41</v>
      </c>
    </row>
    <row r="219" spans="1:37" x14ac:dyDescent="0.25">
      <c r="A219" s="13">
        <v>44734</v>
      </c>
      <c r="B219" s="14" t="s">
        <v>57</v>
      </c>
      <c r="C219" s="18" t="s">
        <v>1492</v>
      </c>
      <c r="D219" s="18" t="s">
        <v>1493</v>
      </c>
      <c r="E219" s="18" t="s">
        <v>1494</v>
      </c>
      <c r="F219" s="15">
        <v>9167246777</v>
      </c>
      <c r="G219" s="15" t="s">
        <v>1495</v>
      </c>
      <c r="H219" s="14" t="s">
        <v>1496</v>
      </c>
      <c r="I219" s="17" t="s">
        <v>1497</v>
      </c>
      <c r="J219" s="18" t="s">
        <v>1498</v>
      </c>
      <c r="K219" s="15" t="s">
        <v>420</v>
      </c>
      <c r="L219" s="14" t="s">
        <v>421</v>
      </c>
      <c r="M219" s="23" t="s">
        <v>66</v>
      </c>
      <c r="N219" s="42" t="s">
        <v>67</v>
      </c>
      <c r="O219" s="121" t="s">
        <v>68</v>
      </c>
      <c r="P219" s="15">
        <v>8994</v>
      </c>
      <c r="Q219" s="122">
        <v>17989</v>
      </c>
      <c r="R219" s="15">
        <v>0</v>
      </c>
      <c r="S219" s="15">
        <v>0</v>
      </c>
      <c r="T219" s="15">
        <v>4870</v>
      </c>
      <c r="U219" s="15">
        <v>500</v>
      </c>
      <c r="V219" s="15">
        <v>2995</v>
      </c>
      <c r="W219" s="19">
        <v>4870</v>
      </c>
      <c r="X219" s="20">
        <v>0</v>
      </c>
      <c r="Y219" s="20">
        <v>0</v>
      </c>
      <c r="Z219" s="20">
        <v>3495</v>
      </c>
      <c r="AA219" s="21">
        <v>3495</v>
      </c>
      <c r="AB219" s="57">
        <f>3495*18/100/2</f>
        <v>314.55</v>
      </c>
      <c r="AC219" s="57">
        <f>3495*18/100/2</f>
        <v>314.55</v>
      </c>
      <c r="AD219" s="57">
        <v>0</v>
      </c>
      <c r="AE219" s="58">
        <f>629-AC219-AB219</f>
        <v>-0.10000000000002274</v>
      </c>
      <c r="AF219" s="18" t="s">
        <v>1492</v>
      </c>
      <c r="AG219" s="123" t="s">
        <v>1499</v>
      </c>
      <c r="AH219" s="124" t="s">
        <v>1500</v>
      </c>
      <c r="AI219" s="24" t="s">
        <v>55</v>
      </c>
      <c r="AJ219" s="23"/>
      <c r="AK219" s="41" t="s">
        <v>413</v>
      </c>
    </row>
    <row r="220" spans="1:37" x14ac:dyDescent="0.25">
      <c r="A220" s="13">
        <v>44734</v>
      </c>
      <c r="B220" s="14" t="s">
        <v>752</v>
      </c>
      <c r="C220" s="18" t="s">
        <v>1501</v>
      </c>
      <c r="D220" s="18" t="s">
        <v>1502</v>
      </c>
      <c r="E220" s="18" t="s">
        <v>1494</v>
      </c>
      <c r="F220" s="15">
        <v>9167246777</v>
      </c>
      <c r="G220" s="15" t="s">
        <v>1503</v>
      </c>
      <c r="H220" s="14" t="s">
        <v>1504</v>
      </c>
      <c r="I220" s="17" t="s">
        <v>1505</v>
      </c>
      <c r="J220" s="18" t="s">
        <v>1506</v>
      </c>
      <c r="K220" s="15" t="s">
        <v>420</v>
      </c>
      <c r="L220" s="14" t="s">
        <v>421</v>
      </c>
      <c r="M220" s="23" t="s">
        <v>66</v>
      </c>
      <c r="N220" s="42" t="s">
        <v>67</v>
      </c>
      <c r="O220" s="121"/>
      <c r="P220" s="15">
        <v>8995</v>
      </c>
      <c r="Q220" s="122"/>
      <c r="R220" s="15">
        <v>0</v>
      </c>
      <c r="S220" s="15">
        <v>0</v>
      </c>
      <c r="T220" s="15">
        <v>4870</v>
      </c>
      <c r="U220" s="15">
        <v>500</v>
      </c>
      <c r="V220" s="15">
        <v>2996</v>
      </c>
      <c r="W220" s="19">
        <v>4870</v>
      </c>
      <c r="X220" s="20">
        <v>0</v>
      </c>
      <c r="Y220" s="20">
        <v>0</v>
      </c>
      <c r="Z220" s="20">
        <v>3496</v>
      </c>
      <c r="AA220" s="21">
        <v>3496</v>
      </c>
      <c r="AB220" s="57">
        <f>3496*18/100/2</f>
        <v>314.64</v>
      </c>
      <c r="AC220" s="57">
        <f>3496*18/100/2</f>
        <v>314.64</v>
      </c>
      <c r="AD220" s="57">
        <v>0</v>
      </c>
      <c r="AE220" s="58">
        <f>629-AB220-AC220</f>
        <v>-0.27999999999997272</v>
      </c>
      <c r="AF220" s="18" t="s">
        <v>1501</v>
      </c>
      <c r="AG220" s="123"/>
      <c r="AH220" s="125"/>
      <c r="AI220" s="24" t="s">
        <v>55</v>
      </c>
      <c r="AJ220" s="23"/>
      <c r="AK220" s="41" t="s">
        <v>413</v>
      </c>
    </row>
    <row r="221" spans="1:37" x14ac:dyDescent="0.25">
      <c r="A221" s="13">
        <v>44734</v>
      </c>
      <c r="B221" s="14" t="s">
        <v>1507</v>
      </c>
      <c r="C221" s="18" t="s">
        <v>1508</v>
      </c>
      <c r="D221" s="18" t="s">
        <v>1508</v>
      </c>
      <c r="E221" s="18" t="s">
        <v>1509</v>
      </c>
      <c r="F221" s="15">
        <v>9041799938</v>
      </c>
      <c r="G221" s="15" t="s">
        <v>1510</v>
      </c>
      <c r="H221" s="14" t="s">
        <v>46</v>
      </c>
      <c r="I221" s="17" t="s">
        <v>1511</v>
      </c>
      <c r="J221" s="18" t="s">
        <v>1512</v>
      </c>
      <c r="K221" s="15" t="s">
        <v>652</v>
      </c>
      <c r="L221" s="14" t="s">
        <v>1513</v>
      </c>
      <c r="M221" s="42" t="s">
        <v>1514</v>
      </c>
      <c r="N221" s="42" t="s">
        <v>297</v>
      </c>
      <c r="O221" s="14" t="s">
        <v>68</v>
      </c>
      <c r="P221" s="15">
        <v>8900</v>
      </c>
      <c r="Q221" s="15">
        <v>4870</v>
      </c>
      <c r="R221" s="15">
        <v>4030</v>
      </c>
      <c r="S221" s="15">
        <v>0</v>
      </c>
      <c r="T221" s="15">
        <v>4870</v>
      </c>
      <c r="U221" s="15">
        <v>500</v>
      </c>
      <c r="V221" s="15">
        <v>2915</v>
      </c>
      <c r="W221" s="19">
        <v>4870</v>
      </c>
      <c r="X221" s="20">
        <v>0</v>
      </c>
      <c r="Y221" s="20">
        <v>0</v>
      </c>
      <c r="Z221" s="20">
        <v>3415</v>
      </c>
      <c r="AA221" s="21">
        <v>3415</v>
      </c>
      <c r="AB221" s="57">
        <v>0</v>
      </c>
      <c r="AC221" s="57">
        <v>0</v>
      </c>
      <c r="AD221" s="57">
        <f>3415*18/100</f>
        <v>614.70000000000005</v>
      </c>
      <c r="AE221" s="58">
        <f>615-AD221</f>
        <v>0.29999999999995453</v>
      </c>
      <c r="AF221" s="18" t="s">
        <v>1508</v>
      </c>
      <c r="AG221" s="58" t="s">
        <v>1515</v>
      </c>
      <c r="AH221" s="18" t="s">
        <v>1516</v>
      </c>
      <c r="AI221" s="24" t="s">
        <v>55</v>
      </c>
      <c r="AJ221" s="23"/>
      <c r="AK221" s="41" t="s">
        <v>413</v>
      </c>
    </row>
    <row r="222" spans="1:37" x14ac:dyDescent="0.25">
      <c r="A222" s="13">
        <v>44734</v>
      </c>
      <c r="B222" s="14" t="s">
        <v>1517</v>
      </c>
      <c r="C222" s="18" t="s">
        <v>1518</v>
      </c>
      <c r="D222" s="18" t="s">
        <v>46</v>
      </c>
      <c r="E222" s="18" t="s">
        <v>1519</v>
      </c>
      <c r="F222" s="15">
        <v>9099023786</v>
      </c>
      <c r="G222" s="15" t="s">
        <v>1520</v>
      </c>
      <c r="H222" s="14" t="s">
        <v>1521</v>
      </c>
      <c r="I222" s="17" t="s">
        <v>1522</v>
      </c>
      <c r="J222" s="18" t="s">
        <v>1523</v>
      </c>
      <c r="K222" s="15" t="s">
        <v>1524</v>
      </c>
      <c r="L222" s="14" t="s">
        <v>1525</v>
      </c>
      <c r="M222" s="24" t="s">
        <v>186</v>
      </c>
      <c r="N222" s="23" t="s">
        <v>187</v>
      </c>
      <c r="O222" s="14" t="s">
        <v>68</v>
      </c>
      <c r="P222" s="15">
        <v>1200</v>
      </c>
      <c r="Q222" s="15">
        <v>1200</v>
      </c>
      <c r="R222" s="15">
        <v>0</v>
      </c>
      <c r="S222" s="15">
        <v>0</v>
      </c>
      <c r="T222" s="15">
        <v>0</v>
      </c>
      <c r="U222" s="15">
        <v>0</v>
      </c>
      <c r="V222" s="15">
        <v>1017</v>
      </c>
      <c r="W222" s="19">
        <v>0</v>
      </c>
      <c r="X222" s="20">
        <v>0</v>
      </c>
      <c r="Y222" s="20">
        <v>0</v>
      </c>
      <c r="Z222" s="20">
        <v>1017</v>
      </c>
      <c r="AA222" s="21">
        <v>1017</v>
      </c>
      <c r="AB222" s="57">
        <v>0</v>
      </c>
      <c r="AC222" s="57">
        <v>0</v>
      </c>
      <c r="AD222" s="57">
        <f>1017*18/100</f>
        <v>183.06</v>
      </c>
      <c r="AE222" s="58">
        <f>183-AD222</f>
        <v>-6.0000000000002274E-2</v>
      </c>
      <c r="AF222" s="18" t="s">
        <v>1518</v>
      </c>
      <c r="AG222" s="58"/>
      <c r="AH222" s="18" t="s">
        <v>1526</v>
      </c>
      <c r="AI222" s="24" t="s">
        <v>55</v>
      </c>
      <c r="AJ222" s="23"/>
      <c r="AK222" s="25" t="s">
        <v>46</v>
      </c>
    </row>
    <row r="223" spans="1:37" x14ac:dyDescent="0.25">
      <c r="A223" s="13">
        <v>44734</v>
      </c>
      <c r="B223" s="24" t="s">
        <v>1527</v>
      </c>
      <c r="C223" s="18" t="s">
        <v>1528</v>
      </c>
      <c r="D223" s="18" t="s">
        <v>1529</v>
      </c>
      <c r="E223" s="18" t="s">
        <v>1530</v>
      </c>
      <c r="F223" s="15">
        <v>9676666652</v>
      </c>
      <c r="G223" s="15" t="s">
        <v>1531</v>
      </c>
      <c r="H223" s="14" t="s">
        <v>1532</v>
      </c>
      <c r="I223" s="17" t="s">
        <v>1533</v>
      </c>
      <c r="J223" s="18" t="s">
        <v>1534</v>
      </c>
      <c r="K223" s="15" t="s">
        <v>116</v>
      </c>
      <c r="L223" s="14" t="s">
        <v>741</v>
      </c>
      <c r="M223" s="24" t="s">
        <v>694</v>
      </c>
      <c r="N223" s="23" t="s">
        <v>868</v>
      </c>
      <c r="O223" s="14" t="s">
        <v>68</v>
      </c>
      <c r="P223" s="15">
        <v>43466</v>
      </c>
      <c r="Q223" s="15">
        <v>43466</v>
      </c>
      <c r="R223" s="15">
        <v>0</v>
      </c>
      <c r="S223" s="15">
        <v>0</v>
      </c>
      <c r="T223" s="15">
        <v>0</v>
      </c>
      <c r="U223" s="15">
        <v>9000</v>
      </c>
      <c r="V223" s="15">
        <v>27835</v>
      </c>
      <c r="W223" s="19">
        <v>0</v>
      </c>
      <c r="X223" s="20">
        <v>0</v>
      </c>
      <c r="Y223" s="20">
        <v>0</v>
      </c>
      <c r="Z223" s="20">
        <v>36835</v>
      </c>
      <c r="AA223" s="21">
        <v>36835</v>
      </c>
      <c r="AB223" s="57">
        <v>0</v>
      </c>
      <c r="AC223" s="57">
        <v>0</v>
      </c>
      <c r="AD223" s="57">
        <f>36835*18/100</f>
        <v>6630.3</v>
      </c>
      <c r="AE223" s="58">
        <f>6631-AD223</f>
        <v>0.6999999999998181</v>
      </c>
      <c r="AF223" s="18" t="s">
        <v>1528</v>
      </c>
      <c r="AG223" s="58"/>
      <c r="AH223" s="18" t="s">
        <v>1535</v>
      </c>
      <c r="AI223" s="24" t="s">
        <v>55</v>
      </c>
      <c r="AJ223" s="23"/>
      <c r="AK223" s="70" t="s">
        <v>1536</v>
      </c>
    </row>
    <row r="224" spans="1:37" x14ac:dyDescent="0.25">
      <c r="A224" s="13">
        <v>44734</v>
      </c>
      <c r="B224" s="23" t="s">
        <v>1537</v>
      </c>
      <c r="C224" s="18" t="s">
        <v>1538</v>
      </c>
      <c r="D224" s="18" t="s">
        <v>1538</v>
      </c>
      <c r="E224" s="18" t="s">
        <v>1539</v>
      </c>
      <c r="F224" s="15">
        <v>8238897505</v>
      </c>
      <c r="G224" s="15" t="s">
        <v>1540</v>
      </c>
      <c r="H224" s="23" t="s">
        <v>1541</v>
      </c>
      <c r="I224" s="17" t="s">
        <v>1542</v>
      </c>
      <c r="J224" s="18" t="s">
        <v>1543</v>
      </c>
      <c r="K224" s="15" t="s">
        <v>116</v>
      </c>
      <c r="L224" s="14" t="s">
        <v>1424</v>
      </c>
      <c r="M224" s="24" t="s">
        <v>1544</v>
      </c>
      <c r="N224" s="42" t="s">
        <v>1545</v>
      </c>
      <c r="O224" s="14" t="s">
        <v>68</v>
      </c>
      <c r="P224" s="15">
        <v>15540</v>
      </c>
      <c r="Q224" s="15">
        <v>15540</v>
      </c>
      <c r="R224" s="15">
        <v>0</v>
      </c>
      <c r="S224" s="15">
        <v>0</v>
      </c>
      <c r="T224" s="15">
        <v>1000</v>
      </c>
      <c r="U224" s="15">
        <v>2000</v>
      </c>
      <c r="V224" s="15">
        <v>10322</v>
      </c>
      <c r="W224" s="19">
        <v>1000</v>
      </c>
      <c r="X224" s="20">
        <v>0</v>
      </c>
      <c r="Y224" s="20">
        <v>0</v>
      </c>
      <c r="Z224" s="20">
        <v>12322</v>
      </c>
      <c r="AA224" s="21">
        <v>12322</v>
      </c>
      <c r="AB224" s="57">
        <v>0</v>
      </c>
      <c r="AC224" s="57">
        <v>0</v>
      </c>
      <c r="AD224" s="57">
        <f>12322*18/100</f>
        <v>2217.96</v>
      </c>
      <c r="AE224" s="58">
        <f>2218-AD224</f>
        <v>3.999999999996362E-2</v>
      </c>
      <c r="AF224" s="18" t="s">
        <v>1538</v>
      </c>
      <c r="AG224" s="58"/>
      <c r="AH224" s="18" t="s">
        <v>1546</v>
      </c>
      <c r="AI224" s="24" t="s">
        <v>55</v>
      </c>
      <c r="AJ224" s="23"/>
      <c r="AK224" s="71" t="s">
        <v>1547</v>
      </c>
    </row>
    <row r="225" spans="1:37" x14ac:dyDescent="0.25">
      <c r="A225" s="13">
        <v>44734</v>
      </c>
      <c r="B225" s="24" t="s">
        <v>1548</v>
      </c>
      <c r="C225" s="18" t="s">
        <v>1549</v>
      </c>
      <c r="D225" s="18" t="s">
        <v>1550</v>
      </c>
      <c r="E225" s="18" t="s">
        <v>1549</v>
      </c>
      <c r="F225" s="15">
        <v>7208140007</v>
      </c>
      <c r="G225" s="14" t="s">
        <v>1551</v>
      </c>
      <c r="H225" s="14" t="s">
        <v>46</v>
      </c>
      <c r="I225" s="17" t="s">
        <v>1552</v>
      </c>
      <c r="J225" s="18" t="s">
        <v>1553</v>
      </c>
      <c r="K225" s="15" t="s">
        <v>116</v>
      </c>
      <c r="L225" s="14" t="s">
        <v>1424</v>
      </c>
      <c r="M225" s="23" t="s">
        <v>80</v>
      </c>
      <c r="N225" s="42" t="s">
        <v>67</v>
      </c>
      <c r="O225" s="14" t="s">
        <v>68</v>
      </c>
      <c r="P225" s="15">
        <v>32980</v>
      </c>
      <c r="Q225" s="15">
        <v>25000</v>
      </c>
      <c r="R225" s="15">
        <v>7980</v>
      </c>
      <c r="S225" s="15">
        <v>0</v>
      </c>
      <c r="T225" s="15">
        <v>20370</v>
      </c>
      <c r="U225" s="15">
        <v>0</v>
      </c>
      <c r="V225" s="15">
        <v>10686</v>
      </c>
      <c r="W225" s="19">
        <v>20370</v>
      </c>
      <c r="X225" s="20">
        <v>0</v>
      </c>
      <c r="Y225" s="20">
        <v>0</v>
      </c>
      <c r="Z225" s="20">
        <v>10686</v>
      </c>
      <c r="AA225" s="21">
        <v>10686</v>
      </c>
      <c r="AB225" s="57">
        <f>10686*18/100/2</f>
        <v>961.74</v>
      </c>
      <c r="AC225" s="57">
        <f>10686*18/100/2</f>
        <v>961.74</v>
      </c>
      <c r="AD225" s="57">
        <v>0</v>
      </c>
      <c r="AE225" s="58">
        <f>1924-AC225-AB225</f>
        <v>0.51999999999998181</v>
      </c>
      <c r="AF225" s="18" t="s">
        <v>1549</v>
      </c>
      <c r="AG225" s="58" t="s">
        <v>1554</v>
      </c>
      <c r="AH225" s="18" t="s">
        <v>1555</v>
      </c>
      <c r="AI225" s="24" t="s">
        <v>55</v>
      </c>
      <c r="AJ225" s="23"/>
      <c r="AK225" s="25" t="s">
        <v>1556</v>
      </c>
    </row>
    <row r="226" spans="1:37" x14ac:dyDescent="0.25">
      <c r="A226" s="13">
        <v>44734</v>
      </c>
      <c r="B226" s="23" t="s">
        <v>1557</v>
      </c>
      <c r="C226" s="18" t="s">
        <v>1558</v>
      </c>
      <c r="D226" s="18" t="s">
        <v>1559</v>
      </c>
      <c r="E226" s="18" t="s">
        <v>1560</v>
      </c>
      <c r="F226" s="15">
        <v>8390950220</v>
      </c>
      <c r="G226" s="15" t="s">
        <v>1561</v>
      </c>
      <c r="H226" s="14" t="s">
        <v>46</v>
      </c>
      <c r="I226" s="17" t="s">
        <v>1562</v>
      </c>
      <c r="J226" s="18" t="s">
        <v>1563</v>
      </c>
      <c r="K226" s="15" t="s">
        <v>196</v>
      </c>
      <c r="L226" s="14" t="s">
        <v>489</v>
      </c>
      <c r="M226" s="23" t="s">
        <v>80</v>
      </c>
      <c r="N226" s="42" t="s">
        <v>67</v>
      </c>
      <c r="O226" s="14" t="s">
        <v>68</v>
      </c>
      <c r="P226" s="15">
        <v>8500</v>
      </c>
      <c r="Q226" s="15">
        <v>8000</v>
      </c>
      <c r="R226" s="15">
        <v>500</v>
      </c>
      <c r="S226" s="15">
        <v>0</v>
      </c>
      <c r="T226" s="15">
        <v>4870</v>
      </c>
      <c r="U226" s="15">
        <v>250</v>
      </c>
      <c r="V226" s="15">
        <v>2826</v>
      </c>
      <c r="W226" s="19">
        <v>4870</v>
      </c>
      <c r="X226" s="20">
        <v>1000</v>
      </c>
      <c r="Y226" s="20">
        <v>0</v>
      </c>
      <c r="Z226" s="20">
        <v>2076</v>
      </c>
      <c r="AA226" s="21">
        <v>3076</v>
      </c>
      <c r="AB226" s="57">
        <f>3076*18/100/2</f>
        <v>276.83999999999997</v>
      </c>
      <c r="AC226" s="57">
        <f>3076*18/100/2</f>
        <v>276.83999999999997</v>
      </c>
      <c r="AD226" s="57">
        <v>0</v>
      </c>
      <c r="AE226" s="58">
        <f>554-AB226-AC226</f>
        <v>0.32000000000005002</v>
      </c>
      <c r="AF226" s="18" t="s">
        <v>1564</v>
      </c>
      <c r="AG226" s="58"/>
      <c r="AH226" s="18" t="s">
        <v>1565</v>
      </c>
      <c r="AI226" s="24" t="s">
        <v>55</v>
      </c>
      <c r="AJ226" s="23"/>
      <c r="AK226" s="25" t="s">
        <v>1566</v>
      </c>
    </row>
    <row r="227" spans="1:37" x14ac:dyDescent="0.25">
      <c r="A227" s="13">
        <v>44734</v>
      </c>
      <c r="B227" s="24" t="s">
        <v>57</v>
      </c>
      <c r="C227" s="18" t="s">
        <v>1567</v>
      </c>
      <c r="D227" s="18" t="s">
        <v>1568</v>
      </c>
      <c r="E227" s="18" t="s">
        <v>1569</v>
      </c>
      <c r="F227" s="15">
        <v>7715085700</v>
      </c>
      <c r="G227" s="15" t="s">
        <v>1570</v>
      </c>
      <c r="H227" s="23" t="s">
        <v>1571</v>
      </c>
      <c r="I227" s="17" t="s">
        <v>1572</v>
      </c>
      <c r="J227" s="18" t="s">
        <v>1573</v>
      </c>
      <c r="K227" s="15" t="s">
        <v>255</v>
      </c>
      <c r="L227" s="14" t="s">
        <v>1574</v>
      </c>
      <c r="M227" s="23" t="s">
        <v>80</v>
      </c>
      <c r="N227" s="42" t="s">
        <v>67</v>
      </c>
      <c r="O227" s="14" t="s">
        <v>68</v>
      </c>
      <c r="P227" s="15">
        <v>10950</v>
      </c>
      <c r="Q227" s="15">
        <v>5950</v>
      </c>
      <c r="R227" s="15">
        <v>5000</v>
      </c>
      <c r="S227" s="15">
        <v>0</v>
      </c>
      <c r="T227" s="15">
        <v>4870</v>
      </c>
      <c r="U227" s="15">
        <v>500</v>
      </c>
      <c r="V227" s="15">
        <v>4653</v>
      </c>
      <c r="W227" s="19">
        <v>4870</v>
      </c>
      <c r="X227" s="20">
        <v>1000</v>
      </c>
      <c r="Y227" s="20">
        <v>0</v>
      </c>
      <c r="Z227" s="20">
        <v>4153</v>
      </c>
      <c r="AA227" s="21">
        <v>5153</v>
      </c>
      <c r="AB227" s="57">
        <f>5153*18/100/2</f>
        <v>463.77</v>
      </c>
      <c r="AC227" s="57">
        <f>5153*18/100/2</f>
        <v>463.77</v>
      </c>
      <c r="AD227" s="57">
        <v>0</v>
      </c>
      <c r="AE227" s="57">
        <f>927-AC227-AB227</f>
        <v>-0.53999999999996362</v>
      </c>
      <c r="AF227" s="18" t="s">
        <v>1567</v>
      </c>
      <c r="AG227" s="58"/>
      <c r="AH227" s="18" t="s">
        <v>1575</v>
      </c>
      <c r="AI227" s="24" t="s">
        <v>55</v>
      </c>
      <c r="AJ227" s="23"/>
      <c r="AK227" s="41" t="s">
        <v>413</v>
      </c>
    </row>
    <row r="228" spans="1:37" x14ac:dyDescent="0.25">
      <c r="A228" s="13">
        <v>44734</v>
      </c>
      <c r="B228" s="23" t="s">
        <v>1576</v>
      </c>
      <c r="C228" s="18" t="s">
        <v>1577</v>
      </c>
      <c r="D228" s="18" t="s">
        <v>1578</v>
      </c>
      <c r="E228" s="18" t="s">
        <v>1579</v>
      </c>
      <c r="F228" s="15">
        <v>9867770074</v>
      </c>
      <c r="G228" s="15" t="s">
        <v>1580</v>
      </c>
      <c r="H228" s="14" t="s">
        <v>1581</v>
      </c>
      <c r="I228" s="17" t="s">
        <v>1582</v>
      </c>
      <c r="J228" s="18" t="s">
        <v>1583</v>
      </c>
      <c r="K228" s="15" t="s">
        <v>78</v>
      </c>
      <c r="L228" s="14" t="s">
        <v>1584</v>
      </c>
      <c r="M228" s="23" t="s">
        <v>80</v>
      </c>
      <c r="N228" s="42" t="s">
        <v>67</v>
      </c>
      <c r="O228" s="14" t="s">
        <v>68</v>
      </c>
      <c r="P228" s="15">
        <v>9590</v>
      </c>
      <c r="Q228" s="15">
        <v>9590</v>
      </c>
      <c r="R228" s="15">
        <v>0</v>
      </c>
      <c r="S228" s="15">
        <v>0</v>
      </c>
      <c r="T228" s="15">
        <v>4870</v>
      </c>
      <c r="U228" s="15">
        <v>500</v>
      </c>
      <c r="V228" s="15">
        <v>3500</v>
      </c>
      <c r="W228" s="19">
        <v>4870</v>
      </c>
      <c r="X228" s="20">
        <v>0</v>
      </c>
      <c r="Y228" s="20">
        <v>0</v>
      </c>
      <c r="Z228" s="20">
        <v>4000</v>
      </c>
      <c r="AA228" s="21">
        <v>4000</v>
      </c>
      <c r="AB228" s="57">
        <f>4000*18/100/2</f>
        <v>360</v>
      </c>
      <c r="AC228" s="57">
        <f>4000*18/100/2</f>
        <v>360</v>
      </c>
      <c r="AD228" s="57">
        <v>0</v>
      </c>
      <c r="AE228" s="58">
        <v>0</v>
      </c>
      <c r="AF228" s="18" t="s">
        <v>1577</v>
      </c>
      <c r="AG228" s="58"/>
      <c r="AH228" s="18" t="s">
        <v>1585</v>
      </c>
      <c r="AI228" s="24" t="s">
        <v>55</v>
      </c>
      <c r="AJ228" s="23"/>
      <c r="AK228" s="41" t="s">
        <v>413</v>
      </c>
    </row>
    <row r="229" spans="1:37" x14ac:dyDescent="0.25">
      <c r="A229" s="13">
        <v>44734</v>
      </c>
      <c r="B229" s="23" t="s">
        <v>1586</v>
      </c>
      <c r="C229" s="18" t="s">
        <v>1587</v>
      </c>
      <c r="D229" s="18" t="s">
        <v>46</v>
      </c>
      <c r="E229" s="18" t="s">
        <v>1588</v>
      </c>
      <c r="F229" s="15">
        <v>9323240562</v>
      </c>
      <c r="G229" s="15" t="s">
        <v>1589</v>
      </c>
      <c r="H229" s="23" t="s">
        <v>46</v>
      </c>
      <c r="I229" s="17" t="s">
        <v>1590</v>
      </c>
      <c r="J229" s="18" t="s">
        <v>1591</v>
      </c>
      <c r="K229" s="15" t="s">
        <v>1524</v>
      </c>
      <c r="L229" s="14" t="s">
        <v>1592</v>
      </c>
      <c r="M229" s="23" t="s">
        <v>80</v>
      </c>
      <c r="N229" s="42" t="s">
        <v>67</v>
      </c>
      <c r="O229" s="14" t="s">
        <v>68</v>
      </c>
      <c r="P229" s="15">
        <v>2000</v>
      </c>
      <c r="Q229" s="15">
        <v>2000</v>
      </c>
      <c r="R229" s="15">
        <v>0</v>
      </c>
      <c r="S229" s="15">
        <v>0</v>
      </c>
      <c r="T229" s="15">
        <v>200</v>
      </c>
      <c r="U229" s="15">
        <v>0</v>
      </c>
      <c r="V229" s="15">
        <v>1525</v>
      </c>
      <c r="W229" s="19">
        <v>200</v>
      </c>
      <c r="X229" s="20">
        <v>0</v>
      </c>
      <c r="Y229" s="20">
        <v>0</v>
      </c>
      <c r="Z229" s="20">
        <v>1525</v>
      </c>
      <c r="AA229" s="21">
        <v>1525</v>
      </c>
      <c r="AB229" s="57">
        <f>1525*18/100/2</f>
        <v>137.25</v>
      </c>
      <c r="AC229" s="57">
        <f>1525*18/100/2</f>
        <v>137.25</v>
      </c>
      <c r="AD229" s="57">
        <v>0</v>
      </c>
      <c r="AE229" s="58">
        <f>275-AC229-AB229</f>
        <v>0.5</v>
      </c>
      <c r="AF229" s="18" t="s">
        <v>1587</v>
      </c>
      <c r="AG229" s="58"/>
      <c r="AH229" s="18" t="s">
        <v>1593</v>
      </c>
      <c r="AI229" s="24" t="s">
        <v>55</v>
      </c>
      <c r="AJ229" s="23"/>
      <c r="AK229" s="25" t="s">
        <v>1594</v>
      </c>
    </row>
    <row r="230" spans="1:37" ht="15.75" thickBot="1" x14ac:dyDescent="0.3">
      <c r="A230" s="107" t="s">
        <v>137</v>
      </c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32">
        <f t="shared" ref="P230:AE230" si="17">SUM(P219:P229)</f>
        <v>151115</v>
      </c>
      <c r="Q230" s="32">
        <f t="shared" si="17"/>
        <v>133605</v>
      </c>
      <c r="R230" s="32">
        <f t="shared" si="17"/>
        <v>17510</v>
      </c>
      <c r="S230" s="32">
        <f t="shared" si="17"/>
        <v>0</v>
      </c>
      <c r="T230" s="32">
        <f t="shared" si="17"/>
        <v>50790</v>
      </c>
      <c r="U230" s="32">
        <f t="shared" si="17"/>
        <v>13750</v>
      </c>
      <c r="V230" s="32">
        <f t="shared" si="17"/>
        <v>71270</v>
      </c>
      <c r="W230" s="33">
        <f t="shared" si="17"/>
        <v>50790</v>
      </c>
      <c r="X230" s="34">
        <f t="shared" si="17"/>
        <v>2000</v>
      </c>
      <c r="Y230" s="34">
        <f t="shared" si="17"/>
        <v>0</v>
      </c>
      <c r="Z230" s="34">
        <f t="shared" si="17"/>
        <v>83020</v>
      </c>
      <c r="AA230" s="35">
        <f t="shared" si="17"/>
        <v>85020</v>
      </c>
      <c r="AB230" s="32">
        <f t="shared" si="17"/>
        <v>2828.79</v>
      </c>
      <c r="AC230" s="32">
        <f t="shared" si="17"/>
        <v>2828.79</v>
      </c>
      <c r="AD230" s="32">
        <f t="shared" si="17"/>
        <v>9646.02</v>
      </c>
      <c r="AE230" s="32">
        <f t="shared" si="17"/>
        <v>1.3999999999998067</v>
      </c>
      <c r="AF230" s="109"/>
      <c r="AG230" s="109"/>
      <c r="AH230" s="109"/>
      <c r="AI230" s="36"/>
      <c r="AJ230" s="37"/>
      <c r="AK230" s="38"/>
    </row>
    <row r="231" spans="1:37" ht="15.75" thickBot="1" x14ac:dyDescent="0.3"/>
    <row r="232" spans="1:37" x14ac:dyDescent="0.25">
      <c r="A232" s="112" t="s">
        <v>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4"/>
      <c r="X232" s="113" t="s">
        <v>1</v>
      </c>
      <c r="Y232" s="114"/>
      <c r="Z232" s="114"/>
      <c r="AA232" s="5" t="s">
        <v>225</v>
      </c>
      <c r="AB232" s="115" t="s">
        <v>3</v>
      </c>
      <c r="AC232" s="116"/>
      <c r="AD232" s="116"/>
      <c r="AE232" s="116"/>
      <c r="AF232" s="105" t="s">
        <v>4</v>
      </c>
      <c r="AG232" s="105"/>
      <c r="AH232" s="105"/>
      <c r="AI232" s="105" t="s">
        <v>5</v>
      </c>
      <c r="AJ232" s="105"/>
      <c r="AK232" s="106"/>
    </row>
    <row r="233" spans="1:37" x14ac:dyDescent="0.25">
      <c r="A233" s="6" t="s">
        <v>6</v>
      </c>
      <c r="B233" s="7" t="s">
        <v>7</v>
      </c>
      <c r="C233" s="7" t="s">
        <v>8</v>
      </c>
      <c r="D233" s="7" t="s">
        <v>9</v>
      </c>
      <c r="E233" s="7" t="s">
        <v>10</v>
      </c>
      <c r="F233" s="7" t="s">
        <v>11</v>
      </c>
      <c r="G233" s="7" t="s">
        <v>12</v>
      </c>
      <c r="H233" s="7" t="s">
        <v>13</v>
      </c>
      <c r="I233" s="7" t="s">
        <v>14</v>
      </c>
      <c r="J233" s="7" t="s">
        <v>15</v>
      </c>
      <c r="K233" s="7" t="s">
        <v>16</v>
      </c>
      <c r="L233" s="7" t="s">
        <v>17</v>
      </c>
      <c r="M233" s="7" t="s">
        <v>18</v>
      </c>
      <c r="N233" s="7" t="s">
        <v>19</v>
      </c>
      <c r="O233" s="7" t="s">
        <v>20</v>
      </c>
      <c r="P233" s="7" t="s">
        <v>21</v>
      </c>
      <c r="Q233" s="7" t="s">
        <v>22</v>
      </c>
      <c r="R233" s="7" t="s">
        <v>23</v>
      </c>
      <c r="S233" s="7" t="s">
        <v>24</v>
      </c>
      <c r="T233" s="7" t="s">
        <v>25</v>
      </c>
      <c r="U233" s="7" t="s">
        <v>26</v>
      </c>
      <c r="V233" s="7" t="s">
        <v>27</v>
      </c>
      <c r="W233" s="8" t="s">
        <v>25</v>
      </c>
      <c r="X233" s="9" t="s">
        <v>28</v>
      </c>
      <c r="Y233" s="9" t="s">
        <v>29</v>
      </c>
      <c r="Z233" s="9" t="s">
        <v>30</v>
      </c>
      <c r="AA233" s="10" t="s">
        <v>31</v>
      </c>
      <c r="AB233" s="7" t="s">
        <v>32</v>
      </c>
      <c r="AC233" s="7" t="s">
        <v>33</v>
      </c>
      <c r="AD233" s="7" t="s">
        <v>34</v>
      </c>
      <c r="AE233" s="7" t="s">
        <v>35</v>
      </c>
      <c r="AF233" s="7" t="s">
        <v>36</v>
      </c>
      <c r="AG233" s="7" t="s">
        <v>37</v>
      </c>
      <c r="AH233" s="7" t="s">
        <v>38</v>
      </c>
      <c r="AI233" s="7" t="s">
        <v>39</v>
      </c>
      <c r="AJ233" s="11" t="s">
        <v>40</v>
      </c>
      <c r="AK233" s="12" t="s">
        <v>41</v>
      </c>
    </row>
    <row r="234" spans="1:37" x14ac:dyDescent="0.25">
      <c r="A234" s="13">
        <v>44735</v>
      </c>
      <c r="B234" s="14" t="s">
        <v>1475</v>
      </c>
      <c r="C234" s="18" t="s">
        <v>1595</v>
      </c>
      <c r="D234" s="18" t="s">
        <v>1596</v>
      </c>
      <c r="E234" s="18" t="s">
        <v>1597</v>
      </c>
      <c r="F234" s="15">
        <v>9434040400</v>
      </c>
      <c r="G234" s="14" t="s">
        <v>1598</v>
      </c>
      <c r="H234" s="14" t="s">
        <v>46</v>
      </c>
      <c r="I234" s="17" t="s">
        <v>1599</v>
      </c>
      <c r="J234" s="18" t="s">
        <v>1600</v>
      </c>
      <c r="K234" s="15" t="s">
        <v>64</v>
      </c>
      <c r="L234" s="14" t="s">
        <v>1601</v>
      </c>
      <c r="M234" s="24" t="s">
        <v>1602</v>
      </c>
      <c r="N234" s="23" t="s">
        <v>935</v>
      </c>
      <c r="O234" s="14" t="s">
        <v>336</v>
      </c>
      <c r="P234" s="15">
        <v>12400</v>
      </c>
      <c r="Q234" s="15">
        <v>12400</v>
      </c>
      <c r="R234" s="15">
        <v>0</v>
      </c>
      <c r="S234" s="15">
        <v>0</v>
      </c>
      <c r="T234" s="15">
        <v>0</v>
      </c>
      <c r="U234" s="15">
        <v>4750</v>
      </c>
      <c r="V234" s="15">
        <v>7650</v>
      </c>
      <c r="W234" s="19">
        <v>0</v>
      </c>
      <c r="X234" s="20">
        <v>0</v>
      </c>
      <c r="Y234" s="20">
        <v>1500</v>
      </c>
      <c r="Z234" s="20">
        <v>10900</v>
      </c>
      <c r="AA234" s="21">
        <v>0</v>
      </c>
      <c r="AB234" s="57">
        <v>0</v>
      </c>
      <c r="AC234" s="57">
        <v>0</v>
      </c>
      <c r="AD234" s="57">
        <v>0</v>
      </c>
      <c r="AE234" s="57">
        <v>0</v>
      </c>
      <c r="AF234" s="18" t="s">
        <v>1595</v>
      </c>
      <c r="AG234" s="72"/>
      <c r="AH234" s="73" t="s">
        <v>1603</v>
      </c>
      <c r="AI234" s="24" t="s">
        <v>55</v>
      </c>
      <c r="AJ234" s="23"/>
      <c r="AK234" s="41" t="s">
        <v>1604</v>
      </c>
    </row>
    <row r="235" spans="1:37" x14ac:dyDescent="0.25">
      <c r="A235" s="13">
        <v>44735</v>
      </c>
      <c r="B235" s="23" t="s">
        <v>1605</v>
      </c>
      <c r="C235" s="18" t="s">
        <v>1606</v>
      </c>
      <c r="D235" s="18" t="s">
        <v>46</v>
      </c>
      <c r="E235" s="18" t="s">
        <v>1607</v>
      </c>
      <c r="F235" s="14">
        <v>9421454316</v>
      </c>
      <c r="G235" s="14" t="s">
        <v>1608</v>
      </c>
      <c r="H235" s="14" t="s">
        <v>1609</v>
      </c>
      <c r="I235" s="17" t="s">
        <v>1610</v>
      </c>
      <c r="J235" s="18" t="s">
        <v>1611</v>
      </c>
      <c r="K235" s="15" t="s">
        <v>116</v>
      </c>
      <c r="L235" s="14" t="s">
        <v>1424</v>
      </c>
      <c r="M235" s="23" t="s">
        <v>105</v>
      </c>
      <c r="N235" s="42" t="s">
        <v>67</v>
      </c>
      <c r="O235" s="14" t="s">
        <v>68</v>
      </c>
      <c r="P235" s="15">
        <v>25960</v>
      </c>
      <c r="Q235" s="15">
        <v>15000</v>
      </c>
      <c r="R235" s="15">
        <v>10960</v>
      </c>
      <c r="S235" s="15">
        <v>0</v>
      </c>
      <c r="T235" s="15">
        <v>0</v>
      </c>
      <c r="U235" s="15">
        <v>10000</v>
      </c>
      <c r="V235" s="15">
        <v>12000</v>
      </c>
      <c r="W235" s="19">
        <v>0</v>
      </c>
      <c r="X235" s="20">
        <v>0</v>
      </c>
      <c r="Y235" s="20">
        <v>22000</v>
      </c>
      <c r="Z235" s="20">
        <v>0</v>
      </c>
      <c r="AA235" s="21">
        <v>22000</v>
      </c>
      <c r="AB235" s="57">
        <f>22000*18/100/2</f>
        <v>1980</v>
      </c>
      <c r="AC235" s="57">
        <f>22000*18/100/2</f>
        <v>1980</v>
      </c>
      <c r="AD235" s="57">
        <v>0</v>
      </c>
      <c r="AE235" s="58">
        <v>0</v>
      </c>
      <c r="AF235" s="18" t="s">
        <v>1606</v>
      </c>
      <c r="AG235" s="72"/>
      <c r="AH235" s="73" t="s">
        <v>1612</v>
      </c>
      <c r="AI235" s="24" t="s">
        <v>55</v>
      </c>
      <c r="AJ235" s="23"/>
      <c r="AK235" s="25" t="s">
        <v>1613</v>
      </c>
    </row>
    <row r="236" spans="1:37" x14ac:dyDescent="0.25">
      <c r="A236" s="13">
        <v>44735</v>
      </c>
      <c r="B236" s="23" t="s">
        <v>350</v>
      </c>
      <c r="C236" s="18" t="s">
        <v>1614</v>
      </c>
      <c r="D236" s="18" t="s">
        <v>1615</v>
      </c>
      <c r="E236" s="18" t="s">
        <v>1616</v>
      </c>
      <c r="F236" s="15">
        <v>9004261601</v>
      </c>
      <c r="G236" s="15" t="s">
        <v>1617</v>
      </c>
      <c r="H236" s="14" t="s">
        <v>1618</v>
      </c>
      <c r="I236" s="17" t="s">
        <v>1619</v>
      </c>
      <c r="J236" s="18" t="s">
        <v>1620</v>
      </c>
      <c r="K236" s="15" t="s">
        <v>78</v>
      </c>
      <c r="L236" s="14" t="s">
        <v>1621</v>
      </c>
      <c r="M236" s="42" t="s">
        <v>80</v>
      </c>
      <c r="N236" s="42" t="s">
        <v>67</v>
      </c>
      <c r="O236" s="14" t="s">
        <v>53</v>
      </c>
      <c r="P236" s="15">
        <v>9590</v>
      </c>
      <c r="Q236" s="15">
        <v>9590</v>
      </c>
      <c r="R236" s="15">
        <v>0</v>
      </c>
      <c r="S236" s="15">
        <v>0</v>
      </c>
      <c r="T236" s="15">
        <v>4870</v>
      </c>
      <c r="U236" s="15">
        <v>500</v>
      </c>
      <c r="V236" s="15">
        <v>3500</v>
      </c>
      <c r="W236" s="19">
        <v>4870</v>
      </c>
      <c r="X236" s="20">
        <v>0</v>
      </c>
      <c r="Y236" s="20">
        <v>4000</v>
      </c>
      <c r="Z236" s="20">
        <v>0</v>
      </c>
      <c r="AA236" s="21">
        <v>4000</v>
      </c>
      <c r="AB236" s="57">
        <f>4000*18/100/2</f>
        <v>360</v>
      </c>
      <c r="AC236" s="57">
        <f>4000*18/100/2</f>
        <v>360</v>
      </c>
      <c r="AD236" s="57">
        <v>0</v>
      </c>
      <c r="AE236" s="58">
        <v>0</v>
      </c>
      <c r="AF236" s="18" t="s">
        <v>1614</v>
      </c>
      <c r="AG236" s="58"/>
      <c r="AH236" s="18" t="s">
        <v>1622</v>
      </c>
      <c r="AI236" s="24" t="s">
        <v>55</v>
      </c>
      <c r="AJ236" s="23"/>
      <c r="AK236" s="41" t="s">
        <v>360</v>
      </c>
    </row>
    <row r="237" spans="1:37" x14ac:dyDescent="0.25">
      <c r="A237" s="13">
        <v>44735</v>
      </c>
      <c r="B237" s="23" t="s">
        <v>269</v>
      </c>
      <c r="C237" s="18" t="s">
        <v>1623</v>
      </c>
      <c r="D237" s="18" t="s">
        <v>46</v>
      </c>
      <c r="E237" s="18" t="s">
        <v>1624</v>
      </c>
      <c r="F237" s="15">
        <v>7414941554</v>
      </c>
      <c r="G237" s="14" t="s">
        <v>1625</v>
      </c>
      <c r="H237" s="14" t="s">
        <v>46</v>
      </c>
      <c r="I237" s="17" t="s">
        <v>1626</v>
      </c>
      <c r="J237" s="18" t="s">
        <v>1627</v>
      </c>
      <c r="K237" s="14" t="s">
        <v>170</v>
      </c>
      <c r="L237" s="14" t="s">
        <v>1628</v>
      </c>
      <c r="M237" s="24" t="s">
        <v>1629</v>
      </c>
      <c r="N237" s="42" t="s">
        <v>67</v>
      </c>
      <c r="O237" s="14" t="s">
        <v>68</v>
      </c>
      <c r="P237" s="15">
        <v>3590</v>
      </c>
      <c r="Q237" s="15">
        <v>3590</v>
      </c>
      <c r="R237" s="15">
        <v>0</v>
      </c>
      <c r="S237" s="15">
        <v>0</v>
      </c>
      <c r="T237" s="15">
        <v>0</v>
      </c>
      <c r="U237" s="15">
        <v>590</v>
      </c>
      <c r="V237" s="15">
        <v>2452</v>
      </c>
      <c r="W237" s="19">
        <v>0</v>
      </c>
      <c r="X237" s="20">
        <v>0</v>
      </c>
      <c r="Y237" s="20">
        <v>0</v>
      </c>
      <c r="Z237" s="20">
        <v>3042</v>
      </c>
      <c r="AA237" s="21">
        <v>3042</v>
      </c>
      <c r="AB237" s="57">
        <f>3042*18/100/2</f>
        <v>273.77999999999997</v>
      </c>
      <c r="AC237" s="57">
        <f>3042*18/100/2</f>
        <v>273.77999999999997</v>
      </c>
      <c r="AD237" s="57">
        <v>0</v>
      </c>
      <c r="AE237" s="58">
        <f>548-AC237-AB237</f>
        <v>0.44000000000005457</v>
      </c>
      <c r="AF237" s="18" t="s">
        <v>1623</v>
      </c>
      <c r="AG237" s="58" t="s">
        <v>1630</v>
      </c>
      <c r="AH237" s="18" t="s">
        <v>1631</v>
      </c>
      <c r="AI237" s="24" t="s">
        <v>55</v>
      </c>
      <c r="AJ237" s="23"/>
      <c r="AK237" s="25" t="s">
        <v>56</v>
      </c>
    </row>
    <row r="238" spans="1:37" x14ac:dyDescent="0.25">
      <c r="A238" s="13">
        <v>44735</v>
      </c>
      <c r="B238" s="24" t="s">
        <v>1632</v>
      </c>
      <c r="C238" s="18" t="s">
        <v>1633</v>
      </c>
      <c r="D238" s="18" t="s">
        <v>46</v>
      </c>
      <c r="E238" s="18" t="s">
        <v>1634</v>
      </c>
      <c r="F238" s="15">
        <v>9323208112</v>
      </c>
      <c r="G238" s="15" t="s">
        <v>1635</v>
      </c>
      <c r="H238" s="14" t="s">
        <v>46</v>
      </c>
      <c r="I238" s="17" t="s">
        <v>1636</v>
      </c>
      <c r="J238" s="18" t="s">
        <v>1637</v>
      </c>
      <c r="K238" s="15" t="s">
        <v>116</v>
      </c>
      <c r="L238" s="14" t="s">
        <v>741</v>
      </c>
      <c r="M238" s="24" t="s">
        <v>80</v>
      </c>
      <c r="N238" s="42" t="s">
        <v>67</v>
      </c>
      <c r="O238" s="14" t="s">
        <v>1638</v>
      </c>
      <c r="P238" s="15">
        <v>25960</v>
      </c>
      <c r="Q238" s="15">
        <v>20000</v>
      </c>
      <c r="R238" s="15">
        <v>5960</v>
      </c>
      <c r="S238" s="15">
        <v>0</v>
      </c>
      <c r="T238" s="15">
        <v>0</v>
      </c>
      <c r="U238" s="15">
        <v>7000</v>
      </c>
      <c r="V238" s="15">
        <v>15000</v>
      </c>
      <c r="W238" s="19">
        <v>0</v>
      </c>
      <c r="X238" s="20">
        <v>0</v>
      </c>
      <c r="Y238" s="20">
        <v>0</v>
      </c>
      <c r="Z238" s="20">
        <v>22000</v>
      </c>
      <c r="AA238" s="21">
        <v>22000</v>
      </c>
      <c r="AB238" s="57">
        <f>22000*18/100/2</f>
        <v>1980</v>
      </c>
      <c r="AC238" s="57">
        <f>22000*18/100/2</f>
        <v>1980</v>
      </c>
      <c r="AD238" s="57">
        <v>0</v>
      </c>
      <c r="AE238" s="58">
        <v>0</v>
      </c>
      <c r="AF238" s="18" t="s">
        <v>1633</v>
      </c>
      <c r="AG238" s="58"/>
      <c r="AH238" s="18" t="s">
        <v>1639</v>
      </c>
      <c r="AI238" s="24" t="s">
        <v>55</v>
      </c>
      <c r="AJ238" s="23"/>
      <c r="AK238" s="74" t="s">
        <v>1640</v>
      </c>
    </row>
    <row r="239" spans="1:37" x14ac:dyDescent="0.25">
      <c r="A239" s="13">
        <v>44735</v>
      </c>
      <c r="B239" s="23" t="s">
        <v>125</v>
      </c>
      <c r="C239" s="24" t="s">
        <v>1641</v>
      </c>
      <c r="D239" s="30" t="s">
        <v>1642</v>
      </c>
      <c r="E239" s="24" t="s">
        <v>1643</v>
      </c>
      <c r="F239" s="28">
        <v>7500476313</v>
      </c>
      <c r="G239" s="29" t="s">
        <v>1644</v>
      </c>
      <c r="H239" s="24" t="s">
        <v>46</v>
      </c>
      <c r="I239" s="17" t="s">
        <v>1645</v>
      </c>
      <c r="J239" s="18" t="s">
        <v>1646</v>
      </c>
      <c r="K239" s="24" t="s">
        <v>1647</v>
      </c>
      <c r="L239" s="30" t="s">
        <v>1648</v>
      </c>
      <c r="M239" s="23" t="s">
        <v>1649</v>
      </c>
      <c r="N239" s="23" t="s">
        <v>173</v>
      </c>
      <c r="O239" s="14" t="s">
        <v>68</v>
      </c>
      <c r="P239" s="15">
        <v>0</v>
      </c>
      <c r="Q239" s="15">
        <v>9000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9">
        <v>0</v>
      </c>
      <c r="X239" s="20">
        <v>0</v>
      </c>
      <c r="Y239" s="20">
        <v>0</v>
      </c>
      <c r="Z239" s="20">
        <v>0</v>
      </c>
      <c r="AA239" s="21">
        <v>0</v>
      </c>
      <c r="AB239" s="15">
        <v>0</v>
      </c>
      <c r="AC239" s="15">
        <v>0</v>
      </c>
      <c r="AD239" s="15">
        <v>0</v>
      </c>
      <c r="AE239" s="15">
        <v>0</v>
      </c>
      <c r="AF239" s="24" t="s">
        <v>1641</v>
      </c>
      <c r="AG239" s="57" t="s">
        <v>1650</v>
      </c>
      <c r="AH239" s="18" t="s">
        <v>46</v>
      </c>
      <c r="AI239" s="24" t="s">
        <v>55</v>
      </c>
      <c r="AJ239" s="23"/>
      <c r="AK239" s="41" t="s">
        <v>46</v>
      </c>
    </row>
    <row r="240" spans="1:37" x14ac:dyDescent="0.25">
      <c r="A240" s="13">
        <v>44735</v>
      </c>
      <c r="B240" s="23" t="s">
        <v>125</v>
      </c>
      <c r="C240" s="18" t="s">
        <v>1558</v>
      </c>
      <c r="D240" s="18" t="s">
        <v>1559</v>
      </c>
      <c r="E240" s="18" t="s">
        <v>1560</v>
      </c>
      <c r="F240" s="15">
        <v>8390950220</v>
      </c>
      <c r="G240" s="15" t="s">
        <v>1561</v>
      </c>
      <c r="H240" s="14" t="s">
        <v>46</v>
      </c>
      <c r="I240" s="17" t="s">
        <v>1562</v>
      </c>
      <c r="J240" s="18" t="s">
        <v>1651</v>
      </c>
      <c r="K240" s="15" t="s">
        <v>196</v>
      </c>
      <c r="L240" s="14" t="s">
        <v>489</v>
      </c>
      <c r="M240" s="23" t="s">
        <v>80</v>
      </c>
      <c r="N240" s="42" t="s">
        <v>67</v>
      </c>
      <c r="O240" s="14" t="s">
        <v>68</v>
      </c>
      <c r="P240" s="15">
        <v>0</v>
      </c>
      <c r="Q240" s="15">
        <v>500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9">
        <v>0</v>
      </c>
      <c r="X240" s="20">
        <v>0</v>
      </c>
      <c r="Y240" s="20">
        <v>0</v>
      </c>
      <c r="Z240" s="20">
        <v>0</v>
      </c>
      <c r="AA240" s="21">
        <v>0</v>
      </c>
      <c r="AB240" s="15">
        <v>0</v>
      </c>
      <c r="AC240" s="15">
        <v>0</v>
      </c>
      <c r="AD240" s="15">
        <v>0</v>
      </c>
      <c r="AE240" s="15">
        <v>0</v>
      </c>
      <c r="AF240" s="18" t="s">
        <v>1564</v>
      </c>
      <c r="AG240" s="72"/>
      <c r="AH240" s="18" t="s">
        <v>46</v>
      </c>
      <c r="AI240" s="24" t="s">
        <v>55</v>
      </c>
      <c r="AJ240" s="23"/>
      <c r="AK240" s="41" t="s">
        <v>46</v>
      </c>
    </row>
    <row r="241" spans="1:37" x14ac:dyDescent="0.25">
      <c r="A241" s="13">
        <v>44735</v>
      </c>
      <c r="B241" s="23" t="s">
        <v>125</v>
      </c>
      <c r="C241" s="24" t="s">
        <v>1652</v>
      </c>
      <c r="D241" s="30" t="s">
        <v>1653</v>
      </c>
      <c r="E241" s="24" t="s">
        <v>1654</v>
      </c>
      <c r="F241" s="23" t="s">
        <v>1655</v>
      </c>
      <c r="G241" s="29" t="s">
        <v>1656</v>
      </c>
      <c r="H241" s="23" t="s">
        <v>1657</v>
      </c>
      <c r="I241" s="17" t="s">
        <v>1658</v>
      </c>
      <c r="J241" s="18" t="s">
        <v>1659</v>
      </c>
      <c r="K241" s="30" t="s">
        <v>1660</v>
      </c>
      <c r="L241" s="24" t="s">
        <v>1661</v>
      </c>
      <c r="M241" s="24" t="s">
        <v>1662</v>
      </c>
      <c r="N241" s="24" t="s">
        <v>1663</v>
      </c>
      <c r="O241" s="14" t="s">
        <v>53</v>
      </c>
      <c r="P241" s="28">
        <v>0</v>
      </c>
      <c r="Q241" s="28">
        <v>3000</v>
      </c>
      <c r="R241" s="28">
        <v>0</v>
      </c>
      <c r="S241" s="28">
        <v>0</v>
      </c>
      <c r="T241" s="28">
        <v>0</v>
      </c>
      <c r="U241" s="28">
        <v>0</v>
      </c>
      <c r="V241" s="28">
        <v>0</v>
      </c>
      <c r="W241" s="19">
        <v>0</v>
      </c>
      <c r="X241" s="20">
        <v>0</v>
      </c>
      <c r="Y241" s="20">
        <v>0</v>
      </c>
      <c r="Z241" s="20">
        <v>0</v>
      </c>
      <c r="AA241" s="21">
        <v>0</v>
      </c>
      <c r="AB241" s="15">
        <v>0</v>
      </c>
      <c r="AC241" s="15">
        <v>0</v>
      </c>
      <c r="AD241" s="15">
        <v>0</v>
      </c>
      <c r="AE241" s="15">
        <v>0</v>
      </c>
      <c r="AF241" s="24" t="s">
        <v>1652</v>
      </c>
      <c r="AG241" s="58"/>
      <c r="AH241" s="18" t="s">
        <v>46</v>
      </c>
      <c r="AI241" s="24" t="s">
        <v>55</v>
      </c>
      <c r="AJ241" s="23"/>
      <c r="AK241" s="41" t="s">
        <v>46</v>
      </c>
    </row>
    <row r="242" spans="1:37" x14ac:dyDescent="0.25">
      <c r="A242" s="13">
        <v>44735</v>
      </c>
      <c r="B242" s="23" t="s">
        <v>125</v>
      </c>
      <c r="C242" s="50" t="s">
        <v>1664</v>
      </c>
      <c r="D242" s="75" t="s">
        <v>1665</v>
      </c>
      <c r="E242" s="50" t="s">
        <v>1666</v>
      </c>
      <c r="F242" s="15">
        <v>8380080785</v>
      </c>
      <c r="G242" s="14" t="s">
        <v>1667</v>
      </c>
      <c r="H242" s="15" t="s">
        <v>46</v>
      </c>
      <c r="I242" s="17" t="s">
        <v>1668</v>
      </c>
      <c r="J242" s="17" t="s">
        <v>1669</v>
      </c>
      <c r="K242" s="14" t="s">
        <v>1670</v>
      </c>
      <c r="L242" s="14" t="s">
        <v>1671</v>
      </c>
      <c r="M242" s="14" t="s">
        <v>80</v>
      </c>
      <c r="N242" s="42" t="s">
        <v>67</v>
      </c>
      <c r="O242" s="14" t="s">
        <v>68</v>
      </c>
      <c r="P242" s="15">
        <v>0</v>
      </c>
      <c r="Q242" s="15">
        <v>3500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19">
        <v>0</v>
      </c>
      <c r="X242" s="20">
        <v>0</v>
      </c>
      <c r="Y242" s="20">
        <v>0</v>
      </c>
      <c r="Z242" s="20">
        <v>0</v>
      </c>
      <c r="AA242" s="21">
        <v>0</v>
      </c>
      <c r="AB242" s="15">
        <v>0</v>
      </c>
      <c r="AC242" s="15">
        <v>0</v>
      </c>
      <c r="AD242" s="15">
        <v>0</v>
      </c>
      <c r="AE242" s="15">
        <v>0</v>
      </c>
      <c r="AF242" s="50" t="s">
        <v>1664</v>
      </c>
      <c r="AG242" s="57" t="s">
        <v>1672</v>
      </c>
      <c r="AH242" s="18" t="s">
        <v>46</v>
      </c>
      <c r="AI242" s="24" t="s">
        <v>55</v>
      </c>
      <c r="AJ242" s="23"/>
      <c r="AK242" s="41" t="s">
        <v>46</v>
      </c>
    </row>
    <row r="243" spans="1:37" x14ac:dyDescent="0.25">
      <c r="A243" s="13">
        <v>44735</v>
      </c>
      <c r="B243" s="23" t="s">
        <v>125</v>
      </c>
      <c r="C243" s="27" t="s">
        <v>1673</v>
      </c>
      <c r="D243" s="24" t="s">
        <v>46</v>
      </c>
      <c r="E243" s="24" t="s">
        <v>1674</v>
      </c>
      <c r="F243" s="28">
        <v>9819366966</v>
      </c>
      <c r="G243" s="29" t="s">
        <v>1675</v>
      </c>
      <c r="H243" s="24" t="s">
        <v>46</v>
      </c>
      <c r="I243" s="17" t="s">
        <v>1676</v>
      </c>
      <c r="J243" s="18" t="s">
        <v>1677</v>
      </c>
      <c r="K243" s="24" t="s">
        <v>78</v>
      </c>
      <c r="L243" s="30" t="s">
        <v>1678</v>
      </c>
      <c r="M243" s="24" t="s">
        <v>80</v>
      </c>
      <c r="N243" s="24" t="s">
        <v>67</v>
      </c>
      <c r="O243" s="14" t="s">
        <v>68</v>
      </c>
      <c r="P243" s="28">
        <v>0</v>
      </c>
      <c r="Q243" s="28">
        <v>1540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19">
        <v>0</v>
      </c>
      <c r="X243" s="20">
        <v>0</v>
      </c>
      <c r="Y243" s="20">
        <v>0</v>
      </c>
      <c r="Z243" s="20">
        <v>0</v>
      </c>
      <c r="AA243" s="21">
        <v>0</v>
      </c>
      <c r="AB243" s="15">
        <v>0</v>
      </c>
      <c r="AC243" s="15">
        <v>0</v>
      </c>
      <c r="AD243" s="15">
        <v>0</v>
      </c>
      <c r="AE243" s="15">
        <v>0</v>
      </c>
      <c r="AF243" s="27" t="s">
        <v>1673</v>
      </c>
      <c r="AG243" s="76" t="s">
        <v>1650</v>
      </c>
      <c r="AH243" s="77"/>
      <c r="AI243" s="60"/>
      <c r="AJ243" s="59"/>
      <c r="AK243" s="65"/>
    </row>
    <row r="244" spans="1:37" ht="15.75" thickBot="1" x14ac:dyDescent="0.3">
      <c r="A244" s="107" t="s">
        <v>137</v>
      </c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32">
        <f t="shared" ref="P244:AE244" si="18">SUM(P234:P243)</f>
        <v>77500</v>
      </c>
      <c r="Q244" s="32">
        <f t="shared" si="18"/>
        <v>78120</v>
      </c>
      <c r="R244" s="32">
        <f t="shared" si="18"/>
        <v>16920</v>
      </c>
      <c r="S244" s="32">
        <f t="shared" si="18"/>
        <v>0</v>
      </c>
      <c r="T244" s="32">
        <f t="shared" si="18"/>
        <v>4870</v>
      </c>
      <c r="U244" s="32">
        <f t="shared" si="18"/>
        <v>22840</v>
      </c>
      <c r="V244" s="32">
        <f t="shared" si="18"/>
        <v>40602</v>
      </c>
      <c r="W244" s="33">
        <f t="shared" si="18"/>
        <v>4870</v>
      </c>
      <c r="X244" s="34">
        <f t="shared" si="18"/>
        <v>0</v>
      </c>
      <c r="Y244" s="34">
        <f t="shared" si="18"/>
        <v>27500</v>
      </c>
      <c r="Z244" s="34">
        <f t="shared" si="18"/>
        <v>35942</v>
      </c>
      <c r="AA244" s="35">
        <f t="shared" si="18"/>
        <v>51042</v>
      </c>
      <c r="AB244" s="32">
        <f t="shared" si="18"/>
        <v>4593.78</v>
      </c>
      <c r="AC244" s="32">
        <f t="shared" si="18"/>
        <v>4593.78</v>
      </c>
      <c r="AD244" s="32">
        <f t="shared" si="18"/>
        <v>0</v>
      </c>
      <c r="AE244" s="32">
        <f t="shared" si="18"/>
        <v>0.44000000000005457</v>
      </c>
      <c r="AF244" s="109"/>
      <c r="AG244" s="109"/>
      <c r="AH244" s="109"/>
      <c r="AI244" s="36"/>
      <c r="AJ244" s="37"/>
      <c r="AK244" s="38"/>
    </row>
    <row r="245" spans="1:37" ht="15.75" thickBot="1" x14ac:dyDescent="0.3"/>
    <row r="246" spans="1:37" x14ac:dyDescent="0.25">
      <c r="A246" s="112" t="s">
        <v>0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4"/>
      <c r="X246" s="113" t="s">
        <v>1</v>
      </c>
      <c r="Y246" s="114"/>
      <c r="Z246" s="114"/>
      <c r="AA246" s="5" t="s">
        <v>225</v>
      </c>
      <c r="AB246" s="115" t="s">
        <v>3</v>
      </c>
      <c r="AC246" s="116"/>
      <c r="AD246" s="116"/>
      <c r="AE246" s="116"/>
      <c r="AF246" s="105" t="s">
        <v>4</v>
      </c>
      <c r="AG246" s="105"/>
      <c r="AH246" s="105"/>
      <c r="AI246" s="105" t="s">
        <v>5</v>
      </c>
      <c r="AJ246" s="105"/>
      <c r="AK246" s="106"/>
    </row>
    <row r="247" spans="1:37" x14ac:dyDescent="0.25">
      <c r="A247" s="6" t="s">
        <v>6</v>
      </c>
      <c r="B247" s="7" t="s">
        <v>7</v>
      </c>
      <c r="C247" s="7" t="s">
        <v>8</v>
      </c>
      <c r="D247" s="7" t="s">
        <v>9</v>
      </c>
      <c r="E247" s="7" t="s">
        <v>10</v>
      </c>
      <c r="F247" s="7" t="s">
        <v>11</v>
      </c>
      <c r="G247" s="7" t="s">
        <v>12</v>
      </c>
      <c r="H247" s="7" t="s">
        <v>13</v>
      </c>
      <c r="I247" s="7" t="s">
        <v>14</v>
      </c>
      <c r="J247" s="7" t="s">
        <v>15</v>
      </c>
      <c r="K247" s="7" t="s">
        <v>16</v>
      </c>
      <c r="L247" s="7" t="s">
        <v>17</v>
      </c>
      <c r="M247" s="7" t="s">
        <v>18</v>
      </c>
      <c r="N247" s="7" t="s">
        <v>19</v>
      </c>
      <c r="O247" s="7" t="s">
        <v>20</v>
      </c>
      <c r="P247" s="7" t="s">
        <v>21</v>
      </c>
      <c r="Q247" s="7" t="s">
        <v>22</v>
      </c>
      <c r="R247" s="7" t="s">
        <v>23</v>
      </c>
      <c r="S247" s="7" t="s">
        <v>24</v>
      </c>
      <c r="T247" s="7" t="s">
        <v>25</v>
      </c>
      <c r="U247" s="7" t="s">
        <v>26</v>
      </c>
      <c r="V247" s="7" t="s">
        <v>27</v>
      </c>
      <c r="W247" s="8" t="s">
        <v>25</v>
      </c>
      <c r="X247" s="9" t="s">
        <v>28</v>
      </c>
      <c r="Y247" s="9" t="s">
        <v>29</v>
      </c>
      <c r="Z247" s="9" t="s">
        <v>30</v>
      </c>
      <c r="AA247" s="10" t="s">
        <v>31</v>
      </c>
      <c r="AB247" s="7" t="s">
        <v>32</v>
      </c>
      <c r="AC247" s="7" t="s">
        <v>33</v>
      </c>
      <c r="AD247" s="7" t="s">
        <v>34</v>
      </c>
      <c r="AE247" s="7" t="s">
        <v>35</v>
      </c>
      <c r="AF247" s="7" t="s">
        <v>36</v>
      </c>
      <c r="AG247" s="7" t="s">
        <v>37</v>
      </c>
      <c r="AH247" s="7" t="s">
        <v>38</v>
      </c>
      <c r="AI247" s="7" t="s">
        <v>39</v>
      </c>
      <c r="AJ247" s="11" t="s">
        <v>40</v>
      </c>
      <c r="AK247" s="12" t="s">
        <v>41</v>
      </c>
    </row>
    <row r="248" spans="1:37" x14ac:dyDescent="0.25">
      <c r="A248" s="13">
        <v>44736</v>
      </c>
      <c r="B248" s="14" t="s">
        <v>1679</v>
      </c>
      <c r="C248" s="18" t="s">
        <v>1680</v>
      </c>
      <c r="D248" s="18" t="s">
        <v>1681</v>
      </c>
      <c r="E248" s="18" t="s">
        <v>1682</v>
      </c>
      <c r="F248" s="15">
        <v>9821075627</v>
      </c>
      <c r="G248" s="14" t="s">
        <v>1683</v>
      </c>
      <c r="H248" s="14" t="s">
        <v>46</v>
      </c>
      <c r="I248" s="17" t="s">
        <v>1684</v>
      </c>
      <c r="J248" s="18" t="s">
        <v>1685</v>
      </c>
      <c r="K248" s="15" t="s">
        <v>64</v>
      </c>
      <c r="L248" s="14" t="s">
        <v>1686</v>
      </c>
      <c r="M248" s="14" t="s">
        <v>80</v>
      </c>
      <c r="N248" s="42" t="s">
        <v>67</v>
      </c>
      <c r="O248" s="14" t="s">
        <v>993</v>
      </c>
      <c r="P248" s="15">
        <v>4520</v>
      </c>
      <c r="Q248" s="15">
        <v>4520</v>
      </c>
      <c r="R248" s="15">
        <v>0</v>
      </c>
      <c r="S248" s="15">
        <v>0</v>
      </c>
      <c r="T248" s="15">
        <v>0</v>
      </c>
      <c r="U248" s="15">
        <v>826</v>
      </c>
      <c r="V248" s="15">
        <v>3005</v>
      </c>
      <c r="W248" s="19">
        <v>0</v>
      </c>
      <c r="X248" s="20">
        <v>0</v>
      </c>
      <c r="Y248" s="20">
        <v>0</v>
      </c>
      <c r="Z248" s="20">
        <v>3831</v>
      </c>
      <c r="AA248" s="21">
        <v>3831</v>
      </c>
      <c r="AB248" s="57">
        <f>3831*18/100/2</f>
        <v>344.79</v>
      </c>
      <c r="AC248" s="57">
        <f>3831*18/100/2</f>
        <v>344.79</v>
      </c>
      <c r="AD248" s="57">
        <v>0</v>
      </c>
      <c r="AE248" s="57">
        <f>689-AC248-AB248</f>
        <v>-0.58000000000004093</v>
      </c>
      <c r="AF248" s="18" t="s">
        <v>1680</v>
      </c>
      <c r="AG248" s="72"/>
      <c r="AH248" s="18" t="s">
        <v>1687</v>
      </c>
      <c r="AI248" s="24" t="s">
        <v>55</v>
      </c>
      <c r="AJ248" s="23"/>
      <c r="AK248" s="41" t="s">
        <v>1688</v>
      </c>
    </row>
    <row r="249" spans="1:37" x14ac:dyDescent="0.25">
      <c r="A249" s="13">
        <v>44736</v>
      </c>
      <c r="B249" s="23" t="s">
        <v>1689</v>
      </c>
      <c r="C249" s="18" t="s">
        <v>1690</v>
      </c>
      <c r="D249" s="18" t="s">
        <v>46</v>
      </c>
      <c r="E249" s="18" t="s">
        <v>1691</v>
      </c>
      <c r="F249" s="14">
        <v>9820052505</v>
      </c>
      <c r="G249" s="14" t="s">
        <v>1692</v>
      </c>
      <c r="H249" s="23" t="s">
        <v>1693</v>
      </c>
      <c r="I249" s="17" t="s">
        <v>1694</v>
      </c>
      <c r="J249" s="18" t="s">
        <v>1695</v>
      </c>
      <c r="K249" s="15" t="s">
        <v>196</v>
      </c>
      <c r="L249" s="14" t="s">
        <v>489</v>
      </c>
      <c r="M249" s="23" t="s">
        <v>80</v>
      </c>
      <c r="N249" s="42" t="s">
        <v>67</v>
      </c>
      <c r="O249" s="14" t="s">
        <v>53</v>
      </c>
      <c r="P249" s="15">
        <v>3000</v>
      </c>
      <c r="Q249" s="15">
        <v>3000</v>
      </c>
      <c r="R249" s="15">
        <v>0</v>
      </c>
      <c r="S249" s="15">
        <v>0</v>
      </c>
      <c r="T249" s="15">
        <v>413</v>
      </c>
      <c r="U249" s="15">
        <v>0</v>
      </c>
      <c r="V249" s="15">
        <v>2192</v>
      </c>
      <c r="W249" s="19">
        <v>413</v>
      </c>
      <c r="X249" s="20">
        <v>1000</v>
      </c>
      <c r="Y249" s="20">
        <v>596</v>
      </c>
      <c r="Z249" s="20">
        <v>596</v>
      </c>
      <c r="AA249" s="21">
        <v>2192</v>
      </c>
      <c r="AB249" s="57">
        <f>2192*18/100/2</f>
        <v>197.28</v>
      </c>
      <c r="AC249" s="57">
        <f>2192*18/100/2</f>
        <v>197.28</v>
      </c>
      <c r="AD249" s="57">
        <v>0</v>
      </c>
      <c r="AE249" s="58">
        <f>395-AC249-AB249</f>
        <v>0.43999999999999773</v>
      </c>
      <c r="AF249" s="18" t="s">
        <v>1690</v>
      </c>
      <c r="AG249" s="72"/>
      <c r="AH249" s="18" t="s">
        <v>1696</v>
      </c>
      <c r="AI249" s="24" t="s">
        <v>55</v>
      </c>
      <c r="AJ249" s="23"/>
      <c r="AK249" s="25" t="s">
        <v>1697</v>
      </c>
    </row>
    <row r="250" spans="1:37" x14ac:dyDescent="0.25">
      <c r="A250" s="13">
        <v>44736</v>
      </c>
      <c r="B250" s="23" t="s">
        <v>1698</v>
      </c>
      <c r="C250" s="18" t="s">
        <v>1699</v>
      </c>
      <c r="D250" s="18" t="s">
        <v>1700</v>
      </c>
      <c r="E250" s="18" t="s">
        <v>1701</v>
      </c>
      <c r="F250" s="15">
        <v>9086070086</v>
      </c>
      <c r="G250" s="15" t="s">
        <v>1702</v>
      </c>
      <c r="H250" s="14" t="s">
        <v>46</v>
      </c>
      <c r="I250" s="17" t="s">
        <v>1703</v>
      </c>
      <c r="J250" s="18" t="s">
        <v>1704</v>
      </c>
      <c r="K250" s="15" t="s">
        <v>196</v>
      </c>
      <c r="L250" s="14" t="s">
        <v>571</v>
      </c>
      <c r="M250" s="23" t="s">
        <v>1705</v>
      </c>
      <c r="N250" s="42" t="s">
        <v>1706</v>
      </c>
      <c r="O250" s="14" t="s">
        <v>68</v>
      </c>
      <c r="P250" s="15">
        <v>4730</v>
      </c>
      <c r="Q250" s="15">
        <v>4730</v>
      </c>
      <c r="R250" s="15">
        <v>0</v>
      </c>
      <c r="S250" s="15">
        <v>0</v>
      </c>
      <c r="T250" s="15">
        <v>1010</v>
      </c>
      <c r="U250" s="15">
        <v>0</v>
      </c>
      <c r="V250" s="15">
        <v>3153</v>
      </c>
      <c r="W250" s="19">
        <v>1010</v>
      </c>
      <c r="X250" s="20">
        <v>1000</v>
      </c>
      <c r="Y250" s="20">
        <v>1076.5</v>
      </c>
      <c r="Z250" s="20">
        <v>1076.5</v>
      </c>
      <c r="AA250" s="21">
        <v>3153</v>
      </c>
      <c r="AB250" s="57">
        <v>0</v>
      </c>
      <c r="AC250" s="57">
        <v>0</v>
      </c>
      <c r="AD250" s="57">
        <f>3153*18/100</f>
        <v>567.54</v>
      </c>
      <c r="AE250" s="58">
        <f>567-AD250</f>
        <v>-0.53999999999996362</v>
      </c>
      <c r="AF250" s="18" t="s">
        <v>1707</v>
      </c>
      <c r="AG250" s="58"/>
      <c r="AH250" s="18" t="s">
        <v>1708</v>
      </c>
      <c r="AI250" s="24" t="s">
        <v>55</v>
      </c>
      <c r="AJ250" s="23"/>
      <c r="AK250" s="41" t="s">
        <v>1709</v>
      </c>
    </row>
    <row r="251" spans="1:37" x14ac:dyDescent="0.25">
      <c r="A251" s="13">
        <v>44736</v>
      </c>
      <c r="B251" s="24" t="s">
        <v>1710</v>
      </c>
      <c r="C251" s="18" t="s">
        <v>1711</v>
      </c>
      <c r="D251" s="18" t="s">
        <v>46</v>
      </c>
      <c r="E251" s="18" t="s">
        <v>1712</v>
      </c>
      <c r="F251" s="15">
        <v>7276777516</v>
      </c>
      <c r="G251" s="14" t="s">
        <v>1713</v>
      </c>
      <c r="H251" s="24" t="s">
        <v>1714</v>
      </c>
      <c r="I251" s="17" t="s">
        <v>1715</v>
      </c>
      <c r="J251" s="18" t="s">
        <v>1716</v>
      </c>
      <c r="K251" s="15" t="s">
        <v>196</v>
      </c>
      <c r="L251" s="14" t="s">
        <v>945</v>
      </c>
      <c r="M251" s="24" t="s">
        <v>105</v>
      </c>
      <c r="N251" s="42" t="s">
        <v>67</v>
      </c>
      <c r="O251" s="14" t="s">
        <v>68</v>
      </c>
      <c r="P251" s="15">
        <v>6500</v>
      </c>
      <c r="Q251" s="15">
        <v>6500</v>
      </c>
      <c r="R251" s="15">
        <v>0</v>
      </c>
      <c r="S251" s="15">
        <v>0</v>
      </c>
      <c r="T251" s="15">
        <v>500</v>
      </c>
      <c r="U251" s="15">
        <v>826</v>
      </c>
      <c r="V251" s="15">
        <v>4259</v>
      </c>
      <c r="W251" s="19">
        <v>500</v>
      </c>
      <c r="X251" s="20">
        <v>1000</v>
      </c>
      <c r="Y251" s="20">
        <v>2042.5</v>
      </c>
      <c r="Z251" s="20">
        <v>2042.5</v>
      </c>
      <c r="AA251" s="21">
        <v>5085</v>
      </c>
      <c r="AB251" s="57">
        <f>5085*18/100/2</f>
        <v>457.65</v>
      </c>
      <c r="AC251" s="57">
        <f>5085*18/100/2</f>
        <v>457.65</v>
      </c>
      <c r="AD251" s="57">
        <v>0</v>
      </c>
      <c r="AE251" s="58">
        <f>915-AC251-AB251</f>
        <v>-0.29999999999995453</v>
      </c>
      <c r="AF251" s="18" t="s">
        <v>1717</v>
      </c>
      <c r="AG251" s="58" t="s">
        <v>1718</v>
      </c>
      <c r="AH251" s="18" t="s">
        <v>1719</v>
      </c>
      <c r="AI251" s="24" t="s">
        <v>55</v>
      </c>
      <c r="AJ251" s="23"/>
      <c r="AK251" s="25" t="s">
        <v>1720</v>
      </c>
    </row>
    <row r="252" spans="1:37" x14ac:dyDescent="0.25">
      <c r="A252" s="13">
        <v>44736</v>
      </c>
      <c r="B252" s="24" t="s">
        <v>1721</v>
      </c>
      <c r="C252" s="18" t="s">
        <v>1722</v>
      </c>
      <c r="D252" s="18" t="s">
        <v>1723</v>
      </c>
      <c r="E252" s="18" t="s">
        <v>1724</v>
      </c>
      <c r="F252" s="15">
        <v>8888778861</v>
      </c>
      <c r="G252" s="14" t="s">
        <v>1725</v>
      </c>
      <c r="H252" s="24" t="s">
        <v>1726</v>
      </c>
      <c r="I252" s="17" t="s">
        <v>1727</v>
      </c>
      <c r="J252" s="18" t="s">
        <v>1728</v>
      </c>
      <c r="K252" s="15" t="s">
        <v>1729</v>
      </c>
      <c r="L252" s="14" t="s">
        <v>489</v>
      </c>
      <c r="M252" s="24" t="s">
        <v>1730</v>
      </c>
      <c r="N252" s="42" t="s">
        <v>67</v>
      </c>
      <c r="O252" s="14" t="s">
        <v>53</v>
      </c>
      <c r="P252" s="15">
        <v>5590</v>
      </c>
      <c r="Q252" s="15">
        <v>5590</v>
      </c>
      <c r="R252" s="15">
        <v>0</v>
      </c>
      <c r="S252" s="15">
        <v>0</v>
      </c>
      <c r="T252" s="15">
        <v>2700</v>
      </c>
      <c r="U252" s="15">
        <v>0</v>
      </c>
      <c r="V252" s="15">
        <v>2449</v>
      </c>
      <c r="W252" s="19">
        <v>2700</v>
      </c>
      <c r="X252" s="20">
        <v>0</v>
      </c>
      <c r="Y252" s="20">
        <v>0</v>
      </c>
      <c r="Z252" s="20">
        <v>2449</v>
      </c>
      <c r="AA252" s="21">
        <v>2449</v>
      </c>
      <c r="AB252" s="57">
        <f>2449*18/100/2</f>
        <v>220.41</v>
      </c>
      <c r="AC252" s="57">
        <f>2449*18/100/2</f>
        <v>220.41</v>
      </c>
      <c r="AD252" s="57">
        <v>0</v>
      </c>
      <c r="AE252" s="58">
        <f>441-AB252-AC252</f>
        <v>0.18000000000000682</v>
      </c>
      <c r="AF252" s="18" t="s">
        <v>1722</v>
      </c>
      <c r="AG252" s="58"/>
      <c r="AH252" s="18" t="s">
        <v>1731</v>
      </c>
      <c r="AI252" s="24" t="s">
        <v>55</v>
      </c>
      <c r="AJ252" s="23"/>
      <c r="AK252" s="25" t="s">
        <v>176</v>
      </c>
    </row>
    <row r="253" spans="1:37" x14ac:dyDescent="0.25">
      <c r="A253" s="13">
        <v>44736</v>
      </c>
      <c r="B253" s="24" t="s">
        <v>1732</v>
      </c>
      <c r="C253" s="18" t="s">
        <v>1733</v>
      </c>
      <c r="D253" s="18" t="s">
        <v>46</v>
      </c>
      <c r="E253" s="18" t="s">
        <v>1734</v>
      </c>
      <c r="F253" s="15">
        <v>9226958642</v>
      </c>
      <c r="G253" s="14" t="s">
        <v>1735</v>
      </c>
      <c r="H253" s="24" t="s">
        <v>1736</v>
      </c>
      <c r="I253" s="17" t="s">
        <v>1737</v>
      </c>
      <c r="J253" s="18" t="s">
        <v>1738</v>
      </c>
      <c r="K253" s="15" t="s">
        <v>420</v>
      </c>
      <c r="L253" s="14" t="s">
        <v>1686</v>
      </c>
      <c r="M253" s="24" t="s">
        <v>105</v>
      </c>
      <c r="N253" s="42" t="s">
        <v>67</v>
      </c>
      <c r="O253" s="14" t="s">
        <v>53</v>
      </c>
      <c r="P253" s="15">
        <v>7500</v>
      </c>
      <c r="Q253" s="15">
        <v>7500</v>
      </c>
      <c r="R253" s="15">
        <v>0</v>
      </c>
      <c r="S253" s="15">
        <v>0</v>
      </c>
      <c r="T253" s="15">
        <v>0</v>
      </c>
      <c r="U253" s="15">
        <v>2360</v>
      </c>
      <c r="V253" s="15">
        <v>3996</v>
      </c>
      <c r="W253" s="19">
        <v>0</v>
      </c>
      <c r="X253" s="20">
        <v>500</v>
      </c>
      <c r="Y253" s="20">
        <v>4000</v>
      </c>
      <c r="Z253" s="20">
        <v>1856</v>
      </c>
      <c r="AA253" s="21">
        <v>6356</v>
      </c>
      <c r="AB253" s="57">
        <f>6356*18/100/2</f>
        <v>572.04</v>
      </c>
      <c r="AC253" s="57">
        <f>6356*18/100/2</f>
        <v>572.04</v>
      </c>
      <c r="AD253" s="57">
        <v>0</v>
      </c>
      <c r="AE253" s="58">
        <f>1144-AC253-AB253</f>
        <v>-7.999999999992724E-2</v>
      </c>
      <c r="AF253" s="18" t="s">
        <v>1733</v>
      </c>
      <c r="AG253" s="58"/>
      <c r="AH253" s="18" t="s">
        <v>1739</v>
      </c>
      <c r="AI253" s="24" t="s">
        <v>55</v>
      </c>
      <c r="AJ253" s="23"/>
      <c r="AK253" s="25" t="s">
        <v>1740</v>
      </c>
    </row>
    <row r="254" spans="1:37" x14ac:dyDescent="0.25">
      <c r="A254" s="13">
        <v>44736</v>
      </c>
      <c r="B254" s="24" t="s">
        <v>57</v>
      </c>
      <c r="C254" s="18" t="s">
        <v>1741</v>
      </c>
      <c r="D254" s="18" t="s">
        <v>1742</v>
      </c>
      <c r="E254" s="18" t="s">
        <v>1743</v>
      </c>
      <c r="F254" s="15">
        <v>9976130255</v>
      </c>
      <c r="G254" s="14" t="s">
        <v>1744</v>
      </c>
      <c r="H254" s="24" t="s">
        <v>1745</v>
      </c>
      <c r="I254" s="17" t="s">
        <v>1746</v>
      </c>
      <c r="J254" s="18" t="s">
        <v>1747</v>
      </c>
      <c r="K254" s="15" t="s">
        <v>640</v>
      </c>
      <c r="L254" s="14" t="s">
        <v>1748</v>
      </c>
      <c r="M254" s="24" t="s">
        <v>1749</v>
      </c>
      <c r="N254" s="24" t="s">
        <v>52</v>
      </c>
      <c r="O254" s="14" t="s">
        <v>68</v>
      </c>
      <c r="P254" s="15">
        <v>8545</v>
      </c>
      <c r="Q254" s="15">
        <v>7000</v>
      </c>
      <c r="R254" s="15">
        <v>1545</v>
      </c>
      <c r="S254" s="15">
        <v>0</v>
      </c>
      <c r="T254" s="15">
        <v>4870</v>
      </c>
      <c r="U254" s="15">
        <v>500</v>
      </c>
      <c r="V254" s="15">
        <v>2614</v>
      </c>
      <c r="W254" s="19">
        <v>4870</v>
      </c>
      <c r="X254" s="20">
        <v>0</v>
      </c>
      <c r="Y254" s="20">
        <v>0</v>
      </c>
      <c r="Z254" s="20">
        <v>3114</v>
      </c>
      <c r="AA254" s="21">
        <v>3114</v>
      </c>
      <c r="AB254" s="57">
        <v>0</v>
      </c>
      <c r="AC254" s="57">
        <v>0</v>
      </c>
      <c r="AD254" s="57">
        <f>3114*18/100</f>
        <v>560.52</v>
      </c>
      <c r="AE254" s="58">
        <f>561-AD254</f>
        <v>0.48000000000001819</v>
      </c>
      <c r="AF254" s="18" t="s">
        <v>1741</v>
      </c>
      <c r="AG254" s="58"/>
      <c r="AH254" s="18" t="s">
        <v>1750</v>
      </c>
      <c r="AI254" s="24" t="s">
        <v>55</v>
      </c>
      <c r="AJ254" s="23"/>
      <c r="AK254" s="25" t="s">
        <v>971</v>
      </c>
    </row>
    <row r="255" spans="1:37" x14ac:dyDescent="0.25">
      <c r="A255" s="45">
        <v>44736</v>
      </c>
      <c r="B255" s="23" t="s">
        <v>125</v>
      </c>
      <c r="C255" s="27" t="s">
        <v>1751</v>
      </c>
      <c r="D255" s="24" t="s">
        <v>46</v>
      </c>
      <c r="E255" s="24" t="s">
        <v>1752</v>
      </c>
      <c r="F255" s="28">
        <v>9198333331</v>
      </c>
      <c r="G255" s="29" t="s">
        <v>1753</v>
      </c>
      <c r="H255" s="27" t="s">
        <v>1754</v>
      </c>
      <c r="I255" s="17" t="s">
        <v>1755</v>
      </c>
      <c r="J255" s="18" t="s">
        <v>1756</v>
      </c>
      <c r="K255" s="24" t="s">
        <v>103</v>
      </c>
      <c r="L255" s="30" t="s">
        <v>1490</v>
      </c>
      <c r="M255" s="24" t="s">
        <v>1757</v>
      </c>
      <c r="N255" s="24" t="s">
        <v>173</v>
      </c>
      <c r="O255" s="14" t="s">
        <v>68</v>
      </c>
      <c r="P255" s="28">
        <v>0</v>
      </c>
      <c r="Q255" s="28">
        <v>11940</v>
      </c>
      <c r="R255" s="28">
        <v>0</v>
      </c>
      <c r="S255" s="28">
        <v>0</v>
      </c>
      <c r="T255" s="28">
        <v>0</v>
      </c>
      <c r="U255" s="28">
        <v>0</v>
      </c>
      <c r="V255" s="28">
        <v>0</v>
      </c>
      <c r="W255" s="19">
        <v>0</v>
      </c>
      <c r="X255" s="20">
        <v>0</v>
      </c>
      <c r="Y255" s="20">
        <v>0</v>
      </c>
      <c r="Z255" s="20">
        <v>0</v>
      </c>
      <c r="AA255" s="21">
        <v>0</v>
      </c>
      <c r="AB255" s="28">
        <v>0</v>
      </c>
      <c r="AC255" s="28">
        <v>0</v>
      </c>
      <c r="AD255" s="28">
        <v>0</v>
      </c>
      <c r="AE255" s="28">
        <v>0</v>
      </c>
      <c r="AF255" s="27" t="s">
        <v>1758</v>
      </c>
      <c r="AG255" s="72"/>
      <c r="AH255" s="18" t="s">
        <v>46</v>
      </c>
      <c r="AI255" s="24" t="s">
        <v>55</v>
      </c>
      <c r="AJ255" s="23"/>
      <c r="AK255" s="23" t="s">
        <v>46</v>
      </c>
    </row>
    <row r="256" spans="1:37" x14ac:dyDescent="0.25">
      <c r="A256" s="45">
        <v>44736</v>
      </c>
      <c r="B256" s="23" t="s">
        <v>125</v>
      </c>
      <c r="C256" s="24" t="s">
        <v>1759</v>
      </c>
      <c r="D256" s="30" t="s">
        <v>1760</v>
      </c>
      <c r="E256" s="24" t="s">
        <v>1761</v>
      </c>
      <c r="F256" s="28" t="s">
        <v>1762</v>
      </c>
      <c r="G256" s="24" t="s">
        <v>1763</v>
      </c>
      <c r="H256" s="24" t="s">
        <v>1764</v>
      </c>
      <c r="I256" s="17" t="s">
        <v>1765</v>
      </c>
      <c r="J256" s="18" t="s">
        <v>1766</v>
      </c>
      <c r="K256" s="30" t="s">
        <v>1660</v>
      </c>
      <c r="L256" s="24" t="s">
        <v>1661</v>
      </c>
      <c r="M256" s="24" t="s">
        <v>1767</v>
      </c>
      <c r="N256" s="24" t="s">
        <v>173</v>
      </c>
      <c r="O256" s="14" t="s">
        <v>993</v>
      </c>
      <c r="P256" s="28">
        <v>0</v>
      </c>
      <c r="Q256" s="28">
        <v>2500</v>
      </c>
      <c r="R256" s="28">
        <v>0</v>
      </c>
      <c r="S256" s="28">
        <v>0</v>
      </c>
      <c r="T256" s="28">
        <v>0</v>
      </c>
      <c r="U256" s="28">
        <v>0</v>
      </c>
      <c r="V256" s="28">
        <v>0</v>
      </c>
      <c r="W256" s="19">
        <v>0</v>
      </c>
      <c r="X256" s="20">
        <v>0</v>
      </c>
      <c r="Y256" s="20">
        <v>0</v>
      </c>
      <c r="Z256" s="20">
        <v>0</v>
      </c>
      <c r="AA256" s="21">
        <v>0</v>
      </c>
      <c r="AB256" s="28">
        <v>0</v>
      </c>
      <c r="AC256" s="28">
        <v>0</v>
      </c>
      <c r="AD256" s="28">
        <v>0</v>
      </c>
      <c r="AE256" s="28">
        <v>0</v>
      </c>
      <c r="AF256" s="24" t="s">
        <v>1759</v>
      </c>
      <c r="AG256" s="72"/>
      <c r="AH256" s="18" t="s">
        <v>46</v>
      </c>
      <c r="AI256" s="24" t="s">
        <v>55</v>
      </c>
      <c r="AJ256" s="23"/>
      <c r="AK256" s="23" t="s">
        <v>46</v>
      </c>
    </row>
    <row r="257" spans="1:37" x14ac:dyDescent="0.25">
      <c r="A257" s="45">
        <v>44736</v>
      </c>
      <c r="B257" s="23" t="s">
        <v>125</v>
      </c>
      <c r="C257" s="23" t="s">
        <v>1768</v>
      </c>
      <c r="D257" s="23" t="s">
        <v>46</v>
      </c>
      <c r="E257" s="24" t="s">
        <v>1769</v>
      </c>
      <c r="F257" s="28">
        <v>9834118628</v>
      </c>
      <c r="G257" s="40" t="s">
        <v>1770</v>
      </c>
      <c r="H257" s="14" t="s">
        <v>1771</v>
      </c>
      <c r="I257" s="17" t="s">
        <v>1772</v>
      </c>
      <c r="J257" s="24" t="s">
        <v>284</v>
      </c>
      <c r="K257" s="30" t="s">
        <v>196</v>
      </c>
      <c r="L257" s="24" t="s">
        <v>1424</v>
      </c>
      <c r="M257" s="24" t="s">
        <v>1773</v>
      </c>
      <c r="N257" s="42" t="s">
        <v>67</v>
      </c>
      <c r="O257" s="14" t="s">
        <v>68</v>
      </c>
      <c r="P257" s="28">
        <v>0</v>
      </c>
      <c r="Q257" s="28">
        <v>1000</v>
      </c>
      <c r="R257" s="28">
        <v>500</v>
      </c>
      <c r="S257" s="28">
        <v>0</v>
      </c>
      <c r="T257" s="28">
        <v>0</v>
      </c>
      <c r="U257" s="28">
        <v>0</v>
      </c>
      <c r="V257" s="28">
        <v>0</v>
      </c>
      <c r="W257" s="19">
        <v>0</v>
      </c>
      <c r="X257" s="20">
        <v>0</v>
      </c>
      <c r="Y257" s="20">
        <v>0</v>
      </c>
      <c r="Z257" s="20">
        <v>0</v>
      </c>
      <c r="AA257" s="21">
        <v>0</v>
      </c>
      <c r="AB257" s="28">
        <v>0</v>
      </c>
      <c r="AC257" s="28">
        <v>0</v>
      </c>
      <c r="AD257" s="28">
        <v>0</v>
      </c>
      <c r="AE257" s="28">
        <v>0</v>
      </c>
      <c r="AF257" s="23" t="s">
        <v>1768</v>
      </c>
      <c r="AG257" s="76" t="s">
        <v>1774</v>
      </c>
      <c r="AH257" s="18" t="s">
        <v>46</v>
      </c>
      <c r="AI257" s="24" t="s">
        <v>55</v>
      </c>
      <c r="AJ257" s="59"/>
      <c r="AK257" s="78"/>
    </row>
    <row r="258" spans="1:37" ht="15.75" thickBot="1" x14ac:dyDescent="0.3">
      <c r="A258" s="107" t="s">
        <v>137</v>
      </c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32">
        <f t="shared" ref="P258:AE258" si="19">SUM(P248:P257)</f>
        <v>40385</v>
      </c>
      <c r="Q258" s="32">
        <f t="shared" si="19"/>
        <v>54280</v>
      </c>
      <c r="R258" s="32">
        <f t="shared" si="19"/>
        <v>2045</v>
      </c>
      <c r="S258" s="32">
        <f t="shared" si="19"/>
        <v>0</v>
      </c>
      <c r="T258" s="32">
        <f t="shared" si="19"/>
        <v>9493</v>
      </c>
      <c r="U258" s="32">
        <f t="shared" si="19"/>
        <v>4512</v>
      </c>
      <c r="V258" s="32">
        <f t="shared" si="19"/>
        <v>21668</v>
      </c>
      <c r="W258" s="33">
        <f t="shared" si="19"/>
        <v>9493</v>
      </c>
      <c r="X258" s="34">
        <f t="shared" si="19"/>
        <v>3500</v>
      </c>
      <c r="Y258" s="34">
        <f t="shared" si="19"/>
        <v>7715</v>
      </c>
      <c r="Z258" s="34">
        <f t="shared" si="19"/>
        <v>14965</v>
      </c>
      <c r="AA258" s="35">
        <f t="shared" si="19"/>
        <v>26180</v>
      </c>
      <c r="AB258" s="32">
        <f t="shared" si="19"/>
        <v>1792.17</v>
      </c>
      <c r="AC258" s="32">
        <f t="shared" si="19"/>
        <v>1792.17</v>
      </c>
      <c r="AD258" s="32">
        <f t="shared" si="19"/>
        <v>1128.06</v>
      </c>
      <c r="AE258" s="32">
        <f t="shared" si="19"/>
        <v>-0.39999999999986358</v>
      </c>
      <c r="AF258" s="109"/>
      <c r="AG258" s="109"/>
      <c r="AH258" s="109"/>
      <c r="AI258" s="36"/>
      <c r="AJ258" s="37"/>
      <c r="AK258" s="38"/>
    </row>
    <row r="259" spans="1:37" ht="15.75" thickBot="1" x14ac:dyDescent="0.3"/>
    <row r="260" spans="1:37" x14ac:dyDescent="0.25">
      <c r="A260" s="112" t="s">
        <v>0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4"/>
      <c r="X260" s="113" t="s">
        <v>1</v>
      </c>
      <c r="Y260" s="114"/>
      <c r="Z260" s="114"/>
      <c r="AA260" s="5" t="s">
        <v>225</v>
      </c>
      <c r="AB260" s="115" t="s">
        <v>3</v>
      </c>
      <c r="AC260" s="116"/>
      <c r="AD260" s="116"/>
      <c r="AE260" s="116"/>
      <c r="AF260" s="105" t="s">
        <v>4</v>
      </c>
      <c r="AG260" s="105"/>
      <c r="AH260" s="105"/>
      <c r="AI260" s="105" t="s">
        <v>5</v>
      </c>
      <c r="AJ260" s="105"/>
      <c r="AK260" s="106"/>
    </row>
    <row r="261" spans="1:37" x14ac:dyDescent="0.25">
      <c r="A261" s="6" t="s">
        <v>6</v>
      </c>
      <c r="B261" s="7" t="s">
        <v>7</v>
      </c>
      <c r="C261" s="7" t="s">
        <v>8</v>
      </c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16</v>
      </c>
      <c r="L261" s="7" t="s">
        <v>17</v>
      </c>
      <c r="M261" s="7" t="s">
        <v>18</v>
      </c>
      <c r="N261" s="7" t="s">
        <v>19</v>
      </c>
      <c r="O261" s="7" t="s">
        <v>20</v>
      </c>
      <c r="P261" s="7" t="s">
        <v>21</v>
      </c>
      <c r="Q261" s="7" t="s">
        <v>22</v>
      </c>
      <c r="R261" s="7" t="s">
        <v>23</v>
      </c>
      <c r="S261" s="7" t="s">
        <v>24</v>
      </c>
      <c r="T261" s="7" t="s">
        <v>25</v>
      </c>
      <c r="U261" s="7" t="s">
        <v>26</v>
      </c>
      <c r="V261" s="7" t="s">
        <v>27</v>
      </c>
      <c r="W261" s="8" t="s">
        <v>25</v>
      </c>
      <c r="X261" s="9" t="s">
        <v>28</v>
      </c>
      <c r="Y261" s="9" t="s">
        <v>29</v>
      </c>
      <c r="Z261" s="9" t="s">
        <v>30</v>
      </c>
      <c r="AA261" s="10" t="s">
        <v>31</v>
      </c>
      <c r="AB261" s="7" t="s">
        <v>32</v>
      </c>
      <c r="AC261" s="7" t="s">
        <v>33</v>
      </c>
      <c r="AD261" s="7" t="s">
        <v>34</v>
      </c>
      <c r="AE261" s="7" t="s">
        <v>35</v>
      </c>
      <c r="AF261" s="7" t="s">
        <v>36</v>
      </c>
      <c r="AG261" s="7" t="s">
        <v>37</v>
      </c>
      <c r="AH261" s="7" t="s">
        <v>38</v>
      </c>
      <c r="AI261" s="7" t="s">
        <v>39</v>
      </c>
      <c r="AJ261" s="11" t="s">
        <v>40</v>
      </c>
      <c r="AK261" s="12" t="s">
        <v>41</v>
      </c>
    </row>
    <row r="262" spans="1:37" x14ac:dyDescent="0.25">
      <c r="A262" s="13">
        <v>44737</v>
      </c>
      <c r="B262" s="14" t="s">
        <v>1775</v>
      </c>
      <c r="C262" s="18" t="s">
        <v>1776</v>
      </c>
      <c r="D262" s="18" t="s">
        <v>1776</v>
      </c>
      <c r="E262" s="18" t="s">
        <v>1777</v>
      </c>
      <c r="F262" s="15">
        <v>9321216261</v>
      </c>
      <c r="G262" s="14" t="s">
        <v>1778</v>
      </c>
      <c r="H262" s="23" t="s">
        <v>1779</v>
      </c>
      <c r="I262" s="17" t="s">
        <v>1780</v>
      </c>
      <c r="J262" s="18" t="s">
        <v>1781</v>
      </c>
      <c r="K262" s="15" t="s">
        <v>1782</v>
      </c>
      <c r="L262" s="14" t="s">
        <v>1783</v>
      </c>
      <c r="M262" s="23" t="s">
        <v>80</v>
      </c>
      <c r="N262" s="42" t="s">
        <v>67</v>
      </c>
      <c r="O262" s="14" t="s">
        <v>53</v>
      </c>
      <c r="P262" s="15">
        <v>5840</v>
      </c>
      <c r="Q262" s="15">
        <v>5840</v>
      </c>
      <c r="R262" s="15">
        <v>0</v>
      </c>
      <c r="S262" s="15">
        <v>0</v>
      </c>
      <c r="T262" s="15">
        <v>0</v>
      </c>
      <c r="U262" s="15">
        <v>826</v>
      </c>
      <c r="V262" s="15">
        <v>4123</v>
      </c>
      <c r="W262" s="19">
        <v>0</v>
      </c>
      <c r="X262" s="20">
        <v>0</v>
      </c>
      <c r="Y262" s="20">
        <v>0</v>
      </c>
      <c r="Z262" s="20">
        <v>4949</v>
      </c>
      <c r="AA262" s="21">
        <v>4949</v>
      </c>
      <c r="AB262" s="57">
        <f>4949*18/100/2</f>
        <v>445.41</v>
      </c>
      <c r="AC262" s="57">
        <f>4949*18/100/2</f>
        <v>445.41</v>
      </c>
      <c r="AD262" s="57">
        <v>0</v>
      </c>
      <c r="AE262" s="57">
        <f>891-AB262-AC262</f>
        <v>0.17999999999994998</v>
      </c>
      <c r="AF262" s="18" t="s">
        <v>1776</v>
      </c>
      <c r="AG262" s="72"/>
      <c r="AH262" s="18" t="s">
        <v>1784</v>
      </c>
      <c r="AI262" s="24" t="s">
        <v>55</v>
      </c>
      <c r="AJ262" s="23"/>
      <c r="AK262" s="41" t="s">
        <v>1688</v>
      </c>
    </row>
    <row r="263" spans="1:37" x14ac:dyDescent="0.25">
      <c r="A263" s="13">
        <v>44737</v>
      </c>
      <c r="B263" s="23" t="s">
        <v>1785</v>
      </c>
      <c r="C263" s="18" t="s">
        <v>1786</v>
      </c>
      <c r="D263" s="18" t="s">
        <v>46</v>
      </c>
      <c r="E263" s="18" t="s">
        <v>1787</v>
      </c>
      <c r="F263" s="15">
        <v>9967780366</v>
      </c>
      <c r="G263" s="15" t="s">
        <v>1788</v>
      </c>
      <c r="H263" s="24" t="s">
        <v>1789</v>
      </c>
      <c r="I263" s="17" t="s">
        <v>1790</v>
      </c>
      <c r="J263" s="18" t="s">
        <v>1791</v>
      </c>
      <c r="K263" s="15" t="s">
        <v>196</v>
      </c>
      <c r="L263" s="14" t="s">
        <v>489</v>
      </c>
      <c r="M263" s="23" t="s">
        <v>80</v>
      </c>
      <c r="N263" s="42" t="s">
        <v>67</v>
      </c>
      <c r="O263" s="14" t="s">
        <v>68</v>
      </c>
      <c r="P263" s="15">
        <v>3000</v>
      </c>
      <c r="Q263" s="15">
        <v>3000</v>
      </c>
      <c r="R263" s="15">
        <v>0</v>
      </c>
      <c r="S263" s="15">
        <v>0</v>
      </c>
      <c r="T263" s="15">
        <v>0</v>
      </c>
      <c r="U263" s="15">
        <v>590</v>
      </c>
      <c r="V263" s="15">
        <v>1952</v>
      </c>
      <c r="W263" s="19">
        <v>0</v>
      </c>
      <c r="X263" s="20">
        <v>500</v>
      </c>
      <c r="Y263" s="20">
        <v>1042</v>
      </c>
      <c r="Z263" s="20">
        <v>1000</v>
      </c>
      <c r="AA263" s="21">
        <v>2542</v>
      </c>
      <c r="AB263" s="57">
        <f>2542*18/100/2</f>
        <v>228.78</v>
      </c>
      <c r="AC263" s="57">
        <f>2542*18/100/2</f>
        <v>228.78</v>
      </c>
      <c r="AD263" s="57">
        <v>0</v>
      </c>
      <c r="AE263" s="58">
        <f>458-AC263-AB263</f>
        <v>0.43999999999999773</v>
      </c>
      <c r="AF263" s="18" t="s">
        <v>1786</v>
      </c>
      <c r="AG263" s="58"/>
      <c r="AH263" s="18" t="s">
        <v>1792</v>
      </c>
      <c r="AI263" s="24" t="s">
        <v>55</v>
      </c>
      <c r="AJ263" s="23"/>
      <c r="AK263" s="41" t="s">
        <v>56</v>
      </c>
    </row>
    <row r="264" spans="1:37" x14ac:dyDescent="0.25">
      <c r="A264" s="13">
        <v>44737</v>
      </c>
      <c r="B264" s="23" t="s">
        <v>1793</v>
      </c>
      <c r="C264" s="18" t="s">
        <v>1794</v>
      </c>
      <c r="D264" s="18" t="s">
        <v>1795</v>
      </c>
      <c r="E264" s="18" t="s">
        <v>1796</v>
      </c>
      <c r="F264" s="15">
        <v>8000666639</v>
      </c>
      <c r="G264" s="14" t="s">
        <v>1797</v>
      </c>
      <c r="H264" s="24" t="s">
        <v>1798</v>
      </c>
      <c r="I264" s="17" t="s">
        <v>1799</v>
      </c>
      <c r="J264" s="18" t="s">
        <v>1800</v>
      </c>
      <c r="K264" s="15" t="s">
        <v>116</v>
      </c>
      <c r="L264" s="14" t="s">
        <v>117</v>
      </c>
      <c r="M264" s="24" t="s">
        <v>1801</v>
      </c>
      <c r="N264" s="42" t="s">
        <v>187</v>
      </c>
      <c r="O264" s="14" t="s">
        <v>53</v>
      </c>
      <c r="P264" s="15">
        <v>39480</v>
      </c>
      <c r="Q264" s="15">
        <v>39480</v>
      </c>
      <c r="R264" s="15">
        <v>0</v>
      </c>
      <c r="S264" s="15">
        <v>0</v>
      </c>
      <c r="T264" s="15">
        <v>16200</v>
      </c>
      <c r="U264" s="15">
        <v>0</v>
      </c>
      <c r="V264" s="15">
        <v>19729</v>
      </c>
      <c r="W264" s="19">
        <v>16200</v>
      </c>
      <c r="X264" s="20">
        <v>13153</v>
      </c>
      <c r="Y264" s="20">
        <v>0</v>
      </c>
      <c r="Z264" s="20">
        <v>6576</v>
      </c>
      <c r="AA264" s="21">
        <v>19729</v>
      </c>
      <c r="AB264" s="57">
        <v>0</v>
      </c>
      <c r="AC264" s="57">
        <v>0</v>
      </c>
      <c r="AD264" s="57">
        <f>19729*18/100</f>
        <v>3551.22</v>
      </c>
      <c r="AE264" s="58">
        <f>3551-AD264</f>
        <v>-0.21999999999979991</v>
      </c>
      <c r="AF264" s="18" t="s">
        <v>1794</v>
      </c>
      <c r="AG264" s="58"/>
      <c r="AH264" s="18" t="s">
        <v>1802</v>
      </c>
      <c r="AI264" s="24" t="s">
        <v>123</v>
      </c>
      <c r="AJ264" s="23"/>
      <c r="AK264" s="25" t="s">
        <v>1803</v>
      </c>
    </row>
    <row r="265" spans="1:37" x14ac:dyDescent="0.25">
      <c r="A265" s="13">
        <v>44737</v>
      </c>
      <c r="B265" s="23" t="s">
        <v>269</v>
      </c>
      <c r="C265" s="18" t="s">
        <v>1804</v>
      </c>
      <c r="D265" s="18" t="s">
        <v>46</v>
      </c>
      <c r="E265" s="18" t="s">
        <v>1805</v>
      </c>
      <c r="F265" s="15">
        <v>7977768057</v>
      </c>
      <c r="G265" s="14" t="s">
        <v>1806</v>
      </c>
      <c r="H265" s="24" t="s">
        <v>1807</v>
      </c>
      <c r="I265" s="17" t="s">
        <v>1808</v>
      </c>
      <c r="J265" s="18" t="s">
        <v>1809</v>
      </c>
      <c r="K265" s="15" t="s">
        <v>170</v>
      </c>
      <c r="L265" s="14" t="s">
        <v>489</v>
      </c>
      <c r="M265" s="24" t="s">
        <v>1810</v>
      </c>
      <c r="N265" s="42" t="s">
        <v>67</v>
      </c>
      <c r="O265" s="14" t="s">
        <v>993</v>
      </c>
      <c r="P265" s="15">
        <v>4180</v>
      </c>
      <c r="Q265" s="15">
        <v>4180</v>
      </c>
      <c r="R265" s="15">
        <v>0</v>
      </c>
      <c r="S265" s="15">
        <v>0</v>
      </c>
      <c r="T265" s="15">
        <v>0</v>
      </c>
      <c r="U265" s="15">
        <v>590</v>
      </c>
      <c r="V265" s="15">
        <v>2952</v>
      </c>
      <c r="W265" s="19">
        <v>0</v>
      </c>
      <c r="X265" s="20">
        <v>0</v>
      </c>
      <c r="Y265" s="20">
        <v>0</v>
      </c>
      <c r="Z265" s="20">
        <v>3542</v>
      </c>
      <c r="AA265" s="21">
        <v>3542</v>
      </c>
      <c r="AB265" s="57">
        <f>3542*18/100/2</f>
        <v>318.77999999999997</v>
      </c>
      <c r="AC265" s="57">
        <f>3542*18/100/2</f>
        <v>318.77999999999997</v>
      </c>
      <c r="AD265" s="57">
        <v>0</v>
      </c>
      <c r="AE265" s="58">
        <f>638-AC265-AB265</f>
        <v>0.44000000000005457</v>
      </c>
      <c r="AF265" s="18" t="s">
        <v>1804</v>
      </c>
      <c r="AG265" s="58"/>
      <c r="AH265" s="18" t="s">
        <v>1811</v>
      </c>
      <c r="AI265" s="24" t="s">
        <v>55</v>
      </c>
      <c r="AJ265" s="23"/>
      <c r="AK265" s="25" t="s">
        <v>56</v>
      </c>
    </row>
    <row r="266" spans="1:37" ht="75" x14ac:dyDescent="0.25">
      <c r="A266" s="13">
        <v>44737</v>
      </c>
      <c r="B266" s="24" t="s">
        <v>1812</v>
      </c>
      <c r="C266" s="18" t="s">
        <v>1813</v>
      </c>
      <c r="D266" s="18" t="s">
        <v>46</v>
      </c>
      <c r="E266" s="18" t="s">
        <v>1814</v>
      </c>
      <c r="F266" s="15" t="s">
        <v>1815</v>
      </c>
      <c r="G266" s="14" t="s">
        <v>1816</v>
      </c>
      <c r="H266" s="24" t="s">
        <v>46</v>
      </c>
      <c r="I266" s="17" t="s">
        <v>1817</v>
      </c>
      <c r="J266" s="18" t="s">
        <v>1818</v>
      </c>
      <c r="K266" s="15" t="s">
        <v>64</v>
      </c>
      <c r="L266" s="14" t="s">
        <v>1819</v>
      </c>
      <c r="M266" s="23" t="s">
        <v>1373</v>
      </c>
      <c r="N266" s="24" t="s">
        <v>935</v>
      </c>
      <c r="O266" s="14" t="s">
        <v>68</v>
      </c>
      <c r="P266" s="15">
        <v>12500</v>
      </c>
      <c r="Q266" s="15">
        <v>5000</v>
      </c>
      <c r="R266" s="15">
        <v>7500</v>
      </c>
      <c r="S266" s="15">
        <v>0</v>
      </c>
      <c r="T266" s="15">
        <v>1000</v>
      </c>
      <c r="U266" s="15">
        <v>3000</v>
      </c>
      <c r="V266" s="15">
        <v>6746</v>
      </c>
      <c r="W266" s="19">
        <v>1000</v>
      </c>
      <c r="X266" s="20">
        <v>0</v>
      </c>
      <c r="Y266" s="20">
        <v>0</v>
      </c>
      <c r="Z266" s="20">
        <v>9746</v>
      </c>
      <c r="AA266" s="21">
        <v>9746</v>
      </c>
      <c r="AB266" s="57">
        <v>0</v>
      </c>
      <c r="AC266" s="57">
        <v>0</v>
      </c>
      <c r="AD266" s="57">
        <f>9746*18/100</f>
        <v>1754.28</v>
      </c>
      <c r="AE266" s="58">
        <f>1754-AD266</f>
        <v>-0.27999999999997272</v>
      </c>
      <c r="AF266" s="18" t="s">
        <v>1813</v>
      </c>
      <c r="AG266" s="58" t="s">
        <v>1820</v>
      </c>
      <c r="AH266" s="18" t="s">
        <v>1821</v>
      </c>
      <c r="AI266" s="24" t="s">
        <v>55</v>
      </c>
      <c r="AJ266" s="23"/>
      <c r="AK266" s="79" t="s">
        <v>1822</v>
      </c>
    </row>
    <row r="267" spans="1:37" x14ac:dyDescent="0.25">
      <c r="A267" s="13">
        <v>44737</v>
      </c>
      <c r="B267" s="24" t="s">
        <v>1823</v>
      </c>
      <c r="C267" s="18" t="s">
        <v>46</v>
      </c>
      <c r="D267" s="18" t="s">
        <v>1824</v>
      </c>
      <c r="E267" s="18" t="s">
        <v>1825</v>
      </c>
      <c r="F267" s="15">
        <v>7507797759</v>
      </c>
      <c r="G267" s="14" t="s">
        <v>1826</v>
      </c>
      <c r="H267" s="24" t="s">
        <v>46</v>
      </c>
      <c r="I267" s="17" t="s">
        <v>1827</v>
      </c>
      <c r="J267" s="18" t="s">
        <v>1828</v>
      </c>
      <c r="K267" s="15" t="s">
        <v>420</v>
      </c>
      <c r="L267" s="14" t="s">
        <v>1829</v>
      </c>
      <c r="M267" s="23" t="s">
        <v>1830</v>
      </c>
      <c r="N267" s="42" t="s">
        <v>67</v>
      </c>
      <c r="O267" s="14" t="s">
        <v>336</v>
      </c>
      <c r="P267" s="15">
        <v>2400</v>
      </c>
      <c r="Q267" s="15">
        <v>2400</v>
      </c>
      <c r="R267" s="15">
        <v>0</v>
      </c>
      <c r="S267" s="15">
        <v>0</v>
      </c>
      <c r="T267" s="15">
        <v>0</v>
      </c>
      <c r="U267" s="15">
        <v>250</v>
      </c>
      <c r="V267" s="15">
        <v>2150</v>
      </c>
      <c r="W267" s="19">
        <v>0</v>
      </c>
      <c r="X267" s="20">
        <v>0</v>
      </c>
      <c r="Y267" s="20">
        <v>2400</v>
      </c>
      <c r="Z267" s="20">
        <v>0</v>
      </c>
      <c r="AA267" s="21">
        <v>0</v>
      </c>
      <c r="AB267" s="57">
        <v>0</v>
      </c>
      <c r="AC267" s="57">
        <v>0</v>
      </c>
      <c r="AD267" s="57">
        <v>0</v>
      </c>
      <c r="AE267" s="57">
        <v>0</v>
      </c>
      <c r="AF267" s="18" t="s">
        <v>1831</v>
      </c>
      <c r="AG267" s="58"/>
      <c r="AH267" s="18" t="s">
        <v>1832</v>
      </c>
      <c r="AI267" s="24" t="s">
        <v>55</v>
      </c>
      <c r="AJ267" s="23"/>
      <c r="AK267" s="25" t="s">
        <v>1093</v>
      </c>
    </row>
    <row r="268" spans="1:37" ht="15.75" thickBot="1" x14ac:dyDescent="0.3">
      <c r="A268" s="107" t="s">
        <v>137</v>
      </c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32">
        <f t="shared" ref="P268:AE268" si="20">SUM(P262:P267)</f>
        <v>67400</v>
      </c>
      <c r="Q268" s="32">
        <f t="shared" si="20"/>
        <v>59900</v>
      </c>
      <c r="R268" s="32">
        <f t="shared" si="20"/>
        <v>7500</v>
      </c>
      <c r="S268" s="32">
        <f t="shared" si="20"/>
        <v>0</v>
      </c>
      <c r="T268" s="32">
        <f t="shared" si="20"/>
        <v>17200</v>
      </c>
      <c r="U268" s="32">
        <f t="shared" si="20"/>
        <v>5256</v>
      </c>
      <c r="V268" s="32">
        <f t="shared" si="20"/>
        <v>37652</v>
      </c>
      <c r="W268" s="33">
        <f t="shared" si="20"/>
        <v>17200</v>
      </c>
      <c r="X268" s="34">
        <f t="shared" si="20"/>
        <v>13653</v>
      </c>
      <c r="Y268" s="34">
        <f t="shared" si="20"/>
        <v>3442</v>
      </c>
      <c r="Z268" s="34">
        <f t="shared" si="20"/>
        <v>25813</v>
      </c>
      <c r="AA268" s="35">
        <f t="shared" si="20"/>
        <v>40508</v>
      </c>
      <c r="AB268" s="32">
        <f t="shared" si="20"/>
        <v>992.97</v>
      </c>
      <c r="AC268" s="32">
        <f t="shared" si="20"/>
        <v>992.97</v>
      </c>
      <c r="AD268" s="32">
        <f t="shared" si="20"/>
        <v>5305.5</v>
      </c>
      <c r="AE268" s="32">
        <f t="shared" si="20"/>
        <v>0.56000000000022965</v>
      </c>
      <c r="AF268" s="109"/>
      <c r="AG268" s="109"/>
      <c r="AH268" s="109"/>
      <c r="AI268" s="36"/>
      <c r="AJ268" s="37"/>
      <c r="AK268" s="38"/>
    </row>
    <row r="269" spans="1:37" ht="15.75" thickBot="1" x14ac:dyDescent="0.3"/>
    <row r="270" spans="1:37" x14ac:dyDescent="0.25">
      <c r="A270" s="112" t="s">
        <v>0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4"/>
      <c r="X270" s="113" t="s">
        <v>1</v>
      </c>
      <c r="Y270" s="114"/>
      <c r="Z270" s="114"/>
      <c r="AA270" s="5" t="s">
        <v>225</v>
      </c>
      <c r="AB270" s="115" t="s">
        <v>3</v>
      </c>
      <c r="AC270" s="116"/>
      <c r="AD270" s="116"/>
      <c r="AE270" s="116"/>
      <c r="AF270" s="105" t="s">
        <v>4</v>
      </c>
      <c r="AG270" s="105"/>
      <c r="AH270" s="105"/>
      <c r="AI270" s="105" t="s">
        <v>5</v>
      </c>
      <c r="AJ270" s="105"/>
      <c r="AK270" s="106"/>
    </row>
    <row r="271" spans="1:37" x14ac:dyDescent="0.25">
      <c r="A271" s="6" t="s">
        <v>6</v>
      </c>
      <c r="B271" s="7" t="s">
        <v>7</v>
      </c>
      <c r="C271" s="7" t="s">
        <v>8</v>
      </c>
      <c r="D271" s="7" t="s">
        <v>9</v>
      </c>
      <c r="E271" s="7" t="s">
        <v>10</v>
      </c>
      <c r="F271" s="7" t="s">
        <v>11</v>
      </c>
      <c r="G271" s="7" t="s">
        <v>12</v>
      </c>
      <c r="H271" s="7" t="s">
        <v>13</v>
      </c>
      <c r="I271" s="7" t="s">
        <v>14</v>
      </c>
      <c r="J271" s="7" t="s">
        <v>15</v>
      </c>
      <c r="K271" s="7" t="s">
        <v>16</v>
      </c>
      <c r="L271" s="7" t="s">
        <v>17</v>
      </c>
      <c r="M271" s="7" t="s">
        <v>18</v>
      </c>
      <c r="N271" s="7" t="s">
        <v>19</v>
      </c>
      <c r="O271" s="7" t="s">
        <v>20</v>
      </c>
      <c r="P271" s="7" t="s">
        <v>21</v>
      </c>
      <c r="Q271" s="7" t="s">
        <v>22</v>
      </c>
      <c r="R271" s="7" t="s">
        <v>23</v>
      </c>
      <c r="S271" s="7" t="s">
        <v>24</v>
      </c>
      <c r="T271" s="7" t="s">
        <v>25</v>
      </c>
      <c r="U271" s="7" t="s">
        <v>26</v>
      </c>
      <c r="V271" s="7" t="s">
        <v>27</v>
      </c>
      <c r="W271" s="8" t="s">
        <v>25</v>
      </c>
      <c r="X271" s="9" t="s">
        <v>28</v>
      </c>
      <c r="Y271" s="9" t="s">
        <v>29</v>
      </c>
      <c r="Z271" s="9" t="s">
        <v>30</v>
      </c>
      <c r="AA271" s="10" t="s">
        <v>31</v>
      </c>
      <c r="AB271" s="7" t="s">
        <v>32</v>
      </c>
      <c r="AC271" s="7" t="s">
        <v>33</v>
      </c>
      <c r="AD271" s="7" t="s">
        <v>34</v>
      </c>
      <c r="AE271" s="7" t="s">
        <v>35</v>
      </c>
      <c r="AF271" s="7" t="s">
        <v>36</v>
      </c>
      <c r="AG271" s="7" t="s">
        <v>37</v>
      </c>
      <c r="AH271" s="7" t="s">
        <v>38</v>
      </c>
      <c r="AI271" s="7" t="s">
        <v>39</v>
      </c>
      <c r="AJ271" s="11" t="s">
        <v>40</v>
      </c>
      <c r="AK271" s="12" t="s">
        <v>41</v>
      </c>
    </row>
    <row r="272" spans="1:37" x14ac:dyDescent="0.25">
      <c r="A272" s="13">
        <v>44739</v>
      </c>
      <c r="B272" s="14" t="s">
        <v>1833</v>
      </c>
      <c r="C272" s="18" t="s">
        <v>1834</v>
      </c>
      <c r="D272" s="18" t="s">
        <v>46</v>
      </c>
      <c r="E272" s="18" t="s">
        <v>1835</v>
      </c>
      <c r="F272" s="15" t="s">
        <v>1836</v>
      </c>
      <c r="G272" s="14" t="s">
        <v>1837</v>
      </c>
      <c r="H272" s="14" t="s">
        <v>1838</v>
      </c>
      <c r="I272" s="17" t="s">
        <v>1839</v>
      </c>
      <c r="J272" s="18" t="s">
        <v>1840</v>
      </c>
      <c r="K272" s="15" t="s">
        <v>285</v>
      </c>
      <c r="L272" s="14" t="s">
        <v>1841</v>
      </c>
      <c r="M272" s="23" t="s">
        <v>80</v>
      </c>
      <c r="N272" s="42" t="s">
        <v>67</v>
      </c>
      <c r="O272" s="14" t="s">
        <v>560</v>
      </c>
      <c r="P272" s="15">
        <v>7300</v>
      </c>
      <c r="Q272" s="15">
        <v>7300</v>
      </c>
      <c r="R272" s="15">
        <v>0</v>
      </c>
      <c r="S272" s="15">
        <v>0</v>
      </c>
      <c r="T272" s="15">
        <v>614</v>
      </c>
      <c r="U272" s="15">
        <v>826</v>
      </c>
      <c r="V272" s="15">
        <v>4840</v>
      </c>
      <c r="W272" s="19">
        <v>614</v>
      </c>
      <c r="X272" s="20">
        <v>0</v>
      </c>
      <c r="Y272" s="20">
        <v>0</v>
      </c>
      <c r="Z272" s="20">
        <v>5666</v>
      </c>
      <c r="AA272" s="21">
        <v>5666</v>
      </c>
      <c r="AB272" s="57">
        <f>5666*18/100/2</f>
        <v>509.94</v>
      </c>
      <c r="AC272" s="57">
        <f>5666*18/100/2</f>
        <v>509.94</v>
      </c>
      <c r="AD272" s="57">
        <v>0</v>
      </c>
      <c r="AE272" s="57">
        <f>1020-AB272-AC272</f>
        <v>0.12000000000000455</v>
      </c>
      <c r="AF272" s="18" t="s">
        <v>1834</v>
      </c>
      <c r="AG272" s="57" t="s">
        <v>1842</v>
      </c>
      <c r="AH272" s="73"/>
      <c r="AI272" s="24" t="s">
        <v>55</v>
      </c>
      <c r="AJ272" s="23"/>
      <c r="AK272" s="41" t="s">
        <v>1843</v>
      </c>
    </row>
    <row r="273" spans="1:37" x14ac:dyDescent="0.25">
      <c r="A273" s="13">
        <v>44739</v>
      </c>
      <c r="B273" s="23" t="s">
        <v>350</v>
      </c>
      <c r="C273" s="18" t="s">
        <v>1844</v>
      </c>
      <c r="D273" s="18" t="s">
        <v>1845</v>
      </c>
      <c r="E273" s="18" t="s">
        <v>1846</v>
      </c>
      <c r="F273" s="15">
        <v>9824223145</v>
      </c>
      <c r="G273" s="14" t="s">
        <v>1847</v>
      </c>
      <c r="H273" s="14" t="s">
        <v>1848</v>
      </c>
      <c r="I273" s="17" t="s">
        <v>1849</v>
      </c>
      <c r="J273" s="18" t="s">
        <v>1850</v>
      </c>
      <c r="K273" s="15" t="s">
        <v>285</v>
      </c>
      <c r="L273" s="14" t="s">
        <v>1851</v>
      </c>
      <c r="M273" s="23" t="s">
        <v>335</v>
      </c>
      <c r="N273" s="23" t="s">
        <v>187</v>
      </c>
      <c r="O273" s="14" t="s">
        <v>53</v>
      </c>
      <c r="P273" s="15">
        <v>10400</v>
      </c>
      <c r="Q273" s="15">
        <v>10400</v>
      </c>
      <c r="R273" s="15">
        <v>0</v>
      </c>
      <c r="S273" s="15">
        <v>0</v>
      </c>
      <c r="T273" s="15">
        <v>4870</v>
      </c>
      <c r="U273" s="15">
        <v>500</v>
      </c>
      <c r="V273" s="15">
        <v>4186</v>
      </c>
      <c r="W273" s="19">
        <v>4870</v>
      </c>
      <c r="X273" s="20">
        <v>0</v>
      </c>
      <c r="Y273" s="20">
        <v>0</v>
      </c>
      <c r="Z273" s="20">
        <v>4686</v>
      </c>
      <c r="AA273" s="21">
        <v>4686</v>
      </c>
      <c r="AB273" s="57">
        <v>0</v>
      </c>
      <c r="AC273" s="57">
        <v>0</v>
      </c>
      <c r="AD273" s="57">
        <f>4686*18/100</f>
        <v>843.48</v>
      </c>
      <c r="AE273" s="57">
        <f>844-AD273</f>
        <v>0.51999999999998181</v>
      </c>
      <c r="AF273" s="18" t="s">
        <v>1852</v>
      </c>
      <c r="AG273" s="57"/>
      <c r="AH273" s="73"/>
      <c r="AI273" s="24" t="s">
        <v>55</v>
      </c>
      <c r="AJ273" s="23"/>
      <c r="AK273" s="41" t="s">
        <v>413</v>
      </c>
    </row>
    <row r="274" spans="1:37" x14ac:dyDescent="0.25">
      <c r="A274" s="13">
        <v>44739</v>
      </c>
      <c r="B274" s="23" t="s">
        <v>1853</v>
      </c>
      <c r="C274" s="18" t="s">
        <v>1854</v>
      </c>
      <c r="D274" s="18" t="s">
        <v>46</v>
      </c>
      <c r="E274" s="18" t="s">
        <v>1855</v>
      </c>
      <c r="F274" s="15">
        <v>9494792191</v>
      </c>
      <c r="G274" s="14" t="s">
        <v>1856</v>
      </c>
      <c r="H274" s="18" t="s">
        <v>1857</v>
      </c>
      <c r="I274" s="17" t="s">
        <v>1858</v>
      </c>
      <c r="J274" s="18" t="s">
        <v>1859</v>
      </c>
      <c r="K274" s="15" t="s">
        <v>78</v>
      </c>
      <c r="L274" s="14" t="s">
        <v>1860</v>
      </c>
      <c r="M274" s="23" t="s">
        <v>1046</v>
      </c>
      <c r="N274" s="23" t="s">
        <v>1861</v>
      </c>
      <c r="O274" s="14" t="s">
        <v>68</v>
      </c>
      <c r="P274" s="15">
        <v>3540</v>
      </c>
      <c r="Q274" s="15">
        <v>1500</v>
      </c>
      <c r="R274" s="15">
        <v>2040</v>
      </c>
      <c r="S274" s="15">
        <v>0</v>
      </c>
      <c r="T274" s="15">
        <v>614</v>
      </c>
      <c r="U274" s="15">
        <v>0</v>
      </c>
      <c r="V274" s="15">
        <v>2480</v>
      </c>
      <c r="W274" s="19">
        <v>614</v>
      </c>
      <c r="X274" s="20">
        <v>0</v>
      </c>
      <c r="Y274" s="20">
        <v>0</v>
      </c>
      <c r="Z274" s="20">
        <v>2480</v>
      </c>
      <c r="AA274" s="21">
        <v>2480</v>
      </c>
      <c r="AB274" s="57">
        <v>0</v>
      </c>
      <c r="AC274" s="57">
        <v>0</v>
      </c>
      <c r="AD274" s="57">
        <f>2480*18/100</f>
        <v>446.4</v>
      </c>
      <c r="AE274" s="57">
        <f>446-AD274</f>
        <v>-0.39999999999997726</v>
      </c>
      <c r="AF274" s="18" t="s">
        <v>1862</v>
      </c>
      <c r="AG274" s="57"/>
      <c r="AH274" s="73"/>
      <c r="AI274" s="24" t="s">
        <v>55</v>
      </c>
      <c r="AJ274" s="23"/>
      <c r="AK274" s="41" t="s">
        <v>491</v>
      </c>
    </row>
    <row r="275" spans="1:37" x14ac:dyDescent="0.25">
      <c r="A275" s="13">
        <v>44739</v>
      </c>
      <c r="B275" s="14" t="s">
        <v>1863</v>
      </c>
      <c r="C275" s="18" t="s">
        <v>1864</v>
      </c>
      <c r="D275" s="18" t="s">
        <v>46</v>
      </c>
      <c r="E275" s="23" t="s">
        <v>1865</v>
      </c>
      <c r="F275" s="15">
        <v>7259779520</v>
      </c>
      <c r="G275" s="14" t="s">
        <v>1866</v>
      </c>
      <c r="H275" s="14" t="s">
        <v>1867</v>
      </c>
      <c r="I275" s="17" t="s">
        <v>1868</v>
      </c>
      <c r="J275" s="18" t="s">
        <v>1869</v>
      </c>
      <c r="K275" s="15" t="s">
        <v>184</v>
      </c>
      <c r="L275" s="14" t="s">
        <v>185</v>
      </c>
      <c r="M275" s="24" t="s">
        <v>211</v>
      </c>
      <c r="N275" s="23" t="s">
        <v>212</v>
      </c>
      <c r="O275" s="14" t="s">
        <v>1870</v>
      </c>
      <c r="P275" s="15">
        <v>1480</v>
      </c>
      <c r="Q275" s="15">
        <v>1480</v>
      </c>
      <c r="R275" s="15">
        <v>0</v>
      </c>
      <c r="S275" s="15">
        <v>0</v>
      </c>
      <c r="T275" s="15">
        <v>0</v>
      </c>
      <c r="U275" s="15">
        <v>0</v>
      </c>
      <c r="V275" s="15">
        <v>1254</v>
      </c>
      <c r="W275" s="19">
        <v>0</v>
      </c>
      <c r="X275" s="20">
        <v>0</v>
      </c>
      <c r="Y275" s="20">
        <v>0</v>
      </c>
      <c r="Z275" s="20">
        <v>1254</v>
      </c>
      <c r="AA275" s="21">
        <v>1254</v>
      </c>
      <c r="AB275" s="57">
        <v>0</v>
      </c>
      <c r="AC275" s="57">
        <v>0</v>
      </c>
      <c r="AD275" s="57">
        <f>1254*18/100</f>
        <v>225.72</v>
      </c>
      <c r="AE275" s="57">
        <f>226-AD275</f>
        <v>0.28000000000000114</v>
      </c>
      <c r="AF275" s="18" t="s">
        <v>1864</v>
      </c>
      <c r="AG275" s="57" t="s">
        <v>1871</v>
      </c>
      <c r="AH275" s="73"/>
      <c r="AI275" s="24" t="s">
        <v>55</v>
      </c>
      <c r="AJ275" s="23"/>
      <c r="AK275" s="41" t="s">
        <v>46</v>
      </c>
    </row>
    <row r="276" spans="1:37" x14ac:dyDescent="0.25">
      <c r="A276" s="13">
        <v>44739</v>
      </c>
      <c r="B276" s="23" t="s">
        <v>1853</v>
      </c>
      <c r="C276" s="18" t="s">
        <v>1872</v>
      </c>
      <c r="D276" s="18" t="s">
        <v>46</v>
      </c>
      <c r="E276" s="18" t="s">
        <v>1873</v>
      </c>
      <c r="F276" s="15">
        <v>8897744007</v>
      </c>
      <c r="G276" s="14" t="s">
        <v>1874</v>
      </c>
      <c r="H276" s="23" t="s">
        <v>46</v>
      </c>
      <c r="I276" s="17" t="s">
        <v>1875</v>
      </c>
      <c r="J276" s="18" t="s">
        <v>1876</v>
      </c>
      <c r="K276" s="15" t="s">
        <v>78</v>
      </c>
      <c r="L276" s="14" t="s">
        <v>1877</v>
      </c>
      <c r="M276" s="23" t="s">
        <v>1046</v>
      </c>
      <c r="N276" s="23" t="s">
        <v>1861</v>
      </c>
      <c r="O276" s="14" t="s">
        <v>68</v>
      </c>
      <c r="P276" s="15">
        <v>3000</v>
      </c>
      <c r="Q276" s="15">
        <v>3000</v>
      </c>
      <c r="R276" s="15">
        <v>0</v>
      </c>
      <c r="S276" s="15">
        <v>0</v>
      </c>
      <c r="T276" s="15">
        <v>614</v>
      </c>
      <c r="U276" s="15">
        <v>0</v>
      </c>
      <c r="V276" s="15">
        <v>2022</v>
      </c>
      <c r="W276" s="19">
        <v>614</v>
      </c>
      <c r="X276" s="20">
        <v>0</v>
      </c>
      <c r="Y276" s="20">
        <v>0</v>
      </c>
      <c r="Z276" s="20">
        <v>2022</v>
      </c>
      <c r="AA276" s="21">
        <v>2022</v>
      </c>
      <c r="AB276" s="57">
        <v>0</v>
      </c>
      <c r="AC276" s="57">
        <v>0</v>
      </c>
      <c r="AD276" s="57">
        <f>2022*18/100</f>
        <v>363.96</v>
      </c>
      <c r="AE276" s="57">
        <f>364-AD276</f>
        <v>4.0000000000020464E-2</v>
      </c>
      <c r="AF276" s="18" t="s">
        <v>1872</v>
      </c>
      <c r="AG276" s="57"/>
      <c r="AH276" s="73"/>
      <c r="AI276" s="24" t="s">
        <v>55</v>
      </c>
      <c r="AJ276" s="23"/>
      <c r="AK276" s="41" t="s">
        <v>491</v>
      </c>
    </row>
    <row r="277" spans="1:37" x14ac:dyDescent="0.25">
      <c r="A277" s="13">
        <v>44739</v>
      </c>
      <c r="B277" s="14" t="s">
        <v>1878</v>
      </c>
      <c r="C277" s="18" t="s">
        <v>1879</v>
      </c>
      <c r="D277" s="18" t="s">
        <v>1880</v>
      </c>
      <c r="E277" s="18" t="s">
        <v>1881</v>
      </c>
      <c r="F277" s="15">
        <v>9930042684</v>
      </c>
      <c r="G277" s="14" t="s">
        <v>1882</v>
      </c>
      <c r="H277" s="23" t="s">
        <v>46</v>
      </c>
      <c r="I277" s="17" t="s">
        <v>1883</v>
      </c>
      <c r="J277" s="18" t="s">
        <v>1884</v>
      </c>
      <c r="K277" s="15" t="s">
        <v>170</v>
      </c>
      <c r="L277" s="14" t="s">
        <v>489</v>
      </c>
      <c r="M277" s="23" t="s">
        <v>80</v>
      </c>
      <c r="N277" s="42" t="s">
        <v>67</v>
      </c>
      <c r="O277" s="14" t="s">
        <v>68</v>
      </c>
      <c r="P277" s="15">
        <v>20400</v>
      </c>
      <c r="Q277" s="15">
        <v>20400</v>
      </c>
      <c r="R277" s="15">
        <v>0</v>
      </c>
      <c r="S277" s="15">
        <v>0</v>
      </c>
      <c r="T277" s="15">
        <v>4870</v>
      </c>
      <c r="U277" s="15">
        <v>4630</v>
      </c>
      <c r="V277" s="15">
        <v>8531</v>
      </c>
      <c r="W277" s="19">
        <v>4870</v>
      </c>
      <c r="X277" s="20">
        <v>0</v>
      </c>
      <c r="Y277" s="20">
        <v>0</v>
      </c>
      <c r="Z277" s="20">
        <v>13161</v>
      </c>
      <c r="AA277" s="21">
        <v>13161</v>
      </c>
      <c r="AB277" s="57">
        <f>13161*18/100/2</f>
        <v>1184.49</v>
      </c>
      <c r="AC277" s="57">
        <f>13161*18/100/2</f>
        <v>1184.49</v>
      </c>
      <c r="AD277" s="57">
        <v>0</v>
      </c>
      <c r="AE277" s="57">
        <f>2369-AC277-AB277</f>
        <v>1.999999999998181E-2</v>
      </c>
      <c r="AF277" s="18" t="s">
        <v>1879</v>
      </c>
      <c r="AG277" s="57" t="s">
        <v>1885</v>
      </c>
      <c r="AH277" s="73"/>
      <c r="AI277" s="24" t="s">
        <v>55</v>
      </c>
      <c r="AJ277" s="23"/>
      <c r="AK277" s="41" t="s">
        <v>1886</v>
      </c>
    </row>
    <row r="278" spans="1:37" x14ac:dyDescent="0.25">
      <c r="A278" s="13">
        <v>44739</v>
      </c>
      <c r="B278" s="14" t="s">
        <v>1887</v>
      </c>
      <c r="C278" s="18" t="s">
        <v>1888</v>
      </c>
      <c r="D278" s="18" t="s">
        <v>46</v>
      </c>
      <c r="E278" s="18" t="s">
        <v>1889</v>
      </c>
      <c r="F278" s="15" t="s">
        <v>1890</v>
      </c>
      <c r="G278" s="14" t="s">
        <v>1891</v>
      </c>
      <c r="H278" s="14" t="s">
        <v>1892</v>
      </c>
      <c r="I278" s="17" t="s">
        <v>1893</v>
      </c>
      <c r="J278" s="18" t="s">
        <v>1894</v>
      </c>
      <c r="K278" s="15" t="s">
        <v>196</v>
      </c>
      <c r="L278" s="14" t="s">
        <v>489</v>
      </c>
      <c r="M278" s="23" t="s">
        <v>1767</v>
      </c>
      <c r="N278" s="42" t="s">
        <v>173</v>
      </c>
      <c r="O278" s="14" t="s">
        <v>68</v>
      </c>
      <c r="P278" s="15">
        <v>2600</v>
      </c>
      <c r="Q278" s="15">
        <v>2600</v>
      </c>
      <c r="R278" s="15">
        <v>0</v>
      </c>
      <c r="S278" s="15">
        <v>0</v>
      </c>
      <c r="T278" s="15">
        <v>211</v>
      </c>
      <c r="U278" s="15">
        <v>0</v>
      </c>
      <c r="V278" s="15">
        <v>2025</v>
      </c>
      <c r="W278" s="19">
        <v>211</v>
      </c>
      <c r="X278" s="20">
        <v>500</v>
      </c>
      <c r="Y278" s="20">
        <v>0</v>
      </c>
      <c r="Z278" s="20">
        <v>1525</v>
      </c>
      <c r="AA278" s="21">
        <v>2025</v>
      </c>
      <c r="AB278" s="57">
        <v>0</v>
      </c>
      <c r="AC278" s="57">
        <v>0</v>
      </c>
      <c r="AD278" s="57">
        <f>2025*18/100</f>
        <v>364.5</v>
      </c>
      <c r="AE278" s="57">
        <f>364-AD278</f>
        <v>-0.5</v>
      </c>
      <c r="AF278" s="18" t="s">
        <v>1888</v>
      </c>
      <c r="AG278" s="72"/>
      <c r="AH278" s="73"/>
      <c r="AI278" s="24" t="s">
        <v>55</v>
      </c>
      <c r="AJ278" s="23"/>
      <c r="AK278" s="41" t="s">
        <v>1895</v>
      </c>
    </row>
    <row r="279" spans="1:37" ht="15.75" thickBot="1" x14ac:dyDescent="0.3">
      <c r="A279" s="107" t="s">
        <v>137</v>
      </c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32">
        <f t="shared" ref="P279:AE279" si="21">SUM(P272:P278)</f>
        <v>48720</v>
      </c>
      <c r="Q279" s="32">
        <f t="shared" si="21"/>
        <v>46680</v>
      </c>
      <c r="R279" s="32">
        <f t="shared" si="21"/>
        <v>2040</v>
      </c>
      <c r="S279" s="32">
        <f t="shared" si="21"/>
        <v>0</v>
      </c>
      <c r="T279" s="32">
        <f t="shared" si="21"/>
        <v>11793</v>
      </c>
      <c r="U279" s="32">
        <f t="shared" si="21"/>
        <v>5956</v>
      </c>
      <c r="V279" s="32">
        <f t="shared" si="21"/>
        <v>25338</v>
      </c>
      <c r="W279" s="33">
        <f t="shared" si="21"/>
        <v>11793</v>
      </c>
      <c r="X279" s="34">
        <f t="shared" si="21"/>
        <v>500</v>
      </c>
      <c r="Y279" s="34">
        <f t="shared" si="21"/>
        <v>0</v>
      </c>
      <c r="Z279" s="34">
        <f t="shared" si="21"/>
        <v>30794</v>
      </c>
      <c r="AA279" s="35">
        <f t="shared" si="21"/>
        <v>31294</v>
      </c>
      <c r="AB279" s="32">
        <f t="shared" si="21"/>
        <v>1694.43</v>
      </c>
      <c r="AC279" s="32">
        <f t="shared" si="21"/>
        <v>1694.43</v>
      </c>
      <c r="AD279" s="32">
        <f t="shared" si="21"/>
        <v>2244.0600000000004</v>
      </c>
      <c r="AE279" s="32">
        <f t="shared" si="21"/>
        <v>8.0000000000012506E-2</v>
      </c>
      <c r="AF279" s="109"/>
      <c r="AG279" s="109"/>
      <c r="AH279" s="109"/>
      <c r="AI279" s="36"/>
      <c r="AJ279" s="37"/>
      <c r="AK279" s="38"/>
    </row>
    <row r="280" spans="1:37" ht="15.75" thickBot="1" x14ac:dyDescent="0.3"/>
    <row r="281" spans="1:37" x14ac:dyDescent="0.25">
      <c r="A281" s="112" t="s">
        <v>0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4"/>
      <c r="X281" s="113" t="s">
        <v>1</v>
      </c>
      <c r="Y281" s="114"/>
      <c r="Z281" s="114"/>
      <c r="AA281" s="5" t="s">
        <v>225</v>
      </c>
      <c r="AB281" s="115" t="s">
        <v>3</v>
      </c>
      <c r="AC281" s="116"/>
      <c r="AD281" s="116"/>
      <c r="AE281" s="116"/>
      <c r="AF281" s="105" t="s">
        <v>4</v>
      </c>
      <c r="AG281" s="105"/>
      <c r="AH281" s="105"/>
      <c r="AI281" s="105" t="s">
        <v>5</v>
      </c>
      <c r="AJ281" s="105"/>
      <c r="AK281" s="106"/>
    </row>
    <row r="282" spans="1:37" x14ac:dyDescent="0.25">
      <c r="A282" s="6" t="s">
        <v>6</v>
      </c>
      <c r="B282" s="7" t="s">
        <v>7</v>
      </c>
      <c r="C282" s="7" t="s">
        <v>8</v>
      </c>
      <c r="D282" s="7" t="s">
        <v>9</v>
      </c>
      <c r="E282" s="7" t="s">
        <v>10</v>
      </c>
      <c r="F282" s="7" t="s">
        <v>11</v>
      </c>
      <c r="G282" s="7" t="s">
        <v>12</v>
      </c>
      <c r="H282" s="7" t="s">
        <v>13</v>
      </c>
      <c r="I282" s="7" t="s">
        <v>14</v>
      </c>
      <c r="J282" s="7" t="s">
        <v>15</v>
      </c>
      <c r="K282" s="7" t="s">
        <v>16</v>
      </c>
      <c r="L282" s="7" t="s">
        <v>17</v>
      </c>
      <c r="M282" s="7" t="s">
        <v>18</v>
      </c>
      <c r="N282" s="7" t="s">
        <v>19</v>
      </c>
      <c r="O282" s="7" t="s">
        <v>20</v>
      </c>
      <c r="P282" s="7" t="s">
        <v>21</v>
      </c>
      <c r="Q282" s="7" t="s">
        <v>22</v>
      </c>
      <c r="R282" s="7" t="s">
        <v>23</v>
      </c>
      <c r="S282" s="7" t="s">
        <v>24</v>
      </c>
      <c r="T282" s="7" t="s">
        <v>25</v>
      </c>
      <c r="U282" s="7" t="s">
        <v>26</v>
      </c>
      <c r="V282" s="7" t="s">
        <v>27</v>
      </c>
      <c r="W282" s="8" t="s">
        <v>25</v>
      </c>
      <c r="X282" s="9" t="s">
        <v>28</v>
      </c>
      <c r="Y282" s="9" t="s">
        <v>29</v>
      </c>
      <c r="Z282" s="9" t="s">
        <v>30</v>
      </c>
      <c r="AA282" s="10" t="s">
        <v>31</v>
      </c>
      <c r="AB282" s="7" t="s">
        <v>32</v>
      </c>
      <c r="AC282" s="7" t="s">
        <v>33</v>
      </c>
      <c r="AD282" s="7" t="s">
        <v>34</v>
      </c>
      <c r="AE282" s="7" t="s">
        <v>35</v>
      </c>
      <c r="AF282" s="7" t="s">
        <v>36</v>
      </c>
      <c r="AG282" s="7" t="s">
        <v>37</v>
      </c>
      <c r="AH282" s="7" t="s">
        <v>38</v>
      </c>
      <c r="AI282" s="7" t="s">
        <v>39</v>
      </c>
      <c r="AJ282" s="11" t="s">
        <v>40</v>
      </c>
      <c r="AK282" s="12" t="s">
        <v>41</v>
      </c>
    </row>
    <row r="283" spans="1:37" x14ac:dyDescent="0.25">
      <c r="A283" s="13">
        <v>44740</v>
      </c>
      <c r="B283" s="23" t="s">
        <v>350</v>
      </c>
      <c r="C283" s="18" t="s">
        <v>1896</v>
      </c>
      <c r="D283" s="18" t="s">
        <v>1897</v>
      </c>
      <c r="E283" s="18" t="s">
        <v>1898</v>
      </c>
      <c r="F283" s="15">
        <v>9890791200</v>
      </c>
      <c r="G283" s="14" t="s">
        <v>1899</v>
      </c>
      <c r="H283" s="14" t="s">
        <v>46</v>
      </c>
      <c r="I283" s="17" t="s">
        <v>1900</v>
      </c>
      <c r="J283" s="18" t="s">
        <v>1901</v>
      </c>
      <c r="K283" s="15" t="s">
        <v>285</v>
      </c>
      <c r="L283" s="14" t="s">
        <v>1902</v>
      </c>
      <c r="M283" s="23" t="s">
        <v>1903</v>
      </c>
      <c r="N283" s="42" t="s">
        <v>67</v>
      </c>
      <c r="O283" s="14" t="s">
        <v>68</v>
      </c>
      <c r="P283" s="15">
        <v>9800</v>
      </c>
      <c r="Q283" s="15">
        <v>6000</v>
      </c>
      <c r="R283" s="15">
        <v>3800</v>
      </c>
      <c r="S283" s="15">
        <v>0</v>
      </c>
      <c r="T283" s="15">
        <v>4870</v>
      </c>
      <c r="U283" s="15">
        <v>500</v>
      </c>
      <c r="V283" s="15">
        <v>3678</v>
      </c>
      <c r="W283" s="19">
        <v>4870</v>
      </c>
      <c r="X283" s="20">
        <v>0</v>
      </c>
      <c r="Y283" s="20">
        <v>0</v>
      </c>
      <c r="Z283" s="20">
        <v>4178</v>
      </c>
      <c r="AA283" s="21">
        <v>4178</v>
      </c>
      <c r="AB283" s="57">
        <f>4178*18/100/2</f>
        <v>376.02</v>
      </c>
      <c r="AC283" s="57">
        <f>4178*18/100/2</f>
        <v>376.02</v>
      </c>
      <c r="AD283" s="57">
        <v>0</v>
      </c>
      <c r="AE283" s="57">
        <f>752-AC283-AB283</f>
        <v>-3.999999999996362E-2</v>
      </c>
      <c r="AF283" s="18" t="s">
        <v>1896</v>
      </c>
      <c r="AG283" s="57" t="s">
        <v>1904</v>
      </c>
      <c r="AH283" s="73"/>
      <c r="AI283" s="24" t="s">
        <v>55</v>
      </c>
      <c r="AJ283" s="23"/>
      <c r="AK283" s="41" t="s">
        <v>1905</v>
      </c>
    </row>
    <row r="284" spans="1:37" x14ac:dyDescent="0.25">
      <c r="A284" s="13">
        <v>44740</v>
      </c>
      <c r="B284" s="23" t="s">
        <v>1906</v>
      </c>
      <c r="C284" s="18" t="s">
        <v>1907</v>
      </c>
      <c r="D284" s="18" t="s">
        <v>1908</v>
      </c>
      <c r="E284" s="18" t="s">
        <v>1909</v>
      </c>
      <c r="F284" s="15" t="s">
        <v>1910</v>
      </c>
      <c r="G284" s="14" t="s">
        <v>1911</v>
      </c>
      <c r="H284" s="23" t="s">
        <v>1912</v>
      </c>
      <c r="I284" s="17" t="s">
        <v>1913</v>
      </c>
      <c r="J284" s="18" t="s">
        <v>1914</v>
      </c>
      <c r="K284" s="15" t="s">
        <v>103</v>
      </c>
      <c r="L284" s="14" t="s">
        <v>185</v>
      </c>
      <c r="M284" s="23" t="s">
        <v>1915</v>
      </c>
      <c r="N284" s="23" t="s">
        <v>119</v>
      </c>
      <c r="O284" s="14" t="s">
        <v>1916</v>
      </c>
      <c r="P284" s="15">
        <v>6300</v>
      </c>
      <c r="Q284" s="15">
        <v>6300</v>
      </c>
      <c r="R284" s="15">
        <v>0</v>
      </c>
      <c r="S284" s="15">
        <v>0</v>
      </c>
      <c r="T284" s="15">
        <v>2700</v>
      </c>
      <c r="U284" s="15">
        <v>0</v>
      </c>
      <c r="V284" s="15">
        <v>3051</v>
      </c>
      <c r="W284" s="19">
        <v>2700</v>
      </c>
      <c r="X284" s="20">
        <v>0</v>
      </c>
      <c r="Y284" s="20">
        <v>0</v>
      </c>
      <c r="Z284" s="20">
        <v>3051</v>
      </c>
      <c r="AA284" s="21">
        <v>3051</v>
      </c>
      <c r="AB284" s="57">
        <v>0</v>
      </c>
      <c r="AC284" s="57">
        <v>0</v>
      </c>
      <c r="AD284" s="57">
        <f>3051*18/100</f>
        <v>549.17999999999995</v>
      </c>
      <c r="AE284" s="57">
        <f>549-AD284</f>
        <v>-0.17999999999994998</v>
      </c>
      <c r="AF284" s="18" t="s">
        <v>1907</v>
      </c>
      <c r="AG284" s="57" t="s">
        <v>1917</v>
      </c>
      <c r="AH284" s="73"/>
      <c r="AI284" s="24" t="s">
        <v>55</v>
      </c>
      <c r="AJ284" s="23"/>
      <c r="AK284" s="41" t="s">
        <v>1918</v>
      </c>
    </row>
    <row r="285" spans="1:37" x14ac:dyDescent="0.25">
      <c r="A285" s="13">
        <v>44740</v>
      </c>
      <c r="B285" s="23" t="s">
        <v>1887</v>
      </c>
      <c r="C285" s="18" t="s">
        <v>1919</v>
      </c>
      <c r="D285" s="18" t="s">
        <v>46</v>
      </c>
      <c r="E285" s="18" t="s">
        <v>1920</v>
      </c>
      <c r="F285" s="15">
        <v>7278444454</v>
      </c>
      <c r="G285" s="14" t="s">
        <v>1921</v>
      </c>
      <c r="H285" s="14" t="s">
        <v>46</v>
      </c>
      <c r="I285" s="17" t="s">
        <v>1922</v>
      </c>
      <c r="J285" s="18" t="s">
        <v>1923</v>
      </c>
      <c r="K285" s="15" t="s">
        <v>196</v>
      </c>
      <c r="L285" s="14" t="s">
        <v>489</v>
      </c>
      <c r="M285" s="23" t="s">
        <v>80</v>
      </c>
      <c r="N285" s="42" t="s">
        <v>67</v>
      </c>
      <c r="O285" s="14" t="s">
        <v>68</v>
      </c>
      <c r="P285" s="15">
        <v>1500</v>
      </c>
      <c r="Q285" s="15">
        <v>1500</v>
      </c>
      <c r="R285" s="15">
        <v>0</v>
      </c>
      <c r="S285" s="15">
        <v>0</v>
      </c>
      <c r="T285" s="15">
        <v>211</v>
      </c>
      <c r="U285" s="15">
        <v>0</v>
      </c>
      <c r="V285" s="15">
        <v>1092</v>
      </c>
      <c r="W285" s="19">
        <v>211</v>
      </c>
      <c r="X285" s="20">
        <v>500</v>
      </c>
      <c r="Y285" s="20">
        <v>0</v>
      </c>
      <c r="Z285" s="20">
        <v>592</v>
      </c>
      <c r="AA285" s="21">
        <v>1092</v>
      </c>
      <c r="AB285" s="57">
        <f>1092*18/100/2</f>
        <v>98.28</v>
      </c>
      <c r="AC285" s="57">
        <f>1092*18/100/2</f>
        <v>98.28</v>
      </c>
      <c r="AD285" s="57">
        <v>0</v>
      </c>
      <c r="AE285" s="57">
        <f>197-AC285-AB285</f>
        <v>0.43999999999999773</v>
      </c>
      <c r="AF285" s="18" t="s">
        <v>1919</v>
      </c>
      <c r="AG285" s="57"/>
      <c r="AH285" s="73"/>
      <c r="AI285" s="24" t="s">
        <v>55</v>
      </c>
      <c r="AJ285" s="23"/>
      <c r="AK285" s="41" t="s">
        <v>1895</v>
      </c>
    </row>
    <row r="286" spans="1:37" x14ac:dyDescent="0.25">
      <c r="A286" s="13">
        <v>44740</v>
      </c>
      <c r="B286" s="23" t="s">
        <v>1924</v>
      </c>
      <c r="C286" s="18" t="s">
        <v>1925</v>
      </c>
      <c r="D286" s="18" t="s">
        <v>46</v>
      </c>
      <c r="E286" s="18" t="s">
        <v>1926</v>
      </c>
      <c r="F286" s="15">
        <v>7757055242</v>
      </c>
      <c r="G286" s="14" t="s">
        <v>1927</v>
      </c>
      <c r="H286" s="23" t="s">
        <v>1928</v>
      </c>
      <c r="I286" s="17" t="s">
        <v>1929</v>
      </c>
      <c r="J286" s="18" t="s">
        <v>1930</v>
      </c>
      <c r="K286" s="15" t="s">
        <v>184</v>
      </c>
      <c r="L286" s="14" t="s">
        <v>1686</v>
      </c>
      <c r="M286" s="23" t="s">
        <v>80</v>
      </c>
      <c r="N286" s="42" t="s">
        <v>67</v>
      </c>
      <c r="O286" s="14" t="s">
        <v>53</v>
      </c>
      <c r="P286" s="15">
        <v>5890</v>
      </c>
      <c r="Q286" s="15">
        <v>5890</v>
      </c>
      <c r="R286" s="15">
        <v>0</v>
      </c>
      <c r="S286" s="15">
        <v>0</v>
      </c>
      <c r="T286" s="15">
        <v>0</v>
      </c>
      <c r="U286" s="15">
        <v>826</v>
      </c>
      <c r="V286" s="15">
        <v>4166</v>
      </c>
      <c r="W286" s="19">
        <v>0</v>
      </c>
      <c r="X286" s="20">
        <v>0</v>
      </c>
      <c r="Y286" s="20">
        <v>0</v>
      </c>
      <c r="Z286" s="20">
        <v>4992</v>
      </c>
      <c r="AA286" s="21">
        <v>4992</v>
      </c>
      <c r="AB286" s="57">
        <f>4992*18/100/2</f>
        <v>449.28</v>
      </c>
      <c r="AC286" s="57">
        <f>4992*18/100/2</f>
        <v>449.28</v>
      </c>
      <c r="AD286" s="57">
        <v>0</v>
      </c>
      <c r="AE286" s="57">
        <f>898-AC286-AB286</f>
        <v>-0.55999999999994543</v>
      </c>
      <c r="AF286" s="18" t="s">
        <v>1931</v>
      </c>
      <c r="AG286" s="57"/>
      <c r="AH286" s="73"/>
      <c r="AI286" s="24" t="s">
        <v>55</v>
      </c>
      <c r="AJ286" s="23"/>
      <c r="AK286" s="41" t="s">
        <v>1932</v>
      </c>
    </row>
    <row r="287" spans="1:37" x14ac:dyDescent="0.25">
      <c r="A287" s="13">
        <v>44740</v>
      </c>
      <c r="B287" s="24" t="s">
        <v>1933</v>
      </c>
      <c r="C287" s="18" t="s">
        <v>1934</v>
      </c>
      <c r="D287" s="18" t="s">
        <v>46</v>
      </c>
      <c r="E287" s="18" t="s">
        <v>1935</v>
      </c>
      <c r="F287" s="15">
        <v>9346301114</v>
      </c>
      <c r="G287" s="14" t="s">
        <v>1936</v>
      </c>
      <c r="H287" s="23" t="s">
        <v>1937</v>
      </c>
      <c r="I287" s="17" t="s">
        <v>1938</v>
      </c>
      <c r="J287" s="18" t="s">
        <v>1939</v>
      </c>
      <c r="K287" s="15" t="s">
        <v>78</v>
      </c>
      <c r="L287" s="14" t="s">
        <v>1940</v>
      </c>
      <c r="M287" s="23" t="s">
        <v>1941</v>
      </c>
      <c r="N287" s="23" t="s">
        <v>868</v>
      </c>
      <c r="O287" s="14" t="s">
        <v>53</v>
      </c>
      <c r="P287" s="15">
        <v>4000</v>
      </c>
      <c r="Q287" s="15">
        <v>4000</v>
      </c>
      <c r="R287" s="15">
        <v>0</v>
      </c>
      <c r="S287" s="15">
        <v>0</v>
      </c>
      <c r="T287" s="15">
        <v>614</v>
      </c>
      <c r="U287" s="15">
        <v>590</v>
      </c>
      <c r="V287" s="15">
        <v>2279</v>
      </c>
      <c r="W287" s="19">
        <v>614</v>
      </c>
      <c r="X287" s="20">
        <v>0</v>
      </c>
      <c r="Y287" s="20">
        <v>0</v>
      </c>
      <c r="Z287" s="20">
        <v>2869</v>
      </c>
      <c r="AA287" s="21">
        <v>2869</v>
      </c>
      <c r="AB287" s="57">
        <v>0</v>
      </c>
      <c r="AC287" s="57">
        <v>0</v>
      </c>
      <c r="AD287" s="57">
        <f>2869*18/100</f>
        <v>516.41999999999996</v>
      </c>
      <c r="AE287" s="57">
        <f>517-AD287</f>
        <v>0.58000000000004093</v>
      </c>
      <c r="AF287" s="18" t="s">
        <v>1934</v>
      </c>
      <c r="AG287" s="57"/>
      <c r="AH287" s="73"/>
      <c r="AI287" s="24" t="s">
        <v>55</v>
      </c>
      <c r="AJ287" s="23"/>
      <c r="AK287" s="41" t="s">
        <v>1942</v>
      </c>
    </row>
    <row r="288" spans="1:37" x14ac:dyDescent="0.25">
      <c r="A288" s="13">
        <v>44740</v>
      </c>
      <c r="B288" s="23" t="s">
        <v>1943</v>
      </c>
      <c r="C288" s="18" t="s">
        <v>58</v>
      </c>
      <c r="D288" s="18" t="s">
        <v>46</v>
      </c>
      <c r="E288" s="18" t="s">
        <v>60</v>
      </c>
      <c r="F288" s="15">
        <v>9967707550</v>
      </c>
      <c r="G288" s="14" t="s">
        <v>1944</v>
      </c>
      <c r="H288" s="14" t="s">
        <v>46</v>
      </c>
      <c r="I288" s="17" t="s">
        <v>1945</v>
      </c>
      <c r="J288" s="18" t="s">
        <v>1946</v>
      </c>
      <c r="K288" s="15" t="s">
        <v>64</v>
      </c>
      <c r="L288" s="14" t="s">
        <v>65</v>
      </c>
      <c r="M288" s="23" t="s">
        <v>66</v>
      </c>
      <c r="N288" s="42" t="s">
        <v>67</v>
      </c>
      <c r="O288" s="14" t="s">
        <v>68</v>
      </c>
      <c r="P288" s="15">
        <v>1972</v>
      </c>
      <c r="Q288" s="15">
        <v>1972</v>
      </c>
      <c r="R288" s="15">
        <v>0</v>
      </c>
      <c r="S288" s="15">
        <v>0</v>
      </c>
      <c r="T288" s="15">
        <v>312</v>
      </c>
      <c r="U288" s="15">
        <v>0</v>
      </c>
      <c r="V288" s="15">
        <v>1407</v>
      </c>
      <c r="W288" s="19">
        <v>312</v>
      </c>
      <c r="X288" s="20">
        <v>0</v>
      </c>
      <c r="Y288" s="20">
        <v>0</v>
      </c>
      <c r="Z288" s="20">
        <v>1407</v>
      </c>
      <c r="AA288" s="21">
        <v>1407</v>
      </c>
      <c r="AB288" s="57">
        <f>1407*18/100/2</f>
        <v>126.63</v>
      </c>
      <c r="AC288" s="57">
        <f>1407*18/100/2</f>
        <v>126.63</v>
      </c>
      <c r="AD288" s="57">
        <v>0</v>
      </c>
      <c r="AE288" s="57">
        <f>253-AC288-AB288</f>
        <v>-0.25999999999999091</v>
      </c>
      <c r="AF288" s="18" t="s">
        <v>58</v>
      </c>
      <c r="AG288" s="57"/>
      <c r="AH288" s="73"/>
      <c r="AI288" s="24" t="s">
        <v>55</v>
      </c>
      <c r="AJ288" s="23"/>
      <c r="AK288" s="41" t="s">
        <v>878</v>
      </c>
    </row>
    <row r="289" spans="1:37" x14ac:dyDescent="0.25">
      <c r="A289" s="13">
        <v>44740</v>
      </c>
      <c r="B289" s="23" t="s">
        <v>1775</v>
      </c>
      <c r="C289" s="18" t="s">
        <v>1947</v>
      </c>
      <c r="D289" s="18" t="s">
        <v>46</v>
      </c>
      <c r="E289" s="18" t="s">
        <v>1948</v>
      </c>
      <c r="F289" s="15">
        <v>8057701234</v>
      </c>
      <c r="G289" s="14" t="s">
        <v>1949</v>
      </c>
      <c r="H289" s="23" t="s">
        <v>1950</v>
      </c>
      <c r="I289" s="17" t="s">
        <v>1951</v>
      </c>
      <c r="J289" s="18" t="s">
        <v>1952</v>
      </c>
      <c r="K289" s="15" t="s">
        <v>1782</v>
      </c>
      <c r="L289" s="14" t="s">
        <v>1953</v>
      </c>
      <c r="M289" s="23" t="s">
        <v>211</v>
      </c>
      <c r="N289" s="22" t="s">
        <v>212</v>
      </c>
      <c r="O289" s="14" t="s">
        <v>68</v>
      </c>
      <c r="P289" s="15">
        <v>4000</v>
      </c>
      <c r="Q289" s="15">
        <v>4000</v>
      </c>
      <c r="R289" s="15">
        <v>0</v>
      </c>
      <c r="S289" s="15">
        <v>0</v>
      </c>
      <c r="T289" s="15">
        <v>0</v>
      </c>
      <c r="U289" s="15">
        <v>826</v>
      </c>
      <c r="V289" s="15">
        <v>2564</v>
      </c>
      <c r="W289" s="19">
        <v>0</v>
      </c>
      <c r="X289" s="20">
        <v>0</v>
      </c>
      <c r="Y289" s="20">
        <v>0</v>
      </c>
      <c r="Z289" s="20">
        <v>3390</v>
      </c>
      <c r="AA289" s="21">
        <v>3390</v>
      </c>
      <c r="AB289" s="57">
        <v>0</v>
      </c>
      <c r="AC289" s="57">
        <v>0</v>
      </c>
      <c r="AD289" s="57">
        <f>3390*18/100</f>
        <v>610.20000000000005</v>
      </c>
      <c r="AE289" s="57">
        <f>610-AD289</f>
        <v>-0.20000000000004547</v>
      </c>
      <c r="AF289" s="18" t="s">
        <v>1947</v>
      </c>
      <c r="AG289" s="57" t="s">
        <v>1954</v>
      </c>
      <c r="AH289" s="73"/>
      <c r="AI289" s="24" t="s">
        <v>55</v>
      </c>
      <c r="AJ289" s="23"/>
      <c r="AK289" s="41" t="s">
        <v>1688</v>
      </c>
    </row>
    <row r="290" spans="1:37" x14ac:dyDescent="0.25">
      <c r="A290" s="13">
        <v>44740</v>
      </c>
      <c r="B290" s="24" t="s">
        <v>1955</v>
      </c>
      <c r="C290" s="18" t="s">
        <v>1956</v>
      </c>
      <c r="D290" s="18" t="s">
        <v>46</v>
      </c>
      <c r="E290" s="18" t="s">
        <v>1957</v>
      </c>
      <c r="F290" s="15">
        <v>7795720216</v>
      </c>
      <c r="G290" s="14" t="s">
        <v>1958</v>
      </c>
      <c r="H290" s="23" t="s">
        <v>616</v>
      </c>
      <c r="I290" s="17" t="s">
        <v>1959</v>
      </c>
      <c r="J290" s="18" t="s">
        <v>1960</v>
      </c>
      <c r="K290" s="15" t="s">
        <v>255</v>
      </c>
      <c r="L290" s="14" t="s">
        <v>926</v>
      </c>
      <c r="M290" s="23" t="s">
        <v>211</v>
      </c>
      <c r="N290" s="22" t="s">
        <v>212</v>
      </c>
      <c r="O290" s="14" t="s">
        <v>68</v>
      </c>
      <c r="P290" s="15">
        <v>2630</v>
      </c>
      <c r="Q290" s="15">
        <v>2630</v>
      </c>
      <c r="R290" s="15">
        <v>0</v>
      </c>
      <c r="S290" s="15">
        <v>0</v>
      </c>
      <c r="T290" s="15">
        <v>0</v>
      </c>
      <c r="U290" s="15">
        <v>650</v>
      </c>
      <c r="V290" s="15">
        <v>1579</v>
      </c>
      <c r="W290" s="19">
        <v>0</v>
      </c>
      <c r="X290" s="20">
        <v>0</v>
      </c>
      <c r="Y290" s="20">
        <v>0</v>
      </c>
      <c r="Z290" s="20">
        <v>2229</v>
      </c>
      <c r="AA290" s="21">
        <v>2229</v>
      </c>
      <c r="AB290" s="57">
        <v>0</v>
      </c>
      <c r="AC290" s="57">
        <v>0</v>
      </c>
      <c r="AD290" s="57">
        <f>2229*18/100</f>
        <v>401.22</v>
      </c>
      <c r="AE290" s="57">
        <f>401-AD290</f>
        <v>-0.22000000000002728</v>
      </c>
      <c r="AF290" s="18" t="s">
        <v>621</v>
      </c>
      <c r="AG290" s="57"/>
      <c r="AH290" s="73"/>
      <c r="AI290" s="24" t="s">
        <v>55</v>
      </c>
      <c r="AJ290" s="23"/>
      <c r="AK290" s="41" t="s">
        <v>623</v>
      </c>
    </row>
    <row r="291" spans="1:37" x14ac:dyDescent="0.25">
      <c r="A291" s="13">
        <v>44740</v>
      </c>
      <c r="B291" s="23" t="s">
        <v>328</v>
      </c>
      <c r="C291" s="18" t="s">
        <v>1961</v>
      </c>
      <c r="D291" s="18" t="s">
        <v>46</v>
      </c>
      <c r="E291" s="18" t="s">
        <v>1962</v>
      </c>
      <c r="F291" s="15">
        <v>9833700116</v>
      </c>
      <c r="G291" s="14" t="s">
        <v>1963</v>
      </c>
      <c r="H291" s="23" t="s">
        <v>1964</v>
      </c>
      <c r="I291" s="17" t="s">
        <v>1965</v>
      </c>
      <c r="J291" s="18" t="s">
        <v>1966</v>
      </c>
      <c r="K291" s="15" t="s">
        <v>255</v>
      </c>
      <c r="L291" s="14" t="s">
        <v>1967</v>
      </c>
      <c r="M291" s="23" t="s">
        <v>80</v>
      </c>
      <c r="N291" s="42" t="s">
        <v>67</v>
      </c>
      <c r="O291" s="14" t="s">
        <v>1968</v>
      </c>
      <c r="P291" s="15">
        <v>5590</v>
      </c>
      <c r="Q291" s="15">
        <v>5590</v>
      </c>
      <c r="R291" s="15">
        <v>0</v>
      </c>
      <c r="S291" s="15">
        <v>0</v>
      </c>
      <c r="T291" s="15">
        <v>0</v>
      </c>
      <c r="U291" s="15">
        <v>590</v>
      </c>
      <c r="V291" s="15">
        <v>4147</v>
      </c>
      <c r="W291" s="19">
        <v>0</v>
      </c>
      <c r="X291" s="20">
        <v>1000</v>
      </c>
      <c r="Y291" s="20">
        <v>1590</v>
      </c>
      <c r="Z291" s="20">
        <v>2147</v>
      </c>
      <c r="AA291" s="21">
        <v>4737</v>
      </c>
      <c r="AB291" s="57">
        <f>4737*18/100/2</f>
        <v>426.33</v>
      </c>
      <c r="AC291" s="57">
        <f>4737*18/100/2</f>
        <v>426.33</v>
      </c>
      <c r="AD291" s="57">
        <v>0</v>
      </c>
      <c r="AE291" s="57">
        <f>853-AC291-AB291</f>
        <v>0.34000000000003183</v>
      </c>
      <c r="AF291" s="18" t="s">
        <v>1969</v>
      </c>
      <c r="AG291" s="57"/>
      <c r="AH291" s="73"/>
      <c r="AI291" s="24" t="s">
        <v>55</v>
      </c>
      <c r="AJ291" s="23"/>
      <c r="AK291" s="41" t="s">
        <v>56</v>
      </c>
    </row>
    <row r="292" spans="1:37" x14ac:dyDescent="0.25">
      <c r="A292" s="13">
        <v>44740</v>
      </c>
      <c r="B292" s="23" t="s">
        <v>125</v>
      </c>
      <c r="C292" s="27" t="s">
        <v>1970</v>
      </c>
      <c r="D292" s="24" t="s">
        <v>46</v>
      </c>
      <c r="E292" s="24" t="s">
        <v>1971</v>
      </c>
      <c r="F292" s="28" t="s">
        <v>1972</v>
      </c>
      <c r="G292" s="29" t="s">
        <v>1973</v>
      </c>
      <c r="H292" s="24" t="s">
        <v>1974</v>
      </c>
      <c r="I292" s="17" t="s">
        <v>1975</v>
      </c>
      <c r="J292" s="18" t="s">
        <v>1976</v>
      </c>
      <c r="K292" s="24" t="s">
        <v>222</v>
      </c>
      <c r="L292" s="30" t="s">
        <v>1977</v>
      </c>
      <c r="M292" s="24" t="s">
        <v>1978</v>
      </c>
      <c r="N292" s="24" t="s">
        <v>1979</v>
      </c>
      <c r="O292" s="14" t="s">
        <v>53</v>
      </c>
      <c r="P292" s="28">
        <v>0</v>
      </c>
      <c r="Q292" s="28">
        <v>1700</v>
      </c>
      <c r="R292" s="28">
        <v>0</v>
      </c>
      <c r="S292" s="28">
        <v>0</v>
      </c>
      <c r="T292" s="28">
        <v>0</v>
      </c>
      <c r="U292" s="28">
        <v>0</v>
      </c>
      <c r="V292" s="28">
        <v>0</v>
      </c>
      <c r="W292" s="19">
        <v>0</v>
      </c>
      <c r="X292" s="20">
        <v>0</v>
      </c>
      <c r="Y292" s="20">
        <v>0</v>
      </c>
      <c r="Z292" s="20">
        <v>0</v>
      </c>
      <c r="AA292" s="21">
        <v>0</v>
      </c>
      <c r="AB292" s="57">
        <v>0</v>
      </c>
      <c r="AC292" s="57">
        <v>0</v>
      </c>
      <c r="AD292" s="57">
        <v>0</v>
      </c>
      <c r="AE292" s="57">
        <v>0</v>
      </c>
      <c r="AF292" s="27" t="s">
        <v>1970</v>
      </c>
      <c r="AG292" s="57"/>
      <c r="AH292" s="73"/>
      <c r="AI292" s="24" t="s">
        <v>55</v>
      </c>
      <c r="AJ292" s="23"/>
      <c r="AK292" s="41" t="s">
        <v>46</v>
      </c>
    </row>
    <row r="293" spans="1:37" ht="15.75" thickBot="1" x14ac:dyDescent="0.3">
      <c r="A293" s="107" t="s">
        <v>137</v>
      </c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32">
        <f t="shared" ref="P293:AE293" si="22">SUM(P283:P292)</f>
        <v>41682</v>
      </c>
      <c r="Q293" s="32">
        <f t="shared" si="22"/>
        <v>39582</v>
      </c>
      <c r="R293" s="32">
        <f t="shared" si="22"/>
        <v>3800</v>
      </c>
      <c r="S293" s="32">
        <f t="shared" si="22"/>
        <v>0</v>
      </c>
      <c r="T293" s="32">
        <f t="shared" si="22"/>
        <v>8707</v>
      </c>
      <c r="U293" s="32">
        <f t="shared" si="22"/>
        <v>3982</v>
      </c>
      <c r="V293" s="32">
        <f t="shared" si="22"/>
        <v>23963</v>
      </c>
      <c r="W293" s="33">
        <f t="shared" si="22"/>
        <v>8707</v>
      </c>
      <c r="X293" s="34">
        <f t="shared" si="22"/>
        <v>1500</v>
      </c>
      <c r="Y293" s="34">
        <f t="shared" si="22"/>
        <v>1590</v>
      </c>
      <c r="Z293" s="34">
        <f t="shared" si="22"/>
        <v>24855</v>
      </c>
      <c r="AA293" s="35">
        <f t="shared" si="22"/>
        <v>27945</v>
      </c>
      <c r="AB293" s="32">
        <f t="shared" si="22"/>
        <v>1476.54</v>
      </c>
      <c r="AC293" s="32">
        <f t="shared" si="22"/>
        <v>1476.54</v>
      </c>
      <c r="AD293" s="32">
        <f t="shared" si="22"/>
        <v>2077.02</v>
      </c>
      <c r="AE293" s="32">
        <f t="shared" si="22"/>
        <v>-9.9999999999852207E-2</v>
      </c>
      <c r="AF293" s="109"/>
      <c r="AG293" s="109"/>
      <c r="AH293" s="109"/>
      <c r="AI293" s="36"/>
      <c r="AJ293" s="37"/>
      <c r="AK293" s="38"/>
    </row>
    <row r="295" spans="1:37" x14ac:dyDescent="0.25">
      <c r="A295" s="111" t="s">
        <v>0</v>
      </c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80"/>
      <c r="X295" s="117" t="s">
        <v>1</v>
      </c>
      <c r="Y295" s="118"/>
      <c r="Z295" s="118"/>
      <c r="AA295" s="81" t="s">
        <v>225</v>
      </c>
      <c r="AB295" s="119" t="s">
        <v>3</v>
      </c>
      <c r="AC295" s="120"/>
      <c r="AD295" s="120"/>
      <c r="AE295" s="120"/>
      <c r="AF295" s="111" t="s">
        <v>4</v>
      </c>
      <c r="AG295" s="111"/>
      <c r="AH295" s="111"/>
      <c r="AI295" s="111" t="s">
        <v>5</v>
      </c>
      <c r="AJ295" s="111"/>
      <c r="AK295" s="111"/>
    </row>
    <row r="296" spans="1:37" x14ac:dyDescent="0.25">
      <c r="A296" s="11" t="s">
        <v>6</v>
      </c>
      <c r="B296" s="7" t="s">
        <v>7</v>
      </c>
      <c r="C296" s="7" t="s">
        <v>8</v>
      </c>
      <c r="D296" s="7" t="s">
        <v>9</v>
      </c>
      <c r="E296" s="7" t="s">
        <v>10</v>
      </c>
      <c r="F296" s="7" t="s">
        <v>11</v>
      </c>
      <c r="G296" s="7" t="s">
        <v>12</v>
      </c>
      <c r="H296" s="7" t="s">
        <v>13</v>
      </c>
      <c r="I296" s="7" t="s">
        <v>14</v>
      </c>
      <c r="J296" s="7" t="s">
        <v>15</v>
      </c>
      <c r="K296" s="7" t="s">
        <v>16</v>
      </c>
      <c r="L296" s="7" t="s">
        <v>17</v>
      </c>
      <c r="M296" s="7" t="s">
        <v>18</v>
      </c>
      <c r="N296" s="7" t="s">
        <v>19</v>
      </c>
      <c r="O296" s="7" t="s">
        <v>20</v>
      </c>
      <c r="P296" s="7" t="s">
        <v>21</v>
      </c>
      <c r="Q296" s="7" t="s">
        <v>22</v>
      </c>
      <c r="R296" s="7" t="s">
        <v>23</v>
      </c>
      <c r="S296" s="7" t="s">
        <v>24</v>
      </c>
      <c r="T296" s="7" t="s">
        <v>25</v>
      </c>
      <c r="U296" s="7" t="s">
        <v>26</v>
      </c>
      <c r="V296" s="7" t="s">
        <v>27</v>
      </c>
      <c r="W296" s="8" t="s">
        <v>25</v>
      </c>
      <c r="X296" s="9" t="s">
        <v>28</v>
      </c>
      <c r="Y296" s="9" t="s">
        <v>29</v>
      </c>
      <c r="Z296" s="9" t="s">
        <v>30</v>
      </c>
      <c r="AA296" s="10" t="s">
        <v>31</v>
      </c>
      <c r="AB296" s="7" t="s">
        <v>32</v>
      </c>
      <c r="AC296" s="7" t="s">
        <v>33</v>
      </c>
      <c r="AD296" s="7" t="s">
        <v>34</v>
      </c>
      <c r="AE296" s="7" t="s">
        <v>35</v>
      </c>
      <c r="AF296" s="7" t="s">
        <v>36</v>
      </c>
      <c r="AG296" s="7" t="s">
        <v>37</v>
      </c>
      <c r="AH296" s="7" t="s">
        <v>38</v>
      </c>
      <c r="AI296" s="7" t="s">
        <v>39</v>
      </c>
      <c r="AJ296" s="11" t="s">
        <v>40</v>
      </c>
      <c r="AK296" s="11" t="s">
        <v>41</v>
      </c>
    </row>
    <row r="297" spans="1:37" x14ac:dyDescent="0.25">
      <c r="A297" s="45">
        <v>44741</v>
      </c>
      <c r="B297" s="23" t="s">
        <v>1980</v>
      </c>
      <c r="C297" s="18" t="s">
        <v>1981</v>
      </c>
      <c r="D297" s="18" t="s">
        <v>46</v>
      </c>
      <c r="E297" s="18" t="s">
        <v>1982</v>
      </c>
      <c r="F297" s="15">
        <v>9979863990</v>
      </c>
      <c r="G297" s="14" t="s">
        <v>1983</v>
      </c>
      <c r="H297" s="14" t="s">
        <v>1984</v>
      </c>
      <c r="I297" s="17" t="s">
        <v>1985</v>
      </c>
      <c r="J297" s="18" t="s">
        <v>1986</v>
      </c>
      <c r="K297" s="15" t="s">
        <v>184</v>
      </c>
      <c r="L297" s="14" t="s">
        <v>1686</v>
      </c>
      <c r="M297" s="23" t="s">
        <v>1025</v>
      </c>
      <c r="N297" s="23" t="s">
        <v>187</v>
      </c>
      <c r="O297" s="14" t="s">
        <v>68</v>
      </c>
      <c r="P297" s="15">
        <v>4980</v>
      </c>
      <c r="Q297" s="15">
        <v>4980</v>
      </c>
      <c r="R297" s="15">
        <v>0</v>
      </c>
      <c r="S297" s="15">
        <v>0</v>
      </c>
      <c r="T297" s="15">
        <v>0</v>
      </c>
      <c r="U297" s="15">
        <v>826</v>
      </c>
      <c r="V297" s="15">
        <v>3394</v>
      </c>
      <c r="W297" s="19">
        <v>0</v>
      </c>
      <c r="X297" s="20">
        <v>0</v>
      </c>
      <c r="Y297" s="20">
        <v>0</v>
      </c>
      <c r="Z297" s="20">
        <v>4220</v>
      </c>
      <c r="AA297" s="21">
        <v>4220</v>
      </c>
      <c r="AB297" s="57">
        <v>0</v>
      </c>
      <c r="AC297" s="57">
        <v>0</v>
      </c>
      <c r="AD297" s="57">
        <f>4220*18/100</f>
        <v>759.6</v>
      </c>
      <c r="AE297" s="57">
        <f>760-AD297</f>
        <v>0.39999999999997726</v>
      </c>
      <c r="AF297" s="18" t="s">
        <v>1987</v>
      </c>
      <c r="AG297" s="57"/>
      <c r="AH297" s="18" t="s">
        <v>1988</v>
      </c>
      <c r="AI297" s="24" t="s">
        <v>55</v>
      </c>
      <c r="AJ297" s="23"/>
      <c r="AK297" s="23" t="s">
        <v>1688</v>
      </c>
    </row>
    <row r="298" spans="1:37" x14ac:dyDescent="0.25">
      <c r="A298" s="45">
        <v>44741</v>
      </c>
      <c r="B298" s="23" t="s">
        <v>1989</v>
      </c>
      <c r="C298" s="18" t="s">
        <v>1990</v>
      </c>
      <c r="D298" s="18" t="s">
        <v>46</v>
      </c>
      <c r="E298" s="18" t="s">
        <v>1991</v>
      </c>
      <c r="F298" s="15">
        <v>9145700873</v>
      </c>
      <c r="G298" s="14" t="s">
        <v>1992</v>
      </c>
      <c r="H298" s="23" t="s">
        <v>1993</v>
      </c>
      <c r="I298" s="17" t="s">
        <v>1994</v>
      </c>
      <c r="J298" s="18" t="s">
        <v>1995</v>
      </c>
      <c r="K298" s="15" t="s">
        <v>78</v>
      </c>
      <c r="L298" s="14" t="s">
        <v>1996</v>
      </c>
      <c r="M298" s="23" t="s">
        <v>728</v>
      </c>
      <c r="N298" s="42" t="s">
        <v>67</v>
      </c>
      <c r="O298" s="14" t="s">
        <v>53</v>
      </c>
      <c r="P298" s="15">
        <v>3540</v>
      </c>
      <c r="Q298" s="15">
        <v>3540</v>
      </c>
      <c r="R298" s="15">
        <v>0</v>
      </c>
      <c r="S298" s="15">
        <v>0</v>
      </c>
      <c r="T298" s="15">
        <v>0</v>
      </c>
      <c r="U298" s="15">
        <v>826</v>
      </c>
      <c r="V298" s="15">
        <v>2174</v>
      </c>
      <c r="W298" s="19">
        <v>0</v>
      </c>
      <c r="X298" s="20">
        <v>0</v>
      </c>
      <c r="Y298" s="20">
        <v>0</v>
      </c>
      <c r="Z298" s="20">
        <v>3000</v>
      </c>
      <c r="AA298" s="21">
        <v>3000</v>
      </c>
      <c r="AB298" s="57">
        <f>3000*18/100/2</f>
        <v>270</v>
      </c>
      <c r="AC298" s="57">
        <f>3000*18/100/2</f>
        <v>270</v>
      </c>
      <c r="AD298" s="57">
        <v>0</v>
      </c>
      <c r="AE298" s="57">
        <v>0</v>
      </c>
      <c r="AF298" s="18" t="s">
        <v>1997</v>
      </c>
      <c r="AG298" s="57"/>
      <c r="AH298" s="18" t="s">
        <v>1998</v>
      </c>
      <c r="AI298" s="24" t="s">
        <v>55</v>
      </c>
      <c r="AJ298" s="23"/>
      <c r="AK298" s="23" t="s">
        <v>1688</v>
      </c>
    </row>
    <row r="299" spans="1:37" x14ac:dyDescent="0.25">
      <c r="A299" s="45">
        <v>44741</v>
      </c>
      <c r="B299" s="23" t="s">
        <v>1999</v>
      </c>
      <c r="C299" s="18" t="s">
        <v>2000</v>
      </c>
      <c r="D299" s="18" t="s">
        <v>46</v>
      </c>
      <c r="E299" s="18" t="s">
        <v>2001</v>
      </c>
      <c r="F299" s="15" t="s">
        <v>2002</v>
      </c>
      <c r="G299" s="14" t="s">
        <v>2003</v>
      </c>
      <c r="H299" s="23" t="s">
        <v>2004</v>
      </c>
      <c r="I299" s="17" t="s">
        <v>2005</v>
      </c>
      <c r="J299" s="18" t="s">
        <v>2006</v>
      </c>
      <c r="K299" s="15" t="s">
        <v>420</v>
      </c>
      <c r="L299" s="14" t="s">
        <v>2007</v>
      </c>
      <c r="M299" s="23" t="s">
        <v>80</v>
      </c>
      <c r="N299" s="42" t="s">
        <v>2008</v>
      </c>
      <c r="O299" s="14" t="s">
        <v>53</v>
      </c>
      <c r="P299" s="15">
        <v>5298</v>
      </c>
      <c r="Q299" s="15">
        <v>5298</v>
      </c>
      <c r="R299" s="15">
        <v>0</v>
      </c>
      <c r="S299" s="15">
        <v>0</v>
      </c>
      <c r="T299" s="15">
        <v>0</v>
      </c>
      <c r="U299" s="15">
        <v>590</v>
      </c>
      <c r="V299" s="15">
        <v>3900</v>
      </c>
      <c r="W299" s="19">
        <v>0</v>
      </c>
      <c r="X299" s="20">
        <v>0</v>
      </c>
      <c r="Y299" s="20">
        <v>0</v>
      </c>
      <c r="Z299" s="20">
        <v>4490</v>
      </c>
      <c r="AA299" s="21">
        <v>4490</v>
      </c>
      <c r="AB299" s="57">
        <f>4490*18/100/2</f>
        <v>404.1</v>
      </c>
      <c r="AC299" s="57">
        <f>4490*18/100/2</f>
        <v>404.1</v>
      </c>
      <c r="AD299" s="57">
        <v>0</v>
      </c>
      <c r="AE299" s="57">
        <f>808-AC299-AB299</f>
        <v>-0.20000000000004547</v>
      </c>
      <c r="AF299" s="18" t="s">
        <v>2000</v>
      </c>
      <c r="AG299" s="57"/>
      <c r="AH299" s="18" t="s">
        <v>2009</v>
      </c>
      <c r="AI299" s="24" t="s">
        <v>55</v>
      </c>
      <c r="AJ299" s="23"/>
      <c r="AK299" s="23" t="s">
        <v>56</v>
      </c>
    </row>
    <row r="300" spans="1:37" x14ac:dyDescent="0.25">
      <c r="A300" s="45">
        <v>44741</v>
      </c>
      <c r="B300" s="23" t="s">
        <v>2010</v>
      </c>
      <c r="C300" s="18" t="s">
        <v>2011</v>
      </c>
      <c r="D300" s="18" t="s">
        <v>46</v>
      </c>
      <c r="E300" s="18" t="s">
        <v>2012</v>
      </c>
      <c r="F300" s="15">
        <v>9441901550</v>
      </c>
      <c r="G300" s="82" t="s">
        <v>2013</v>
      </c>
      <c r="H300" s="24" t="s">
        <v>2014</v>
      </c>
      <c r="I300" s="17" t="s">
        <v>2015</v>
      </c>
      <c r="J300" s="18" t="s">
        <v>2016</v>
      </c>
      <c r="K300" s="15" t="s">
        <v>170</v>
      </c>
      <c r="L300" s="14" t="s">
        <v>2017</v>
      </c>
      <c r="M300" s="24" t="s">
        <v>1045</v>
      </c>
      <c r="N300" s="23" t="s">
        <v>1861</v>
      </c>
      <c r="O300" s="14" t="s">
        <v>68</v>
      </c>
      <c r="P300" s="15">
        <v>5180</v>
      </c>
      <c r="Q300" s="15">
        <v>5180</v>
      </c>
      <c r="R300" s="15">
        <v>0</v>
      </c>
      <c r="S300" s="15">
        <v>0</v>
      </c>
      <c r="T300" s="15">
        <v>0</v>
      </c>
      <c r="U300" s="15">
        <v>826</v>
      </c>
      <c r="V300" s="15">
        <v>3564</v>
      </c>
      <c r="W300" s="19">
        <v>0</v>
      </c>
      <c r="X300" s="20">
        <v>0</v>
      </c>
      <c r="Y300" s="20">
        <v>0</v>
      </c>
      <c r="Z300" s="20">
        <v>4390</v>
      </c>
      <c r="AA300" s="21">
        <v>4390</v>
      </c>
      <c r="AB300" s="57">
        <v>0</v>
      </c>
      <c r="AC300" s="57">
        <v>0</v>
      </c>
      <c r="AD300" s="57">
        <f>4390*18/100</f>
        <v>790.2</v>
      </c>
      <c r="AE300" s="57">
        <f>790-AD300</f>
        <v>-0.20000000000004547</v>
      </c>
      <c r="AF300" s="18" t="s">
        <v>2011</v>
      </c>
      <c r="AG300" s="57"/>
      <c r="AH300" s="18" t="s">
        <v>2018</v>
      </c>
      <c r="AI300" s="24" t="s">
        <v>55</v>
      </c>
      <c r="AJ300" s="23"/>
      <c r="AK300" s="23" t="s">
        <v>1688</v>
      </c>
    </row>
    <row r="301" spans="1:37" x14ac:dyDescent="0.25">
      <c r="A301" s="45">
        <v>44741</v>
      </c>
      <c r="B301" s="24" t="s">
        <v>2019</v>
      </c>
      <c r="C301" s="18" t="s">
        <v>2020</v>
      </c>
      <c r="D301" s="18" t="s">
        <v>46</v>
      </c>
      <c r="E301" s="18" t="s">
        <v>2021</v>
      </c>
      <c r="F301" s="15">
        <v>8660199195</v>
      </c>
      <c r="G301" s="82" t="s">
        <v>2022</v>
      </c>
      <c r="H301" s="16" t="s">
        <v>2023</v>
      </c>
      <c r="I301" s="17" t="s">
        <v>2024</v>
      </c>
      <c r="J301" s="18" t="s">
        <v>2025</v>
      </c>
      <c r="K301" s="15" t="s">
        <v>255</v>
      </c>
      <c r="L301" s="14" t="s">
        <v>926</v>
      </c>
      <c r="M301" s="23" t="s">
        <v>211</v>
      </c>
      <c r="N301" s="22" t="s">
        <v>212</v>
      </c>
      <c r="O301" s="14" t="s">
        <v>993</v>
      </c>
      <c r="P301" s="15">
        <v>19620</v>
      </c>
      <c r="Q301" s="15">
        <v>19620</v>
      </c>
      <c r="R301" s="15">
        <v>0</v>
      </c>
      <c r="S301" s="15">
        <v>0</v>
      </c>
      <c r="T301" s="15">
        <v>3000</v>
      </c>
      <c r="U301" s="15">
        <v>5590</v>
      </c>
      <c r="V301" s="15">
        <v>8495</v>
      </c>
      <c r="W301" s="19">
        <v>3000</v>
      </c>
      <c r="X301" s="20">
        <v>2000</v>
      </c>
      <c r="Y301" s="20">
        <v>0</v>
      </c>
      <c r="Z301" s="20">
        <v>12085</v>
      </c>
      <c r="AA301" s="21">
        <v>14085</v>
      </c>
      <c r="AB301" s="57">
        <v>0</v>
      </c>
      <c r="AC301" s="57">
        <v>0</v>
      </c>
      <c r="AD301" s="57">
        <f>14085*18/100</f>
        <v>2535.3000000000002</v>
      </c>
      <c r="AE301" s="57">
        <f>2535-AD301</f>
        <v>-0.3000000000001819</v>
      </c>
      <c r="AF301" s="18" t="s">
        <v>2020</v>
      </c>
      <c r="AG301" s="57" t="s">
        <v>2026</v>
      </c>
      <c r="AH301" s="18" t="s">
        <v>2027</v>
      </c>
      <c r="AI301" s="24" t="s">
        <v>55</v>
      </c>
      <c r="AJ301" s="23"/>
      <c r="AK301" s="23" t="s">
        <v>2028</v>
      </c>
    </row>
    <row r="302" spans="1:37" x14ac:dyDescent="0.25">
      <c r="A302" s="45">
        <v>44741</v>
      </c>
      <c r="B302" s="24" t="s">
        <v>2029</v>
      </c>
      <c r="C302" s="18" t="s">
        <v>2030</v>
      </c>
      <c r="D302" s="18" t="s">
        <v>46</v>
      </c>
      <c r="E302" s="18" t="s">
        <v>2012</v>
      </c>
      <c r="F302" s="15">
        <v>9441901550</v>
      </c>
      <c r="G302" s="82" t="s">
        <v>2031</v>
      </c>
      <c r="H302" s="24" t="s">
        <v>2032</v>
      </c>
      <c r="I302" s="17" t="s">
        <v>2033</v>
      </c>
      <c r="J302" s="18" t="s">
        <v>2034</v>
      </c>
      <c r="K302" s="15" t="s">
        <v>170</v>
      </c>
      <c r="L302" s="14" t="s">
        <v>2035</v>
      </c>
      <c r="M302" s="3" t="s">
        <v>2036</v>
      </c>
      <c r="N302" s="23" t="s">
        <v>1861</v>
      </c>
      <c r="O302" s="14" t="s">
        <v>68</v>
      </c>
      <c r="P302" s="15">
        <v>5180</v>
      </c>
      <c r="Q302" s="15">
        <v>5180</v>
      </c>
      <c r="R302" s="15">
        <v>0</v>
      </c>
      <c r="S302" s="15">
        <v>0</v>
      </c>
      <c r="T302" s="15">
        <v>0</v>
      </c>
      <c r="U302" s="15">
        <v>826</v>
      </c>
      <c r="V302" s="15">
        <v>3564</v>
      </c>
      <c r="W302" s="19">
        <v>0</v>
      </c>
      <c r="X302" s="20">
        <v>0</v>
      </c>
      <c r="Y302" s="20">
        <v>0</v>
      </c>
      <c r="Z302" s="20">
        <v>4390</v>
      </c>
      <c r="AA302" s="21">
        <v>4390</v>
      </c>
      <c r="AB302" s="57">
        <v>0</v>
      </c>
      <c r="AC302" s="57">
        <v>0</v>
      </c>
      <c r="AD302" s="57">
        <f>4390*18/100</f>
        <v>790.2</v>
      </c>
      <c r="AE302" s="57">
        <f>790-AD302</f>
        <v>-0.20000000000004547</v>
      </c>
      <c r="AF302" s="18" t="s">
        <v>2030</v>
      </c>
      <c r="AG302" s="57"/>
      <c r="AH302" s="18" t="s">
        <v>2018</v>
      </c>
      <c r="AI302" s="24" t="s">
        <v>55</v>
      </c>
      <c r="AJ302" s="23"/>
      <c r="AK302" s="23" t="s">
        <v>1688</v>
      </c>
    </row>
    <row r="303" spans="1:37" x14ac:dyDescent="0.25">
      <c r="A303" s="110" t="s">
        <v>137</v>
      </c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83">
        <f t="shared" ref="P303:AE303" si="23">SUM(P297:P302)</f>
        <v>43798</v>
      </c>
      <c r="Q303" s="83">
        <f t="shared" si="23"/>
        <v>43798</v>
      </c>
      <c r="R303" s="83">
        <f t="shared" si="23"/>
        <v>0</v>
      </c>
      <c r="S303" s="83">
        <f t="shared" si="23"/>
        <v>0</v>
      </c>
      <c r="T303" s="83">
        <f t="shared" si="23"/>
        <v>3000</v>
      </c>
      <c r="U303" s="83">
        <f t="shared" si="23"/>
        <v>9484</v>
      </c>
      <c r="V303" s="83">
        <f t="shared" si="23"/>
        <v>25091</v>
      </c>
      <c r="W303" s="84">
        <f t="shared" si="23"/>
        <v>3000</v>
      </c>
      <c r="X303" s="81">
        <f t="shared" si="23"/>
        <v>2000</v>
      </c>
      <c r="Y303" s="81">
        <f t="shared" si="23"/>
        <v>0</v>
      </c>
      <c r="Z303" s="81">
        <f t="shared" si="23"/>
        <v>32575</v>
      </c>
      <c r="AA303" s="21">
        <f t="shared" si="23"/>
        <v>34575</v>
      </c>
      <c r="AB303" s="83">
        <f t="shared" si="23"/>
        <v>674.1</v>
      </c>
      <c r="AC303" s="83">
        <f t="shared" si="23"/>
        <v>674.1</v>
      </c>
      <c r="AD303" s="83">
        <f t="shared" si="23"/>
        <v>4875.3</v>
      </c>
      <c r="AE303" s="83">
        <f t="shared" si="23"/>
        <v>-0.50000000000034106</v>
      </c>
      <c r="AF303" s="111"/>
      <c r="AG303" s="111"/>
      <c r="AH303" s="111"/>
      <c r="AI303" s="53"/>
      <c r="AJ303" s="54"/>
      <c r="AK303" s="55"/>
    </row>
    <row r="304" spans="1:37" ht="15.75" thickBot="1" x14ac:dyDescent="0.3"/>
    <row r="305" spans="1:37" x14ac:dyDescent="0.25">
      <c r="A305" s="112" t="s">
        <v>0</v>
      </c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4"/>
      <c r="X305" s="113" t="s">
        <v>1</v>
      </c>
      <c r="Y305" s="114"/>
      <c r="Z305" s="114"/>
      <c r="AA305" s="5" t="s">
        <v>225</v>
      </c>
      <c r="AB305" s="115" t="s">
        <v>3</v>
      </c>
      <c r="AC305" s="116"/>
      <c r="AD305" s="116"/>
      <c r="AE305" s="116"/>
      <c r="AF305" s="105" t="s">
        <v>4</v>
      </c>
      <c r="AG305" s="105"/>
      <c r="AH305" s="105"/>
      <c r="AI305" s="105" t="s">
        <v>5</v>
      </c>
      <c r="AJ305" s="105"/>
      <c r="AK305" s="106"/>
    </row>
    <row r="306" spans="1:37" x14ac:dyDescent="0.25">
      <c r="A306" s="6" t="s">
        <v>6</v>
      </c>
      <c r="B306" s="7" t="s">
        <v>7</v>
      </c>
      <c r="C306" s="7" t="s">
        <v>8</v>
      </c>
      <c r="D306" s="7" t="s">
        <v>9</v>
      </c>
      <c r="E306" s="7" t="s">
        <v>10</v>
      </c>
      <c r="F306" s="7" t="s">
        <v>11</v>
      </c>
      <c r="G306" s="7" t="s">
        <v>12</v>
      </c>
      <c r="H306" s="7" t="s">
        <v>13</v>
      </c>
      <c r="I306" s="7" t="s">
        <v>14</v>
      </c>
      <c r="J306" s="7" t="s">
        <v>15</v>
      </c>
      <c r="K306" s="7" t="s">
        <v>16</v>
      </c>
      <c r="L306" s="7" t="s">
        <v>17</v>
      </c>
      <c r="M306" s="7" t="s">
        <v>18</v>
      </c>
      <c r="N306" s="7" t="s">
        <v>19</v>
      </c>
      <c r="O306" s="7" t="s">
        <v>20</v>
      </c>
      <c r="P306" s="7" t="s">
        <v>21</v>
      </c>
      <c r="Q306" s="7" t="s">
        <v>22</v>
      </c>
      <c r="R306" s="7" t="s">
        <v>23</v>
      </c>
      <c r="S306" s="7" t="s">
        <v>24</v>
      </c>
      <c r="T306" s="7" t="s">
        <v>25</v>
      </c>
      <c r="U306" s="7" t="s">
        <v>26</v>
      </c>
      <c r="V306" s="7" t="s">
        <v>27</v>
      </c>
      <c r="W306" s="8" t="s">
        <v>25</v>
      </c>
      <c r="X306" s="9" t="s">
        <v>28</v>
      </c>
      <c r="Y306" s="9" t="s">
        <v>29</v>
      </c>
      <c r="Z306" s="9" t="s">
        <v>30</v>
      </c>
      <c r="AA306" s="10" t="s">
        <v>31</v>
      </c>
      <c r="AB306" s="7" t="s">
        <v>32</v>
      </c>
      <c r="AC306" s="7" t="s">
        <v>33</v>
      </c>
      <c r="AD306" s="7" t="s">
        <v>34</v>
      </c>
      <c r="AE306" s="7" t="s">
        <v>35</v>
      </c>
      <c r="AF306" s="7" t="s">
        <v>36</v>
      </c>
      <c r="AG306" s="7" t="s">
        <v>37</v>
      </c>
      <c r="AH306" s="7" t="s">
        <v>38</v>
      </c>
      <c r="AI306" s="7" t="s">
        <v>39</v>
      </c>
      <c r="AJ306" s="11" t="s">
        <v>40</v>
      </c>
      <c r="AK306" s="12" t="s">
        <v>41</v>
      </c>
    </row>
    <row r="307" spans="1:37" x14ac:dyDescent="0.25">
      <c r="A307" s="13">
        <v>44742</v>
      </c>
      <c r="B307" s="23" t="s">
        <v>2037</v>
      </c>
      <c r="C307" s="18" t="s">
        <v>2038</v>
      </c>
      <c r="D307" s="18" t="s">
        <v>46</v>
      </c>
      <c r="E307" s="18" t="s">
        <v>2039</v>
      </c>
      <c r="F307" s="15">
        <v>8147843104</v>
      </c>
      <c r="G307" s="14" t="s">
        <v>2040</v>
      </c>
      <c r="H307" s="23" t="s">
        <v>2041</v>
      </c>
      <c r="I307" s="17" t="s">
        <v>2042</v>
      </c>
      <c r="J307" s="18" t="s">
        <v>2043</v>
      </c>
      <c r="K307" s="15" t="s">
        <v>184</v>
      </c>
      <c r="L307" s="14" t="s">
        <v>1686</v>
      </c>
      <c r="M307" s="24" t="s">
        <v>211</v>
      </c>
      <c r="N307" s="15" t="s">
        <v>212</v>
      </c>
      <c r="O307" s="14" t="s">
        <v>68</v>
      </c>
      <c r="P307" s="15">
        <v>4181</v>
      </c>
      <c r="Q307" s="15">
        <v>4181</v>
      </c>
      <c r="R307" s="15">
        <v>0</v>
      </c>
      <c r="S307" s="15">
        <v>0</v>
      </c>
      <c r="T307" s="15">
        <v>0</v>
      </c>
      <c r="U307" s="15">
        <v>826</v>
      </c>
      <c r="V307" s="15">
        <v>2717</v>
      </c>
      <c r="W307" s="19">
        <v>0</v>
      </c>
      <c r="X307" s="20">
        <v>0</v>
      </c>
      <c r="Y307" s="20">
        <v>0</v>
      </c>
      <c r="Z307" s="20">
        <v>3543</v>
      </c>
      <c r="AA307" s="21">
        <v>3543</v>
      </c>
      <c r="AB307" s="57">
        <v>0</v>
      </c>
      <c r="AC307" s="57">
        <v>0</v>
      </c>
      <c r="AD307" s="57">
        <f>3543*18/100</f>
        <v>637.74</v>
      </c>
      <c r="AE307" s="57">
        <f>638-AD307</f>
        <v>0.25999999999999091</v>
      </c>
      <c r="AF307" s="18" t="s">
        <v>2038</v>
      </c>
      <c r="AG307" s="57" t="s">
        <v>2044</v>
      </c>
      <c r="AH307" s="18" t="s">
        <v>2045</v>
      </c>
      <c r="AI307" s="24" t="s">
        <v>55</v>
      </c>
      <c r="AJ307" s="23"/>
      <c r="AK307" s="41" t="s">
        <v>1688</v>
      </c>
    </row>
    <row r="308" spans="1:37" x14ac:dyDescent="0.25">
      <c r="A308" s="13">
        <v>44742</v>
      </c>
      <c r="B308" s="23" t="s">
        <v>2046</v>
      </c>
      <c r="C308" s="18" t="s">
        <v>2047</v>
      </c>
      <c r="D308" s="18" t="s">
        <v>46</v>
      </c>
      <c r="E308" s="18" t="s">
        <v>2048</v>
      </c>
      <c r="F308" s="15">
        <v>8951797901</v>
      </c>
      <c r="G308" s="14" t="s">
        <v>2049</v>
      </c>
      <c r="H308" s="23" t="s">
        <v>46</v>
      </c>
      <c r="I308" s="17" t="s">
        <v>2050</v>
      </c>
      <c r="J308" s="18" t="s">
        <v>2051</v>
      </c>
      <c r="K308" s="15" t="s">
        <v>196</v>
      </c>
      <c r="L308" s="14" t="s">
        <v>1686</v>
      </c>
      <c r="M308" s="23" t="s">
        <v>2052</v>
      </c>
      <c r="N308" s="23" t="s">
        <v>212</v>
      </c>
      <c r="O308" s="14" t="s">
        <v>68</v>
      </c>
      <c r="P308" s="15">
        <v>4180</v>
      </c>
      <c r="Q308" s="15">
        <v>4180</v>
      </c>
      <c r="R308" s="15">
        <v>0</v>
      </c>
      <c r="S308" s="15">
        <v>0</v>
      </c>
      <c r="T308" s="15">
        <v>0</v>
      </c>
      <c r="U308" s="15">
        <v>826</v>
      </c>
      <c r="V308" s="15">
        <v>2716</v>
      </c>
      <c r="W308" s="19">
        <v>0</v>
      </c>
      <c r="X308" s="20">
        <v>500</v>
      </c>
      <c r="Y308" s="20">
        <v>0</v>
      </c>
      <c r="Z308" s="20">
        <v>3042</v>
      </c>
      <c r="AA308" s="21">
        <v>3542</v>
      </c>
      <c r="AB308" s="57">
        <v>0</v>
      </c>
      <c r="AC308" s="57">
        <v>0</v>
      </c>
      <c r="AD308" s="57">
        <f>3542*18/100</f>
        <v>637.55999999999995</v>
      </c>
      <c r="AE308" s="57">
        <f>638-AD308</f>
        <v>0.44000000000005457</v>
      </c>
      <c r="AF308" s="18" t="s">
        <v>2047</v>
      </c>
      <c r="AG308" s="57"/>
      <c r="AH308" s="18" t="s">
        <v>2053</v>
      </c>
      <c r="AI308" s="24" t="s">
        <v>55</v>
      </c>
      <c r="AJ308" s="23"/>
      <c r="AK308" s="41" t="s">
        <v>1688</v>
      </c>
    </row>
    <row r="309" spans="1:37" x14ac:dyDescent="0.25">
      <c r="A309" s="13">
        <v>44742</v>
      </c>
      <c r="B309" s="23" t="s">
        <v>2054</v>
      </c>
      <c r="C309" s="18" t="s">
        <v>2055</v>
      </c>
      <c r="D309" s="18" t="s">
        <v>2056</v>
      </c>
      <c r="E309" s="18" t="s">
        <v>2057</v>
      </c>
      <c r="F309" s="15">
        <v>7391037828</v>
      </c>
      <c r="G309" s="14" t="s">
        <v>2058</v>
      </c>
      <c r="H309" s="23" t="s">
        <v>46</v>
      </c>
      <c r="I309" s="17" t="s">
        <v>2059</v>
      </c>
      <c r="J309" s="18" t="s">
        <v>2060</v>
      </c>
      <c r="K309" s="15" t="s">
        <v>2061</v>
      </c>
      <c r="L309" s="14" t="s">
        <v>2062</v>
      </c>
      <c r="M309" s="24" t="s">
        <v>105</v>
      </c>
      <c r="N309" s="42" t="s">
        <v>2008</v>
      </c>
      <c r="O309" s="14" t="s">
        <v>993</v>
      </c>
      <c r="P309" s="15">
        <v>9590</v>
      </c>
      <c r="Q309" s="15">
        <v>4795</v>
      </c>
      <c r="R309" s="15">
        <v>4795</v>
      </c>
      <c r="S309" s="15">
        <v>0</v>
      </c>
      <c r="T309" s="15">
        <v>4870</v>
      </c>
      <c r="U309" s="15">
        <v>500</v>
      </c>
      <c r="V309" s="15">
        <v>3500</v>
      </c>
      <c r="W309" s="19">
        <v>4870</v>
      </c>
      <c r="X309" s="20">
        <v>0</v>
      </c>
      <c r="Y309" s="20">
        <v>0</v>
      </c>
      <c r="Z309" s="20">
        <v>4000</v>
      </c>
      <c r="AA309" s="21">
        <v>4000</v>
      </c>
      <c r="AB309" s="57">
        <f>4000*18/100/2</f>
        <v>360</v>
      </c>
      <c r="AC309" s="57">
        <f>4000*18/100/2</f>
        <v>360</v>
      </c>
      <c r="AD309" s="57">
        <v>0</v>
      </c>
      <c r="AE309" s="57">
        <v>0</v>
      </c>
      <c r="AF309" s="18" t="s">
        <v>2055</v>
      </c>
      <c r="AG309" s="57"/>
      <c r="AH309" s="18" t="s">
        <v>2063</v>
      </c>
      <c r="AI309" s="24" t="s">
        <v>55</v>
      </c>
      <c r="AJ309" s="23"/>
      <c r="AK309" s="41" t="s">
        <v>360</v>
      </c>
    </row>
    <row r="310" spans="1:37" x14ac:dyDescent="0.25">
      <c r="A310" s="13">
        <v>44742</v>
      </c>
      <c r="B310" s="16" t="s">
        <v>2064</v>
      </c>
      <c r="C310" s="14" t="s">
        <v>2065</v>
      </c>
      <c r="D310" s="14" t="s">
        <v>46</v>
      </c>
      <c r="E310" s="14" t="s">
        <v>2066</v>
      </c>
      <c r="F310" s="15">
        <v>8850869016</v>
      </c>
      <c r="G310" s="85" t="s">
        <v>2067</v>
      </c>
      <c r="H310" s="16" t="s">
        <v>46</v>
      </c>
      <c r="I310" s="17" t="s">
        <v>2068</v>
      </c>
      <c r="J310" s="18" t="s">
        <v>2069</v>
      </c>
      <c r="K310" s="15" t="s">
        <v>652</v>
      </c>
      <c r="L310" s="14" t="s">
        <v>1513</v>
      </c>
      <c r="M310" s="16" t="s">
        <v>80</v>
      </c>
      <c r="N310" s="86" t="s">
        <v>2008</v>
      </c>
      <c r="O310" s="14" t="s">
        <v>68</v>
      </c>
      <c r="P310" s="15">
        <v>2999</v>
      </c>
      <c r="Q310" s="15">
        <v>1500</v>
      </c>
      <c r="R310" s="15">
        <v>1499</v>
      </c>
      <c r="S310" s="15">
        <v>0</v>
      </c>
      <c r="T310" s="15">
        <v>0</v>
      </c>
      <c r="U310" s="15">
        <v>590</v>
      </c>
      <c r="V310" s="15">
        <v>1952</v>
      </c>
      <c r="W310" s="19">
        <v>0</v>
      </c>
      <c r="X310" s="20">
        <v>0</v>
      </c>
      <c r="Y310" s="20">
        <v>0</v>
      </c>
      <c r="Z310" s="20">
        <v>2542</v>
      </c>
      <c r="AA310" s="87">
        <v>2542</v>
      </c>
      <c r="AB310" s="88">
        <f>2542*18/100/2</f>
        <v>228.78</v>
      </c>
      <c r="AC310" s="88">
        <f>2542*18/100/2</f>
        <v>228.78</v>
      </c>
      <c r="AD310" s="88">
        <v>0</v>
      </c>
      <c r="AE310" s="88">
        <f>457-AB310-AC310</f>
        <v>-0.56000000000000227</v>
      </c>
      <c r="AF310" s="14" t="s">
        <v>2065</v>
      </c>
      <c r="AG310" s="57" t="s">
        <v>2070</v>
      </c>
      <c r="AH310" s="18" t="s">
        <v>2071</v>
      </c>
      <c r="AI310" s="24" t="s">
        <v>55</v>
      </c>
      <c r="AJ310" s="23"/>
      <c r="AK310" s="41" t="s">
        <v>56</v>
      </c>
    </row>
    <row r="311" spans="1:37" x14ac:dyDescent="0.25">
      <c r="A311" s="13">
        <v>44742</v>
      </c>
      <c r="B311" s="23" t="s">
        <v>2072</v>
      </c>
      <c r="C311" s="18" t="s">
        <v>2073</v>
      </c>
      <c r="D311" s="18" t="s">
        <v>2073</v>
      </c>
      <c r="E311" s="18" t="s">
        <v>2074</v>
      </c>
      <c r="F311" s="15">
        <v>9811404043</v>
      </c>
      <c r="G311" s="82" t="s">
        <v>2075</v>
      </c>
      <c r="H311" s="23" t="s">
        <v>2076</v>
      </c>
      <c r="I311" s="17" t="s">
        <v>2077</v>
      </c>
      <c r="J311" s="18" t="s">
        <v>2078</v>
      </c>
      <c r="K311" s="15" t="s">
        <v>652</v>
      </c>
      <c r="L311" s="14" t="s">
        <v>2079</v>
      </c>
      <c r="M311" s="23" t="s">
        <v>1662</v>
      </c>
      <c r="N311" s="42" t="s">
        <v>1663</v>
      </c>
      <c r="O311" s="14" t="s">
        <v>68</v>
      </c>
      <c r="P311" s="15">
        <v>2999</v>
      </c>
      <c r="Q311" s="15">
        <v>1500</v>
      </c>
      <c r="R311" s="15">
        <v>1499</v>
      </c>
      <c r="S311" s="15">
        <v>0</v>
      </c>
      <c r="T311" s="15">
        <v>0</v>
      </c>
      <c r="U311" s="15">
        <v>590</v>
      </c>
      <c r="V311" s="15">
        <v>1952</v>
      </c>
      <c r="W311" s="19">
        <v>0</v>
      </c>
      <c r="X311" s="20">
        <v>0</v>
      </c>
      <c r="Y311" s="20">
        <v>0</v>
      </c>
      <c r="Z311" s="20">
        <v>2542</v>
      </c>
      <c r="AA311" s="21">
        <v>2542</v>
      </c>
      <c r="AB311" s="57">
        <v>0</v>
      </c>
      <c r="AC311" s="57">
        <v>0</v>
      </c>
      <c r="AD311" s="57">
        <f>2542*18/100</f>
        <v>457.56</v>
      </c>
      <c r="AE311" s="57">
        <f>457-AD311</f>
        <v>-0.56000000000000227</v>
      </c>
      <c r="AF311" s="18" t="s">
        <v>2080</v>
      </c>
      <c r="AG311" s="57"/>
      <c r="AH311" s="18" t="s">
        <v>2081</v>
      </c>
      <c r="AI311" s="24" t="s">
        <v>55</v>
      </c>
      <c r="AJ311" s="23"/>
      <c r="AK311" s="41" t="s">
        <v>56</v>
      </c>
    </row>
    <row r="312" spans="1:37" x14ac:dyDescent="0.25">
      <c r="A312" s="13">
        <v>44742</v>
      </c>
      <c r="B312" s="24" t="s">
        <v>71</v>
      </c>
      <c r="C312" s="18" t="s">
        <v>2082</v>
      </c>
      <c r="D312" s="18" t="s">
        <v>2083</v>
      </c>
      <c r="E312" s="18" t="s">
        <v>2084</v>
      </c>
      <c r="F312" s="15">
        <v>9417294948</v>
      </c>
      <c r="G312" s="14" t="s">
        <v>2085</v>
      </c>
      <c r="H312" s="23" t="s">
        <v>2086</v>
      </c>
      <c r="I312" s="17" t="s">
        <v>2087</v>
      </c>
      <c r="J312" s="18" t="s">
        <v>2088</v>
      </c>
      <c r="K312" s="15" t="s">
        <v>64</v>
      </c>
      <c r="L312" s="14" t="s">
        <v>65</v>
      </c>
      <c r="M312" s="23" t="s">
        <v>718</v>
      </c>
      <c r="N312" s="24" t="s">
        <v>297</v>
      </c>
      <c r="O312" s="14" t="s">
        <v>53</v>
      </c>
      <c r="P312" s="15">
        <v>8950</v>
      </c>
      <c r="Q312" s="15">
        <v>8950</v>
      </c>
      <c r="R312" s="15">
        <v>0</v>
      </c>
      <c r="S312" s="15">
        <v>0</v>
      </c>
      <c r="T312" s="15">
        <v>4870</v>
      </c>
      <c r="U312" s="15">
        <v>500</v>
      </c>
      <c r="V312" s="15">
        <v>2958</v>
      </c>
      <c r="W312" s="19">
        <v>4870</v>
      </c>
      <c r="X312" s="20">
        <v>1000</v>
      </c>
      <c r="Y312" s="20">
        <v>2458</v>
      </c>
      <c r="Z312" s="20">
        <v>0</v>
      </c>
      <c r="AA312" s="21">
        <v>3458</v>
      </c>
      <c r="AB312" s="57">
        <v>0</v>
      </c>
      <c r="AC312" s="57">
        <v>0</v>
      </c>
      <c r="AD312" s="57">
        <f>3458*18/100</f>
        <v>622.44000000000005</v>
      </c>
      <c r="AE312" s="57">
        <f>622-AD312</f>
        <v>-0.44000000000005457</v>
      </c>
      <c r="AF312" s="18" t="s">
        <v>2089</v>
      </c>
      <c r="AG312" s="57"/>
      <c r="AH312" s="18" t="s">
        <v>2090</v>
      </c>
      <c r="AI312" s="24" t="s">
        <v>55</v>
      </c>
      <c r="AJ312" s="23"/>
      <c r="AK312" s="41" t="s">
        <v>360</v>
      </c>
    </row>
    <row r="313" spans="1:37" x14ac:dyDescent="0.25">
      <c r="A313" s="13">
        <v>44742</v>
      </c>
      <c r="B313" s="23" t="s">
        <v>2091</v>
      </c>
      <c r="C313" s="18" t="s">
        <v>2092</v>
      </c>
      <c r="D313" s="18" t="s">
        <v>46</v>
      </c>
      <c r="E313" s="18" t="s">
        <v>2093</v>
      </c>
      <c r="F313" s="15">
        <v>9422004651</v>
      </c>
      <c r="G313" s="14" t="s">
        <v>2094</v>
      </c>
      <c r="H313" s="23" t="s">
        <v>2095</v>
      </c>
      <c r="I313" s="17" t="s">
        <v>2096</v>
      </c>
      <c r="J313" s="18" t="s">
        <v>2097</v>
      </c>
      <c r="K313" s="15" t="s">
        <v>255</v>
      </c>
      <c r="L313" s="14" t="s">
        <v>2098</v>
      </c>
      <c r="M313" s="24" t="s">
        <v>105</v>
      </c>
      <c r="N313" s="42" t="s">
        <v>2008</v>
      </c>
      <c r="O313" s="14" t="s">
        <v>68</v>
      </c>
      <c r="P313" s="15">
        <v>4000</v>
      </c>
      <c r="Q313" s="15">
        <v>4000</v>
      </c>
      <c r="R313" s="15">
        <v>0</v>
      </c>
      <c r="S313" s="15">
        <v>0</v>
      </c>
      <c r="T313" s="15">
        <v>0</v>
      </c>
      <c r="U313" s="15">
        <v>826</v>
      </c>
      <c r="V313" s="15">
        <v>2564</v>
      </c>
      <c r="W313" s="19">
        <v>0</v>
      </c>
      <c r="X313" s="20">
        <v>500</v>
      </c>
      <c r="Y313" s="20">
        <v>1445</v>
      </c>
      <c r="Z313" s="20">
        <v>1445</v>
      </c>
      <c r="AA313" s="21">
        <v>3390</v>
      </c>
      <c r="AB313" s="57">
        <f>3390*18/100/2</f>
        <v>305.10000000000002</v>
      </c>
      <c r="AC313" s="57">
        <f>3390*18/100/2</f>
        <v>305.10000000000002</v>
      </c>
      <c r="AD313" s="57">
        <v>0</v>
      </c>
      <c r="AE313" s="57">
        <f>610-AC313-AB313</f>
        <v>-0.20000000000004547</v>
      </c>
      <c r="AF313" s="18" t="s">
        <v>2092</v>
      </c>
      <c r="AG313" s="57"/>
      <c r="AH313" s="18" t="s">
        <v>2099</v>
      </c>
      <c r="AI313" s="24" t="s">
        <v>55</v>
      </c>
      <c r="AJ313" s="23"/>
      <c r="AK313" s="41" t="s">
        <v>1688</v>
      </c>
    </row>
    <row r="314" spans="1:37" x14ac:dyDescent="0.25">
      <c r="A314" s="13">
        <v>44742</v>
      </c>
      <c r="B314" s="24" t="s">
        <v>2100</v>
      </c>
      <c r="C314" s="18" t="s">
        <v>2101</v>
      </c>
      <c r="D314" s="18" t="s">
        <v>2102</v>
      </c>
      <c r="E314" s="18" t="s">
        <v>2103</v>
      </c>
      <c r="F314" s="15">
        <v>9850960669</v>
      </c>
      <c r="G314" s="14" t="s">
        <v>2104</v>
      </c>
      <c r="H314" s="23" t="s">
        <v>2105</v>
      </c>
      <c r="I314" s="17" t="s">
        <v>2106</v>
      </c>
      <c r="J314" s="18" t="s">
        <v>2107</v>
      </c>
      <c r="K314" s="15" t="s">
        <v>255</v>
      </c>
      <c r="L314" s="14" t="s">
        <v>2108</v>
      </c>
      <c r="M314" s="24" t="s">
        <v>105</v>
      </c>
      <c r="N314" s="42" t="s">
        <v>2008</v>
      </c>
      <c r="O314" s="14" t="s">
        <v>53</v>
      </c>
      <c r="P314" s="15">
        <v>13130</v>
      </c>
      <c r="Q314" s="15">
        <v>13130</v>
      </c>
      <c r="R314" s="15">
        <v>0</v>
      </c>
      <c r="S314" s="15">
        <v>0</v>
      </c>
      <c r="T314" s="15">
        <v>4870</v>
      </c>
      <c r="U314" s="15">
        <v>500</v>
      </c>
      <c r="V314" s="15">
        <v>6500</v>
      </c>
      <c r="W314" s="19">
        <v>4870</v>
      </c>
      <c r="X314" s="20">
        <v>1000</v>
      </c>
      <c r="Y314" s="20">
        <v>0</v>
      </c>
      <c r="Z314" s="20">
        <v>6000</v>
      </c>
      <c r="AA314" s="21">
        <v>7000</v>
      </c>
      <c r="AB314" s="57">
        <f>7000*18/100/2</f>
        <v>630</v>
      </c>
      <c r="AC314" s="57">
        <f>7000*18/100/2</f>
        <v>630</v>
      </c>
      <c r="AD314" s="57">
        <v>0</v>
      </c>
      <c r="AE314" s="57">
        <v>0</v>
      </c>
      <c r="AF314" s="18" t="s">
        <v>2101</v>
      </c>
      <c r="AG314" s="57"/>
      <c r="AH314" s="18" t="s">
        <v>2109</v>
      </c>
      <c r="AI314" s="24" t="s">
        <v>55</v>
      </c>
      <c r="AJ314" s="23"/>
      <c r="AK314" s="41" t="s">
        <v>360</v>
      </c>
    </row>
    <row r="315" spans="1:37" x14ac:dyDescent="0.25">
      <c r="A315" s="13">
        <v>44742</v>
      </c>
      <c r="B315" s="24" t="s">
        <v>71</v>
      </c>
      <c r="C315" s="18" t="s">
        <v>2110</v>
      </c>
      <c r="D315" s="18" t="s">
        <v>2111</v>
      </c>
      <c r="E315" s="18" t="s">
        <v>2112</v>
      </c>
      <c r="F315" s="15">
        <v>9920851891</v>
      </c>
      <c r="G315" s="14" t="s">
        <v>46</v>
      </c>
      <c r="H315" s="23" t="s">
        <v>2113</v>
      </c>
      <c r="I315" s="17" t="s">
        <v>2114</v>
      </c>
      <c r="J315" s="18" t="s">
        <v>2115</v>
      </c>
      <c r="K315" s="15" t="s">
        <v>255</v>
      </c>
      <c r="L315" s="14" t="s">
        <v>926</v>
      </c>
      <c r="M315" s="24" t="s">
        <v>80</v>
      </c>
      <c r="N315" s="42" t="s">
        <v>2008</v>
      </c>
      <c r="O315" s="14" t="s">
        <v>53</v>
      </c>
      <c r="P315" s="15">
        <v>9220</v>
      </c>
      <c r="Q315" s="15">
        <v>9220</v>
      </c>
      <c r="R315" s="15">
        <v>0</v>
      </c>
      <c r="S315" s="15">
        <v>0</v>
      </c>
      <c r="T315" s="15">
        <v>4870</v>
      </c>
      <c r="U315" s="15">
        <v>500</v>
      </c>
      <c r="V315" s="15">
        <v>3186</v>
      </c>
      <c r="W315" s="19">
        <v>4870</v>
      </c>
      <c r="X315" s="20">
        <v>1843</v>
      </c>
      <c r="Y315" s="20">
        <v>1843</v>
      </c>
      <c r="Z315" s="20">
        <v>0</v>
      </c>
      <c r="AA315" s="21">
        <v>3686</v>
      </c>
      <c r="AB315" s="57">
        <f>3686*18/100/2</f>
        <v>331.74</v>
      </c>
      <c r="AC315" s="57">
        <f>3686*18/100/2</f>
        <v>331.74</v>
      </c>
      <c r="AD315" s="57">
        <v>0</v>
      </c>
      <c r="AE315" s="57">
        <f>664-AC315-AB315</f>
        <v>0.51999999999998181</v>
      </c>
      <c r="AF315" s="18" t="s">
        <v>2116</v>
      </c>
      <c r="AG315" s="57"/>
      <c r="AH315" s="18" t="s">
        <v>2117</v>
      </c>
      <c r="AI315" s="24" t="s">
        <v>55</v>
      </c>
      <c r="AJ315" s="23"/>
      <c r="AK315" s="41" t="s">
        <v>360</v>
      </c>
    </row>
    <row r="316" spans="1:37" x14ac:dyDescent="0.25">
      <c r="A316" s="13">
        <v>44742</v>
      </c>
      <c r="B316" s="24" t="s">
        <v>71</v>
      </c>
      <c r="C316" s="18" t="s">
        <v>2118</v>
      </c>
      <c r="D316" s="18" t="s">
        <v>2119</v>
      </c>
      <c r="E316" s="18" t="s">
        <v>2120</v>
      </c>
      <c r="F316" s="15">
        <v>9860175602</v>
      </c>
      <c r="G316" s="14" t="s">
        <v>2121</v>
      </c>
      <c r="H316" s="23" t="s">
        <v>46</v>
      </c>
      <c r="I316" s="17" t="s">
        <v>2122</v>
      </c>
      <c r="J316" s="18" t="s">
        <v>2123</v>
      </c>
      <c r="K316" s="15" t="s">
        <v>255</v>
      </c>
      <c r="L316" s="14" t="s">
        <v>2124</v>
      </c>
      <c r="M316" s="24" t="s">
        <v>105</v>
      </c>
      <c r="N316" s="42" t="s">
        <v>2008</v>
      </c>
      <c r="O316" s="14" t="s">
        <v>68</v>
      </c>
      <c r="P316" s="15">
        <v>10500</v>
      </c>
      <c r="Q316" s="15">
        <v>10500</v>
      </c>
      <c r="R316" s="15">
        <v>0</v>
      </c>
      <c r="S316" s="15">
        <v>0</v>
      </c>
      <c r="T316" s="15">
        <v>4870</v>
      </c>
      <c r="U316" s="15">
        <v>500</v>
      </c>
      <c r="V316" s="15">
        <v>4271</v>
      </c>
      <c r="W316" s="19">
        <v>4870</v>
      </c>
      <c r="X316" s="20">
        <v>1000</v>
      </c>
      <c r="Y316" s="20">
        <v>2153</v>
      </c>
      <c r="Z316" s="20">
        <v>1618</v>
      </c>
      <c r="AA316" s="21">
        <v>4771</v>
      </c>
      <c r="AB316" s="57">
        <f>4771*18/100/2</f>
        <v>429.39</v>
      </c>
      <c r="AC316" s="57">
        <f>4771*18/100/2</f>
        <v>429.39</v>
      </c>
      <c r="AD316" s="57">
        <v>0</v>
      </c>
      <c r="AE316" s="57">
        <f>859-AC316-AB316</f>
        <v>0.22000000000002728</v>
      </c>
      <c r="AF316" s="18" t="s">
        <v>2118</v>
      </c>
      <c r="AG316" s="57" t="s">
        <v>2125</v>
      </c>
      <c r="AH316" s="18" t="s">
        <v>2126</v>
      </c>
      <c r="AI316" s="24" t="s">
        <v>55</v>
      </c>
      <c r="AJ316" s="23"/>
      <c r="AK316" s="41" t="s">
        <v>360</v>
      </c>
    </row>
    <row r="317" spans="1:37" x14ac:dyDescent="0.25">
      <c r="A317" s="13">
        <v>44742</v>
      </c>
      <c r="B317" s="23" t="s">
        <v>2127</v>
      </c>
      <c r="C317" s="18" t="s">
        <v>2128</v>
      </c>
      <c r="D317" s="18" t="s">
        <v>2128</v>
      </c>
      <c r="E317" s="18" t="s">
        <v>2129</v>
      </c>
      <c r="F317" s="15">
        <v>9920164581</v>
      </c>
      <c r="G317" s="82" t="s">
        <v>46</v>
      </c>
      <c r="H317" s="24" t="s">
        <v>46</v>
      </c>
      <c r="I317" s="17" t="s">
        <v>2130</v>
      </c>
      <c r="J317" s="18" t="s">
        <v>2131</v>
      </c>
      <c r="K317" s="15" t="s">
        <v>116</v>
      </c>
      <c r="L317" s="14" t="s">
        <v>741</v>
      </c>
      <c r="M317" s="24" t="s">
        <v>80</v>
      </c>
      <c r="N317" s="42" t="s">
        <v>2008</v>
      </c>
      <c r="O317" s="14" t="s">
        <v>68</v>
      </c>
      <c r="P317" s="15">
        <v>15360</v>
      </c>
      <c r="Q317" s="15">
        <v>15360</v>
      </c>
      <c r="R317" s="15">
        <v>0</v>
      </c>
      <c r="S317" s="15">
        <v>0</v>
      </c>
      <c r="T317" s="15">
        <v>2451</v>
      </c>
      <c r="U317" s="15">
        <v>3000</v>
      </c>
      <c r="V317" s="15">
        <v>7940</v>
      </c>
      <c r="W317" s="19">
        <v>2451</v>
      </c>
      <c r="X317" s="20">
        <v>7440</v>
      </c>
      <c r="Y317" s="20">
        <v>3500</v>
      </c>
      <c r="Z317" s="20">
        <v>0</v>
      </c>
      <c r="AA317" s="21">
        <v>10940</v>
      </c>
      <c r="AB317" s="57">
        <f>10940*18/100/2</f>
        <v>984.6</v>
      </c>
      <c r="AC317" s="57">
        <f>10940*18/100/2</f>
        <v>984.6</v>
      </c>
      <c r="AD317" s="57">
        <v>0</v>
      </c>
      <c r="AE317" s="57">
        <f>1969-AC317-AB317</f>
        <v>-0.20000000000004547</v>
      </c>
      <c r="AF317" s="89" t="s">
        <v>2132</v>
      </c>
      <c r="AG317" s="57"/>
      <c r="AH317" s="18" t="s">
        <v>2133</v>
      </c>
      <c r="AI317" s="24" t="s">
        <v>123</v>
      </c>
      <c r="AJ317" s="23"/>
      <c r="AK317" s="41" t="s">
        <v>2134</v>
      </c>
    </row>
    <row r="318" spans="1:37" x14ac:dyDescent="0.25">
      <c r="A318" s="13">
        <v>44742</v>
      </c>
      <c r="B318" s="24" t="s">
        <v>71</v>
      </c>
      <c r="C318" s="18" t="s">
        <v>46</v>
      </c>
      <c r="D318" s="18" t="s">
        <v>2135</v>
      </c>
      <c r="E318" s="18" t="s">
        <v>2136</v>
      </c>
      <c r="F318" s="15">
        <v>7976602260</v>
      </c>
      <c r="G318" s="82" t="s">
        <v>46</v>
      </c>
      <c r="H318" s="16" t="s">
        <v>46</v>
      </c>
      <c r="I318" s="17" t="s">
        <v>2137</v>
      </c>
      <c r="J318" s="18" t="s">
        <v>2138</v>
      </c>
      <c r="K318" s="15" t="s">
        <v>116</v>
      </c>
      <c r="L318" s="14" t="s">
        <v>2139</v>
      </c>
      <c r="M318" s="23" t="s">
        <v>694</v>
      </c>
      <c r="N318" s="23" t="s">
        <v>868</v>
      </c>
      <c r="O318" s="14" t="s">
        <v>993</v>
      </c>
      <c r="P318" s="15">
        <v>9220</v>
      </c>
      <c r="Q318" s="15">
        <v>9220</v>
      </c>
      <c r="R318" s="15">
        <v>0</v>
      </c>
      <c r="S318" s="15">
        <v>0</v>
      </c>
      <c r="T318" s="15">
        <v>4870</v>
      </c>
      <c r="U318" s="15">
        <v>500</v>
      </c>
      <c r="V318" s="15">
        <v>3186</v>
      </c>
      <c r="W318" s="19">
        <v>4870</v>
      </c>
      <c r="X318" s="20">
        <v>3686</v>
      </c>
      <c r="Y318" s="20">
        <v>0</v>
      </c>
      <c r="Z318" s="20">
        <v>0</v>
      </c>
      <c r="AA318" s="21">
        <v>3686</v>
      </c>
      <c r="AB318" s="57">
        <v>0</v>
      </c>
      <c r="AC318" s="57">
        <v>0</v>
      </c>
      <c r="AD318" s="57">
        <f>3686*18/100</f>
        <v>663.48</v>
      </c>
      <c r="AE318" s="57">
        <f>664-AD318</f>
        <v>0.51999999999998181</v>
      </c>
      <c r="AF318" s="18" t="s">
        <v>2136</v>
      </c>
      <c r="AG318" s="57" t="s">
        <v>2140</v>
      </c>
      <c r="AH318" s="18" t="s">
        <v>2141</v>
      </c>
      <c r="AI318" s="24" t="s">
        <v>123</v>
      </c>
      <c r="AJ318" s="23"/>
      <c r="AK318" s="41" t="s">
        <v>360</v>
      </c>
    </row>
    <row r="319" spans="1:37" ht="45" x14ac:dyDescent="0.25">
      <c r="A319" s="13">
        <v>44742</v>
      </c>
      <c r="B319" s="24" t="s">
        <v>2142</v>
      </c>
      <c r="C319" s="18" t="s">
        <v>2143</v>
      </c>
      <c r="D319" s="18" t="s">
        <v>46</v>
      </c>
      <c r="E319" s="18" t="s">
        <v>2144</v>
      </c>
      <c r="F319" s="15">
        <v>7719925252</v>
      </c>
      <c r="G319" s="82" t="s">
        <v>2145</v>
      </c>
      <c r="H319" s="24" t="s">
        <v>2146</v>
      </c>
      <c r="I319" s="17" t="s">
        <v>2147</v>
      </c>
      <c r="J319" s="18" t="s">
        <v>2148</v>
      </c>
      <c r="K319" s="15" t="s">
        <v>116</v>
      </c>
      <c r="L319" s="14" t="s">
        <v>117</v>
      </c>
      <c r="M319" s="23" t="s">
        <v>80</v>
      </c>
      <c r="N319" s="42" t="s">
        <v>2008</v>
      </c>
      <c r="O319" s="14" t="s">
        <v>993</v>
      </c>
      <c r="P319" s="15">
        <v>35960</v>
      </c>
      <c r="Q319" s="15">
        <v>20000</v>
      </c>
      <c r="R319" s="15">
        <v>15960</v>
      </c>
      <c r="S319" s="15">
        <v>0</v>
      </c>
      <c r="T319" s="15">
        <v>0</v>
      </c>
      <c r="U319" s="15">
        <v>5000</v>
      </c>
      <c r="V319" s="15">
        <v>25475</v>
      </c>
      <c r="W319" s="19">
        <v>0</v>
      </c>
      <c r="X319" s="20">
        <v>0</v>
      </c>
      <c r="Y319" s="20">
        <v>0</v>
      </c>
      <c r="Z319" s="20">
        <v>30475</v>
      </c>
      <c r="AA319" s="21">
        <v>30475</v>
      </c>
      <c r="AB319" s="57">
        <f>30475*18/100/2</f>
        <v>2742.75</v>
      </c>
      <c r="AC319" s="57">
        <f>30475*18/100/2</f>
        <v>2742.75</v>
      </c>
      <c r="AD319" s="57">
        <v>0</v>
      </c>
      <c r="AE319" s="57">
        <f>5485-AC319-AB319</f>
        <v>-0.5</v>
      </c>
      <c r="AF319" s="18" t="s">
        <v>2149</v>
      </c>
      <c r="AG319" s="57" t="s">
        <v>2150</v>
      </c>
      <c r="AH319" s="18" t="s">
        <v>2151</v>
      </c>
      <c r="AI319" s="24" t="s">
        <v>123</v>
      </c>
      <c r="AJ319" s="23"/>
      <c r="AK319" s="41" t="s">
        <v>2152</v>
      </c>
    </row>
    <row r="320" spans="1:37" x14ac:dyDescent="0.25">
      <c r="A320" s="13">
        <v>44742</v>
      </c>
      <c r="B320" s="23" t="s">
        <v>2153</v>
      </c>
      <c r="C320" s="18" t="s">
        <v>2154</v>
      </c>
      <c r="D320" s="18" t="s">
        <v>2155</v>
      </c>
      <c r="E320" s="18" t="s">
        <v>2156</v>
      </c>
      <c r="F320" s="15">
        <v>9913900961</v>
      </c>
      <c r="G320" s="82" t="s">
        <v>2157</v>
      </c>
      <c r="H320" s="16" t="s">
        <v>46</v>
      </c>
      <c r="I320" s="17" t="s">
        <v>2158</v>
      </c>
      <c r="J320" s="18" t="s">
        <v>2159</v>
      </c>
      <c r="K320" s="15" t="s">
        <v>116</v>
      </c>
      <c r="L320" s="14" t="s">
        <v>117</v>
      </c>
      <c r="M320" s="24" t="s">
        <v>186</v>
      </c>
      <c r="N320" s="23" t="s">
        <v>187</v>
      </c>
      <c r="O320" s="14" t="s">
        <v>2160</v>
      </c>
      <c r="P320" s="15">
        <v>13700</v>
      </c>
      <c r="Q320" s="15">
        <v>13700</v>
      </c>
      <c r="R320" s="15">
        <v>0</v>
      </c>
      <c r="S320" s="15">
        <v>0</v>
      </c>
      <c r="T320" s="15">
        <v>0</v>
      </c>
      <c r="U320" s="15">
        <v>5000</v>
      </c>
      <c r="V320" s="15">
        <v>8700</v>
      </c>
      <c r="W320" s="19">
        <v>0</v>
      </c>
      <c r="X320" s="20">
        <v>0</v>
      </c>
      <c r="Y320" s="20">
        <v>13700</v>
      </c>
      <c r="Z320" s="20">
        <v>0</v>
      </c>
      <c r="AA320" s="21">
        <v>0</v>
      </c>
      <c r="AB320" s="57">
        <v>0</v>
      </c>
      <c r="AC320" s="57">
        <v>0</v>
      </c>
      <c r="AD320" s="57">
        <v>0</v>
      </c>
      <c r="AE320" s="57">
        <v>0</v>
      </c>
      <c r="AF320" s="18" t="s">
        <v>2154</v>
      </c>
      <c r="AG320" s="57"/>
      <c r="AH320" s="18" t="s">
        <v>2161</v>
      </c>
      <c r="AI320" s="24" t="s">
        <v>123</v>
      </c>
      <c r="AJ320" s="23"/>
      <c r="AK320" s="41" t="s">
        <v>2162</v>
      </c>
    </row>
    <row r="321" spans="1:37" x14ac:dyDescent="0.25">
      <c r="A321" s="45">
        <v>44742</v>
      </c>
      <c r="B321" s="23" t="s">
        <v>125</v>
      </c>
      <c r="C321" s="18" t="s">
        <v>1813</v>
      </c>
      <c r="D321" s="18" t="s">
        <v>46</v>
      </c>
      <c r="E321" s="18" t="s">
        <v>1814</v>
      </c>
      <c r="F321" s="15" t="s">
        <v>1815</v>
      </c>
      <c r="G321" s="14" t="s">
        <v>1816</v>
      </c>
      <c r="H321" s="24" t="s">
        <v>46</v>
      </c>
      <c r="I321" s="17" t="s">
        <v>1817</v>
      </c>
      <c r="J321" s="18" t="s">
        <v>284</v>
      </c>
      <c r="K321" s="15" t="s">
        <v>64</v>
      </c>
      <c r="L321" s="14" t="s">
        <v>1819</v>
      </c>
      <c r="M321" s="23" t="s">
        <v>1373</v>
      </c>
      <c r="N321" s="24" t="s">
        <v>935</v>
      </c>
      <c r="O321" s="14" t="s">
        <v>68</v>
      </c>
      <c r="P321" s="15">
        <v>0</v>
      </c>
      <c r="Q321" s="15">
        <v>6000</v>
      </c>
      <c r="R321" s="15">
        <v>1500</v>
      </c>
      <c r="S321" s="15">
        <v>0</v>
      </c>
      <c r="T321" s="15">
        <v>0</v>
      </c>
      <c r="U321" s="15">
        <v>0</v>
      </c>
      <c r="V321" s="15">
        <v>0</v>
      </c>
      <c r="W321" s="19">
        <v>0</v>
      </c>
      <c r="X321" s="20">
        <v>0</v>
      </c>
      <c r="Y321" s="20">
        <v>0</v>
      </c>
      <c r="Z321" s="20">
        <v>0</v>
      </c>
      <c r="AA321" s="21">
        <v>0</v>
      </c>
      <c r="AB321" s="57">
        <v>0</v>
      </c>
      <c r="AC321" s="57">
        <v>0</v>
      </c>
      <c r="AD321" s="57">
        <v>0</v>
      </c>
      <c r="AE321" s="57">
        <v>0</v>
      </c>
      <c r="AF321" s="18" t="s">
        <v>1813</v>
      </c>
      <c r="AG321" s="57" t="s">
        <v>2163</v>
      </c>
      <c r="AH321" s="18" t="s">
        <v>46</v>
      </c>
      <c r="AI321" s="24" t="s">
        <v>55</v>
      </c>
      <c r="AJ321" s="23"/>
      <c r="AK321" s="41"/>
    </row>
    <row r="322" spans="1:37" x14ac:dyDescent="0.25">
      <c r="A322" s="45">
        <v>44742</v>
      </c>
      <c r="B322" s="23" t="s">
        <v>125</v>
      </c>
      <c r="C322" s="18" t="s">
        <v>1187</v>
      </c>
      <c r="D322" s="18" t="s">
        <v>1187</v>
      </c>
      <c r="E322" s="18" t="s">
        <v>1188</v>
      </c>
      <c r="F322" s="15">
        <v>8424971213</v>
      </c>
      <c r="G322" s="15" t="s">
        <v>1189</v>
      </c>
      <c r="H322" s="23" t="s">
        <v>46</v>
      </c>
      <c r="I322" s="17" t="s">
        <v>1190</v>
      </c>
      <c r="J322" s="18" t="s">
        <v>284</v>
      </c>
      <c r="K322" s="15" t="s">
        <v>116</v>
      </c>
      <c r="L322" s="14" t="s">
        <v>1147</v>
      </c>
      <c r="M322" s="23" t="s">
        <v>1192</v>
      </c>
      <c r="N322" s="24" t="s">
        <v>1078</v>
      </c>
      <c r="O322" s="14" t="s">
        <v>68</v>
      </c>
      <c r="P322" s="15">
        <v>0</v>
      </c>
      <c r="Q322" s="15">
        <v>2000</v>
      </c>
      <c r="R322" s="15">
        <v>800</v>
      </c>
      <c r="S322" s="15">
        <v>0</v>
      </c>
      <c r="T322" s="15">
        <v>0</v>
      </c>
      <c r="U322" s="15">
        <v>0</v>
      </c>
      <c r="V322" s="15">
        <v>0</v>
      </c>
      <c r="W322" s="19">
        <v>0</v>
      </c>
      <c r="X322" s="20">
        <v>0</v>
      </c>
      <c r="Y322" s="20">
        <v>0</v>
      </c>
      <c r="Z322" s="20">
        <v>0</v>
      </c>
      <c r="AA322" s="21">
        <v>0</v>
      </c>
      <c r="AB322" s="57">
        <v>0</v>
      </c>
      <c r="AC322" s="57">
        <v>0</v>
      </c>
      <c r="AD322" s="57">
        <v>0</v>
      </c>
      <c r="AE322" s="57">
        <v>0</v>
      </c>
      <c r="AF322" s="18" t="s">
        <v>1188</v>
      </c>
      <c r="AG322" s="57" t="s">
        <v>2164</v>
      </c>
      <c r="AH322" s="18" t="s">
        <v>46</v>
      </c>
      <c r="AI322" s="24" t="s">
        <v>2165</v>
      </c>
      <c r="AJ322" s="23"/>
      <c r="AK322" s="41"/>
    </row>
    <row r="323" spans="1:37" x14ac:dyDescent="0.25">
      <c r="A323" s="45">
        <v>44742</v>
      </c>
      <c r="B323" s="23" t="s">
        <v>125</v>
      </c>
      <c r="C323" s="24" t="s">
        <v>2166</v>
      </c>
      <c r="D323" s="24" t="s">
        <v>2167</v>
      </c>
      <c r="E323" s="24" t="s">
        <v>2168</v>
      </c>
      <c r="F323" s="23" t="s">
        <v>2169</v>
      </c>
      <c r="G323" s="23" t="s">
        <v>2170</v>
      </c>
      <c r="H323" s="23" t="s">
        <v>2171</v>
      </c>
      <c r="I323" s="17" t="s">
        <v>2172</v>
      </c>
      <c r="J323" s="18" t="s">
        <v>2173</v>
      </c>
      <c r="K323" s="24" t="s">
        <v>2174</v>
      </c>
      <c r="L323" s="24" t="s">
        <v>2175</v>
      </c>
      <c r="M323" s="24" t="s">
        <v>319</v>
      </c>
      <c r="N323" s="15" t="s">
        <v>187</v>
      </c>
      <c r="O323" s="14" t="s">
        <v>53</v>
      </c>
      <c r="P323" s="23">
        <v>0</v>
      </c>
      <c r="Q323" s="23">
        <v>5000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19">
        <v>0</v>
      </c>
      <c r="X323" s="20">
        <v>0</v>
      </c>
      <c r="Y323" s="20">
        <v>0</v>
      </c>
      <c r="Z323" s="20">
        <v>0</v>
      </c>
      <c r="AA323" s="21">
        <v>0</v>
      </c>
      <c r="AB323" s="57">
        <v>0</v>
      </c>
      <c r="AC323" s="57">
        <v>0</v>
      </c>
      <c r="AD323" s="57">
        <v>0</v>
      </c>
      <c r="AE323" s="57">
        <v>0</v>
      </c>
      <c r="AF323" s="24" t="s">
        <v>2176</v>
      </c>
      <c r="AG323" s="57" t="s">
        <v>2177</v>
      </c>
      <c r="AH323" s="18" t="s">
        <v>46</v>
      </c>
      <c r="AI323" s="24" t="s">
        <v>55</v>
      </c>
      <c r="AJ323" s="23"/>
      <c r="AK323" s="41"/>
    </row>
    <row r="324" spans="1:37" ht="15.75" thickBot="1" x14ac:dyDescent="0.3">
      <c r="A324" s="107" t="s">
        <v>137</v>
      </c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32">
        <f t="shared" ref="P324:AE324" si="24">SUM(P307:P323)</f>
        <v>143989</v>
      </c>
      <c r="Q324" s="32">
        <f t="shared" si="24"/>
        <v>133236</v>
      </c>
      <c r="R324" s="32">
        <f t="shared" si="24"/>
        <v>26053</v>
      </c>
      <c r="S324" s="32">
        <f t="shared" si="24"/>
        <v>0</v>
      </c>
      <c r="T324" s="32">
        <f t="shared" si="24"/>
        <v>31671</v>
      </c>
      <c r="U324" s="32">
        <f t="shared" si="24"/>
        <v>19658</v>
      </c>
      <c r="V324" s="32">
        <f t="shared" si="24"/>
        <v>77617</v>
      </c>
      <c r="W324" s="33">
        <f t="shared" si="24"/>
        <v>31671</v>
      </c>
      <c r="X324" s="34">
        <f t="shared" si="24"/>
        <v>16969</v>
      </c>
      <c r="Y324" s="34">
        <f t="shared" si="24"/>
        <v>25099</v>
      </c>
      <c r="Z324" s="34">
        <f t="shared" si="24"/>
        <v>55207</v>
      </c>
      <c r="AA324" s="35">
        <f t="shared" si="24"/>
        <v>83575</v>
      </c>
      <c r="AB324" s="32">
        <f t="shared" si="24"/>
        <v>6012.3600000000006</v>
      </c>
      <c r="AC324" s="32">
        <f t="shared" si="24"/>
        <v>6012.3600000000006</v>
      </c>
      <c r="AD324" s="32">
        <f t="shared" si="24"/>
        <v>3018.78</v>
      </c>
      <c r="AE324" s="32">
        <f t="shared" si="24"/>
        <v>-0.50000000000011369</v>
      </c>
      <c r="AF324" s="109"/>
      <c r="AG324" s="109"/>
      <c r="AH324" s="109"/>
      <c r="AI324" s="36"/>
      <c r="AJ324" s="37"/>
      <c r="AK324" s="38"/>
    </row>
  </sheetData>
  <mergeCells count="174">
    <mergeCell ref="A9:O9"/>
    <mergeCell ref="AF9:AH9"/>
    <mergeCell ref="A22:V22"/>
    <mergeCell ref="X22:Z22"/>
    <mergeCell ref="AB22:AE22"/>
    <mergeCell ref="AF22:AH22"/>
    <mergeCell ref="AI22:AK22"/>
    <mergeCell ref="A30:O30"/>
    <mergeCell ref="AF30:AH30"/>
    <mergeCell ref="A11:V11"/>
    <mergeCell ref="X11:Z11"/>
    <mergeCell ref="AB11:AE11"/>
    <mergeCell ref="AF11:AH11"/>
    <mergeCell ref="AI11:AK11"/>
    <mergeCell ref="A20:O20"/>
    <mergeCell ref="AF20:AH20"/>
    <mergeCell ref="A48:V48"/>
    <mergeCell ref="X48:Z48"/>
    <mergeCell ref="AB48:AE48"/>
    <mergeCell ref="AF48:AH48"/>
    <mergeCell ref="AI48:AK48"/>
    <mergeCell ref="A57:O57"/>
    <mergeCell ref="AF57:AH57"/>
    <mergeCell ref="A32:V32"/>
    <mergeCell ref="X32:Z32"/>
    <mergeCell ref="AB32:AE32"/>
    <mergeCell ref="AF32:AH32"/>
    <mergeCell ref="AI32:AK32"/>
    <mergeCell ref="A46:O46"/>
    <mergeCell ref="AF46:AH46"/>
    <mergeCell ref="A71:V71"/>
    <mergeCell ref="X71:Z71"/>
    <mergeCell ref="AB71:AE71"/>
    <mergeCell ref="AF71:AH71"/>
    <mergeCell ref="AI71:AK71"/>
    <mergeCell ref="A80:O80"/>
    <mergeCell ref="AF80:AH80"/>
    <mergeCell ref="A59:V59"/>
    <mergeCell ref="X59:Z59"/>
    <mergeCell ref="AB59:AE59"/>
    <mergeCell ref="AF59:AH59"/>
    <mergeCell ref="AI59:AK59"/>
    <mergeCell ref="A69:O69"/>
    <mergeCell ref="AF69:AH69"/>
    <mergeCell ref="A98:V98"/>
    <mergeCell ref="X98:Z98"/>
    <mergeCell ref="AB98:AE98"/>
    <mergeCell ref="AF98:AH98"/>
    <mergeCell ref="AI98:AK98"/>
    <mergeCell ref="A113:O113"/>
    <mergeCell ref="AF113:AH113"/>
    <mergeCell ref="A82:V82"/>
    <mergeCell ref="X82:Z82"/>
    <mergeCell ref="AB82:AE82"/>
    <mergeCell ref="AF82:AH82"/>
    <mergeCell ref="AI82:AK82"/>
    <mergeCell ref="A96:O96"/>
    <mergeCell ref="AF96:AH96"/>
    <mergeCell ref="A128:V128"/>
    <mergeCell ref="X128:Z128"/>
    <mergeCell ref="AB128:AE128"/>
    <mergeCell ref="AF128:AH128"/>
    <mergeCell ref="AI128:AK128"/>
    <mergeCell ref="A138:O138"/>
    <mergeCell ref="AF138:AH138"/>
    <mergeCell ref="A115:V115"/>
    <mergeCell ref="X115:Z115"/>
    <mergeCell ref="AB115:AE115"/>
    <mergeCell ref="AF115:AH115"/>
    <mergeCell ref="AI115:AK115"/>
    <mergeCell ref="A126:O126"/>
    <mergeCell ref="AF126:AH126"/>
    <mergeCell ref="A157:V157"/>
    <mergeCell ref="X157:Z157"/>
    <mergeCell ref="AB157:AE157"/>
    <mergeCell ref="AF157:AH157"/>
    <mergeCell ref="AI157:AK157"/>
    <mergeCell ref="A165:O165"/>
    <mergeCell ref="AF165:AH165"/>
    <mergeCell ref="A140:V140"/>
    <mergeCell ref="X140:Z140"/>
    <mergeCell ref="AB140:AE140"/>
    <mergeCell ref="AF140:AH140"/>
    <mergeCell ref="AI140:AK140"/>
    <mergeCell ref="A155:O155"/>
    <mergeCell ref="AF155:AH155"/>
    <mergeCell ref="A187:V187"/>
    <mergeCell ref="X187:Z187"/>
    <mergeCell ref="AB187:AE187"/>
    <mergeCell ref="AF187:AH187"/>
    <mergeCell ref="AI187:AK187"/>
    <mergeCell ref="A193:O193"/>
    <mergeCell ref="AF193:AH193"/>
    <mergeCell ref="A167:V167"/>
    <mergeCell ref="X167:Z167"/>
    <mergeCell ref="AB167:AE167"/>
    <mergeCell ref="AF167:AH167"/>
    <mergeCell ref="AI167:AK167"/>
    <mergeCell ref="A185:O185"/>
    <mergeCell ref="AF185:AH185"/>
    <mergeCell ref="A205:V205"/>
    <mergeCell ref="X205:Z205"/>
    <mergeCell ref="AB205:AE205"/>
    <mergeCell ref="AF205:AH205"/>
    <mergeCell ref="AI205:AK205"/>
    <mergeCell ref="A215:O215"/>
    <mergeCell ref="AF215:AH215"/>
    <mergeCell ref="A195:V195"/>
    <mergeCell ref="X195:Z195"/>
    <mergeCell ref="AB195:AE195"/>
    <mergeCell ref="AF195:AH195"/>
    <mergeCell ref="AI195:AK195"/>
    <mergeCell ref="A203:O203"/>
    <mergeCell ref="AF203:AH203"/>
    <mergeCell ref="A217:V217"/>
    <mergeCell ref="X217:Z217"/>
    <mergeCell ref="AB217:AE217"/>
    <mergeCell ref="AF217:AH217"/>
    <mergeCell ref="AI217:AK217"/>
    <mergeCell ref="O219:O220"/>
    <mergeCell ref="Q219:Q220"/>
    <mergeCell ref="AG219:AG220"/>
    <mergeCell ref="AH219:AH220"/>
    <mergeCell ref="AI232:AK232"/>
    <mergeCell ref="A244:O244"/>
    <mergeCell ref="AF244:AH244"/>
    <mergeCell ref="A246:V246"/>
    <mergeCell ref="X246:Z246"/>
    <mergeCell ref="AB246:AE246"/>
    <mergeCell ref="AF246:AH246"/>
    <mergeCell ref="AI246:AK246"/>
    <mergeCell ref="A230:O230"/>
    <mergeCell ref="AF230:AH230"/>
    <mergeCell ref="A232:V232"/>
    <mergeCell ref="X232:Z232"/>
    <mergeCell ref="AB232:AE232"/>
    <mergeCell ref="AF232:AH232"/>
    <mergeCell ref="AI260:AK260"/>
    <mergeCell ref="A268:O268"/>
    <mergeCell ref="AF268:AH268"/>
    <mergeCell ref="A270:V270"/>
    <mergeCell ref="X270:Z270"/>
    <mergeCell ref="AB270:AE270"/>
    <mergeCell ref="AF270:AH270"/>
    <mergeCell ref="AI270:AK270"/>
    <mergeCell ref="A258:O258"/>
    <mergeCell ref="AF258:AH258"/>
    <mergeCell ref="A260:V260"/>
    <mergeCell ref="X260:Z260"/>
    <mergeCell ref="AB260:AE260"/>
    <mergeCell ref="AF260:AH260"/>
    <mergeCell ref="AI281:AK281"/>
    <mergeCell ref="A293:O293"/>
    <mergeCell ref="AF293:AH293"/>
    <mergeCell ref="A295:V295"/>
    <mergeCell ref="X295:Z295"/>
    <mergeCell ref="AB295:AE295"/>
    <mergeCell ref="AF295:AH295"/>
    <mergeCell ref="AI295:AK295"/>
    <mergeCell ref="A279:O279"/>
    <mergeCell ref="AF279:AH279"/>
    <mergeCell ref="A281:V281"/>
    <mergeCell ref="X281:Z281"/>
    <mergeCell ref="AB281:AE281"/>
    <mergeCell ref="AF281:AH281"/>
    <mergeCell ref="AI305:AK305"/>
    <mergeCell ref="A324:O324"/>
    <mergeCell ref="AF324:AH324"/>
    <mergeCell ref="A303:O303"/>
    <mergeCell ref="AF303:AH303"/>
    <mergeCell ref="A305:V305"/>
    <mergeCell ref="X305:Z305"/>
    <mergeCell ref="AB305:AE305"/>
    <mergeCell ref="AF305:AH305"/>
  </mergeCells>
  <hyperlinks>
    <hyperlink ref="G19" r:id="rId1"/>
    <hyperlink ref="G67" r:id="rId2"/>
    <hyperlink ref="G63" r:id="rId3"/>
    <hyperlink ref="G88" r:id="rId4"/>
    <hyperlink ref="G92" r:id="rId5" display="Theimperialindia4@gmail.com/Pardeepkapoor2277@gmail.com "/>
    <hyperlink ref="G112" r:id="rId6"/>
    <hyperlink ref="G110" r:id="rId7"/>
    <hyperlink ref="G191" r:id="rId8"/>
    <hyperlink ref="G301" r:id="rId9"/>
    <hyperlink ref="G300" r:id="rId10"/>
    <hyperlink ref="G310" r:id="rId11"/>
    <hyperlink ref="G311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2022-09-06T10:32:28Z</dcterms:modified>
</cp:coreProperties>
</file>