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实习\工作\迈克森伟\材料\新建文件夹\"/>
    </mc:Choice>
  </mc:AlternateContent>
  <xr:revisionPtr revIDLastSave="0" documentId="13_ncr:1_{BE538039-9C55-4E24-8E30-C429AF339AF9}" xr6:coauthVersionLast="47" xr6:coauthVersionMax="47" xr10:uidLastSave="{00000000-0000-0000-0000-000000000000}"/>
  <bookViews>
    <workbookView xWindow="-110" yWindow="-110" windowWidth="25820" windowHeight="15620" activeTab="1" xr2:uid="{D048DD83-A7E4-4D86-A0D3-0A6843BADBC4}"/>
  </bookViews>
  <sheets>
    <sheet name="盈利预测" sheetId="1" r:id="rId1"/>
    <sheet name="DCF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2" l="1"/>
  <c r="J10" i="2"/>
  <c r="K16" i="2"/>
  <c r="G3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F6" i="2"/>
  <c r="F8" i="2" s="1"/>
  <c r="E6" i="2"/>
  <c r="E8" i="2" s="1"/>
  <c r="D6" i="2"/>
  <c r="D8" i="2" s="1"/>
  <c r="C6" i="2"/>
  <c r="C8" i="2" s="1"/>
  <c r="H3" i="2"/>
  <c r="H6" i="2" s="1"/>
  <c r="G6" i="2"/>
  <c r="D57" i="1"/>
  <c r="C57" i="1"/>
  <c r="D56" i="1"/>
  <c r="C56" i="1"/>
  <c r="G55" i="1"/>
  <c r="E55" i="1"/>
  <c r="E28" i="1" s="1"/>
  <c r="D55" i="1"/>
  <c r="H55" i="1" s="1"/>
  <c r="I55" i="1" s="1"/>
  <c r="C55" i="1"/>
  <c r="D54" i="1"/>
  <c r="C54" i="1"/>
  <c r="E51" i="1"/>
  <c r="D51" i="1"/>
  <c r="C51" i="1"/>
  <c r="D50" i="1"/>
  <c r="C50" i="1"/>
  <c r="G49" i="1"/>
  <c r="E49" i="1"/>
  <c r="E21" i="1" s="1"/>
  <c r="D49" i="1"/>
  <c r="F49" i="1" s="1"/>
  <c r="C49" i="1"/>
  <c r="E48" i="1"/>
  <c r="F48" i="1" s="1"/>
  <c r="D48" i="1"/>
  <c r="C48" i="1"/>
  <c r="E44" i="1"/>
  <c r="E30" i="1" s="1"/>
  <c r="F42" i="1"/>
  <c r="G42" i="1" s="1"/>
  <c r="H42" i="1" s="1"/>
  <c r="I42" i="1" s="1"/>
  <c r="J42" i="1" s="1"/>
  <c r="K42" i="1" s="1"/>
  <c r="K21" i="1" s="1"/>
  <c r="E42" i="1"/>
  <c r="E41" i="1"/>
  <c r="D39" i="1"/>
  <c r="C39" i="1"/>
  <c r="D38" i="1"/>
  <c r="D37" i="1"/>
  <c r="C37" i="1"/>
  <c r="D36" i="1"/>
  <c r="C36" i="1"/>
  <c r="E35" i="1"/>
  <c r="D35" i="1"/>
  <c r="C35" i="1"/>
  <c r="D34" i="1"/>
  <c r="C34" i="1"/>
  <c r="E29" i="1"/>
  <c r="E36" i="1" s="1"/>
  <c r="E22" i="1"/>
  <c r="F22" i="1" s="1"/>
  <c r="C12" i="1"/>
  <c r="C15" i="1" s="1"/>
  <c r="C17" i="1" s="1"/>
  <c r="C18" i="1" s="1"/>
  <c r="B12" i="1"/>
  <c r="B15" i="1" s="1"/>
  <c r="B17" i="1" s="1"/>
  <c r="B18" i="1" s="1"/>
  <c r="D11" i="1"/>
  <c r="D12" i="1" s="1"/>
  <c r="D15" i="1" s="1"/>
  <c r="D17" i="1" s="1"/>
  <c r="D18" i="1" s="1"/>
  <c r="F9" i="2" l="1"/>
  <c r="F10" i="2" s="1"/>
  <c r="F16" i="2" s="1"/>
  <c r="F20" i="2" s="1"/>
  <c r="F21" i="1"/>
  <c r="I28" i="1"/>
  <c r="J55" i="1"/>
  <c r="H54" i="1"/>
  <c r="G54" i="1"/>
  <c r="F54" i="1"/>
  <c r="E54" i="1"/>
  <c r="E27" i="1" s="1"/>
  <c r="H28" i="1"/>
  <c r="E46" i="1"/>
  <c r="E20" i="1"/>
  <c r="E25" i="1" s="1"/>
  <c r="E2" i="1" s="1"/>
  <c r="F41" i="1"/>
  <c r="F20" i="1" s="1"/>
  <c r="F25" i="1" s="1"/>
  <c r="F2" i="1" s="1"/>
  <c r="G21" i="1"/>
  <c r="H49" i="1"/>
  <c r="F29" i="1"/>
  <c r="F36" i="1" s="1"/>
  <c r="G22" i="1"/>
  <c r="C9" i="2"/>
  <c r="C10" i="2" s="1"/>
  <c r="C16" i="2" s="1"/>
  <c r="C20" i="2" s="1"/>
  <c r="G28" i="1"/>
  <c r="G35" i="1" s="1"/>
  <c r="D9" i="2"/>
  <c r="D10" i="2" s="1"/>
  <c r="D16" i="2" s="1"/>
  <c r="D20" i="2" s="1"/>
  <c r="G48" i="1"/>
  <c r="E9" i="2"/>
  <c r="E10" i="2" s="1"/>
  <c r="E16" i="2" s="1"/>
  <c r="E20" i="2" s="1"/>
  <c r="F44" i="1"/>
  <c r="F55" i="1"/>
  <c r="F28" i="1" s="1"/>
  <c r="F35" i="1" s="1"/>
  <c r="I3" i="2"/>
  <c r="G5" i="2"/>
  <c r="G8" i="2" s="1"/>
  <c r="H5" i="2"/>
  <c r="H8" i="2" s="1"/>
  <c r="E23" i="2" l="1"/>
  <c r="E36" i="2"/>
  <c r="E30" i="2"/>
  <c r="D30" i="2"/>
  <c r="D23" i="2"/>
  <c r="D36" i="2"/>
  <c r="C36" i="2"/>
  <c r="C30" i="2"/>
  <c r="C23" i="2"/>
  <c r="F8" i="1"/>
  <c r="F4" i="1"/>
  <c r="F6" i="1"/>
  <c r="F7" i="1"/>
  <c r="F5" i="1"/>
  <c r="F9" i="1"/>
  <c r="F23" i="2"/>
  <c r="F36" i="2"/>
  <c r="F30" i="2"/>
  <c r="J3" i="2"/>
  <c r="I6" i="2"/>
  <c r="I5" i="2"/>
  <c r="F51" i="1"/>
  <c r="F30" i="1"/>
  <c r="G44" i="1"/>
  <c r="G29" i="1"/>
  <c r="G36" i="1" s="1"/>
  <c r="H22" i="1"/>
  <c r="E34" i="1"/>
  <c r="E32" i="1"/>
  <c r="H48" i="1"/>
  <c r="G20" i="1"/>
  <c r="G25" i="1" s="1"/>
  <c r="G2" i="1" s="1"/>
  <c r="F27" i="1"/>
  <c r="G41" i="1"/>
  <c r="F46" i="1"/>
  <c r="E6" i="1"/>
  <c r="E7" i="1"/>
  <c r="E9" i="1"/>
  <c r="E5" i="1"/>
  <c r="E4" i="1"/>
  <c r="E8" i="1"/>
  <c r="H35" i="1"/>
  <c r="H9" i="2"/>
  <c r="H10" i="2" s="1"/>
  <c r="H16" i="2" s="1"/>
  <c r="H20" i="2" s="1"/>
  <c r="I49" i="1"/>
  <c r="H21" i="1"/>
  <c r="G27" i="1"/>
  <c r="G9" i="2"/>
  <c r="G10" i="2" s="1"/>
  <c r="G16" i="2" s="1"/>
  <c r="G20" i="2" s="1"/>
  <c r="I54" i="1"/>
  <c r="J28" i="1"/>
  <c r="K55" i="1"/>
  <c r="K28" i="1" s="1"/>
  <c r="K35" i="1" s="1"/>
  <c r="H36" i="2" l="1"/>
  <c r="H30" i="2"/>
  <c r="H23" i="2"/>
  <c r="G36" i="2"/>
  <c r="G30" i="2"/>
  <c r="G23" i="2"/>
  <c r="I21" i="1"/>
  <c r="I35" i="1" s="1"/>
  <c r="J49" i="1"/>
  <c r="J21" i="1" s="1"/>
  <c r="J54" i="1"/>
  <c r="H41" i="1"/>
  <c r="G46" i="1"/>
  <c r="G30" i="1"/>
  <c r="G51" i="1"/>
  <c r="H44" i="1"/>
  <c r="F32" i="1"/>
  <c r="F34" i="1"/>
  <c r="E39" i="1"/>
  <c r="E3" i="1"/>
  <c r="E12" i="1" s="1"/>
  <c r="E15" i="1" s="1"/>
  <c r="G34" i="1"/>
  <c r="G32" i="1"/>
  <c r="G8" i="1"/>
  <c r="G9" i="1"/>
  <c r="G4" i="1"/>
  <c r="G5" i="1"/>
  <c r="G7" i="1"/>
  <c r="G6" i="1"/>
  <c r="H20" i="1"/>
  <c r="H25" i="1" s="1"/>
  <c r="H2" i="1" s="1"/>
  <c r="I48" i="1"/>
  <c r="I8" i="2"/>
  <c r="K3" i="2"/>
  <c r="J6" i="2"/>
  <c r="J5" i="2"/>
  <c r="J35" i="1"/>
  <c r="H29" i="1"/>
  <c r="H36" i="1" s="1"/>
  <c r="I22" i="1"/>
  <c r="I9" i="2" l="1"/>
  <c r="I10" i="2" s="1"/>
  <c r="I16" i="2" s="1"/>
  <c r="I20" i="2" s="1"/>
  <c r="F39" i="1"/>
  <c r="F3" i="1"/>
  <c r="F12" i="1" s="1"/>
  <c r="F15" i="1" s="1"/>
  <c r="J22" i="1"/>
  <c r="I29" i="1"/>
  <c r="I36" i="1" s="1"/>
  <c r="H4" i="1"/>
  <c r="H5" i="1"/>
  <c r="H6" i="1"/>
  <c r="H8" i="1"/>
  <c r="H9" i="1"/>
  <c r="H7" i="1"/>
  <c r="G39" i="1"/>
  <c r="G3" i="1"/>
  <c r="G12" i="1" s="1"/>
  <c r="G15" i="1" s="1"/>
  <c r="H51" i="1"/>
  <c r="I44" i="1"/>
  <c r="H30" i="1"/>
  <c r="K54" i="1"/>
  <c r="J48" i="1"/>
  <c r="E16" i="1"/>
  <c r="E17" i="1" s="1"/>
  <c r="J9" i="2"/>
  <c r="J16" i="2" s="1"/>
  <c r="J20" i="2" s="1"/>
  <c r="K6" i="2"/>
  <c r="K5" i="2"/>
  <c r="K8" i="2" s="1"/>
  <c r="L3" i="2"/>
  <c r="H46" i="1"/>
  <c r="I41" i="1"/>
  <c r="I20" i="1" s="1"/>
  <c r="I25" i="1" s="1"/>
  <c r="I2" i="1" s="1"/>
  <c r="H27" i="1"/>
  <c r="J36" i="2" l="1"/>
  <c r="J30" i="2"/>
  <c r="J23" i="2"/>
  <c r="E66" i="1"/>
  <c r="E67" i="1" s="1"/>
  <c r="E18" i="1"/>
  <c r="I5" i="1"/>
  <c r="I6" i="1"/>
  <c r="I7" i="1"/>
  <c r="I9" i="1"/>
  <c r="I4" i="1"/>
  <c r="I8" i="1"/>
  <c r="I36" i="2"/>
  <c r="I30" i="2"/>
  <c r="I23" i="2"/>
  <c r="H32" i="1"/>
  <c r="H34" i="1"/>
  <c r="K10" i="2"/>
  <c r="K20" i="2" s="1"/>
  <c r="K9" i="2"/>
  <c r="F16" i="1"/>
  <c r="F17" i="1" s="1"/>
  <c r="G16" i="1"/>
  <c r="G17" i="1" s="1"/>
  <c r="L6" i="2"/>
  <c r="L5" i="2"/>
  <c r="L8" i="2" s="1"/>
  <c r="M3" i="2"/>
  <c r="J41" i="1"/>
  <c r="I46" i="1"/>
  <c r="I27" i="1"/>
  <c r="J20" i="1"/>
  <c r="J25" i="1" s="1"/>
  <c r="J2" i="1" s="1"/>
  <c r="K22" i="1"/>
  <c r="K29" i="1" s="1"/>
  <c r="K36" i="1" s="1"/>
  <c r="J29" i="1"/>
  <c r="J36" i="1" s="1"/>
  <c r="I51" i="1"/>
  <c r="J44" i="1"/>
  <c r="I30" i="1"/>
  <c r="G18" i="1" l="1"/>
  <c r="G66" i="1"/>
  <c r="G67" i="1" s="1"/>
  <c r="F66" i="1"/>
  <c r="F67" i="1" s="1"/>
  <c r="F18" i="1"/>
  <c r="H39" i="1"/>
  <c r="H3" i="1"/>
  <c r="H12" i="1" s="1"/>
  <c r="H15" i="1" s="1"/>
  <c r="J4" i="1"/>
  <c r="J6" i="1"/>
  <c r="J7" i="1"/>
  <c r="J8" i="1"/>
  <c r="J5" i="1"/>
  <c r="J9" i="1"/>
  <c r="I32" i="1"/>
  <c r="I34" i="1"/>
  <c r="J46" i="1"/>
  <c r="K41" i="1"/>
  <c r="J27" i="1"/>
  <c r="J51" i="1"/>
  <c r="J30" i="1"/>
  <c r="K44" i="1"/>
  <c r="M6" i="2"/>
  <c r="M5" i="2"/>
  <c r="M8" i="2" s="1"/>
  <c r="N3" i="2"/>
  <c r="L9" i="2"/>
  <c r="L10" i="2" s="1"/>
  <c r="L16" i="2" s="1"/>
  <c r="L20" i="2" s="1"/>
  <c r="K36" i="2"/>
  <c r="K30" i="2"/>
  <c r="K23" i="2"/>
  <c r="L30" i="2" l="1"/>
  <c r="L23" i="2"/>
  <c r="L36" i="2"/>
  <c r="N6" i="2"/>
  <c r="N5" i="2"/>
  <c r="N8" i="2" s="1"/>
  <c r="O3" i="2"/>
  <c r="F72" i="1"/>
  <c r="F70" i="1"/>
  <c r="H16" i="1"/>
  <c r="H17" i="1"/>
  <c r="I39" i="1"/>
  <c r="I3" i="1"/>
  <c r="I12" i="1" s="1"/>
  <c r="I15" i="1" s="1"/>
  <c r="J32" i="1"/>
  <c r="J34" i="1"/>
  <c r="K51" i="1"/>
  <c r="K30" i="1"/>
  <c r="K46" i="1"/>
  <c r="K20" i="1"/>
  <c r="K25" i="1" s="1"/>
  <c r="K2" i="1" s="1"/>
  <c r="K27" i="1"/>
  <c r="M9" i="2"/>
  <c r="M10" i="2" s="1"/>
  <c r="M16" i="2" s="1"/>
  <c r="M20" i="2" s="1"/>
  <c r="G72" i="1"/>
  <c r="G70" i="1"/>
  <c r="M23" i="2" l="1"/>
  <c r="M36" i="2"/>
  <c r="M30" i="2"/>
  <c r="O6" i="2"/>
  <c r="O5" i="2"/>
  <c r="O8" i="2" s="1"/>
  <c r="P3" i="2"/>
  <c r="J39" i="1"/>
  <c r="J3" i="1"/>
  <c r="J12" i="1" s="1"/>
  <c r="J15" i="1" s="1"/>
  <c r="N9" i="2"/>
  <c r="N10" i="2" s="1"/>
  <c r="N16" i="2" s="1"/>
  <c r="N20" i="2" s="1"/>
  <c r="I16" i="1"/>
  <c r="I17" i="1" s="1"/>
  <c r="K5" i="1"/>
  <c r="K7" i="1"/>
  <c r="K8" i="1"/>
  <c r="K9" i="1"/>
  <c r="K4" i="1"/>
  <c r="K6" i="1"/>
  <c r="H18" i="1"/>
  <c r="H66" i="1"/>
  <c r="H67" i="1" s="1"/>
  <c r="K34" i="1"/>
  <c r="K32" i="1"/>
  <c r="I66" i="1" l="1"/>
  <c r="I67" i="1" s="1"/>
  <c r="I18" i="1"/>
  <c r="N23" i="2"/>
  <c r="N36" i="2"/>
  <c r="N30" i="2"/>
  <c r="O9" i="2"/>
  <c r="O10" i="2" s="1"/>
  <c r="O16" i="2" s="1"/>
  <c r="O20" i="2" s="1"/>
  <c r="H72" i="1"/>
  <c r="H70" i="1"/>
  <c r="K39" i="1"/>
  <c r="K3" i="1"/>
  <c r="K12" i="1" s="1"/>
  <c r="K15" i="1" s="1"/>
  <c r="Q3" i="2"/>
  <c r="P6" i="2"/>
  <c r="P5" i="2"/>
  <c r="P8" i="2" s="1"/>
  <c r="J16" i="1"/>
  <c r="J17" i="1" s="1"/>
  <c r="J66" i="1" l="1"/>
  <c r="J67" i="1" s="1"/>
  <c r="J18" i="1"/>
  <c r="O36" i="2"/>
  <c r="O30" i="2"/>
  <c r="O23" i="2"/>
  <c r="P9" i="2"/>
  <c r="P10" i="2" s="1"/>
  <c r="P16" i="2" s="1"/>
  <c r="P20" i="2" s="1"/>
  <c r="K16" i="1"/>
  <c r="K17" i="1"/>
  <c r="R3" i="2"/>
  <c r="Q6" i="2"/>
  <c r="Q5" i="2"/>
  <c r="Q8" i="2" s="1"/>
  <c r="I72" i="1"/>
  <c r="I70" i="1"/>
  <c r="P36" i="2" l="1"/>
  <c r="P30" i="2"/>
  <c r="P23" i="2"/>
  <c r="R5" i="2"/>
  <c r="R6" i="2"/>
  <c r="K66" i="1"/>
  <c r="K18" i="1"/>
  <c r="Q9" i="2"/>
  <c r="Q10" i="2" s="1"/>
  <c r="Q16" i="2" s="1"/>
  <c r="Q20" i="2" s="1"/>
  <c r="J72" i="1"/>
  <c r="J70" i="1"/>
  <c r="R8" i="2" l="1"/>
  <c r="Q36" i="2"/>
  <c r="Q30" i="2"/>
  <c r="Q23" i="2"/>
  <c r="L66" i="1"/>
  <c r="K67" i="1"/>
  <c r="R10" i="2"/>
  <c r="R16" i="2" s="1"/>
  <c r="R9" i="2"/>
  <c r="K72" i="1" l="1"/>
  <c r="K70" i="1"/>
  <c r="R20" i="2"/>
  <c r="S16" i="2"/>
  <c r="S20" i="2" s="1"/>
  <c r="S23" i="2" s="1"/>
  <c r="L67" i="1"/>
  <c r="M66" i="1"/>
  <c r="M67" i="1" s="1"/>
  <c r="M72" i="1" l="1"/>
  <c r="M70" i="1"/>
  <c r="L72" i="1"/>
  <c r="L70" i="1"/>
  <c r="R36" i="2"/>
  <c r="C37" i="2" s="1"/>
  <c r="R30" i="2"/>
  <c r="C31" i="2" s="1"/>
  <c r="R23" i="2"/>
  <c r="C24" i="2" s="1"/>
  <c r="E70" i="1" l="1"/>
  <c r="E72" i="1"/>
</calcChain>
</file>

<file path=xl/sharedStrings.xml><?xml version="1.0" encoding="utf-8"?>
<sst xmlns="http://schemas.openxmlformats.org/spreadsheetml/2006/main" count="130" uniqueCount="97">
  <si>
    <t>项目</t>
  </si>
  <si>
    <t>2017年</t>
    <phoneticPr fontId="3" type="noConversion"/>
  </si>
  <si>
    <t>2018年</t>
    <phoneticPr fontId="3" type="noConversion"/>
  </si>
  <si>
    <t>2019年</t>
  </si>
  <si>
    <t>2020年</t>
  </si>
  <si>
    <t>2021年</t>
  </si>
  <si>
    <t>2022年</t>
  </si>
  <si>
    <t>2023年</t>
  </si>
  <si>
    <t>2024年</t>
  </si>
  <si>
    <t>2025年</t>
  </si>
  <si>
    <t>2026年</t>
  </si>
  <si>
    <t>2027年</t>
  </si>
  <si>
    <t>2028年</t>
  </si>
  <si>
    <t>一、营业总收入</t>
  </si>
  <si>
    <t>减：营业成本</t>
  </si>
  <si>
    <t>税金及附加</t>
  </si>
  <si>
    <t>销售费用</t>
  </si>
  <si>
    <t>管理费用</t>
  </si>
  <si>
    <t>研发费用</t>
  </si>
  <si>
    <t>财务费用</t>
  </si>
  <si>
    <t>资产减值损失</t>
  </si>
  <si>
    <t>加：其他收益</t>
  </si>
  <si>
    <t>投资收益</t>
  </si>
  <si>
    <t>二、营业利润</t>
  </si>
  <si>
    <t>加：营业外收入</t>
  </si>
  <si>
    <t>减：营业外支出</t>
  </si>
  <si>
    <t>三、利润总额</t>
  </si>
  <si>
    <t>减：所得税费用</t>
  </si>
  <si>
    <t>四、净利润</t>
  </si>
  <si>
    <t>收入</t>
    <phoneticPr fontId="3" type="noConversion"/>
  </si>
  <si>
    <t>生物制剂</t>
  </si>
  <si>
    <t>生物助剂</t>
  </si>
  <si>
    <t>ODM贴牌</t>
  </si>
  <si>
    <t>日化产品</t>
  </si>
  <si>
    <t>其他</t>
  </si>
  <si>
    <t>合计</t>
  </si>
  <si>
    <t>成本</t>
    <phoneticPr fontId="3" type="noConversion"/>
  </si>
  <si>
    <t>-</t>
  </si>
  <si>
    <t>毛利率</t>
    <phoneticPr fontId="3" type="noConversion"/>
  </si>
  <si>
    <t>销售量</t>
    <phoneticPr fontId="3" type="noConversion"/>
  </si>
  <si>
    <t>单价</t>
    <phoneticPr fontId="3" type="noConversion"/>
  </si>
  <si>
    <t>单位成本</t>
    <phoneticPr fontId="3" type="noConversion"/>
  </si>
  <si>
    <t>销售费用率</t>
  </si>
  <si>
    <t>管理费用率</t>
  </si>
  <si>
    <t>研发费用率</t>
  </si>
  <si>
    <t>财务费用率</t>
  </si>
  <si>
    <r>
      <rPr>
        <sz val="10"/>
        <color theme="1"/>
        <rFont val="等线"/>
        <family val="3"/>
        <charset val="134"/>
      </rPr>
      <t>年</t>
    </r>
    <phoneticPr fontId="7" type="noConversion"/>
  </si>
  <si>
    <r>
      <t>2020</t>
    </r>
    <r>
      <rPr>
        <sz val="10"/>
        <color theme="1"/>
        <rFont val="等线"/>
        <family val="3"/>
        <charset val="134"/>
      </rPr>
      <t>年</t>
    </r>
    <phoneticPr fontId="7" type="noConversion"/>
  </si>
  <si>
    <r>
      <t>2021</t>
    </r>
    <r>
      <rPr>
        <sz val="10"/>
        <color theme="1"/>
        <rFont val="等线"/>
        <family val="3"/>
        <charset val="134"/>
      </rPr>
      <t>年</t>
    </r>
  </si>
  <si>
    <r>
      <t>2022</t>
    </r>
    <r>
      <rPr>
        <sz val="10"/>
        <color theme="1"/>
        <rFont val="等线"/>
        <family val="3"/>
        <charset val="134"/>
      </rPr>
      <t>年</t>
    </r>
  </si>
  <si>
    <r>
      <t>2023</t>
    </r>
    <r>
      <rPr>
        <sz val="10"/>
        <color theme="1"/>
        <rFont val="等线"/>
        <family val="3"/>
        <charset val="134"/>
      </rPr>
      <t>年</t>
    </r>
  </si>
  <si>
    <r>
      <t>2024</t>
    </r>
    <r>
      <rPr>
        <sz val="10"/>
        <color theme="1"/>
        <rFont val="等线"/>
        <family val="3"/>
        <charset val="134"/>
      </rPr>
      <t>年</t>
    </r>
  </si>
  <si>
    <r>
      <t>2025</t>
    </r>
    <r>
      <rPr>
        <sz val="10"/>
        <color theme="1"/>
        <rFont val="等线"/>
        <family val="3"/>
        <charset val="134"/>
      </rPr>
      <t>年</t>
    </r>
  </si>
  <si>
    <r>
      <t>2026</t>
    </r>
    <r>
      <rPr>
        <sz val="10"/>
        <color theme="1"/>
        <rFont val="等线"/>
        <family val="3"/>
        <charset val="134"/>
      </rPr>
      <t>年</t>
    </r>
  </si>
  <si>
    <r>
      <t>2027</t>
    </r>
    <r>
      <rPr>
        <sz val="10"/>
        <color theme="1"/>
        <rFont val="等线"/>
        <family val="3"/>
        <charset val="134"/>
      </rPr>
      <t>年</t>
    </r>
  </si>
  <si>
    <r>
      <t>2028</t>
    </r>
    <r>
      <rPr>
        <sz val="10"/>
        <color theme="1"/>
        <rFont val="等线"/>
        <family val="3"/>
        <charset val="134"/>
      </rPr>
      <t>年</t>
    </r>
  </si>
  <si>
    <r>
      <t>2029</t>
    </r>
    <r>
      <rPr>
        <sz val="10"/>
        <color theme="1"/>
        <rFont val="等线"/>
        <family val="3"/>
        <charset val="134"/>
      </rPr>
      <t>年</t>
    </r>
  </si>
  <si>
    <r>
      <t>2030</t>
    </r>
    <r>
      <rPr>
        <sz val="10"/>
        <color theme="1"/>
        <rFont val="等线"/>
        <family val="3"/>
        <charset val="134"/>
      </rPr>
      <t>年</t>
    </r>
  </si>
  <si>
    <r>
      <t>2031</t>
    </r>
    <r>
      <rPr>
        <sz val="10"/>
        <color theme="1"/>
        <rFont val="等线"/>
        <family val="3"/>
        <charset val="134"/>
      </rPr>
      <t>年</t>
    </r>
  </si>
  <si>
    <r>
      <t>2032</t>
    </r>
    <r>
      <rPr>
        <sz val="10"/>
        <color theme="1"/>
        <rFont val="等线"/>
        <family val="3"/>
        <charset val="134"/>
      </rPr>
      <t>年</t>
    </r>
  </si>
  <si>
    <r>
      <t>2033</t>
    </r>
    <r>
      <rPr>
        <sz val="10"/>
        <color theme="1"/>
        <rFont val="等线"/>
        <family val="3"/>
        <charset val="134"/>
      </rPr>
      <t>年</t>
    </r>
  </si>
  <si>
    <r>
      <t>2034</t>
    </r>
    <r>
      <rPr>
        <sz val="10"/>
        <color theme="1"/>
        <rFont val="等线"/>
        <family val="3"/>
        <charset val="134"/>
      </rPr>
      <t>年</t>
    </r>
  </si>
  <si>
    <r>
      <t>2035</t>
    </r>
    <r>
      <rPr>
        <sz val="10"/>
        <color theme="1"/>
        <rFont val="等线"/>
        <family val="3"/>
        <charset val="134"/>
      </rPr>
      <t>年</t>
    </r>
  </si>
  <si>
    <r>
      <t>2036年</t>
    </r>
    <r>
      <rPr>
        <sz val="10"/>
        <color theme="1"/>
        <rFont val="等线"/>
        <family val="3"/>
        <charset val="134"/>
      </rPr>
      <t/>
    </r>
  </si>
  <si>
    <r>
      <t>2037年</t>
    </r>
    <r>
      <rPr>
        <sz val="10"/>
        <color theme="1"/>
        <rFont val="等线"/>
        <family val="3"/>
        <charset val="134"/>
      </rPr>
      <t/>
    </r>
  </si>
  <si>
    <r>
      <t>2038年</t>
    </r>
    <r>
      <rPr>
        <sz val="10"/>
        <color theme="1"/>
        <rFont val="等线"/>
        <family val="3"/>
        <charset val="134"/>
      </rPr>
      <t/>
    </r>
  </si>
  <si>
    <r>
      <t>2039年</t>
    </r>
    <r>
      <rPr>
        <sz val="10"/>
        <color theme="1"/>
        <rFont val="等线"/>
        <family val="3"/>
        <charset val="134"/>
      </rPr>
      <t/>
    </r>
  </si>
  <si>
    <r>
      <t>2040年</t>
    </r>
    <r>
      <rPr>
        <sz val="10"/>
        <color theme="1"/>
        <rFont val="等线"/>
        <family val="3"/>
        <charset val="134"/>
      </rPr>
      <t/>
    </r>
  </si>
  <si>
    <r>
      <t>2041年</t>
    </r>
    <r>
      <rPr>
        <sz val="10"/>
        <color theme="1"/>
        <rFont val="等线"/>
        <family val="3"/>
        <charset val="134"/>
      </rPr>
      <t/>
    </r>
  </si>
  <si>
    <r>
      <t>2042年</t>
    </r>
    <r>
      <rPr>
        <sz val="10"/>
        <color theme="1"/>
        <rFont val="等线"/>
        <family val="3"/>
        <charset val="134"/>
      </rPr>
      <t/>
    </r>
  </si>
  <si>
    <r>
      <t>2043年</t>
    </r>
    <r>
      <rPr>
        <sz val="10"/>
        <color theme="1"/>
        <rFont val="等线"/>
        <family val="3"/>
        <charset val="134"/>
      </rPr>
      <t/>
    </r>
  </si>
  <si>
    <r>
      <t>2044年</t>
    </r>
    <r>
      <rPr>
        <sz val="10"/>
        <color theme="1"/>
        <rFont val="等线"/>
        <family val="3"/>
        <charset val="134"/>
      </rPr>
      <t/>
    </r>
  </si>
  <si>
    <r>
      <t>2045年</t>
    </r>
    <r>
      <rPr>
        <sz val="10"/>
        <color theme="1"/>
        <rFont val="等线"/>
        <family val="3"/>
        <charset val="134"/>
      </rPr>
      <t/>
    </r>
  </si>
  <si>
    <r>
      <t xml:space="preserve">1 </t>
    </r>
    <r>
      <rPr>
        <sz val="10"/>
        <color theme="1"/>
        <rFont val="等线"/>
        <family val="3"/>
        <charset val="134"/>
      </rPr>
      <t>销售收入</t>
    </r>
    <phoneticPr fontId="7" type="noConversion"/>
  </si>
  <si>
    <r>
      <t xml:space="preserve">2 </t>
    </r>
    <r>
      <rPr>
        <sz val="10"/>
        <color theme="1"/>
        <rFont val="等线"/>
        <family val="3"/>
        <charset val="134"/>
      </rPr>
      <t>销售成本</t>
    </r>
    <phoneticPr fontId="7" type="noConversion"/>
  </si>
  <si>
    <r>
      <t xml:space="preserve">3 </t>
    </r>
    <r>
      <rPr>
        <b/>
        <sz val="10"/>
        <color rgb="FFFF0000"/>
        <rFont val="等线"/>
        <family val="3"/>
        <charset val="134"/>
      </rPr>
      <t>毛利润</t>
    </r>
    <phoneticPr fontId="7" type="noConversion"/>
  </si>
  <si>
    <r>
      <t xml:space="preserve">4 </t>
    </r>
    <r>
      <rPr>
        <sz val="10"/>
        <color theme="1"/>
        <rFont val="等线"/>
        <family val="3"/>
        <charset val="134"/>
      </rPr>
      <t>销售、一般及管理费用</t>
    </r>
    <phoneticPr fontId="7" type="noConversion"/>
  </si>
  <si>
    <r>
      <t xml:space="preserve">5 </t>
    </r>
    <r>
      <rPr>
        <sz val="10"/>
        <color theme="1"/>
        <rFont val="等线"/>
        <family val="3"/>
        <charset val="134"/>
      </rPr>
      <t>折旧</t>
    </r>
    <phoneticPr fontId="7" type="noConversion"/>
  </si>
  <si>
    <t>6 EBIT</t>
    <phoneticPr fontId="7" type="noConversion"/>
  </si>
  <si>
    <r>
      <t xml:space="preserve">7 </t>
    </r>
    <r>
      <rPr>
        <sz val="10"/>
        <color theme="1"/>
        <rFont val="等线"/>
        <family val="3"/>
        <charset val="134"/>
      </rPr>
      <t>所得税（</t>
    </r>
    <r>
      <rPr>
        <sz val="10"/>
        <color theme="1"/>
        <rFont val="Times"/>
        <family val="1"/>
      </rPr>
      <t>15%</t>
    </r>
    <r>
      <rPr>
        <sz val="10"/>
        <color theme="1"/>
        <rFont val="等线"/>
        <family val="3"/>
        <charset val="134"/>
      </rPr>
      <t>）</t>
    </r>
    <phoneticPr fontId="7" type="noConversion"/>
  </si>
  <si>
    <r>
      <t xml:space="preserve">8 </t>
    </r>
    <r>
      <rPr>
        <b/>
        <sz val="10"/>
        <color theme="1"/>
        <rFont val="等线"/>
        <family val="3"/>
        <charset val="134"/>
      </rPr>
      <t>无杠杆净收益</t>
    </r>
    <phoneticPr fontId="7" type="noConversion"/>
  </si>
  <si>
    <r>
      <rPr>
        <b/>
        <sz val="10"/>
        <color theme="1"/>
        <rFont val="等线"/>
        <family val="3"/>
        <charset val="134"/>
      </rPr>
      <t>自由现金流（万元）</t>
    </r>
    <phoneticPr fontId="7" type="noConversion"/>
  </si>
  <si>
    <r>
      <t xml:space="preserve">9  </t>
    </r>
    <r>
      <rPr>
        <sz val="10"/>
        <color theme="1"/>
        <rFont val="等线"/>
        <family val="3"/>
        <charset val="134"/>
      </rPr>
      <t>加：折旧</t>
    </r>
    <phoneticPr fontId="7" type="noConversion"/>
  </si>
  <si>
    <r>
      <t xml:space="preserve">10 </t>
    </r>
    <r>
      <rPr>
        <sz val="10"/>
        <color theme="1"/>
        <rFont val="等线"/>
        <family val="3"/>
        <charset val="134"/>
      </rPr>
      <t>减：资本性支出</t>
    </r>
    <phoneticPr fontId="7" type="noConversion"/>
  </si>
  <si>
    <r>
      <t xml:space="preserve">11 </t>
    </r>
    <r>
      <rPr>
        <sz val="10"/>
        <color theme="1"/>
        <rFont val="等线"/>
        <family val="3"/>
        <charset val="134"/>
      </rPr>
      <t>减：净营运资本的增加</t>
    </r>
    <phoneticPr fontId="7" type="noConversion"/>
  </si>
  <si>
    <r>
      <t xml:space="preserve">12 </t>
    </r>
    <r>
      <rPr>
        <b/>
        <sz val="10"/>
        <color theme="1"/>
        <rFont val="等线"/>
        <family val="3"/>
        <charset val="134"/>
      </rPr>
      <t>自由现金流</t>
    </r>
    <phoneticPr fontId="7" type="noConversion"/>
  </si>
  <si>
    <t>NPV</t>
    <phoneticPr fontId="7" type="noConversion"/>
  </si>
  <si>
    <r>
      <rPr>
        <b/>
        <sz val="10"/>
        <color theme="1"/>
        <rFont val="等线"/>
        <family val="3"/>
        <charset val="134"/>
      </rPr>
      <t>净现值（万美元</t>
    </r>
    <r>
      <rPr>
        <b/>
        <sz val="10"/>
        <color theme="1"/>
        <rFont val="Times"/>
        <family val="1"/>
      </rPr>
      <t>)</t>
    </r>
    <phoneticPr fontId="7" type="noConversion"/>
  </si>
  <si>
    <r>
      <t xml:space="preserve">1 </t>
    </r>
    <r>
      <rPr>
        <b/>
        <sz val="10"/>
        <color theme="1"/>
        <rFont val="等线"/>
        <family val="3"/>
        <charset val="134"/>
      </rPr>
      <t>自由现金流</t>
    </r>
    <phoneticPr fontId="7" type="noConversion"/>
  </si>
  <si>
    <r>
      <t xml:space="preserve">2 </t>
    </r>
    <r>
      <rPr>
        <sz val="10"/>
        <color theme="1"/>
        <rFont val="等线"/>
        <family val="3"/>
        <charset val="134"/>
      </rPr>
      <t>项目的资金成本</t>
    </r>
    <phoneticPr fontId="7" type="noConversion"/>
  </si>
  <si>
    <r>
      <t xml:space="preserve">3 </t>
    </r>
    <r>
      <rPr>
        <sz val="10"/>
        <color theme="1"/>
        <rFont val="等线"/>
        <family val="3"/>
        <charset val="134"/>
      </rPr>
      <t>折现因子</t>
    </r>
    <phoneticPr fontId="7" type="noConversion"/>
  </si>
  <si>
    <r>
      <t xml:space="preserve">4 </t>
    </r>
    <r>
      <rPr>
        <b/>
        <sz val="10"/>
        <color theme="1"/>
        <rFont val="等线"/>
        <family val="3"/>
        <charset val="134"/>
      </rPr>
      <t>自由现金流的现值</t>
    </r>
    <phoneticPr fontId="7" type="noConversion"/>
  </si>
  <si>
    <r>
      <t xml:space="preserve">5 </t>
    </r>
    <r>
      <rPr>
        <b/>
        <sz val="10"/>
        <rFont val="等线"/>
        <family val="3"/>
        <charset val="134"/>
      </rPr>
      <t>净现值</t>
    </r>
    <phoneticPr fontId="7" type="noConversion"/>
  </si>
  <si>
    <r>
      <rPr>
        <sz val="10"/>
        <color theme="1"/>
        <rFont val="等线"/>
        <family val="3"/>
        <charset val="134"/>
      </rPr>
      <t>年度</t>
    </r>
    <phoneticPr fontId="7" type="noConversion"/>
  </si>
  <si>
    <r>
      <rPr>
        <b/>
        <sz val="10"/>
        <color theme="1"/>
        <rFont val="等线"/>
        <family val="3"/>
        <charset val="134"/>
      </rPr>
      <t>假如按</t>
    </r>
    <r>
      <rPr>
        <b/>
        <sz val="10"/>
        <color theme="1"/>
        <rFont val="Times"/>
        <family val="1"/>
      </rPr>
      <t>12%</t>
    </r>
    <r>
      <rPr>
        <b/>
        <sz val="10"/>
        <color theme="1"/>
        <rFont val="等线"/>
        <family val="3"/>
        <charset val="134"/>
      </rPr>
      <t>的资金成本则</t>
    </r>
    <phoneticPr fontId="7" type="noConversion"/>
  </si>
  <si>
    <r>
      <rPr>
        <sz val="10"/>
        <color theme="1"/>
        <rFont val="等线"/>
        <family val="3"/>
        <charset val="134"/>
      </rPr>
      <t>折现因子</t>
    </r>
    <phoneticPr fontId="7" type="noConversion"/>
  </si>
  <si>
    <r>
      <rPr>
        <b/>
        <sz val="10"/>
        <color theme="1"/>
        <rFont val="等线"/>
        <family val="3"/>
        <charset val="134"/>
      </rPr>
      <t>假如按</t>
    </r>
    <r>
      <rPr>
        <b/>
        <sz val="10"/>
        <color theme="1"/>
        <rFont val="Times"/>
        <family val="1"/>
      </rPr>
      <t>15%</t>
    </r>
    <r>
      <rPr>
        <b/>
        <sz val="10"/>
        <color theme="1"/>
        <rFont val="等线"/>
        <family val="3"/>
        <charset val="134"/>
      </rPr>
      <t>的资金成本则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</si>
</sst>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楷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sz val="10"/>
      <color theme="1"/>
      <name val="Times"/>
      <family val="1"/>
    </font>
    <font>
      <sz val="10"/>
      <color theme="1"/>
      <name val="等线"/>
      <family val="3"/>
      <charset val="134"/>
    </font>
    <font>
      <sz val="9"/>
      <name val="等线"/>
      <family val="2"/>
      <charset val="134"/>
      <scheme val="minor"/>
    </font>
    <font>
      <b/>
      <sz val="10"/>
      <color theme="1"/>
      <name val="Times"/>
      <family val="1"/>
    </font>
    <font>
      <b/>
      <sz val="10"/>
      <color rgb="FFFF0000"/>
      <name val="Times"/>
      <family val="1"/>
    </font>
    <font>
      <b/>
      <sz val="10"/>
      <color rgb="FFFF0000"/>
      <name val="等线"/>
      <family val="3"/>
      <charset val="134"/>
    </font>
    <font>
      <sz val="10"/>
      <color rgb="FFFF0000"/>
      <name val="Times"/>
      <family val="1"/>
    </font>
    <font>
      <b/>
      <sz val="10"/>
      <color theme="1"/>
      <name val="等线"/>
      <family val="3"/>
      <charset val="134"/>
    </font>
    <font>
      <b/>
      <sz val="10"/>
      <name val="Times"/>
      <family val="1"/>
    </font>
    <font>
      <b/>
      <sz val="10"/>
      <name val="等线"/>
      <family val="3"/>
      <charset val="134"/>
    </font>
    <font>
      <sz val="10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2" fillId="0" borderId="0" xfId="0" applyFont="1" applyAlignment="1">
      <alignment horizontal="left" vertical="center"/>
    </xf>
    <xf numFmtId="176" fontId="2" fillId="0" borderId="0" xfId="1" applyNumberFormat="1" applyFont="1" applyBorder="1" applyAlignment="1">
      <alignment horizontal="right" vertical="center"/>
    </xf>
    <xf numFmtId="43" fontId="2" fillId="0" borderId="0" xfId="1" applyFont="1" applyBorder="1" applyAlignment="1">
      <alignment horizontal="right" vertical="center"/>
    </xf>
    <xf numFmtId="0" fontId="4" fillId="0" borderId="0" xfId="0" applyFont="1"/>
    <xf numFmtId="176" fontId="2" fillId="0" borderId="0" xfId="1" applyNumberFormat="1" applyFont="1" applyBorder="1" applyAlignment="1">
      <alignment horizontal="center" vertical="center"/>
    </xf>
    <xf numFmtId="176" fontId="2" fillId="0" borderId="0" xfId="1" applyNumberFormat="1" applyFont="1" applyAlignment="1"/>
    <xf numFmtId="176" fontId="4" fillId="0" borderId="0" xfId="1" applyNumberFormat="1" applyFont="1" applyBorder="1" applyAlignment="1">
      <alignment horizontal="center" vertical="center"/>
    </xf>
    <xf numFmtId="176" fontId="4" fillId="0" borderId="0" xfId="1" applyNumberFormat="1" applyFont="1" applyBorder="1" applyAlignment="1">
      <alignment horizontal="right" vertical="center"/>
    </xf>
    <xf numFmtId="176" fontId="4" fillId="0" borderId="0" xfId="1" applyNumberFormat="1" applyFont="1" applyAlignment="1"/>
    <xf numFmtId="0" fontId="4" fillId="0" borderId="0" xfId="0" applyFont="1" applyAlignment="1">
      <alignment horizontal="left" vertical="center"/>
    </xf>
    <xf numFmtId="10" fontId="4" fillId="0" borderId="0" xfId="2" applyNumberFormat="1" applyFont="1" applyAlignme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43" fontId="4" fillId="2" borderId="0" xfId="1" applyFont="1" applyFill="1" applyAlignment="1"/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3" fontId="4" fillId="0" borderId="0" xfId="1" applyFont="1" applyAlignment="1"/>
    <xf numFmtId="0" fontId="4" fillId="0" borderId="0" xfId="0" applyFont="1" applyAlignment="1">
      <alignment horizontal="right"/>
    </xf>
    <xf numFmtId="0" fontId="2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43" fontId="2" fillId="0" borderId="0" xfId="1" applyFont="1" applyAlignment="1"/>
    <xf numFmtId="10" fontId="4" fillId="0" borderId="0" xfId="2" applyNumberFormat="1" applyFont="1" applyAlignment="1">
      <alignment horizontal="right"/>
    </xf>
    <xf numFmtId="9" fontId="4" fillId="0" borderId="0" xfId="1" applyNumberFormat="1" applyFont="1" applyAlignment="1"/>
    <xf numFmtId="0" fontId="2" fillId="2" borderId="0" xfId="0" applyFont="1" applyFill="1"/>
    <xf numFmtId="43" fontId="4" fillId="0" borderId="0" xfId="1" applyFont="1" applyAlignment="1">
      <alignment horizontal="right"/>
    </xf>
    <xf numFmtId="176" fontId="4" fillId="0" borderId="0" xfId="1" applyNumberFormat="1" applyFont="1" applyAlignment="1">
      <alignment horizontal="right"/>
    </xf>
    <xf numFmtId="43" fontId="4" fillId="2" borderId="0" xfId="1" applyFont="1" applyFill="1" applyAlignment="1">
      <alignment horizontal="right"/>
    </xf>
    <xf numFmtId="10" fontId="4" fillId="0" borderId="0" xfId="1" applyNumberFormat="1" applyFont="1" applyAlignment="1"/>
    <xf numFmtId="10" fontId="4" fillId="0" borderId="0" xfId="1" applyNumberFormat="1" applyFont="1" applyAlignment="1">
      <alignment horizontal="right"/>
    </xf>
    <xf numFmtId="43" fontId="4" fillId="0" borderId="0" xfId="0" applyNumberFormat="1" applyFont="1"/>
    <xf numFmtId="43" fontId="5" fillId="0" borderId="0" xfId="1" applyFont="1" applyBorder="1" applyAlignment="1">
      <alignment horizontal="center" vertical="center"/>
    </xf>
    <xf numFmtId="43" fontId="5" fillId="0" borderId="0" xfId="1" applyFont="1" applyBorder="1" applyAlignment="1">
      <alignment horizontal="right" vertical="center"/>
    </xf>
    <xf numFmtId="43" fontId="8" fillId="0" borderId="0" xfId="1" applyFont="1" applyBorder="1" applyAlignment="1">
      <alignment horizontal="left" vertical="center"/>
    </xf>
    <xf numFmtId="43" fontId="5" fillId="0" borderId="0" xfId="1" applyFont="1" applyBorder="1">
      <alignment vertical="center"/>
    </xf>
    <xf numFmtId="176" fontId="5" fillId="0" borderId="0" xfId="1" applyNumberFormat="1" applyFont="1" applyBorder="1" applyAlignment="1">
      <alignment horizontal="left" vertical="center"/>
    </xf>
    <xf numFmtId="176" fontId="5" fillId="0" borderId="0" xfId="1" applyNumberFormat="1" applyFont="1" applyBorder="1" applyAlignment="1">
      <alignment horizontal="center" vertical="center"/>
    </xf>
    <xf numFmtId="176" fontId="5" fillId="3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Border="1">
      <alignment vertical="center"/>
    </xf>
    <xf numFmtId="176" fontId="9" fillId="0" borderId="0" xfId="1" applyNumberFormat="1" applyFont="1" applyBorder="1" applyAlignment="1">
      <alignment horizontal="left" vertical="center"/>
    </xf>
    <xf numFmtId="176" fontId="11" fillId="0" borderId="0" xfId="1" applyNumberFormat="1" applyFont="1" applyBorder="1" applyAlignment="1">
      <alignment horizontal="center" vertical="center"/>
    </xf>
    <xf numFmtId="176" fontId="11" fillId="3" borderId="0" xfId="1" applyNumberFormat="1" applyFont="1" applyFill="1" applyBorder="1" applyAlignment="1">
      <alignment horizontal="center" vertical="center"/>
    </xf>
    <xf numFmtId="176" fontId="11" fillId="4" borderId="0" xfId="1" applyNumberFormat="1" applyFont="1" applyFill="1" applyBorder="1" applyAlignment="1">
      <alignment horizontal="center" vertical="center"/>
    </xf>
    <xf numFmtId="176" fontId="8" fillId="0" borderId="0" xfId="1" applyNumberFormat="1" applyFont="1" applyBorder="1" applyAlignment="1">
      <alignment horizontal="left" vertical="center"/>
    </xf>
    <xf numFmtId="9" fontId="0" fillId="0" borderId="0" xfId="0" applyNumberFormat="1"/>
    <xf numFmtId="43" fontId="0" fillId="0" borderId="0" xfId="0" applyNumberFormat="1"/>
    <xf numFmtId="176" fontId="0" fillId="0" borderId="0" xfId="0" applyNumberFormat="1"/>
    <xf numFmtId="43" fontId="5" fillId="0" borderId="0" xfId="1" applyFont="1" applyBorder="1" applyAlignment="1">
      <alignment horizontal="left" vertical="center"/>
    </xf>
    <xf numFmtId="9" fontId="5" fillId="0" borderId="0" xfId="2" applyFont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43" fontId="13" fillId="5" borderId="0" xfId="1" applyFont="1" applyFill="1" applyBorder="1" applyAlignment="1">
      <alignment horizontal="left" vertical="center"/>
    </xf>
    <xf numFmtId="43" fontId="15" fillId="5" borderId="0" xfId="1" applyFont="1" applyFill="1" applyBorder="1" applyAlignment="1">
      <alignment horizontal="center" vertical="center"/>
    </xf>
    <xf numFmtId="176" fontId="15" fillId="5" borderId="0" xfId="1" applyNumberFormat="1" applyFont="1" applyFill="1" applyBorder="1" applyAlignment="1">
      <alignment horizontal="center" vertical="center"/>
    </xf>
    <xf numFmtId="43" fontId="8" fillId="3" borderId="0" xfId="1" applyFont="1" applyFill="1" applyBorder="1">
      <alignment vertical="center"/>
    </xf>
    <xf numFmtId="176" fontId="8" fillId="0" borderId="0" xfId="1" applyNumberFormat="1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6686-A1C5-4E5A-AE82-AFA11AC2255C}">
  <dimension ref="A1:M82"/>
  <sheetViews>
    <sheetView workbookViewId="0">
      <pane xSplit="1" ySplit="1" topLeftCell="B2" activePane="bottomRight" state="frozen"/>
      <selection activeCell="S18" sqref="S18"/>
      <selection pane="topRight" activeCell="S18" sqref="S18"/>
      <selection pane="bottomLeft" activeCell="S18" sqref="S18"/>
      <selection pane="bottomRight" activeCell="E14" sqref="D14:E14"/>
    </sheetView>
  </sheetViews>
  <sheetFormatPr defaultColWidth="9" defaultRowHeight="14" x14ac:dyDescent="0.25"/>
  <cols>
    <col min="1" max="1" width="19.25" style="4" customWidth="1"/>
    <col min="2" max="2" width="13.33203125" style="4" customWidth="1"/>
    <col min="3" max="3" width="14.58203125" style="4" customWidth="1"/>
    <col min="4" max="4" width="14.58203125" style="18" customWidth="1"/>
    <col min="5" max="11" width="14.58203125" style="17" customWidth="1"/>
    <col min="12" max="12" width="12.75" style="4" bestFit="1" customWidth="1"/>
    <col min="13" max="13" width="12.75" style="4" customWidth="1"/>
    <col min="14" max="16384" width="9" style="4"/>
  </cols>
  <sheetData>
    <row r="1" spans="1:13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7.25" customHeight="1" x14ac:dyDescent="0.25">
      <c r="A2" s="1" t="s">
        <v>13</v>
      </c>
      <c r="B2" s="5">
        <v>2780</v>
      </c>
      <c r="C2" s="5">
        <v>6755</v>
      </c>
      <c r="D2" s="2">
        <v>11095</v>
      </c>
      <c r="E2" s="6">
        <f>E25</f>
        <v>18180.482910000002</v>
      </c>
      <c r="F2" s="6">
        <f t="shared" ref="F2:K2" si="0">F25</f>
        <v>29480.835856120004</v>
      </c>
      <c r="G2" s="6">
        <f t="shared" si="0"/>
        <v>45281.837728348648</v>
      </c>
      <c r="H2" s="6">
        <f t="shared" si="0"/>
        <v>63923.285382652728</v>
      </c>
      <c r="I2" s="6">
        <f t="shared" si="0"/>
        <v>80800.907744630211</v>
      </c>
      <c r="J2" s="6">
        <f t="shared" si="0"/>
        <v>95165.971102534371</v>
      </c>
      <c r="K2" s="6">
        <f t="shared" si="0"/>
        <v>104607.77526649258</v>
      </c>
    </row>
    <row r="3" spans="1:13" ht="17.25" customHeight="1" x14ac:dyDescent="0.25">
      <c r="A3" s="1" t="s">
        <v>14</v>
      </c>
      <c r="B3" s="7">
        <v>1205</v>
      </c>
      <c r="C3" s="7">
        <v>2998</v>
      </c>
      <c r="D3" s="8">
        <v>4569</v>
      </c>
      <c r="E3" s="9">
        <f>E32</f>
        <v>7248.4189199999992</v>
      </c>
      <c r="F3" s="9">
        <f t="shared" ref="F3:J3" si="1">F32</f>
        <v>11608.357513500001</v>
      </c>
      <c r="G3" s="9">
        <f t="shared" si="1"/>
        <v>17005.138717949998</v>
      </c>
      <c r="H3" s="9">
        <f t="shared" si="1"/>
        <v>23165.993035574997</v>
      </c>
      <c r="I3" s="9">
        <f t="shared" si="1"/>
        <v>29140.434890167504</v>
      </c>
      <c r="J3" s="9">
        <f t="shared" si="1"/>
        <v>34396.399042563375</v>
      </c>
      <c r="K3" s="9">
        <f>K32</f>
        <v>37967.047218468622</v>
      </c>
    </row>
    <row r="4" spans="1:13" ht="17.25" customHeight="1" x14ac:dyDescent="0.25">
      <c r="A4" s="10" t="s">
        <v>15</v>
      </c>
      <c r="B4" s="7">
        <v>18</v>
      </c>
      <c r="C4" s="7">
        <v>37.996867999999999</v>
      </c>
      <c r="D4" s="8">
        <v>56.405726000000001</v>
      </c>
      <c r="E4" s="9">
        <f>E2/(1.06)*0.06*0.12</f>
        <v>123.49007259622643</v>
      </c>
      <c r="F4" s="9">
        <f t="shared" ref="F4:K4" si="2">F2/(1.06)*0.06*0.12</f>
        <v>200.24718694723018</v>
      </c>
      <c r="G4" s="9">
        <f t="shared" si="2"/>
        <v>307.57474683406627</v>
      </c>
      <c r="H4" s="9">
        <f t="shared" si="2"/>
        <v>434.19590071235814</v>
      </c>
      <c r="I4" s="9">
        <f t="shared" si="2"/>
        <v>548.83635449182782</v>
      </c>
      <c r="J4" s="9">
        <f t="shared" si="2"/>
        <v>646.41036975306361</v>
      </c>
      <c r="K4" s="9">
        <f t="shared" si="2"/>
        <v>710.5433791686288</v>
      </c>
    </row>
    <row r="5" spans="1:13" ht="17.25" customHeight="1" x14ac:dyDescent="0.25">
      <c r="A5" s="10" t="s">
        <v>16</v>
      </c>
      <c r="B5" s="7">
        <v>328</v>
      </c>
      <c r="C5" s="7">
        <v>944</v>
      </c>
      <c r="D5" s="8">
        <v>2106</v>
      </c>
      <c r="E5" s="9">
        <f>E$2*E60</f>
        <v>3545.1941674500008</v>
      </c>
      <c r="F5" s="9">
        <f t="shared" ref="F5:K5" si="3">F$2*F60</f>
        <v>5896.1671712240013</v>
      </c>
      <c r="G5" s="9">
        <f t="shared" si="3"/>
        <v>9056.3675456697292</v>
      </c>
      <c r="H5" s="9">
        <f t="shared" si="3"/>
        <v>12784.657076530546</v>
      </c>
      <c r="I5" s="9">
        <f t="shared" si="3"/>
        <v>16160.181548926043</v>
      </c>
      <c r="J5" s="9">
        <f t="shared" si="3"/>
        <v>19033.194220506874</v>
      </c>
      <c r="K5" s="9">
        <f t="shared" si="3"/>
        <v>20921.555053298518</v>
      </c>
    </row>
    <row r="6" spans="1:13" ht="17.25" customHeight="1" x14ac:dyDescent="0.25">
      <c r="A6" s="10" t="s">
        <v>17</v>
      </c>
      <c r="B6" s="7">
        <v>456</v>
      </c>
      <c r="C6" s="7">
        <v>472</v>
      </c>
      <c r="D6" s="8">
        <v>686</v>
      </c>
      <c r="E6" s="9">
        <f t="shared" ref="E6:K8" si="4">E$2*E61</f>
        <v>1181.7313891500003</v>
      </c>
      <c r="F6" s="9">
        <f t="shared" si="4"/>
        <v>1989.9564202881004</v>
      </c>
      <c r="G6" s="9">
        <f t="shared" si="4"/>
        <v>3169.7286409844055</v>
      </c>
      <c r="H6" s="9">
        <f t="shared" si="4"/>
        <v>4474.6299767856917</v>
      </c>
      <c r="I6" s="9">
        <f t="shared" si="4"/>
        <v>5656.063542124115</v>
      </c>
      <c r="J6" s="9">
        <f t="shared" si="4"/>
        <v>6661.6179771774068</v>
      </c>
      <c r="K6" s="9">
        <f t="shared" si="4"/>
        <v>7322.5442686544811</v>
      </c>
    </row>
    <row r="7" spans="1:13" ht="17.25" customHeight="1" x14ac:dyDescent="0.25">
      <c r="A7" s="10" t="s">
        <v>18</v>
      </c>
      <c r="B7" s="7"/>
      <c r="C7" s="7">
        <v>312</v>
      </c>
      <c r="D7" s="8">
        <v>528.10160099999996</v>
      </c>
      <c r="E7" s="9">
        <f t="shared" si="4"/>
        <v>818.12173095000003</v>
      </c>
      <c r="F7" s="9">
        <f t="shared" si="4"/>
        <v>1179.2334342448003</v>
      </c>
      <c r="G7" s="9">
        <f t="shared" si="4"/>
        <v>1811.2735091339459</v>
      </c>
      <c r="H7" s="9">
        <f t="shared" si="4"/>
        <v>2556.9314153061091</v>
      </c>
      <c r="I7" s="9">
        <f t="shared" si="4"/>
        <v>3232.0363097852087</v>
      </c>
      <c r="J7" s="9">
        <f t="shared" si="4"/>
        <v>3806.6388441013751</v>
      </c>
      <c r="K7" s="9">
        <f t="shared" si="4"/>
        <v>4184.3110106597032</v>
      </c>
    </row>
    <row r="8" spans="1:13" ht="17.25" customHeight="1" x14ac:dyDescent="0.25">
      <c r="A8" s="10" t="s">
        <v>19</v>
      </c>
      <c r="B8" s="7">
        <v>27</v>
      </c>
      <c r="C8" s="7">
        <v>25.325199999999999</v>
      </c>
      <c r="D8" s="8">
        <v>39</v>
      </c>
      <c r="E8" s="9">
        <f t="shared" si="4"/>
        <v>181.80482910000003</v>
      </c>
      <c r="F8" s="9">
        <f t="shared" si="4"/>
        <v>294.80835856120007</v>
      </c>
      <c r="G8" s="9">
        <f t="shared" si="4"/>
        <v>452.81837728348648</v>
      </c>
      <c r="H8" s="9">
        <f t="shared" si="4"/>
        <v>639.23285382652728</v>
      </c>
      <c r="I8" s="9">
        <f t="shared" si="4"/>
        <v>808.00907744630217</v>
      </c>
      <c r="J8" s="9">
        <f t="shared" si="4"/>
        <v>951.65971102534377</v>
      </c>
      <c r="K8" s="9">
        <f t="shared" si="4"/>
        <v>1046.0777526649258</v>
      </c>
    </row>
    <row r="9" spans="1:13" ht="17.25" customHeight="1" x14ac:dyDescent="0.25">
      <c r="A9" s="10" t="s">
        <v>20</v>
      </c>
      <c r="B9" s="7">
        <v>37</v>
      </c>
      <c r="C9" s="7">
        <v>63</v>
      </c>
      <c r="D9" s="8">
        <v>13</v>
      </c>
      <c r="E9" s="9">
        <f>E2*0.1*0.07</f>
        <v>127.26338037000004</v>
      </c>
      <c r="F9" s="9">
        <f>F2*0.12*0.07</f>
        <v>247.63902119140803</v>
      </c>
      <c r="G9" s="9">
        <f>G2*0.14*0.07</f>
        <v>443.76200973781681</v>
      </c>
      <c r="H9" s="9">
        <f>H2*0.16*0.07</f>
        <v>715.94079628571058</v>
      </c>
      <c r="I9" s="9">
        <f>I2*0.18*0.07</f>
        <v>1018.0914375823407</v>
      </c>
      <c r="J9" s="9">
        <f>J2*0.2*0.07</f>
        <v>1332.3235954354814</v>
      </c>
      <c r="K9" s="9">
        <f>K2*0.2*0.07</f>
        <v>1464.5088537308964</v>
      </c>
    </row>
    <row r="10" spans="1:13" ht="18.75" customHeight="1" x14ac:dyDescent="0.25">
      <c r="A10" s="10" t="s">
        <v>21</v>
      </c>
      <c r="B10" s="7"/>
      <c r="C10" s="7"/>
      <c r="D10" s="8">
        <v>226</v>
      </c>
      <c r="E10" s="9"/>
      <c r="F10" s="9"/>
      <c r="G10" s="9"/>
      <c r="H10" s="9"/>
      <c r="I10" s="9"/>
      <c r="J10" s="9"/>
      <c r="K10" s="9"/>
    </row>
    <row r="11" spans="1:13" ht="18.75" customHeight="1" x14ac:dyDescent="0.25">
      <c r="A11" s="10" t="s">
        <v>22</v>
      </c>
      <c r="B11" s="7">
        <v>48</v>
      </c>
      <c r="C11" s="7">
        <v>46</v>
      </c>
      <c r="D11" s="8">
        <f>27+59</f>
        <v>86</v>
      </c>
      <c r="E11" s="9"/>
      <c r="F11" s="9"/>
      <c r="G11" s="9"/>
      <c r="H11" s="9"/>
      <c r="I11" s="9"/>
      <c r="J11" s="9"/>
      <c r="K11" s="9"/>
    </row>
    <row r="12" spans="1:13" ht="18.75" customHeight="1" x14ac:dyDescent="0.25">
      <c r="A12" s="1" t="s">
        <v>23</v>
      </c>
      <c r="B12" s="5">
        <f>B2+B10+B11-SUM(B3:B9)</f>
        <v>757</v>
      </c>
      <c r="C12" s="5">
        <f>C2+C10+C11-SUM(C3:C9)</f>
        <v>1948.6779319999996</v>
      </c>
      <c r="D12" s="2">
        <f>D2+D10+D11-SUM(D3:D9)</f>
        <v>3409.4926729999997</v>
      </c>
      <c r="E12" s="9">
        <f>E2-SUM(E3:E11)</f>
        <v>4954.4584203837767</v>
      </c>
      <c r="F12" s="9">
        <f t="shared" ref="F12:J12" si="5">F2-SUM(F3:F11)</f>
        <v>8064.4267501632603</v>
      </c>
      <c r="G12" s="9">
        <f t="shared" si="5"/>
        <v>13035.174180755199</v>
      </c>
      <c r="H12" s="9">
        <f t="shared" si="5"/>
        <v>19151.704327630796</v>
      </c>
      <c r="I12" s="9">
        <f t="shared" si="5"/>
        <v>24237.254584106864</v>
      </c>
      <c r="J12" s="9">
        <f t="shared" si="5"/>
        <v>28337.727341971462</v>
      </c>
      <c r="K12" s="9">
        <f>K2-SUM(K3:K11)</f>
        <v>30991.187729846803</v>
      </c>
    </row>
    <row r="13" spans="1:13" ht="18.75" customHeight="1" x14ac:dyDescent="0.25">
      <c r="A13" s="10" t="s">
        <v>24</v>
      </c>
      <c r="B13" s="7">
        <v>361</v>
      </c>
      <c r="C13" s="7"/>
      <c r="D13" s="8"/>
      <c r="E13" s="9"/>
      <c r="F13" s="9"/>
      <c r="G13" s="9"/>
      <c r="H13" s="9"/>
      <c r="I13" s="9"/>
      <c r="J13" s="9"/>
      <c r="K13" s="9"/>
    </row>
    <row r="14" spans="1:13" ht="18.75" customHeight="1" x14ac:dyDescent="0.25">
      <c r="A14" s="10" t="s">
        <v>25</v>
      </c>
      <c r="B14" s="7">
        <v>69</v>
      </c>
      <c r="C14" s="7">
        <v>0.35074899999999998</v>
      </c>
      <c r="D14" s="8">
        <v>0.35074899999999998</v>
      </c>
      <c r="E14" s="9"/>
      <c r="F14" s="9"/>
      <c r="G14" s="9"/>
      <c r="H14" s="9"/>
      <c r="I14" s="9"/>
      <c r="J14" s="9"/>
      <c r="K14" s="9"/>
    </row>
    <row r="15" spans="1:13" ht="18.75" customHeight="1" x14ac:dyDescent="0.25">
      <c r="A15" s="1" t="s">
        <v>26</v>
      </c>
      <c r="B15" s="5">
        <f>B12+B13-B14</f>
        <v>1049</v>
      </c>
      <c r="C15" s="5">
        <f>C12+C13-C14</f>
        <v>1948.3271829999996</v>
      </c>
      <c r="D15" s="2">
        <f>D12+D13-D14</f>
        <v>3409.1419239999996</v>
      </c>
      <c r="E15" s="2">
        <f t="shared" ref="E15:K15" si="6">E12+E13-E14</f>
        <v>4954.4584203837767</v>
      </c>
      <c r="F15" s="2">
        <f t="shared" si="6"/>
        <v>8064.4267501632603</v>
      </c>
      <c r="G15" s="2">
        <f t="shared" si="6"/>
        <v>13035.174180755199</v>
      </c>
      <c r="H15" s="2">
        <f t="shared" si="6"/>
        <v>19151.704327630796</v>
      </c>
      <c r="I15" s="2">
        <f t="shared" si="6"/>
        <v>24237.254584106864</v>
      </c>
      <c r="J15" s="2">
        <f t="shared" si="6"/>
        <v>28337.727341971462</v>
      </c>
      <c r="K15" s="2">
        <f t="shared" si="6"/>
        <v>30991.187729846803</v>
      </c>
    </row>
    <row r="16" spans="1:13" ht="18.75" customHeight="1" x14ac:dyDescent="0.25">
      <c r="A16" s="10" t="s">
        <v>27</v>
      </c>
      <c r="B16" s="7">
        <v>145</v>
      </c>
      <c r="C16" s="7">
        <v>346</v>
      </c>
      <c r="D16" s="8">
        <v>453</v>
      </c>
      <c r="E16" s="9">
        <f>E15*0.15</f>
        <v>743.16876305756648</v>
      </c>
      <c r="F16" s="9">
        <f t="shared" ref="F16:K16" si="7">F15*0.15</f>
        <v>1209.664012524489</v>
      </c>
      <c r="G16" s="9">
        <f t="shared" si="7"/>
        <v>1955.2761271132797</v>
      </c>
      <c r="H16" s="9">
        <f t="shared" si="7"/>
        <v>2872.7556491446194</v>
      </c>
      <c r="I16" s="9">
        <f t="shared" si="7"/>
        <v>3635.5881876160297</v>
      </c>
      <c r="J16" s="9">
        <f t="shared" si="7"/>
        <v>4250.6591012957188</v>
      </c>
      <c r="K16" s="9">
        <f t="shared" si="7"/>
        <v>4648.67815947702</v>
      </c>
    </row>
    <row r="17" spans="1:11" ht="18.75" customHeight="1" x14ac:dyDescent="0.25">
      <c r="A17" s="1" t="s">
        <v>28</v>
      </c>
      <c r="B17" s="5">
        <f>B15-B16</f>
        <v>904</v>
      </c>
      <c r="C17" s="5">
        <f>C15-C16</f>
        <v>1602.3271829999996</v>
      </c>
      <c r="D17" s="2">
        <f>D15-D16</f>
        <v>2956.1419239999996</v>
      </c>
      <c r="E17" s="6">
        <f>E15-E16</f>
        <v>4211.2896573262105</v>
      </c>
      <c r="F17" s="6">
        <f t="shared" ref="F17:K17" si="8">F15-F16</f>
        <v>6854.7627376387718</v>
      </c>
      <c r="G17" s="6">
        <f t="shared" si="8"/>
        <v>11079.898053641919</v>
      </c>
      <c r="H17" s="6">
        <f t="shared" si="8"/>
        <v>16278.948678486177</v>
      </c>
      <c r="I17" s="6">
        <f t="shared" si="8"/>
        <v>20601.666396490833</v>
      </c>
      <c r="J17" s="6">
        <f t="shared" si="8"/>
        <v>24087.068240675744</v>
      </c>
      <c r="K17" s="6">
        <f t="shared" si="8"/>
        <v>26342.509570369781</v>
      </c>
    </row>
    <row r="18" spans="1:11" s="11" customFormat="1" ht="18.75" customHeight="1" x14ac:dyDescent="0.25">
      <c r="B18" s="11">
        <f>B17/B2</f>
        <v>0.32517985611510791</v>
      </c>
      <c r="C18" s="11">
        <f t="shared" ref="C18:K18" si="9">C17/C2</f>
        <v>0.23720609666913392</v>
      </c>
      <c r="D18" s="11">
        <f t="shared" si="9"/>
        <v>0.26643910986931046</v>
      </c>
      <c r="E18" s="11">
        <f t="shared" si="9"/>
        <v>0.23163794263186654</v>
      </c>
      <c r="F18" s="11">
        <f t="shared" si="9"/>
        <v>0.23251588832464443</v>
      </c>
      <c r="G18" s="11">
        <f t="shared" si="9"/>
        <v>0.2446874643231487</v>
      </c>
      <c r="H18" s="11">
        <f t="shared" si="9"/>
        <v>0.25466382994926445</v>
      </c>
      <c r="I18" s="11">
        <f t="shared" si="9"/>
        <v>0.25496825433696885</v>
      </c>
      <c r="J18" s="11">
        <f t="shared" si="9"/>
        <v>0.25310589448747062</v>
      </c>
      <c r="K18" s="11">
        <f t="shared" si="9"/>
        <v>0.25182171691598604</v>
      </c>
    </row>
    <row r="19" spans="1:11" s="12" customFormat="1" ht="18.75" customHeight="1" x14ac:dyDescent="0.25">
      <c r="A19" s="12" t="s">
        <v>29</v>
      </c>
      <c r="D19" s="13"/>
      <c r="E19" s="14"/>
      <c r="F19" s="14"/>
      <c r="G19" s="14"/>
      <c r="H19" s="14"/>
      <c r="I19" s="14"/>
      <c r="J19" s="14"/>
      <c r="K19" s="14"/>
    </row>
    <row r="20" spans="1:11" ht="18.75" customHeight="1" x14ac:dyDescent="0.25">
      <c r="A20" s="4" t="s">
        <v>30</v>
      </c>
      <c r="C20" s="15">
        <v>1246.08</v>
      </c>
      <c r="D20" s="16">
        <v>4849.2700000000004</v>
      </c>
      <c r="E20" s="17">
        <f>E48*E41/10000</f>
        <v>8161.3214099999996</v>
      </c>
      <c r="F20" s="17">
        <f t="shared" ref="F20:K21" si="10">F48*F41/10000</f>
        <v>13319.276541120002</v>
      </c>
      <c r="G20" s="17">
        <f t="shared" si="10"/>
        <v>20438.429852348643</v>
      </c>
      <c r="H20" s="17">
        <f t="shared" si="10"/>
        <v>28327.66377535522</v>
      </c>
      <c r="I20" s="17">
        <f t="shared" si="10"/>
        <v>35055.48392200208</v>
      </c>
      <c r="J20" s="17">
        <f t="shared" si="10"/>
        <v>39910.668445199371</v>
      </c>
      <c r="K20" s="17">
        <f t="shared" si="10"/>
        <v>42027.731854762504</v>
      </c>
    </row>
    <row r="21" spans="1:11" ht="18.75" customHeight="1" x14ac:dyDescent="0.25">
      <c r="A21" s="4" t="s">
        <v>31</v>
      </c>
      <c r="C21" s="15">
        <v>3221.81</v>
      </c>
      <c r="D21" s="16">
        <v>3506.63</v>
      </c>
      <c r="E21" s="17">
        <f>E49*E42/10000</f>
        <v>6311.9340000000011</v>
      </c>
      <c r="F21" s="17">
        <f t="shared" si="10"/>
        <v>11266.802190000002</v>
      </c>
      <c r="G21" s="17">
        <f t="shared" si="10"/>
        <v>18590.223613500002</v>
      </c>
      <c r="H21" s="17">
        <f t="shared" si="10"/>
        <v>27606.482066047502</v>
      </c>
      <c r="I21" s="17">
        <f t="shared" si="10"/>
        <v>35529.542419003134</v>
      </c>
      <c r="J21" s="17">
        <f t="shared" si="10"/>
        <v>42635.450902803757</v>
      </c>
      <c r="K21" s="17">
        <f t="shared" si="10"/>
        <v>46980.22871856601</v>
      </c>
    </row>
    <row r="22" spans="1:11" ht="18.75" customHeight="1" x14ac:dyDescent="0.25">
      <c r="A22" s="4" t="s">
        <v>32</v>
      </c>
      <c r="C22" s="15">
        <v>1542.77</v>
      </c>
      <c r="D22" s="16">
        <v>2301.65</v>
      </c>
      <c r="E22" s="17">
        <f>D22*1.35</f>
        <v>3107.2275000000004</v>
      </c>
      <c r="F22" s="17">
        <f>E22*1.35</f>
        <v>4194.757125000001</v>
      </c>
      <c r="G22" s="17">
        <f>F22*1.3</f>
        <v>5453.1842625000018</v>
      </c>
      <c r="H22" s="17">
        <f t="shared" ref="H22" si="11">G22*1.3</f>
        <v>7089.1395412500024</v>
      </c>
      <c r="I22" s="17">
        <f>H22*1.3</f>
        <v>9215.8814036250042</v>
      </c>
      <c r="J22" s="17">
        <f>I22*1.25</f>
        <v>11519.851754531255</v>
      </c>
      <c r="K22" s="17">
        <f>J22*1.25</f>
        <v>14399.814693164069</v>
      </c>
    </row>
    <row r="23" spans="1:11" ht="18.75" customHeight="1" x14ac:dyDescent="0.25">
      <c r="A23" s="4" t="s">
        <v>33</v>
      </c>
      <c r="C23" s="4">
        <v>637.04999999999995</v>
      </c>
      <c r="D23" s="18">
        <v>449.07</v>
      </c>
      <c r="E23" s="17">
        <v>600</v>
      </c>
      <c r="F23" s="17">
        <v>700</v>
      </c>
      <c r="G23" s="17">
        <v>800</v>
      </c>
      <c r="H23" s="17">
        <v>900</v>
      </c>
      <c r="I23" s="17">
        <v>1000</v>
      </c>
      <c r="J23" s="17">
        <v>1100</v>
      </c>
      <c r="K23" s="17">
        <v>1200</v>
      </c>
    </row>
    <row r="24" spans="1:11" ht="18.75" customHeight="1" x14ac:dyDescent="0.25">
      <c r="A24" s="4" t="s">
        <v>34</v>
      </c>
      <c r="C24" s="4">
        <v>7.45</v>
      </c>
      <c r="D24" s="18">
        <v>6.99</v>
      </c>
    </row>
    <row r="25" spans="1:11" ht="18.75" customHeight="1" x14ac:dyDescent="0.25">
      <c r="A25" s="19" t="s">
        <v>35</v>
      </c>
      <c r="B25" s="19"/>
      <c r="C25" s="20">
        <v>6655.17</v>
      </c>
      <c r="D25" s="21">
        <v>11113.61</v>
      </c>
      <c r="E25" s="22">
        <f>SUM(E20:E24)</f>
        <v>18180.482910000002</v>
      </c>
      <c r="F25" s="22">
        <f t="shared" ref="F25:K25" si="12">SUM(F20:F24)</f>
        <v>29480.835856120004</v>
      </c>
      <c r="G25" s="22">
        <f t="shared" si="12"/>
        <v>45281.837728348648</v>
      </c>
      <c r="H25" s="22">
        <f t="shared" si="12"/>
        <v>63923.285382652728</v>
      </c>
      <c r="I25" s="22">
        <f t="shared" si="12"/>
        <v>80800.907744630211</v>
      </c>
      <c r="J25" s="22">
        <f t="shared" si="12"/>
        <v>95165.971102534371</v>
      </c>
      <c r="K25" s="22">
        <f t="shared" si="12"/>
        <v>104607.77526649258</v>
      </c>
    </row>
    <row r="26" spans="1:11" s="12" customFormat="1" ht="18.75" customHeight="1" x14ac:dyDescent="0.25">
      <c r="A26" s="12" t="s">
        <v>36</v>
      </c>
      <c r="D26" s="13"/>
      <c r="E26" s="14"/>
      <c r="F26" s="14"/>
      <c r="G26" s="14"/>
      <c r="H26" s="14"/>
      <c r="I26" s="14"/>
      <c r="J26" s="14"/>
      <c r="K26" s="14"/>
    </row>
    <row r="27" spans="1:11" ht="18.75" customHeight="1" x14ac:dyDescent="0.25">
      <c r="A27" s="4" t="s">
        <v>30</v>
      </c>
      <c r="C27" s="18">
        <v>706.97</v>
      </c>
      <c r="D27" s="16">
        <v>2219.6999999999998</v>
      </c>
      <c r="E27" s="17">
        <f>E54*E41/10000</f>
        <v>3625.8799499999991</v>
      </c>
      <c r="F27" s="17">
        <f t="shared" ref="F27:K28" si="13">F54*F41/10000</f>
        <v>6211.6084799999999</v>
      </c>
      <c r="G27" s="17">
        <f t="shared" si="13"/>
        <v>9355.502771999998</v>
      </c>
      <c r="H27" s="17">
        <f t="shared" si="13"/>
        <v>12716.217359999999</v>
      </c>
      <c r="I27" s="17">
        <f t="shared" si="13"/>
        <v>15736.318982999999</v>
      </c>
      <c r="J27" s="17">
        <f t="shared" si="13"/>
        <v>18096.766830449997</v>
      </c>
      <c r="K27" s="17">
        <f t="shared" si="13"/>
        <v>19001.6051719725</v>
      </c>
    </row>
    <row r="28" spans="1:11" ht="18.75" customHeight="1" x14ac:dyDescent="0.25">
      <c r="A28" s="4" t="s">
        <v>31</v>
      </c>
      <c r="C28" s="16">
        <v>1052.5899999999999</v>
      </c>
      <c r="D28" s="18">
        <v>752.56</v>
      </c>
      <c r="E28" s="17">
        <f>E55*E42/10000</f>
        <v>1341.0619200000001</v>
      </c>
      <c r="F28" s="17">
        <f t="shared" si="13"/>
        <v>2441.003616</v>
      </c>
      <c r="G28" s="17">
        <f t="shared" si="13"/>
        <v>3913.6657031999998</v>
      </c>
      <c r="H28" s="17">
        <f t="shared" si="13"/>
        <v>5699.5131599999995</v>
      </c>
      <c r="I28" s="17">
        <f t="shared" si="13"/>
        <v>7335.2734369200007</v>
      </c>
      <c r="J28" s="17">
        <f t="shared" si="13"/>
        <v>8802.3281243040019</v>
      </c>
      <c r="K28" s="17">
        <f t="shared" si="13"/>
        <v>9682.5609367344023</v>
      </c>
    </row>
    <row r="29" spans="1:11" ht="18.75" customHeight="1" x14ac:dyDescent="0.25">
      <c r="A29" s="4" t="s">
        <v>32</v>
      </c>
      <c r="C29" s="18">
        <v>630.72</v>
      </c>
      <c r="D29" s="16">
        <v>1206.76</v>
      </c>
      <c r="E29" s="17">
        <f>(1-E37)*E22</f>
        <v>1926.4810500000003</v>
      </c>
      <c r="F29" s="17">
        <f t="shared" ref="F29:K29" si="14">(1-F37)*F22</f>
        <v>2600.7494175000006</v>
      </c>
      <c r="G29" s="17">
        <f t="shared" si="14"/>
        <v>3380.9742427500009</v>
      </c>
      <c r="H29" s="17">
        <f t="shared" si="14"/>
        <v>4395.266515575001</v>
      </c>
      <c r="I29" s="17">
        <f t="shared" si="14"/>
        <v>5713.8464702475021</v>
      </c>
      <c r="J29" s="17">
        <f t="shared" si="14"/>
        <v>7142.3080878093779</v>
      </c>
      <c r="K29" s="17">
        <f t="shared" si="14"/>
        <v>8927.8851097617226</v>
      </c>
    </row>
    <row r="30" spans="1:11" ht="18.75" customHeight="1" x14ac:dyDescent="0.25">
      <c r="A30" s="4" t="s">
        <v>33</v>
      </c>
      <c r="C30" s="18">
        <v>361.73</v>
      </c>
      <c r="D30" s="18">
        <v>295.83</v>
      </c>
      <c r="E30" s="17">
        <f>E57*E44/10000</f>
        <v>354.99599999999998</v>
      </c>
      <c r="F30" s="17">
        <f t="shared" ref="F30:K30" si="15">F57*F44/10000</f>
        <v>354.99599999999998</v>
      </c>
      <c r="G30" s="17">
        <f t="shared" si="15"/>
        <v>354.99599999999998</v>
      </c>
      <c r="H30" s="17">
        <f t="shared" si="15"/>
        <v>354.99599999999998</v>
      </c>
      <c r="I30" s="17">
        <f t="shared" si="15"/>
        <v>354.99599999999998</v>
      </c>
      <c r="J30" s="17">
        <f t="shared" si="15"/>
        <v>354.99599999999998</v>
      </c>
      <c r="K30" s="17">
        <f t="shared" si="15"/>
        <v>354.99599999999998</v>
      </c>
    </row>
    <row r="31" spans="1:11" ht="18.75" customHeight="1" x14ac:dyDescent="0.25">
      <c r="A31" s="4" t="s">
        <v>34</v>
      </c>
      <c r="C31" s="18" t="s">
        <v>37</v>
      </c>
      <c r="D31" s="18">
        <v>23.7</v>
      </c>
    </row>
    <row r="32" spans="1:11" ht="18.75" customHeight="1" x14ac:dyDescent="0.25">
      <c r="A32" s="19" t="s">
        <v>35</v>
      </c>
      <c r="B32" s="19"/>
      <c r="C32" s="21">
        <v>2752</v>
      </c>
      <c r="D32" s="21">
        <v>4498.55</v>
      </c>
      <c r="E32" s="22">
        <f t="shared" ref="E32:K32" si="16">SUM(E27:E31)</f>
        <v>7248.4189199999992</v>
      </c>
      <c r="F32" s="22">
        <f t="shared" si="16"/>
        <v>11608.357513500001</v>
      </c>
      <c r="G32" s="22">
        <f t="shared" si="16"/>
        <v>17005.138717949998</v>
      </c>
      <c r="H32" s="22">
        <f t="shared" si="16"/>
        <v>23165.993035574997</v>
      </c>
      <c r="I32" s="22">
        <f t="shared" si="16"/>
        <v>29140.434890167504</v>
      </c>
      <c r="J32" s="22">
        <f t="shared" si="16"/>
        <v>34396.399042563375</v>
      </c>
      <c r="K32" s="22">
        <f t="shared" si="16"/>
        <v>37967.047218468622</v>
      </c>
    </row>
    <row r="33" spans="1:11" s="12" customFormat="1" ht="18.75" customHeight="1" x14ac:dyDescent="0.25">
      <c r="A33" s="12" t="s">
        <v>38</v>
      </c>
      <c r="D33" s="13"/>
      <c r="E33" s="14"/>
      <c r="F33" s="14"/>
      <c r="G33" s="14"/>
      <c r="H33" s="14"/>
      <c r="I33" s="14"/>
      <c r="J33" s="14"/>
      <c r="K33" s="14"/>
    </row>
    <row r="34" spans="1:11" ht="18.75" customHeight="1" x14ac:dyDescent="0.25">
      <c r="A34" s="4" t="s">
        <v>30</v>
      </c>
      <c r="C34" s="23">
        <f>1-C27/C20</f>
        <v>0.43264477401129942</v>
      </c>
      <c r="D34" s="23">
        <f>1-D27/D20</f>
        <v>0.5422610001092949</v>
      </c>
      <c r="E34" s="11">
        <f>1-E27/E20</f>
        <v>0.55572391187078618</v>
      </c>
      <c r="F34" s="11">
        <f t="shared" ref="F34:K36" si="17">1-F27/F20</f>
        <v>0.53363769715095399</v>
      </c>
      <c r="G34" s="11">
        <f t="shared" si="17"/>
        <v>0.54225922247520741</v>
      </c>
      <c r="H34" s="11">
        <f t="shared" si="17"/>
        <v>0.55110250316289844</v>
      </c>
      <c r="I34" s="11">
        <f t="shared" si="17"/>
        <v>0.55110250316289822</v>
      </c>
      <c r="J34" s="11">
        <f t="shared" si="17"/>
        <v>0.54656818501302862</v>
      </c>
      <c r="K34" s="11">
        <f t="shared" si="17"/>
        <v>0.54787935647735231</v>
      </c>
    </row>
    <row r="35" spans="1:11" ht="18.75" customHeight="1" x14ac:dyDescent="0.25">
      <c r="A35" s="4" t="s">
        <v>31</v>
      </c>
      <c r="C35" s="23">
        <f t="shared" ref="C35:E39" si="18">1-C28/C21</f>
        <v>0.67329234188235809</v>
      </c>
      <c r="D35" s="23">
        <f t="shared" si="18"/>
        <v>0.78538939095370774</v>
      </c>
      <c r="E35" s="11">
        <f t="shared" si="18"/>
        <v>0.78753549704417058</v>
      </c>
      <c r="F35" s="11">
        <f t="shared" si="17"/>
        <v>0.78334548039136209</v>
      </c>
      <c r="G35" s="11">
        <f t="shared" si="17"/>
        <v>0.78947721207839905</v>
      </c>
      <c r="H35" s="11">
        <f t="shared" si="17"/>
        <v>0.79354438764185442</v>
      </c>
      <c r="I35" s="11">
        <f t="shared" si="17"/>
        <v>0.79354438764185442</v>
      </c>
      <c r="J35" s="11">
        <f t="shared" si="17"/>
        <v>0.79354438764185442</v>
      </c>
      <c r="K35" s="11">
        <f t="shared" si="17"/>
        <v>0.79390136657832033</v>
      </c>
    </row>
    <row r="36" spans="1:11" ht="18.75" customHeight="1" x14ac:dyDescent="0.25">
      <c r="A36" s="4" t="s">
        <v>32</v>
      </c>
      <c r="C36" s="23">
        <f t="shared" si="18"/>
        <v>0.59117690906616027</v>
      </c>
      <c r="D36" s="23">
        <f t="shared" si="18"/>
        <v>0.47569786892012256</v>
      </c>
      <c r="E36" s="11">
        <f t="shared" si="18"/>
        <v>0.38</v>
      </c>
      <c r="F36" s="11">
        <f t="shared" si="17"/>
        <v>0.38</v>
      </c>
      <c r="G36" s="11">
        <f t="shared" si="17"/>
        <v>0.38</v>
      </c>
      <c r="H36" s="11">
        <f t="shared" si="17"/>
        <v>0.38000000000000012</v>
      </c>
      <c r="I36" s="11">
        <f t="shared" si="17"/>
        <v>0.38</v>
      </c>
      <c r="J36" s="11">
        <f t="shared" si="17"/>
        <v>0.38</v>
      </c>
      <c r="K36" s="11">
        <f t="shared" si="17"/>
        <v>0.38</v>
      </c>
    </row>
    <row r="37" spans="1:11" ht="18.75" customHeight="1" x14ac:dyDescent="0.25">
      <c r="A37" s="4" t="s">
        <v>33</v>
      </c>
      <c r="C37" s="23">
        <f t="shared" si="18"/>
        <v>0.43217957774115057</v>
      </c>
      <c r="D37" s="23">
        <f t="shared" si="18"/>
        <v>0.34123855969002603</v>
      </c>
      <c r="E37" s="24">
        <v>0.38</v>
      </c>
      <c r="F37" s="24">
        <v>0.38</v>
      </c>
      <c r="G37" s="24">
        <v>0.38</v>
      </c>
      <c r="H37" s="24">
        <v>0.38</v>
      </c>
      <c r="I37" s="24">
        <v>0.38</v>
      </c>
      <c r="J37" s="24">
        <v>0.38</v>
      </c>
      <c r="K37" s="24">
        <v>0.38</v>
      </c>
    </row>
    <row r="38" spans="1:11" ht="18.75" customHeight="1" x14ac:dyDescent="0.25">
      <c r="A38" s="4" t="s">
        <v>34</v>
      </c>
      <c r="C38" s="23"/>
      <c r="D38" s="23">
        <f t="shared" si="18"/>
        <v>-2.3905579399141628</v>
      </c>
    </row>
    <row r="39" spans="1:11" ht="18.75" customHeight="1" x14ac:dyDescent="0.25">
      <c r="A39" s="19" t="s">
        <v>35</v>
      </c>
      <c r="C39" s="23">
        <f t="shared" si="18"/>
        <v>0.58648689665327858</v>
      </c>
      <c r="D39" s="23">
        <f t="shared" si="18"/>
        <v>0.59522153467685124</v>
      </c>
      <c r="E39" s="11">
        <f>1-E32/E25</f>
        <v>0.60130767945591401</v>
      </c>
      <c r="F39" s="11">
        <f t="shared" ref="F39:K39" si="19">1-F32/F25</f>
        <v>0.60624055674153521</v>
      </c>
      <c r="G39" s="11">
        <f t="shared" si="19"/>
        <v>0.62446005791624604</v>
      </c>
      <c r="H39" s="11">
        <f t="shared" si="19"/>
        <v>0.63759695865285271</v>
      </c>
      <c r="I39" s="11">
        <f t="shared" si="19"/>
        <v>0.63935510499132864</v>
      </c>
      <c r="J39" s="11">
        <f t="shared" si="19"/>
        <v>0.63856409340368336</v>
      </c>
      <c r="K39" s="11">
        <f t="shared" si="19"/>
        <v>0.63705329626076057</v>
      </c>
    </row>
    <row r="40" spans="1:11" s="12" customFormat="1" ht="18.75" customHeight="1" x14ac:dyDescent="0.25">
      <c r="A40" s="12" t="s">
        <v>39</v>
      </c>
      <c r="D40" s="13"/>
      <c r="E40" s="14"/>
      <c r="F40" s="14"/>
      <c r="G40" s="14"/>
      <c r="H40" s="14"/>
      <c r="I40" s="14"/>
      <c r="J40" s="14"/>
      <c r="K40" s="14"/>
    </row>
    <row r="41" spans="1:11" ht="18.75" customHeight="1" x14ac:dyDescent="0.25">
      <c r="A41" s="4" t="s">
        <v>30</v>
      </c>
      <c r="C41" s="15">
        <v>4606.88</v>
      </c>
      <c r="D41" s="16">
        <v>16201.45</v>
      </c>
      <c r="E41" s="17">
        <f>D41*1.65</f>
        <v>26732.392499999998</v>
      </c>
      <c r="F41" s="17">
        <f>E41*1.6</f>
        <v>42771.828000000001</v>
      </c>
      <c r="G41" s="17">
        <f>F41*1.55</f>
        <v>66296.333400000003</v>
      </c>
      <c r="H41" s="17">
        <f>G41*1.4</f>
        <v>92814.866760000004</v>
      </c>
      <c r="I41" s="17">
        <f>H41*1.25</f>
        <v>116018.58345000001</v>
      </c>
      <c r="J41" s="17">
        <f>I41*1.15</f>
        <v>133421.3709675</v>
      </c>
      <c r="K41" s="17">
        <f>J41*1.05</f>
        <v>140092.43951587501</v>
      </c>
    </row>
    <row r="42" spans="1:11" ht="18.75" customHeight="1" x14ac:dyDescent="0.25">
      <c r="A42" s="4" t="s">
        <v>31</v>
      </c>
      <c r="C42" s="15">
        <v>2174.62</v>
      </c>
      <c r="D42" s="16">
        <v>2332.2199999999998</v>
      </c>
      <c r="E42" s="17">
        <f>D42*1.8</f>
        <v>4197.9960000000001</v>
      </c>
      <c r="F42" s="17">
        <f>E42*1.7</f>
        <v>7136.5932000000003</v>
      </c>
      <c r="G42" s="17">
        <f>F42*1.65</f>
        <v>11775.378779999999</v>
      </c>
      <c r="H42" s="17">
        <f>G42*1.5</f>
        <v>17663.068169999999</v>
      </c>
      <c r="I42" s="17">
        <f>H42*1.3</f>
        <v>22961.988621</v>
      </c>
      <c r="J42" s="17">
        <f>I42*1.2</f>
        <v>27554.386345200001</v>
      </c>
      <c r="K42" s="17">
        <f>J42*1.1</f>
        <v>30309.824979720004</v>
      </c>
    </row>
    <row r="43" spans="1:11" ht="18.75" customHeight="1" x14ac:dyDescent="0.25">
      <c r="A43" s="4" t="s">
        <v>32</v>
      </c>
      <c r="C43" s="15">
        <v>3683.91</v>
      </c>
      <c r="D43" s="16">
        <v>4302.93</v>
      </c>
    </row>
    <row r="44" spans="1:11" ht="18.75" customHeight="1" x14ac:dyDescent="0.25">
      <c r="A44" s="4" t="s">
        <v>33</v>
      </c>
      <c r="C44" s="4">
        <v>3.49</v>
      </c>
      <c r="D44" s="18">
        <v>1.99</v>
      </c>
      <c r="E44" s="17">
        <f>D44*1.2</f>
        <v>2.3879999999999999</v>
      </c>
      <c r="F44" s="17">
        <f>E44</f>
        <v>2.3879999999999999</v>
      </c>
      <c r="G44" s="17">
        <f t="shared" ref="G44:K44" si="20">F44</f>
        <v>2.3879999999999999</v>
      </c>
      <c r="H44" s="17">
        <f t="shared" si="20"/>
        <v>2.3879999999999999</v>
      </c>
      <c r="I44" s="17">
        <f t="shared" si="20"/>
        <v>2.3879999999999999</v>
      </c>
      <c r="J44" s="17">
        <f t="shared" si="20"/>
        <v>2.3879999999999999</v>
      </c>
      <c r="K44" s="17">
        <f t="shared" si="20"/>
        <v>2.3879999999999999</v>
      </c>
    </row>
    <row r="45" spans="1:11" ht="18.75" customHeight="1" x14ac:dyDescent="0.25">
      <c r="A45" s="4" t="s">
        <v>34</v>
      </c>
      <c r="C45" s="4" t="s">
        <v>37</v>
      </c>
      <c r="D45" s="18" t="s">
        <v>37</v>
      </c>
    </row>
    <row r="46" spans="1:11" ht="18.75" customHeight="1" x14ac:dyDescent="0.25">
      <c r="A46" s="19" t="s">
        <v>35</v>
      </c>
      <c r="B46" s="19"/>
      <c r="C46" s="20">
        <v>10468.9</v>
      </c>
      <c r="D46" s="21">
        <v>22845.73</v>
      </c>
      <c r="E46" s="21">
        <f>SUM(E41:E45)</f>
        <v>30932.776499999996</v>
      </c>
      <c r="F46" s="21">
        <f t="shared" ref="F46:K46" si="21">SUM(F41:F45)</f>
        <v>49910.809200000003</v>
      </c>
      <c r="G46" s="21">
        <f t="shared" si="21"/>
        <v>78074.100180000009</v>
      </c>
      <c r="H46" s="21">
        <f t="shared" si="21"/>
        <v>110480.32293000001</v>
      </c>
      <c r="I46" s="21">
        <f t="shared" si="21"/>
        <v>138982.96007100001</v>
      </c>
      <c r="J46" s="21">
        <f t="shared" si="21"/>
        <v>160978.14531270001</v>
      </c>
      <c r="K46" s="21">
        <f t="shared" si="21"/>
        <v>170404.65249559502</v>
      </c>
    </row>
    <row r="47" spans="1:11" s="12" customFormat="1" ht="18.75" customHeight="1" x14ac:dyDescent="0.25">
      <c r="A47" s="25" t="s">
        <v>40</v>
      </c>
      <c r="D47" s="13"/>
      <c r="E47" s="14"/>
      <c r="F47" s="14"/>
      <c r="G47" s="14"/>
      <c r="H47" s="14"/>
      <c r="I47" s="14"/>
      <c r="J47" s="14"/>
      <c r="K47" s="14"/>
    </row>
    <row r="48" spans="1:11" ht="18.75" customHeight="1" x14ac:dyDescent="0.25">
      <c r="A48" s="4" t="s">
        <v>30</v>
      </c>
      <c r="C48" s="26">
        <f t="shared" ref="C48:K51" si="22">C20*10000/C41</f>
        <v>2704.8240891883443</v>
      </c>
      <c r="D48" s="26">
        <f t="shared" si="22"/>
        <v>2993.1086415104824</v>
      </c>
      <c r="E48" s="26">
        <f>D48*1.02</f>
        <v>3052.970814340692</v>
      </c>
      <c r="F48" s="26">
        <f>E48*1.02</f>
        <v>3114.0302306275057</v>
      </c>
      <c r="G48" s="26">
        <f>F48*0.99</f>
        <v>3082.8899283212309</v>
      </c>
      <c r="H48" s="26">
        <f>G48*0.99</f>
        <v>3052.0610290380187</v>
      </c>
      <c r="I48" s="17">
        <f>H48*0.99</f>
        <v>3021.5404187476383</v>
      </c>
      <c r="J48" s="17">
        <f>I48*0.99</f>
        <v>2991.3250145601619</v>
      </c>
      <c r="K48" s="17">
        <v>3000</v>
      </c>
    </row>
    <row r="49" spans="1:11" ht="18.75" customHeight="1" x14ac:dyDescent="0.25">
      <c r="A49" s="4" t="s">
        <v>31</v>
      </c>
      <c r="C49" s="26">
        <f t="shared" si="22"/>
        <v>14815.507996799441</v>
      </c>
      <c r="D49" s="26">
        <f t="shared" si="22"/>
        <v>15035.588409326738</v>
      </c>
      <c r="E49" s="26">
        <f>D49*1</f>
        <v>15035.588409326738</v>
      </c>
      <c r="F49" s="26">
        <f>D49*1.05</f>
        <v>15787.367829793075</v>
      </c>
      <c r="G49" s="26">
        <f>F49*1</f>
        <v>15787.367829793075</v>
      </c>
      <c r="H49" s="26">
        <f>G49*0.99</f>
        <v>15629.494151495144</v>
      </c>
      <c r="I49" s="17">
        <f>H49*0.99</f>
        <v>15473.199209980192</v>
      </c>
      <c r="J49" s="17">
        <f>I49</f>
        <v>15473.199209980192</v>
      </c>
      <c r="K49" s="17">
        <v>15500</v>
      </c>
    </row>
    <row r="50" spans="1:11" ht="18.75" customHeight="1" x14ac:dyDescent="0.25">
      <c r="A50" s="4" t="s">
        <v>32</v>
      </c>
      <c r="C50" s="26">
        <f t="shared" si="22"/>
        <v>4187.8601811662065</v>
      </c>
      <c r="D50" s="26">
        <f t="shared" si="22"/>
        <v>5349.0296147043991</v>
      </c>
    </row>
    <row r="51" spans="1:11" ht="18.75" customHeight="1" x14ac:dyDescent="0.25">
      <c r="A51" s="4" t="s">
        <v>33</v>
      </c>
      <c r="C51" s="26">
        <f t="shared" si="22"/>
        <v>1825358.1661891115</v>
      </c>
      <c r="D51" s="26">
        <f t="shared" si="22"/>
        <v>2256633.1658291458</v>
      </c>
      <c r="E51" s="27">
        <f t="shared" si="22"/>
        <v>2512562.8140703519</v>
      </c>
      <c r="F51" s="27">
        <f t="shared" si="22"/>
        <v>2931323.2830820773</v>
      </c>
      <c r="G51" s="27">
        <f t="shared" si="22"/>
        <v>3350083.7520938027</v>
      </c>
      <c r="H51" s="27">
        <f t="shared" si="22"/>
        <v>3768844.2211055276</v>
      </c>
      <c r="I51" s="27">
        <f t="shared" si="22"/>
        <v>4187604.690117253</v>
      </c>
      <c r="J51" s="27">
        <f t="shared" si="22"/>
        <v>4606365.1591289788</v>
      </c>
      <c r="K51" s="27">
        <f t="shared" si="22"/>
        <v>5025125.6281407038</v>
      </c>
    </row>
    <row r="52" spans="1:11" ht="18.75" customHeight="1" x14ac:dyDescent="0.25">
      <c r="A52" s="4" t="s">
        <v>34</v>
      </c>
      <c r="C52" s="26"/>
      <c r="D52" s="26"/>
    </row>
    <row r="53" spans="1:11" s="12" customFormat="1" ht="18.75" customHeight="1" x14ac:dyDescent="0.25">
      <c r="A53" s="25" t="s">
        <v>41</v>
      </c>
      <c r="C53" s="28"/>
      <c r="D53" s="28"/>
      <c r="E53" s="14"/>
      <c r="F53" s="14"/>
      <c r="G53" s="14"/>
      <c r="H53" s="14"/>
      <c r="I53" s="14"/>
      <c r="J53" s="14"/>
      <c r="K53" s="14"/>
    </row>
    <row r="54" spans="1:11" ht="18.75" customHeight="1" x14ac:dyDescent="0.25">
      <c r="A54" s="4" t="s">
        <v>30</v>
      </c>
      <c r="C54" s="26">
        <f t="shared" ref="C54:D57" si="23">C27*10000/C41</f>
        <v>1534.5960823811342</v>
      </c>
      <c r="D54" s="26">
        <f t="shared" si="23"/>
        <v>1370.0625561292352</v>
      </c>
      <c r="E54" s="26">
        <f>D54*0.99</f>
        <v>1356.3619305679429</v>
      </c>
      <c r="F54" s="17">
        <f>D54*1.06</f>
        <v>1452.2663094969894</v>
      </c>
      <c r="G54" s="17">
        <f>D54*1.03</f>
        <v>1411.1644328131122</v>
      </c>
      <c r="H54" s="17">
        <f>D54</f>
        <v>1370.0625561292352</v>
      </c>
      <c r="I54" s="17">
        <f>H54*0.99</f>
        <v>1356.3619305679429</v>
      </c>
      <c r="J54" s="17">
        <f t="shared" ref="J54:K55" si="24">I54</f>
        <v>1356.3619305679429</v>
      </c>
      <c r="K54" s="17">
        <f t="shared" si="24"/>
        <v>1356.3619305679429</v>
      </c>
    </row>
    <row r="55" spans="1:11" ht="18.75" customHeight="1" x14ac:dyDescent="0.25">
      <c r="A55" s="4" t="s">
        <v>31</v>
      </c>
      <c r="C55" s="26">
        <f t="shared" si="23"/>
        <v>4840.339921457542</v>
      </c>
      <c r="D55" s="26">
        <f t="shared" si="23"/>
        <v>3226.7967858949842</v>
      </c>
      <c r="E55" s="26">
        <f>D55*0.99</f>
        <v>3194.5288180360344</v>
      </c>
      <c r="F55" s="17">
        <f>D55*1.06</f>
        <v>3420.4045930486832</v>
      </c>
      <c r="G55" s="17">
        <f>D55*1.03</f>
        <v>3323.6006894718339</v>
      </c>
      <c r="H55" s="17">
        <f>D55</f>
        <v>3226.7967858949842</v>
      </c>
      <c r="I55" s="17">
        <f>H55*0.99</f>
        <v>3194.5288180360344</v>
      </c>
      <c r="J55" s="17">
        <f t="shared" si="24"/>
        <v>3194.5288180360344</v>
      </c>
      <c r="K55" s="17">
        <f t="shared" si="24"/>
        <v>3194.5288180360344</v>
      </c>
    </row>
    <row r="56" spans="1:11" ht="18.75" customHeight="1" x14ac:dyDescent="0.25">
      <c r="A56" s="4" t="s">
        <v>32</v>
      </c>
      <c r="C56" s="26">
        <f t="shared" si="23"/>
        <v>1712.0939436631188</v>
      </c>
      <c r="D56" s="26">
        <f t="shared" si="23"/>
        <v>2804.507626198892</v>
      </c>
    </row>
    <row r="57" spans="1:11" ht="18.75" customHeight="1" x14ac:dyDescent="0.25">
      <c r="A57" s="4" t="s">
        <v>33</v>
      </c>
      <c r="C57" s="26">
        <f t="shared" si="23"/>
        <v>1036475.6446991403</v>
      </c>
      <c r="D57" s="26">
        <f t="shared" si="23"/>
        <v>1486582.9145728643</v>
      </c>
      <c r="E57" s="9">
        <v>1486582.9145728643</v>
      </c>
      <c r="F57" s="9">
        <v>1486582.9145728643</v>
      </c>
      <c r="G57" s="9">
        <v>1486582.9145728643</v>
      </c>
      <c r="H57" s="9">
        <v>1486582.9145728643</v>
      </c>
      <c r="I57" s="9">
        <v>1486582.9145728643</v>
      </c>
      <c r="J57" s="9">
        <v>1486582.9145728643</v>
      </c>
      <c r="K57" s="9">
        <v>1486582.9145728643</v>
      </c>
    </row>
    <row r="58" spans="1:11" ht="18.75" customHeight="1" x14ac:dyDescent="0.25">
      <c r="A58" s="4" t="s">
        <v>34</v>
      </c>
      <c r="D58" s="26"/>
    </row>
    <row r="59" spans="1:11" ht="18.75" customHeight="1" x14ac:dyDescent="0.25">
      <c r="D59" s="26"/>
    </row>
    <row r="60" spans="1:11" ht="18.75" customHeight="1" x14ac:dyDescent="0.25">
      <c r="A60" s="4" t="s">
        <v>42</v>
      </c>
      <c r="C60" s="11">
        <v>0.1397483345669874</v>
      </c>
      <c r="D60" s="11">
        <v>0.18981523208652545</v>
      </c>
      <c r="E60" s="29">
        <v>0.19500000000000001</v>
      </c>
      <c r="F60" s="24">
        <v>0.2</v>
      </c>
      <c r="G60" s="24">
        <v>0.2</v>
      </c>
      <c r="H60" s="24">
        <v>0.2</v>
      </c>
      <c r="I60" s="24">
        <v>0.2</v>
      </c>
      <c r="J60" s="24">
        <v>0.2</v>
      </c>
      <c r="K60" s="24">
        <v>0.2</v>
      </c>
    </row>
    <row r="61" spans="1:11" ht="18.75" customHeight="1" x14ac:dyDescent="0.25">
      <c r="A61" s="4" t="s">
        <v>43</v>
      </c>
      <c r="C61" s="11">
        <v>6.9874167283493702E-2</v>
      </c>
      <c r="D61" s="11">
        <v>6.1829652996845424E-2</v>
      </c>
      <c r="E61" s="24">
        <v>6.5000000000000002E-2</v>
      </c>
      <c r="F61" s="24">
        <v>6.7500000000000004E-2</v>
      </c>
      <c r="G61" s="24">
        <v>7.0000000000000007E-2</v>
      </c>
      <c r="H61" s="24">
        <v>7.0000000000000007E-2</v>
      </c>
      <c r="I61" s="24">
        <v>7.0000000000000007E-2</v>
      </c>
      <c r="J61" s="24">
        <v>7.0000000000000007E-2</v>
      </c>
      <c r="K61" s="24">
        <v>7.0000000000000007E-2</v>
      </c>
    </row>
    <row r="62" spans="1:11" ht="18.75" customHeight="1" x14ac:dyDescent="0.25">
      <c r="A62" s="4" t="s">
        <v>44</v>
      </c>
      <c r="C62" s="11">
        <v>4.6188008882309402E-2</v>
      </c>
      <c r="D62" s="11">
        <v>4.7598161424064887E-2</v>
      </c>
      <c r="E62" s="30">
        <v>4.4999999999999998E-2</v>
      </c>
      <c r="F62" s="24">
        <v>0.04</v>
      </c>
      <c r="G62" s="24">
        <v>0.04</v>
      </c>
      <c r="H62" s="24">
        <v>0.04</v>
      </c>
      <c r="I62" s="24">
        <v>0.04</v>
      </c>
      <c r="J62" s="24">
        <v>0.04</v>
      </c>
      <c r="K62" s="24">
        <v>0.04</v>
      </c>
    </row>
    <row r="63" spans="1:11" ht="18.75" customHeight="1" x14ac:dyDescent="0.25">
      <c r="A63" s="4" t="s">
        <v>45</v>
      </c>
      <c r="C63" s="11">
        <v>3.7491043671354549E-3</v>
      </c>
      <c r="D63" s="11">
        <v>3.5150968904912121E-3</v>
      </c>
      <c r="E63" s="24">
        <v>0.01</v>
      </c>
      <c r="F63" s="24">
        <v>0.01</v>
      </c>
      <c r="G63" s="24">
        <v>0.01</v>
      </c>
      <c r="H63" s="24">
        <v>0.01</v>
      </c>
      <c r="I63" s="24">
        <v>0.01</v>
      </c>
      <c r="J63" s="24">
        <v>0.01</v>
      </c>
      <c r="K63" s="24">
        <v>0.01</v>
      </c>
    </row>
    <row r="64" spans="1:11" ht="18.75" customHeight="1" x14ac:dyDescent="0.25"/>
    <row r="65" spans="5:13" ht="18.75" customHeight="1" x14ac:dyDescent="0.25"/>
    <row r="66" spans="5:13" ht="18.75" customHeight="1" x14ac:dyDescent="0.25">
      <c r="E66" s="17">
        <f>E17*0.6</f>
        <v>2526.7737943957263</v>
      </c>
      <c r="F66" s="17">
        <f t="shared" ref="F66:K66" si="25">F17*0.6</f>
        <v>4112.8576425832625</v>
      </c>
      <c r="G66" s="17">
        <f t="shared" si="25"/>
        <v>6647.9388321851511</v>
      </c>
      <c r="H66" s="17">
        <f t="shared" si="25"/>
        <v>9767.3692070917059</v>
      </c>
      <c r="I66" s="17">
        <f t="shared" si="25"/>
        <v>12360.9998378945</v>
      </c>
      <c r="J66" s="17">
        <f t="shared" si="25"/>
        <v>14452.240944405446</v>
      </c>
      <c r="K66" s="17">
        <f t="shared" si="25"/>
        <v>15805.505742221867</v>
      </c>
      <c r="L66" s="31">
        <f>K66</f>
        <v>15805.505742221867</v>
      </c>
      <c r="M66" s="31">
        <f>L66</f>
        <v>15805.505742221867</v>
      </c>
    </row>
    <row r="67" spans="5:13" ht="18.75" customHeight="1" x14ac:dyDescent="0.25">
      <c r="E67" s="17">
        <f t="shared" ref="E67:I67" si="26">E66</f>
        <v>2526.7737943957263</v>
      </c>
      <c r="F67" s="17">
        <f t="shared" si="26"/>
        <v>4112.8576425832625</v>
      </c>
      <c r="G67" s="17">
        <f t="shared" si="26"/>
        <v>6647.9388321851511</v>
      </c>
      <c r="H67" s="17">
        <f t="shared" si="26"/>
        <v>9767.3692070917059</v>
      </c>
      <c r="I67" s="17">
        <f t="shared" si="26"/>
        <v>12360.9998378945</v>
      </c>
      <c r="J67" s="17">
        <f>J66</f>
        <v>14452.240944405446</v>
      </c>
      <c r="K67" s="17">
        <f t="shared" ref="K67:L67" si="27">K66</f>
        <v>15805.505742221867</v>
      </c>
      <c r="L67" s="17">
        <f t="shared" si="27"/>
        <v>15805.505742221867</v>
      </c>
      <c r="M67" s="31">
        <f>M66*1.05/(0.13-0.05)</f>
        <v>207447.262866662</v>
      </c>
    </row>
    <row r="68" spans="5:13" ht="18.75" customHeight="1" x14ac:dyDescent="0.25">
      <c r="F68" s="17">
        <v>1</v>
      </c>
      <c r="G68" s="17">
        <v>2</v>
      </c>
      <c r="H68" s="17">
        <v>3</v>
      </c>
      <c r="I68" s="17">
        <v>4</v>
      </c>
      <c r="J68" s="17">
        <v>5</v>
      </c>
      <c r="K68" s="17">
        <v>6</v>
      </c>
      <c r="L68" s="17">
        <v>7</v>
      </c>
      <c r="M68" s="17">
        <v>8</v>
      </c>
    </row>
    <row r="69" spans="5:13" ht="18.75" customHeight="1" x14ac:dyDescent="0.25">
      <c r="F69" s="17">
        <v>1.1299999999999999</v>
      </c>
      <c r="G69" s="17">
        <v>1.1299999999999999</v>
      </c>
      <c r="H69" s="17">
        <v>1.1299999999999999</v>
      </c>
      <c r="I69" s="17">
        <v>1.1299999999999999</v>
      </c>
      <c r="J69" s="17">
        <v>1.1299999999999999</v>
      </c>
      <c r="K69" s="17">
        <v>1.1299999999999999</v>
      </c>
      <c r="L69" s="17">
        <v>1.1299999999999999</v>
      </c>
      <c r="M69" s="17">
        <v>1.1299999999999999</v>
      </c>
    </row>
    <row r="70" spans="5:13" ht="18.75" customHeight="1" x14ac:dyDescent="0.25">
      <c r="E70" s="17">
        <f>SUM(F70:M70)</f>
        <v>123383.92455753501</v>
      </c>
      <c r="F70" s="17">
        <f>F67/F69^F68</f>
        <v>3639.6970288347461</v>
      </c>
      <c r="G70" s="17">
        <f t="shared" ref="G70:J70" si="28">G67/G69^G68</f>
        <v>5206.3112476976685</v>
      </c>
      <c r="H70" s="17">
        <f t="shared" si="28"/>
        <v>6769.2768140010758</v>
      </c>
      <c r="I70" s="17">
        <f t="shared" si="28"/>
        <v>7581.2326934224384</v>
      </c>
      <c r="J70" s="17">
        <f t="shared" si="28"/>
        <v>7844.097370034111</v>
      </c>
      <c r="K70" s="17">
        <f>K67/K69^K68</f>
        <v>7591.6772434400527</v>
      </c>
      <c r="L70" s="17">
        <f>L67/L69^L68</f>
        <v>6718.2984455221713</v>
      </c>
      <c r="M70" s="17">
        <f>M67/M69^M68</f>
        <v>78033.333714582739</v>
      </c>
    </row>
    <row r="71" spans="5:13" ht="18.75" customHeight="1" x14ac:dyDescent="0.25">
      <c r="F71" s="17">
        <v>1.1499999999999999</v>
      </c>
      <c r="G71" s="17">
        <v>1.1499999999999999</v>
      </c>
      <c r="H71" s="17">
        <v>1.1499999999999999</v>
      </c>
      <c r="I71" s="17">
        <v>1.1499999999999999</v>
      </c>
      <c r="J71" s="17">
        <v>1.1499999999999999</v>
      </c>
      <c r="K71" s="17">
        <v>1.1499999999999999</v>
      </c>
      <c r="L71" s="17">
        <v>1.1499999999999999</v>
      </c>
      <c r="M71" s="17">
        <v>1.1499999999999999</v>
      </c>
    </row>
    <row r="72" spans="5:13" ht="18.75" customHeight="1" x14ac:dyDescent="0.25">
      <c r="E72" s="17">
        <f>SUM(F72:M72)</f>
        <v>109868.0679005631</v>
      </c>
      <c r="F72" s="17">
        <f>F67/F71^F68</f>
        <v>3576.3979500724026</v>
      </c>
      <c r="G72" s="17">
        <f t="shared" ref="G72:M72" si="29">G67/G71^G68</f>
        <v>5026.7968485331967</v>
      </c>
      <c r="H72" s="17">
        <f t="shared" si="29"/>
        <v>6422.2038018191561</v>
      </c>
      <c r="I72" s="17">
        <f t="shared" si="29"/>
        <v>7067.4417760911401</v>
      </c>
      <c r="J72" s="17">
        <f t="shared" si="29"/>
        <v>7185.3179704837739</v>
      </c>
      <c r="K72" s="17">
        <f t="shared" si="29"/>
        <v>6833.1562997010806</v>
      </c>
      <c r="L72" s="17">
        <f t="shared" si="29"/>
        <v>5941.8750432183324</v>
      </c>
      <c r="M72" s="17">
        <f t="shared" si="29"/>
        <v>67814.878210644019</v>
      </c>
    </row>
    <row r="73" spans="5:13" ht="18.75" customHeight="1" x14ac:dyDescent="0.25"/>
    <row r="74" spans="5:13" ht="18.75" customHeight="1" x14ac:dyDescent="0.25"/>
    <row r="75" spans="5:13" ht="18.75" customHeight="1" x14ac:dyDescent="0.25"/>
    <row r="76" spans="5:13" ht="18.75" customHeight="1" x14ac:dyDescent="0.25"/>
    <row r="77" spans="5:13" ht="18.75" customHeight="1" x14ac:dyDescent="0.25"/>
    <row r="78" spans="5:13" ht="18.75" customHeight="1" x14ac:dyDescent="0.25"/>
    <row r="79" spans="5:13" ht="18.75" customHeight="1" x14ac:dyDescent="0.25"/>
    <row r="80" spans="5:13" ht="18.75" customHeight="1" x14ac:dyDescent="0.25"/>
    <row r="81" ht="18.75" customHeight="1" x14ac:dyDescent="0.25"/>
    <row r="82" ht="18.75" customHeight="1" x14ac:dyDescent="0.2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9EE1-7ECD-4AB0-84E2-DDB2975A1CA4}">
  <dimension ref="A1:AB37"/>
  <sheetViews>
    <sheetView tabSelected="1" workbookViewId="0">
      <pane xSplit="2" ySplit="1" topLeftCell="C5" activePane="bottomRight" state="frozen"/>
      <selection activeCell="S18" sqref="S18"/>
      <selection pane="topRight" activeCell="S18" sqref="S18"/>
      <selection pane="bottomLeft" activeCell="S18" sqref="S18"/>
      <selection pane="bottomRight" activeCell="F5" sqref="F5"/>
    </sheetView>
  </sheetViews>
  <sheetFormatPr defaultRowHeight="14" x14ac:dyDescent="0.3"/>
  <cols>
    <col min="1" max="1" width="33.75" customWidth="1"/>
    <col min="19" max="19" width="11.33203125" bestFit="1" customWidth="1"/>
  </cols>
  <sheetData>
    <row r="1" spans="1:28" x14ac:dyDescent="0.3">
      <c r="A1" s="32"/>
      <c r="B1" s="32" t="s">
        <v>46</v>
      </c>
      <c r="C1" s="33" t="s">
        <v>47</v>
      </c>
      <c r="D1" s="33" t="s">
        <v>48</v>
      </c>
      <c r="E1" s="33" t="s">
        <v>49</v>
      </c>
      <c r="F1" s="33" t="s">
        <v>50</v>
      </c>
      <c r="G1" s="33" t="s">
        <v>51</v>
      </c>
      <c r="H1" s="33" t="s">
        <v>52</v>
      </c>
      <c r="I1" s="33" t="s">
        <v>53</v>
      </c>
      <c r="J1" s="33" t="s">
        <v>54</v>
      </c>
      <c r="K1" s="33" t="s">
        <v>55</v>
      </c>
      <c r="L1" s="33" t="s">
        <v>56</v>
      </c>
      <c r="M1" s="33" t="s">
        <v>57</v>
      </c>
      <c r="N1" s="33" t="s">
        <v>58</v>
      </c>
      <c r="O1" s="33" t="s">
        <v>59</v>
      </c>
      <c r="P1" s="33" t="s">
        <v>60</v>
      </c>
      <c r="Q1" s="33" t="s">
        <v>61</v>
      </c>
      <c r="R1" s="33" t="s">
        <v>62</v>
      </c>
      <c r="S1" s="33" t="s">
        <v>63</v>
      </c>
      <c r="T1" s="33" t="s">
        <v>64</v>
      </c>
      <c r="U1" s="33" t="s">
        <v>65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70</v>
      </c>
      <c r="AA1" s="33" t="s">
        <v>71</v>
      </c>
      <c r="AB1" s="33" t="s">
        <v>72</v>
      </c>
    </row>
    <row r="2" spans="1:28" x14ac:dyDescent="0.3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5"/>
      <c r="P2" s="35"/>
      <c r="Q2" s="35"/>
      <c r="R2" s="35"/>
    </row>
    <row r="3" spans="1:28" x14ac:dyDescent="0.3">
      <c r="A3" s="36" t="s">
        <v>73</v>
      </c>
      <c r="B3" s="37"/>
      <c r="C3" s="37">
        <v>18707.96</v>
      </c>
      <c r="D3" s="37">
        <v>37549.550000000003</v>
      </c>
      <c r="E3" s="37">
        <v>55559.46</v>
      </c>
      <c r="F3" s="37">
        <v>77271.351999999999</v>
      </c>
      <c r="G3" s="38">
        <f>F3*1.2</f>
        <v>92725.622399999993</v>
      </c>
      <c r="H3" s="37">
        <f>G3*1.2</f>
        <v>111270.74687999999</v>
      </c>
      <c r="I3" s="38">
        <f t="shared" ref="I3:J3" si="0">H3*1.15</f>
        <v>127961.35891199998</v>
      </c>
      <c r="J3" s="37">
        <f t="shared" si="0"/>
        <v>147155.56274879997</v>
      </c>
      <c r="K3" s="38">
        <f>J3*1.1</f>
        <v>161871.11902367999</v>
      </c>
      <c r="L3" s="37">
        <f>K3*1.1</f>
        <v>178058.23092604801</v>
      </c>
      <c r="M3" s="38">
        <f t="shared" ref="M3:N3" si="1">L3*1.05</f>
        <v>186961.14247235042</v>
      </c>
      <c r="N3" s="37">
        <f t="shared" si="1"/>
        <v>196309.19959596795</v>
      </c>
      <c r="O3" s="38">
        <f>N3*1</f>
        <v>196309.19959596795</v>
      </c>
      <c r="P3" s="37">
        <f t="shared" ref="P3:R3" si="2">O3*1</f>
        <v>196309.19959596795</v>
      </c>
      <c r="Q3" s="37">
        <f t="shared" si="2"/>
        <v>196309.19959596795</v>
      </c>
      <c r="R3" s="37">
        <f t="shared" si="2"/>
        <v>196309.19959596795</v>
      </c>
    </row>
    <row r="4" spans="1:28" x14ac:dyDescent="0.3">
      <c r="A4" s="36" t="s">
        <v>74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9"/>
      <c r="P4" s="39"/>
      <c r="Q4" s="39"/>
      <c r="R4" s="39"/>
    </row>
    <row r="5" spans="1:28" x14ac:dyDescent="0.3">
      <c r="A5" s="40" t="s">
        <v>75</v>
      </c>
      <c r="B5" s="41"/>
      <c r="C5" s="41">
        <v>10663.54</v>
      </c>
      <c r="D5" s="41">
        <v>18652.25</v>
      </c>
      <c r="E5" s="41">
        <v>27232.703000000001</v>
      </c>
      <c r="F5" s="41">
        <v>37862.962480000002</v>
      </c>
      <c r="G5" s="42">
        <f>G3*45%</f>
        <v>41726.530079999997</v>
      </c>
      <c r="H5" s="41">
        <f t="shared" ref="H5:J5" si="3">H3*45%</f>
        <v>50071.836095999999</v>
      </c>
      <c r="I5" s="41">
        <f t="shared" si="3"/>
        <v>57582.611510399991</v>
      </c>
      <c r="J5" s="41">
        <f t="shared" si="3"/>
        <v>66220.003236959994</v>
      </c>
      <c r="K5" s="42">
        <f>K3*40%</f>
        <v>64748.447609472001</v>
      </c>
      <c r="L5" s="41">
        <f>L3*40%</f>
        <v>71223.292370419207</v>
      </c>
      <c r="M5" s="41">
        <f t="shared" ref="M5:N5" si="4">M3*40%</f>
        <v>74784.456988940176</v>
      </c>
      <c r="N5" s="41">
        <f t="shared" si="4"/>
        <v>78523.679838387179</v>
      </c>
      <c r="O5" s="42">
        <f>O3*35%</f>
        <v>68708.219858588782</v>
      </c>
      <c r="P5" s="43">
        <f t="shared" ref="P5:R5" si="5">P3*35%</f>
        <v>68708.219858588782</v>
      </c>
      <c r="Q5" s="43">
        <f t="shared" si="5"/>
        <v>68708.219858588782</v>
      </c>
      <c r="R5" s="43">
        <f t="shared" si="5"/>
        <v>68708.219858588782</v>
      </c>
    </row>
    <row r="6" spans="1:28" x14ac:dyDescent="0.3">
      <c r="A6" s="36" t="s">
        <v>76</v>
      </c>
      <c r="B6" s="37"/>
      <c r="C6" s="37">
        <f>C3*0.25</f>
        <v>4676.99</v>
      </c>
      <c r="D6" s="37">
        <f t="shared" ref="D6:R6" si="6">D3*0.25</f>
        <v>9387.3875000000007</v>
      </c>
      <c r="E6" s="37">
        <f t="shared" si="6"/>
        <v>13889.865</v>
      </c>
      <c r="F6" s="37">
        <f t="shared" si="6"/>
        <v>19317.838</v>
      </c>
      <c r="G6" s="37">
        <f t="shared" si="6"/>
        <v>23181.405599999998</v>
      </c>
      <c r="H6" s="37">
        <f t="shared" si="6"/>
        <v>27817.686719999998</v>
      </c>
      <c r="I6" s="37">
        <f t="shared" si="6"/>
        <v>31990.339727999995</v>
      </c>
      <c r="J6" s="37">
        <f t="shared" si="6"/>
        <v>36788.890687199993</v>
      </c>
      <c r="K6" s="37">
        <f t="shared" si="6"/>
        <v>40467.779755919997</v>
      </c>
      <c r="L6" s="37">
        <f t="shared" si="6"/>
        <v>44514.557731512003</v>
      </c>
      <c r="M6" s="37">
        <f t="shared" si="6"/>
        <v>46740.285618087604</v>
      </c>
      <c r="N6" s="37">
        <f t="shared" si="6"/>
        <v>49077.299898991987</v>
      </c>
      <c r="O6" s="37">
        <f t="shared" si="6"/>
        <v>49077.299898991987</v>
      </c>
      <c r="P6" s="37">
        <f t="shared" si="6"/>
        <v>49077.299898991987</v>
      </c>
      <c r="Q6" s="37">
        <f t="shared" si="6"/>
        <v>49077.299898991987</v>
      </c>
      <c r="R6" s="37">
        <f t="shared" si="6"/>
        <v>49077.299898991987</v>
      </c>
    </row>
    <row r="7" spans="1:28" x14ac:dyDescent="0.3">
      <c r="A7" s="36" t="s">
        <v>77</v>
      </c>
      <c r="B7" s="37"/>
      <c r="C7" s="37">
        <v>482.58397481000003</v>
      </c>
      <c r="D7" s="37">
        <v>588.80309657330008</v>
      </c>
      <c r="E7" s="37">
        <v>757.58687981316905</v>
      </c>
      <c r="F7" s="37">
        <v>914.55579822624736</v>
      </c>
      <c r="G7" s="37">
        <v>990.53689235040997</v>
      </c>
      <c r="H7" s="37">
        <v>1271.1993098858816</v>
      </c>
      <c r="I7" s="37">
        <v>1532.2153581938699</v>
      </c>
      <c r="J7" s="37">
        <v>1774.9602831202988</v>
      </c>
      <c r="K7" s="37">
        <v>2325.7527801815795</v>
      </c>
      <c r="L7" s="37">
        <v>2162.9500855688689</v>
      </c>
      <c r="M7" s="37">
        <v>2011.5435795790479</v>
      </c>
      <c r="N7" s="37">
        <v>1870.7355290085145</v>
      </c>
      <c r="O7" s="39">
        <v>1739.7840419779186</v>
      </c>
      <c r="P7" s="39">
        <v>1739.7840419779186</v>
      </c>
      <c r="Q7" s="39">
        <v>1739.7840419779186</v>
      </c>
      <c r="R7" s="39">
        <v>1739.7840419779186</v>
      </c>
    </row>
    <row r="8" spans="1:28" x14ac:dyDescent="0.3">
      <c r="A8" s="40" t="s">
        <v>78</v>
      </c>
      <c r="B8" s="41"/>
      <c r="C8" s="41">
        <f>C5-C6-C7</f>
        <v>5503.9660251900013</v>
      </c>
      <c r="D8" s="41">
        <f t="shared" ref="D8:R8" si="7">D5-D6-D7</f>
        <v>8676.0594034266996</v>
      </c>
      <c r="E8" s="41">
        <f t="shared" si="7"/>
        <v>12585.251120186833</v>
      </c>
      <c r="F8" s="41">
        <f t="shared" si="7"/>
        <v>17630.568681773755</v>
      </c>
      <c r="G8" s="41">
        <f t="shared" si="7"/>
        <v>17554.587587649588</v>
      </c>
      <c r="H8" s="41">
        <f t="shared" si="7"/>
        <v>20982.950066114121</v>
      </c>
      <c r="I8" s="41">
        <f t="shared" si="7"/>
        <v>24060.056424206126</v>
      </c>
      <c r="J8" s="41">
        <f>J5-J6-J7</f>
        <v>27656.152266639703</v>
      </c>
      <c r="K8" s="41">
        <f t="shared" si="7"/>
        <v>21954.915073370423</v>
      </c>
      <c r="L8" s="41">
        <f t="shared" si="7"/>
        <v>24545.784553338337</v>
      </c>
      <c r="M8" s="41">
        <f t="shared" si="7"/>
        <v>26032.627791273524</v>
      </c>
      <c r="N8" s="41">
        <f t="shared" si="7"/>
        <v>27575.644410386678</v>
      </c>
      <c r="O8" s="41">
        <f t="shared" si="7"/>
        <v>17891.135917618878</v>
      </c>
      <c r="P8" s="41">
        <f t="shared" si="7"/>
        <v>17891.135917618878</v>
      </c>
      <c r="Q8" s="41">
        <f t="shared" si="7"/>
        <v>17891.135917618878</v>
      </c>
      <c r="R8" s="41">
        <f t="shared" si="7"/>
        <v>17891.135917618878</v>
      </c>
    </row>
    <row r="9" spans="1:28" x14ac:dyDescent="0.3">
      <c r="A9" s="36" t="s">
        <v>79</v>
      </c>
      <c r="B9" s="37"/>
      <c r="C9" s="37">
        <f>C8*(-0.15)</f>
        <v>-825.59490377850022</v>
      </c>
      <c r="D9" s="37">
        <f t="shared" ref="D9:R9" si="8">D8*(-0.15)</f>
        <v>-1301.4089105140049</v>
      </c>
      <c r="E9" s="37">
        <f t="shared" si="8"/>
        <v>-1887.7876680280249</v>
      </c>
      <c r="F9" s="37">
        <f t="shared" si="8"/>
        <v>-2644.5853022660631</v>
      </c>
      <c r="G9" s="37">
        <f t="shared" si="8"/>
        <v>-2633.1881381474382</v>
      </c>
      <c r="H9" s="37">
        <f t="shared" si="8"/>
        <v>-3147.4425099171181</v>
      </c>
      <c r="I9" s="37">
        <f t="shared" si="8"/>
        <v>-3609.0084636309189</v>
      </c>
      <c r="J9" s="37">
        <f t="shared" si="8"/>
        <v>-4148.4228399959557</v>
      </c>
      <c r="K9" s="37">
        <f t="shared" si="8"/>
        <v>-3293.2372610055631</v>
      </c>
      <c r="L9" s="37">
        <f t="shared" si="8"/>
        <v>-3681.8676830007503</v>
      </c>
      <c r="M9" s="37">
        <f t="shared" si="8"/>
        <v>-3904.8941686910284</v>
      </c>
      <c r="N9" s="37">
        <f t="shared" si="8"/>
        <v>-4136.3466615580019</v>
      </c>
      <c r="O9" s="37">
        <f t="shared" si="8"/>
        <v>-2683.6703876428314</v>
      </c>
      <c r="P9" s="37">
        <f t="shared" si="8"/>
        <v>-2683.6703876428314</v>
      </c>
      <c r="Q9" s="37">
        <f t="shared" si="8"/>
        <v>-2683.6703876428314</v>
      </c>
      <c r="R9" s="37">
        <f t="shared" si="8"/>
        <v>-2683.6703876428314</v>
      </c>
    </row>
    <row r="10" spans="1:28" x14ac:dyDescent="0.3">
      <c r="A10" s="44" t="s">
        <v>80</v>
      </c>
      <c r="B10" s="37"/>
      <c r="C10" s="37">
        <f>SUM(C8:C9)</f>
        <v>4678.371121411501</v>
      </c>
      <c r="D10" s="37">
        <f t="shared" ref="D10:Q10" si="9">SUM(D8:D9)</f>
        <v>7374.650492912695</v>
      </c>
      <c r="E10" s="37">
        <f t="shared" si="9"/>
        <v>10697.463452158809</v>
      </c>
      <c r="F10" s="37">
        <f t="shared" si="9"/>
        <v>14985.983379507692</v>
      </c>
      <c r="G10" s="37">
        <f t="shared" si="9"/>
        <v>14921.399449502151</v>
      </c>
      <c r="H10" s="37">
        <f t="shared" si="9"/>
        <v>17835.507556197004</v>
      </c>
      <c r="I10" s="37">
        <f t="shared" si="9"/>
        <v>20451.047960575208</v>
      </c>
      <c r="J10" s="37">
        <f>SUM(J8:J9)</f>
        <v>23507.729426643746</v>
      </c>
      <c r="K10" s="37">
        <f t="shared" si="9"/>
        <v>18661.677812364858</v>
      </c>
      <c r="L10" s="37">
        <f t="shared" si="9"/>
        <v>20863.916870337587</v>
      </c>
      <c r="M10" s="37">
        <f t="shared" si="9"/>
        <v>22127.733622582495</v>
      </c>
      <c r="N10" s="37">
        <f t="shared" si="9"/>
        <v>23439.297748828678</v>
      </c>
      <c r="O10" s="37">
        <f t="shared" si="9"/>
        <v>15207.465529976047</v>
      </c>
      <c r="P10" s="37">
        <f t="shared" si="9"/>
        <v>15207.465529976047</v>
      </c>
      <c r="Q10" s="37">
        <f t="shared" si="9"/>
        <v>15207.465529976047</v>
      </c>
      <c r="R10" s="37">
        <f>SUM(R8:R9)</f>
        <v>15207.465529976047</v>
      </c>
    </row>
    <row r="11" spans="1:28" x14ac:dyDescent="0.3">
      <c r="A11" s="44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9"/>
      <c r="P11" s="39"/>
      <c r="Q11" s="39"/>
      <c r="R11" s="39"/>
    </row>
    <row r="12" spans="1:28" x14ac:dyDescent="0.3">
      <c r="A12" s="44" t="s">
        <v>81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9"/>
      <c r="P12" s="39"/>
      <c r="Q12" s="39"/>
      <c r="R12" s="39"/>
    </row>
    <row r="13" spans="1:28" x14ac:dyDescent="0.3">
      <c r="A13" s="36" t="s">
        <v>82</v>
      </c>
      <c r="B13" s="37"/>
      <c r="C13" s="37">
        <v>0</v>
      </c>
      <c r="D13" s="37">
        <f t="shared" ref="D13:R13" si="10">-D7</f>
        <v>-588.80309657330008</v>
      </c>
      <c r="E13" s="37">
        <f t="shared" si="10"/>
        <v>-757.58687981316905</v>
      </c>
      <c r="F13" s="37">
        <f t="shared" si="10"/>
        <v>-914.55579822624736</v>
      </c>
      <c r="G13" s="37">
        <f t="shared" si="10"/>
        <v>-990.53689235040997</v>
      </c>
      <c r="H13" s="37">
        <f t="shared" si="10"/>
        <v>-1271.1993098858816</v>
      </c>
      <c r="I13" s="37">
        <f t="shared" si="10"/>
        <v>-1532.2153581938699</v>
      </c>
      <c r="J13" s="37">
        <f t="shared" si="10"/>
        <v>-1774.9602831202988</v>
      </c>
      <c r="K13" s="37">
        <f t="shared" si="10"/>
        <v>-2325.7527801815795</v>
      </c>
      <c r="L13" s="37">
        <f t="shared" si="10"/>
        <v>-2162.9500855688689</v>
      </c>
      <c r="M13" s="37">
        <f t="shared" si="10"/>
        <v>-2011.5435795790479</v>
      </c>
      <c r="N13" s="37">
        <f t="shared" si="10"/>
        <v>-1870.7355290085145</v>
      </c>
      <c r="O13" s="37">
        <f t="shared" si="10"/>
        <v>-1739.7840419779186</v>
      </c>
      <c r="P13" s="37">
        <f t="shared" si="10"/>
        <v>-1739.7840419779186</v>
      </c>
      <c r="Q13" s="37">
        <f t="shared" si="10"/>
        <v>-1739.7840419779186</v>
      </c>
      <c r="R13" s="37">
        <f t="shared" si="10"/>
        <v>-1739.7840419779186</v>
      </c>
    </row>
    <row r="14" spans="1:28" x14ac:dyDescent="0.3">
      <c r="A14" s="36" t="s">
        <v>83</v>
      </c>
      <c r="B14" s="37"/>
      <c r="C14" s="37"/>
      <c r="D14" s="37">
        <v>2000</v>
      </c>
      <c r="E14" s="37">
        <v>3000</v>
      </c>
      <c r="F14" s="37">
        <v>3000</v>
      </c>
      <c r="G14" s="37">
        <v>2000</v>
      </c>
      <c r="H14" s="37">
        <v>5000</v>
      </c>
      <c r="I14" s="37">
        <v>5000</v>
      </c>
      <c r="J14" s="37">
        <v>5000</v>
      </c>
      <c r="K14" s="37"/>
      <c r="L14" s="37"/>
      <c r="M14" s="37"/>
      <c r="N14" s="37"/>
      <c r="O14" s="39"/>
      <c r="P14" s="39">
        <v>1739.7840419779186</v>
      </c>
      <c r="Q14" s="39">
        <v>1739.7840419779186</v>
      </c>
      <c r="R14" s="39">
        <v>1739.7840419779186</v>
      </c>
    </row>
    <row r="15" spans="1:28" x14ac:dyDescent="0.3">
      <c r="A15" s="36" t="s">
        <v>84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9"/>
      <c r="P15" s="39"/>
      <c r="Q15" s="39"/>
      <c r="R15" s="39"/>
      <c r="V15" s="45"/>
    </row>
    <row r="16" spans="1:28" x14ac:dyDescent="0.3">
      <c r="A16" s="44" t="s">
        <v>85</v>
      </c>
      <c r="B16" s="37"/>
      <c r="C16" s="37">
        <f t="shared" ref="C16:R16" si="11">SUM(C10:C15)</f>
        <v>4678.371121411501</v>
      </c>
      <c r="D16" s="37">
        <f t="shared" si="11"/>
        <v>8785.8473963393953</v>
      </c>
      <c r="E16" s="37">
        <f t="shared" si="11"/>
        <v>12939.87657234564</v>
      </c>
      <c r="F16" s="37">
        <f t="shared" si="11"/>
        <v>17071.427581281445</v>
      </c>
      <c r="G16" s="37">
        <f t="shared" si="11"/>
        <v>15930.86255715174</v>
      </c>
      <c r="H16" s="37">
        <f t="shared" si="11"/>
        <v>21564.308246311124</v>
      </c>
      <c r="I16" s="37">
        <f t="shared" si="11"/>
        <v>23918.832602381339</v>
      </c>
      <c r="J16" s="37">
        <f t="shared" si="11"/>
        <v>26732.769143523448</v>
      </c>
      <c r="K16" s="37">
        <f>SUM(K10:K15)</f>
        <v>16335.925032183279</v>
      </c>
      <c r="L16" s="37">
        <f t="shared" si="11"/>
        <v>18700.96678476872</v>
      </c>
      <c r="M16" s="37">
        <f t="shared" si="11"/>
        <v>20116.190043003447</v>
      </c>
      <c r="N16" s="37">
        <f t="shared" si="11"/>
        <v>21568.562219820164</v>
      </c>
      <c r="O16" s="37">
        <f t="shared" si="11"/>
        <v>13467.681487998128</v>
      </c>
      <c r="P16" s="37">
        <f t="shared" si="11"/>
        <v>15207.465529976047</v>
      </c>
      <c r="Q16" s="37">
        <f t="shared" si="11"/>
        <v>15207.465529976047</v>
      </c>
      <c r="R16" s="37">
        <f t="shared" si="11"/>
        <v>15207.465529976047</v>
      </c>
      <c r="S16" s="46">
        <f>R16*1.05/(10%-5%)</f>
        <v>319356.77612949698</v>
      </c>
    </row>
    <row r="17" spans="1:20" x14ac:dyDescent="0.3">
      <c r="A17" s="44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9"/>
      <c r="P17" s="39"/>
      <c r="Q17" s="39"/>
      <c r="R17" s="39"/>
    </row>
    <row r="18" spans="1:20" x14ac:dyDescent="0.3">
      <c r="A18" s="55" t="s">
        <v>86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39"/>
      <c r="P18" s="39"/>
      <c r="Q18" s="39"/>
      <c r="R18" s="39"/>
    </row>
    <row r="19" spans="1:20" x14ac:dyDescent="0.3">
      <c r="A19" s="44" t="s">
        <v>87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9"/>
      <c r="P19" s="39"/>
      <c r="Q19" s="39"/>
      <c r="R19" s="39"/>
    </row>
    <row r="20" spans="1:20" x14ac:dyDescent="0.3">
      <c r="A20" s="44" t="s">
        <v>88</v>
      </c>
      <c r="B20" s="37"/>
      <c r="C20" s="37">
        <f t="shared" ref="C20:O20" si="12">C16</f>
        <v>4678.371121411501</v>
      </c>
      <c r="D20" s="37">
        <f t="shared" si="12"/>
        <v>8785.8473963393953</v>
      </c>
      <c r="E20" s="37">
        <f t="shared" si="12"/>
        <v>12939.87657234564</v>
      </c>
      <c r="F20" s="37">
        <f t="shared" si="12"/>
        <v>17071.427581281445</v>
      </c>
      <c r="G20" s="37">
        <f t="shared" si="12"/>
        <v>15930.86255715174</v>
      </c>
      <c r="H20" s="37">
        <f t="shared" si="12"/>
        <v>21564.308246311124</v>
      </c>
      <c r="I20" s="37">
        <f t="shared" si="12"/>
        <v>23918.832602381339</v>
      </c>
      <c r="J20" s="37">
        <f t="shared" si="12"/>
        <v>26732.769143523448</v>
      </c>
      <c r="K20" s="37">
        <f t="shared" si="12"/>
        <v>16335.925032183279</v>
      </c>
      <c r="L20" s="37">
        <f t="shared" si="12"/>
        <v>18700.96678476872</v>
      </c>
      <c r="M20" s="37">
        <f t="shared" si="12"/>
        <v>20116.190043003447</v>
      </c>
      <c r="N20" s="37">
        <f>N16</f>
        <v>21568.562219820164</v>
      </c>
      <c r="O20" s="37">
        <f t="shared" si="12"/>
        <v>13467.681487998128</v>
      </c>
      <c r="P20" s="37">
        <f t="shared" ref="P20" si="13">SUM(P14:P19)</f>
        <v>16947.249571953966</v>
      </c>
      <c r="Q20" s="37">
        <f>SUM(Q14:Q19)</f>
        <v>16947.249571953966</v>
      </c>
      <c r="R20" s="38">
        <f>SUM(R14:R19)/0.1</f>
        <v>169472.49571953964</v>
      </c>
      <c r="S20" s="47">
        <f>S16</f>
        <v>319356.77612949698</v>
      </c>
    </row>
    <row r="21" spans="1:20" x14ac:dyDescent="0.3">
      <c r="A21" s="48" t="s">
        <v>89</v>
      </c>
      <c r="B21" s="49">
        <v>0.1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5"/>
      <c r="P21" s="35"/>
      <c r="Q21" s="35"/>
      <c r="R21" s="35"/>
    </row>
    <row r="22" spans="1:20" x14ac:dyDescent="0.3">
      <c r="A22" s="48" t="s">
        <v>90</v>
      </c>
      <c r="B22" s="32"/>
      <c r="C22" s="32">
        <f>1.1^C26</f>
        <v>1.1000000000000001</v>
      </c>
      <c r="D22" s="32">
        <f>1.1^D26</f>
        <v>1.2100000000000002</v>
      </c>
      <c r="E22" s="32">
        <f t="shared" ref="E22:R22" si="14">1.1^E26</f>
        <v>1.3310000000000004</v>
      </c>
      <c r="F22" s="32">
        <f t="shared" si="14"/>
        <v>1.4641000000000004</v>
      </c>
      <c r="G22" s="32">
        <f t="shared" si="14"/>
        <v>1.6105100000000006</v>
      </c>
      <c r="H22" s="32">
        <f t="shared" si="14"/>
        <v>1.7715610000000008</v>
      </c>
      <c r="I22" s="32">
        <f t="shared" si="14"/>
        <v>1.9487171000000012</v>
      </c>
      <c r="J22" s="32">
        <f t="shared" si="14"/>
        <v>2.1435888100000011</v>
      </c>
      <c r="K22" s="32">
        <f t="shared" si="14"/>
        <v>2.3579476910000015</v>
      </c>
      <c r="L22" s="32">
        <f t="shared" si="14"/>
        <v>2.5937424601000019</v>
      </c>
      <c r="M22" s="32">
        <f t="shared" si="14"/>
        <v>2.8531167061100025</v>
      </c>
      <c r="N22" s="32">
        <f t="shared" si="14"/>
        <v>3.1384283767210026</v>
      </c>
      <c r="O22" s="32">
        <f t="shared" si="14"/>
        <v>3.4522712143931029</v>
      </c>
      <c r="P22" s="32">
        <f t="shared" si="14"/>
        <v>3.7974983358324139</v>
      </c>
      <c r="Q22" s="32">
        <f t="shared" si="14"/>
        <v>4.1772481694156554</v>
      </c>
      <c r="R22" s="32">
        <f t="shared" si="14"/>
        <v>4.5949729863572211</v>
      </c>
      <c r="S22" s="32">
        <f>1.1^S26</f>
        <v>5.0544702849929433</v>
      </c>
    </row>
    <row r="23" spans="1:20" x14ac:dyDescent="0.3">
      <c r="A23" s="34" t="s">
        <v>91</v>
      </c>
      <c r="B23" s="32"/>
      <c r="C23" s="37">
        <f>C20/C22</f>
        <v>4253.0646558286371</v>
      </c>
      <c r="D23" s="37">
        <f t="shared" ref="D23:R23" si="15">D20/D22</f>
        <v>7261.0309060656145</v>
      </c>
      <c r="E23" s="37">
        <f t="shared" si="15"/>
        <v>9721.9207906428528</v>
      </c>
      <c r="F23" s="37">
        <f t="shared" si="15"/>
        <v>11660.014740305607</v>
      </c>
      <c r="G23" s="37">
        <f t="shared" si="15"/>
        <v>9891.8122564602108</v>
      </c>
      <c r="H23" s="37">
        <f t="shared" si="15"/>
        <v>12172.489824686316</v>
      </c>
      <c r="I23" s="37">
        <f t="shared" si="15"/>
        <v>12274.143128513278</v>
      </c>
      <c r="J23" s="37">
        <f t="shared" si="15"/>
        <v>12471.034098896716</v>
      </c>
      <c r="K23" s="37">
        <f t="shared" si="15"/>
        <v>6928.026900060383</v>
      </c>
      <c r="L23" s="37">
        <f t="shared" si="15"/>
        <v>7210.0322497121406</v>
      </c>
      <c r="M23" s="37">
        <f t="shared" si="15"/>
        <v>7050.6018908810329</v>
      </c>
      <c r="N23" s="37">
        <f t="shared" si="15"/>
        <v>6872.4086169380016</v>
      </c>
      <c r="O23" s="37">
        <f t="shared" si="15"/>
        <v>3901.1076047122501</v>
      </c>
      <c r="P23" s="37">
        <f t="shared" si="15"/>
        <v>4462.7404868208105</v>
      </c>
      <c r="Q23" s="37">
        <f t="shared" si="15"/>
        <v>4057.0368062007369</v>
      </c>
      <c r="R23" s="37">
        <f t="shared" si="15"/>
        <v>36882.152783643061</v>
      </c>
      <c r="S23" s="50">
        <f>S20/S22</f>
        <v>63183.035634354877</v>
      </c>
    </row>
    <row r="24" spans="1:20" x14ac:dyDescent="0.3">
      <c r="A24" s="51" t="s">
        <v>92</v>
      </c>
      <c r="B24" s="52"/>
      <c r="C24" s="53">
        <f>SUM(C23:R23)</f>
        <v>157069.61774036766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9"/>
      <c r="P24" s="39"/>
      <c r="Q24" s="39"/>
      <c r="R24" s="39"/>
    </row>
    <row r="25" spans="1:20" x14ac:dyDescent="0.3">
      <c r="A25" s="35"/>
      <c r="B25" s="35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</row>
    <row r="26" spans="1:20" x14ac:dyDescent="0.3">
      <c r="A26" s="35" t="s">
        <v>93</v>
      </c>
      <c r="B26" s="35"/>
      <c r="C26" s="35">
        <v>1</v>
      </c>
      <c r="D26" s="35">
        <v>2</v>
      </c>
      <c r="E26" s="35">
        <v>3</v>
      </c>
      <c r="F26" s="35">
        <v>4</v>
      </c>
      <c r="G26" s="35">
        <v>5</v>
      </c>
      <c r="H26" s="35">
        <v>6</v>
      </c>
      <c r="I26" s="35">
        <v>7</v>
      </c>
      <c r="J26" s="35">
        <v>8</v>
      </c>
      <c r="K26" s="35">
        <v>9</v>
      </c>
      <c r="L26" s="35">
        <v>10</v>
      </c>
      <c r="M26" s="35">
        <v>11</v>
      </c>
      <c r="N26" s="35">
        <v>12</v>
      </c>
      <c r="O26" s="35">
        <v>13</v>
      </c>
      <c r="P26" s="35">
        <v>14</v>
      </c>
      <c r="Q26" s="35">
        <v>15</v>
      </c>
      <c r="R26" s="35">
        <v>16</v>
      </c>
      <c r="S26" s="35">
        <v>17</v>
      </c>
      <c r="T26" s="35"/>
    </row>
    <row r="27" spans="1:20" x14ac:dyDescent="0.3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20" x14ac:dyDescent="0.3">
      <c r="A28" s="54" t="s">
        <v>94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20" x14ac:dyDescent="0.3">
      <c r="A29" s="35" t="s">
        <v>95</v>
      </c>
      <c r="B29" s="35"/>
      <c r="C29" s="35">
        <f>1.12^C26</f>
        <v>1.1200000000000001</v>
      </c>
      <c r="D29" s="35">
        <f t="shared" ref="D29:R29" si="16">1.12^D26</f>
        <v>1.2544000000000002</v>
      </c>
      <c r="E29" s="35">
        <f t="shared" si="16"/>
        <v>1.4049280000000004</v>
      </c>
      <c r="F29" s="35">
        <f t="shared" si="16"/>
        <v>1.5735193600000004</v>
      </c>
      <c r="G29" s="35">
        <f t="shared" si="16"/>
        <v>1.7623416832000005</v>
      </c>
      <c r="H29" s="35">
        <f t="shared" si="16"/>
        <v>1.9738226851840008</v>
      </c>
      <c r="I29" s="35">
        <f t="shared" si="16"/>
        <v>2.210681407406081</v>
      </c>
      <c r="J29" s="35">
        <f t="shared" si="16"/>
        <v>2.4759631762948109</v>
      </c>
      <c r="K29" s="35">
        <f t="shared" si="16"/>
        <v>2.7730787574501883</v>
      </c>
      <c r="L29" s="35">
        <f t="shared" si="16"/>
        <v>3.1058482083442112</v>
      </c>
      <c r="M29" s="35">
        <f t="shared" si="16"/>
        <v>3.4785499933455171</v>
      </c>
      <c r="N29" s="35">
        <f t="shared" si="16"/>
        <v>3.8959759925469788</v>
      </c>
      <c r="O29" s="35">
        <f t="shared" si="16"/>
        <v>4.363493111652617</v>
      </c>
      <c r="P29" s="35">
        <f t="shared" si="16"/>
        <v>4.8871122850509314</v>
      </c>
      <c r="Q29" s="35">
        <f t="shared" si="16"/>
        <v>5.4735657592570428</v>
      </c>
      <c r="R29" s="35">
        <f t="shared" si="16"/>
        <v>6.1303936503678891</v>
      </c>
    </row>
    <row r="30" spans="1:20" x14ac:dyDescent="0.3">
      <c r="A30" s="35"/>
      <c r="B30" s="35"/>
      <c r="C30" s="39">
        <f>C20/C29</f>
        <v>4177.1170726888395</v>
      </c>
      <c r="D30" s="39">
        <f t="shared" ref="D30:R30" si="17">D20/D29</f>
        <v>7004.023753459338</v>
      </c>
      <c r="E30" s="39">
        <f t="shared" si="17"/>
        <v>9210.3485533391286</v>
      </c>
      <c r="F30" s="39">
        <f t="shared" si="17"/>
        <v>10849.200852083219</v>
      </c>
      <c r="G30" s="39">
        <f t="shared" si="17"/>
        <v>9039.5992496897761</v>
      </c>
      <c r="H30" s="39">
        <f t="shared" si="17"/>
        <v>10925.149664241946</v>
      </c>
      <c r="I30" s="39">
        <f t="shared" si="17"/>
        <v>10819.665159461703</v>
      </c>
      <c r="J30" s="39">
        <f t="shared" si="17"/>
        <v>10796.917094513525</v>
      </c>
      <c r="K30" s="39">
        <f t="shared" si="17"/>
        <v>5890.8983339528231</v>
      </c>
      <c r="L30" s="39">
        <f t="shared" si="17"/>
        <v>6021.210803067087</v>
      </c>
      <c r="M30" s="39">
        <f t="shared" si="17"/>
        <v>5782.9239428744204</v>
      </c>
      <c r="N30" s="39">
        <f t="shared" si="17"/>
        <v>5536.1127124707464</v>
      </c>
      <c r="O30" s="39">
        <f t="shared" si="17"/>
        <v>3086.4449979382266</v>
      </c>
      <c r="P30" s="39">
        <f t="shared" si="17"/>
        <v>3467.743031768166</v>
      </c>
      <c r="Q30" s="39">
        <f t="shared" si="17"/>
        <v>3096.199135507291</v>
      </c>
      <c r="R30" s="39">
        <f t="shared" si="17"/>
        <v>27644.63513845795</v>
      </c>
    </row>
    <row r="31" spans="1:20" x14ac:dyDescent="0.3">
      <c r="A31" s="51" t="s">
        <v>92</v>
      </c>
      <c r="B31" s="52"/>
      <c r="C31" s="52">
        <f>SUM(C30:R30)</f>
        <v>133348.18949551421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20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 x14ac:dyDescent="0.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 x14ac:dyDescent="0.3">
      <c r="A34" s="54" t="s">
        <v>96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1:18" x14ac:dyDescent="0.3">
      <c r="A35" s="35" t="s">
        <v>95</v>
      </c>
      <c r="B35" s="35"/>
      <c r="C35" s="35">
        <f>1.15^C26</f>
        <v>1.1499999999999999</v>
      </c>
      <c r="D35" s="35">
        <f t="shared" ref="D35:R35" si="18">1.15^D26</f>
        <v>1.3224999999999998</v>
      </c>
      <c r="E35" s="35">
        <f t="shared" si="18"/>
        <v>1.5208749999999995</v>
      </c>
      <c r="F35" s="35">
        <f t="shared" si="18"/>
        <v>1.7490062499999994</v>
      </c>
      <c r="G35" s="35">
        <f t="shared" si="18"/>
        <v>2.0113571874999994</v>
      </c>
      <c r="H35" s="35">
        <f t="shared" si="18"/>
        <v>2.3130607656249991</v>
      </c>
      <c r="I35" s="35">
        <f t="shared" si="18"/>
        <v>2.6600198804687483</v>
      </c>
      <c r="J35" s="35">
        <f t="shared" si="18"/>
        <v>3.0590228625390603</v>
      </c>
      <c r="K35" s="35">
        <f t="shared" si="18"/>
        <v>3.5178762919199191</v>
      </c>
      <c r="L35" s="35">
        <f t="shared" si="18"/>
        <v>4.0455577357079067</v>
      </c>
      <c r="M35" s="35">
        <f t="shared" si="18"/>
        <v>4.6523913960640924</v>
      </c>
      <c r="N35" s="35">
        <f t="shared" si="18"/>
        <v>5.3502501054737053</v>
      </c>
      <c r="O35" s="35">
        <f t="shared" si="18"/>
        <v>6.1527876212947614</v>
      </c>
      <c r="P35" s="35">
        <f t="shared" si="18"/>
        <v>7.0757057644889754</v>
      </c>
      <c r="Q35" s="35">
        <f t="shared" si="18"/>
        <v>8.1370616291623197</v>
      </c>
      <c r="R35" s="35">
        <f t="shared" si="18"/>
        <v>9.3576208735366659</v>
      </c>
    </row>
    <row r="36" spans="1:18" x14ac:dyDescent="0.3">
      <c r="A36" s="35"/>
      <c r="B36" s="35"/>
      <c r="C36" s="39">
        <f>C20/C35</f>
        <v>4068.1488012273926</v>
      </c>
      <c r="D36" s="39">
        <f t="shared" ref="D36:R36" si="19">D20/D35</f>
        <v>6643.3628705779938</v>
      </c>
      <c r="E36" s="39">
        <f t="shared" si="19"/>
        <v>8508.1788919836563</v>
      </c>
      <c r="F36" s="39">
        <f t="shared" si="19"/>
        <v>9760.6441265040939</v>
      </c>
      <c r="G36" s="39">
        <f t="shared" si="19"/>
        <v>7920.4542366504684</v>
      </c>
      <c r="H36" s="39">
        <f t="shared" si="19"/>
        <v>9322.845541623441</v>
      </c>
      <c r="I36" s="39">
        <f t="shared" si="19"/>
        <v>8991.9751269552035</v>
      </c>
      <c r="J36" s="39">
        <f t="shared" si="19"/>
        <v>8738.9896528379086</v>
      </c>
      <c r="K36" s="39">
        <f t="shared" si="19"/>
        <v>4643.6894525554135</v>
      </c>
      <c r="L36" s="39">
        <f t="shared" si="19"/>
        <v>4622.5929788878311</v>
      </c>
      <c r="M36" s="39">
        <f t="shared" si="19"/>
        <v>4323.8387165838367</v>
      </c>
      <c r="N36" s="39">
        <f t="shared" si="19"/>
        <v>4031.3184981303798</v>
      </c>
      <c r="O36" s="39">
        <f t="shared" si="19"/>
        <v>2188.8747535160423</v>
      </c>
      <c r="P36" s="39">
        <f t="shared" si="19"/>
        <v>2395.1320385603876</v>
      </c>
      <c r="Q36" s="39">
        <f t="shared" si="19"/>
        <v>2082.7235117916421</v>
      </c>
      <c r="R36" s="39">
        <f t="shared" si="19"/>
        <v>18110.6392329708</v>
      </c>
    </row>
    <row r="37" spans="1:18" x14ac:dyDescent="0.3">
      <c r="A37" s="51" t="s">
        <v>92</v>
      </c>
      <c r="B37" s="52"/>
      <c r="C37" s="52">
        <f>SUM(C36:R36)</f>
        <v>106353.4084313565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</sheetData>
  <mergeCells count="1">
    <mergeCell ref="A18:N1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盈利预测</vt:lpstr>
      <vt:lpstr>DCF2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XHW</cp:lastModifiedBy>
  <dcterms:created xsi:type="dcterms:W3CDTF">2020-07-14T07:10:12Z</dcterms:created>
  <dcterms:modified xsi:type="dcterms:W3CDTF">2022-03-20T13:20:43Z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786f2c81</vt:lpwstr>
  </property>
</Properties>
</file>