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a473fe4d8867e13/Desktop/taratura nuova/"/>
    </mc:Choice>
  </mc:AlternateContent>
  <xr:revisionPtr revIDLastSave="5" documentId="13_ncr:1_{55D1FB06-B96A-4FAE-8C4D-CDAB6F8BE280}" xr6:coauthVersionLast="46" xr6:coauthVersionMax="46" xr10:uidLastSave="{80B48543-2E81-48D3-90B2-397CB8AF4945}"/>
  <bookViews>
    <workbookView xWindow="5925" yWindow="3720" windowWidth="21600" windowHeight="11385" xr2:uid="{521CA5D9-3092-4BFF-960A-431D896B8868}"/>
  </bookViews>
  <sheets>
    <sheet name="Foglio1" sheetId="1" r:id="rId1"/>
    <sheet name="Foglio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9" i="1" l="1"/>
  <c r="C10" i="1"/>
  <c r="G38" i="1"/>
  <c r="C38" i="1"/>
  <c r="H38" i="1" s="1"/>
  <c r="P38" i="1" s="1"/>
  <c r="G37" i="1"/>
  <c r="C37" i="1"/>
  <c r="H37" i="1" s="1"/>
  <c r="P37" i="1" s="1"/>
  <c r="G36" i="1"/>
  <c r="C36" i="1"/>
  <c r="H36" i="1" s="1"/>
  <c r="P36" i="1" s="1"/>
  <c r="G35" i="1"/>
  <c r="C35" i="1"/>
  <c r="H35" i="1" s="1"/>
  <c r="P35" i="1" s="1"/>
  <c r="G34" i="1"/>
  <c r="C34" i="1"/>
  <c r="H34" i="1" s="1"/>
  <c r="G33" i="1"/>
  <c r="C33" i="1"/>
  <c r="H33" i="1" s="1"/>
  <c r="G32" i="1"/>
  <c r="C32" i="1"/>
  <c r="H32" i="1" s="1"/>
  <c r="G31" i="1"/>
  <c r="C31" i="1"/>
  <c r="H31" i="1" s="1"/>
  <c r="G30" i="1"/>
  <c r="C30" i="1"/>
  <c r="H30" i="1" s="1"/>
  <c r="G29" i="1"/>
  <c r="C29" i="1"/>
  <c r="H29" i="1" s="1"/>
  <c r="G28" i="1"/>
  <c r="C28" i="1"/>
  <c r="H28" i="1" s="1"/>
  <c r="G27" i="1"/>
  <c r="C27" i="1"/>
  <c r="H27" i="1" s="1"/>
  <c r="P27" i="1" s="1"/>
  <c r="G26" i="1"/>
  <c r="C26" i="1"/>
  <c r="H26" i="1" s="1"/>
  <c r="G25" i="1"/>
  <c r="C25" i="1"/>
  <c r="H25" i="1" s="1"/>
  <c r="G24" i="1"/>
  <c r="C24" i="1"/>
  <c r="H24" i="1" s="1"/>
  <c r="G23" i="1"/>
  <c r="C23" i="1"/>
  <c r="H23" i="1" s="1"/>
  <c r="G22" i="1"/>
  <c r="C22" i="1"/>
  <c r="H22" i="1" s="1"/>
  <c r="G21" i="1"/>
  <c r="C21" i="1"/>
  <c r="H21" i="1" s="1"/>
  <c r="P21" i="1" s="1"/>
  <c r="G20" i="1"/>
  <c r="C20" i="1"/>
  <c r="H20" i="1" s="1"/>
  <c r="G19" i="1"/>
  <c r="C19" i="1"/>
  <c r="H19" i="1" s="1"/>
  <c r="C11" i="1"/>
  <c r="C12" i="1"/>
  <c r="C13" i="1"/>
  <c r="C14" i="1"/>
  <c r="C15" i="1"/>
  <c r="C16" i="1"/>
  <c r="C17" i="1"/>
  <c r="C18" i="1"/>
  <c r="P33" i="1" l="1"/>
  <c r="K51" i="1"/>
  <c r="K52" i="1" s="1"/>
  <c r="P22" i="1"/>
  <c r="P28" i="1"/>
  <c r="P34" i="1"/>
  <c r="P29" i="1"/>
  <c r="P24" i="1"/>
  <c r="P30" i="1"/>
  <c r="P23" i="1"/>
  <c r="P19" i="1"/>
  <c r="P25" i="1"/>
  <c r="P31" i="1"/>
  <c r="P20" i="1"/>
  <c r="P26" i="1"/>
  <c r="P32" i="1"/>
  <c r="K59" i="1"/>
  <c r="H9" i="1"/>
  <c r="H10" i="1"/>
  <c r="H11" i="1"/>
  <c r="H12" i="1"/>
  <c r="H13" i="1"/>
  <c r="H14" i="1"/>
  <c r="H15" i="1"/>
  <c r="H16" i="1"/>
  <c r="H17" i="1"/>
  <c r="H18" i="1"/>
  <c r="P18" i="1" s="1"/>
  <c r="G9" i="1"/>
  <c r="G10" i="1"/>
  <c r="G11" i="1"/>
  <c r="G12" i="1"/>
  <c r="G13" i="1"/>
  <c r="G14" i="1"/>
  <c r="G15" i="1"/>
  <c r="G16" i="1"/>
  <c r="G17" i="1"/>
  <c r="G18" i="1"/>
  <c r="P11" i="1" l="1"/>
  <c r="K60" i="1"/>
  <c r="P16" i="1"/>
  <c r="E52" i="1" a="1"/>
  <c r="E52" i="1" s="1"/>
  <c r="E56" i="1" s="1" a="1"/>
  <c r="E57" i="1" s="1"/>
  <c r="P17" i="1"/>
  <c r="P14" i="1"/>
  <c r="P15" i="1"/>
  <c r="P13" i="1"/>
  <c r="P12" i="1"/>
  <c r="P10" i="1"/>
  <c r="P9" i="1"/>
  <c r="E59" i="1" a="1"/>
  <c r="E59" i="1" s="1"/>
  <c r="P39" i="1" l="1"/>
  <c r="F56" i="1"/>
  <c r="E56" i="1"/>
  <c r="F57" i="1"/>
  <c r="E62" i="1" l="1" a="1"/>
  <c r="E62" i="1" s="1"/>
  <c r="E63" i="1" l="1"/>
  <c r="I38" i="1" s="1"/>
  <c r="J38" i="1" l="1"/>
  <c r="I35" i="1"/>
  <c r="J35" i="1" s="1"/>
  <c r="I32" i="1"/>
  <c r="J32" i="1" s="1"/>
  <c r="I37" i="1"/>
  <c r="J37" i="1" s="1"/>
  <c r="I27" i="1"/>
  <c r="J27" i="1" s="1"/>
  <c r="I28" i="1"/>
  <c r="J28" i="1" s="1"/>
  <c r="I25" i="1"/>
  <c r="J25" i="1" s="1"/>
  <c r="I21" i="1"/>
  <c r="J21" i="1" s="1"/>
  <c r="I23" i="1"/>
  <c r="J23" i="1" s="1"/>
  <c r="I19" i="1"/>
  <c r="I34" i="1"/>
  <c r="I29" i="1"/>
  <c r="I31" i="1"/>
  <c r="I20" i="1"/>
  <c r="I36" i="1"/>
  <c r="I22" i="1"/>
  <c r="I26" i="1"/>
  <c r="I24" i="1"/>
  <c r="I33" i="1"/>
  <c r="I30" i="1"/>
  <c r="I18" i="1"/>
  <c r="J18" i="1" s="1"/>
  <c r="I13" i="1"/>
  <c r="J13" i="1" s="1"/>
  <c r="I12" i="1"/>
  <c r="J12" i="1" s="1"/>
  <c r="I10" i="1"/>
  <c r="J10" i="1" s="1"/>
  <c r="I14" i="1"/>
  <c r="J14" i="1" s="1"/>
  <c r="I9" i="1"/>
  <c r="J9" i="1" s="1"/>
  <c r="I11" i="1"/>
  <c r="J11" i="1" s="1"/>
  <c r="I17" i="1"/>
  <c r="J17" i="1" s="1"/>
  <c r="I16" i="1"/>
  <c r="J16" i="1" s="1"/>
  <c r="I15" i="1"/>
  <c r="J15" i="1" s="1"/>
  <c r="J33" i="1" l="1"/>
  <c r="J24" i="1"/>
  <c r="J22" i="1"/>
  <c r="J31" i="1"/>
  <c r="J19" i="1"/>
  <c r="J26" i="1"/>
  <c r="J36" i="1"/>
  <c r="J29" i="1"/>
  <c r="J20" i="1"/>
  <c r="J30" i="1"/>
  <c r="J34" i="1"/>
  <c r="K48" i="1" l="1"/>
  <c r="K49" i="1" s="1"/>
  <c r="K53" i="1" l="1"/>
  <c r="K65" i="1" s="1"/>
  <c r="E65" i="1" a="1"/>
  <c r="E66" i="1" l="1"/>
  <c r="K54" i="1"/>
  <c r="K45" i="1" s="1"/>
  <c r="F66" i="1"/>
  <c r="K57" i="1" s="1"/>
  <c r="F65" i="1"/>
  <c r="E65" i="1"/>
  <c r="K56" i="1" s="1"/>
  <c r="K62" i="1" l="1"/>
  <c r="K28" i="1" a="1"/>
  <c r="K28" i="1" s="1"/>
  <c r="M28" i="1" s="1"/>
  <c r="O28" i="1" s="1"/>
  <c r="K20" i="1" a="1"/>
  <c r="K20" i="1" s="1"/>
  <c r="M20" i="1" s="1"/>
  <c r="N20" i="1" s="1"/>
  <c r="K33" i="1" a="1"/>
  <c r="K33" i="1" s="1"/>
  <c r="M33" i="1" s="1"/>
  <c r="N33" i="1" s="1"/>
  <c r="K14" i="1" a="1"/>
  <c r="K14" i="1" s="1"/>
  <c r="L14" i="1" s="1"/>
  <c r="K19" i="1" a="1"/>
  <c r="K19" i="1" s="1"/>
  <c r="M19" i="1" s="1"/>
  <c r="N19" i="1" s="1"/>
  <c r="K37" i="1" a="1"/>
  <c r="K37" i="1" s="1"/>
  <c r="M37" i="1" s="1"/>
  <c r="O37" i="1" s="1"/>
  <c r="K21" i="1" a="1"/>
  <c r="K21" i="1" s="1"/>
  <c r="L21" i="1" s="1"/>
  <c r="K10" i="1" a="1"/>
  <c r="K10" i="1" s="1"/>
  <c r="L10" i="1" s="1"/>
  <c r="K36" i="1" a="1"/>
  <c r="K36" i="1" s="1"/>
  <c r="M36" i="1" s="1"/>
  <c r="O36" i="1" s="1"/>
  <c r="K26" i="1" a="1"/>
  <c r="K26" i="1" s="1"/>
  <c r="L26" i="1" s="1"/>
  <c r="K30" i="1" a="1"/>
  <c r="K30" i="1" s="1"/>
  <c r="M30" i="1" s="1"/>
  <c r="N30" i="1" s="1"/>
  <c r="K34" i="1" a="1"/>
  <c r="K34" i="1" s="1"/>
  <c r="M34" i="1" s="1"/>
  <c r="N34" i="1" s="1"/>
  <c r="K17" i="1" a="1"/>
  <c r="K17" i="1" s="1"/>
  <c r="L17" i="1" s="1"/>
  <c r="K25" i="1" a="1"/>
  <c r="K25" i="1" s="1"/>
  <c r="M25" i="1" s="1"/>
  <c r="N25" i="1" s="1"/>
  <c r="K15" i="1" a="1"/>
  <c r="K15" i="1" s="1"/>
  <c r="L15" i="1" s="1"/>
  <c r="K12" i="1" a="1"/>
  <c r="K12" i="1" s="1"/>
  <c r="L12" i="1" s="1"/>
  <c r="K24" i="1" a="1"/>
  <c r="K24" i="1" s="1"/>
  <c r="L24" i="1" s="1"/>
  <c r="K29" i="1" a="1"/>
  <c r="K29" i="1" s="1"/>
  <c r="L29" i="1" s="1"/>
  <c r="K22" i="1" a="1"/>
  <c r="K22" i="1" s="1"/>
  <c r="K16" i="1" a="1"/>
  <c r="K16" i="1" s="1"/>
  <c r="K23" i="1" a="1"/>
  <c r="K23" i="1" s="1"/>
  <c r="K31" i="1" a="1"/>
  <c r="K31" i="1" s="1"/>
  <c r="K9" i="1" a="1"/>
  <c r="K9" i="1" s="1"/>
  <c r="K18" i="1" a="1"/>
  <c r="K18" i="1" s="1"/>
  <c r="K13" i="1" a="1"/>
  <c r="K13" i="1" s="1"/>
  <c r="K11" i="1" a="1"/>
  <c r="K11" i="1" s="1"/>
  <c r="K27" i="1" a="1"/>
  <c r="K27" i="1" s="1"/>
  <c r="K38" i="1" a="1"/>
  <c r="K38" i="1" s="1"/>
  <c r="K32" i="1" a="1"/>
  <c r="K32" i="1" s="1"/>
  <c r="K35" i="1" a="1"/>
  <c r="K35" i="1" s="1"/>
  <c r="N28" i="1" l="1"/>
  <c r="L28" i="1"/>
  <c r="O20" i="1"/>
  <c r="L20" i="1"/>
  <c r="L19" i="1"/>
  <c r="L33" i="1"/>
  <c r="O33" i="1"/>
  <c r="M21" i="1"/>
  <c r="O21" i="1" s="1"/>
  <c r="O19" i="1"/>
  <c r="N37" i="1"/>
  <c r="L37" i="1"/>
  <c r="M14" i="1"/>
  <c r="N14" i="1" s="1"/>
  <c r="O25" i="1"/>
  <c r="L25" i="1"/>
  <c r="M15" i="1"/>
  <c r="O15" i="1" s="1"/>
  <c r="M12" i="1"/>
  <c r="O12" i="1" s="1"/>
  <c r="M17" i="1"/>
  <c r="O17" i="1" s="1"/>
  <c r="L36" i="1"/>
  <c r="M24" i="1"/>
  <c r="M26" i="1"/>
  <c r="O26" i="1" s="1"/>
  <c r="M10" i="1"/>
  <c r="L30" i="1"/>
  <c r="O30" i="1"/>
  <c r="O34" i="1"/>
  <c r="L34" i="1"/>
  <c r="N36" i="1"/>
  <c r="M29" i="1"/>
  <c r="L18" i="1"/>
  <c r="M18" i="1"/>
  <c r="L9" i="1"/>
  <c r="M9" i="1"/>
  <c r="L23" i="1"/>
  <c r="M23" i="1"/>
  <c r="M31" i="1"/>
  <c r="L31" i="1"/>
  <c r="L16" i="1"/>
  <c r="M16" i="1"/>
  <c r="L22" i="1"/>
  <c r="M22" i="1"/>
  <c r="M35" i="1"/>
  <c r="L35" i="1"/>
  <c r="M13" i="1"/>
  <c r="L13" i="1"/>
  <c r="M32" i="1"/>
  <c r="L32" i="1"/>
  <c r="L38" i="1"/>
  <c r="M38" i="1"/>
  <c r="M27" i="1"/>
  <c r="L27" i="1"/>
  <c r="M11" i="1"/>
  <c r="L11" i="1"/>
  <c r="K68" i="1" l="1"/>
  <c r="N17" i="1"/>
  <c r="N21" i="1"/>
  <c r="O14" i="1"/>
  <c r="N15" i="1"/>
  <c r="N12" i="1"/>
  <c r="N26" i="1"/>
  <c r="N10" i="1"/>
  <c r="O10" i="1"/>
  <c r="O24" i="1"/>
  <c r="N24" i="1"/>
  <c r="O29" i="1"/>
  <c r="N29" i="1"/>
  <c r="O27" i="1"/>
  <c r="N27" i="1"/>
  <c r="O38" i="1"/>
  <c r="N38" i="1"/>
  <c r="O22" i="1"/>
  <c r="N22" i="1"/>
  <c r="O11" i="1"/>
  <c r="N11" i="1"/>
  <c r="N16" i="1"/>
  <c r="O16" i="1"/>
  <c r="N18" i="1"/>
  <c r="O18" i="1"/>
  <c r="N31" i="1"/>
  <c r="O31" i="1"/>
  <c r="N23" i="1"/>
  <c r="O23" i="1"/>
  <c r="N32" i="1"/>
  <c r="O32" i="1"/>
  <c r="N9" i="1"/>
  <c r="O9" i="1"/>
  <c r="N13" i="1"/>
  <c r="O13" i="1"/>
  <c r="N35" i="1"/>
  <c r="O3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<sst xmlns="http://schemas.openxmlformats.org/spreadsheetml/2006/main" count="53" uniqueCount="52">
  <si>
    <t>Posizione</t>
  </si>
  <si>
    <t>Tensione</t>
  </si>
  <si>
    <t>Taratura</t>
  </si>
  <si>
    <t>phi0</t>
  </si>
  <si>
    <t>phi1</t>
  </si>
  <si>
    <t>y</t>
  </si>
  <si>
    <t>ystimata</t>
  </si>
  <si>
    <t>A</t>
  </si>
  <si>
    <t>A^-1</t>
  </si>
  <si>
    <t>G</t>
  </si>
  <si>
    <t>alfa</t>
  </si>
  <si>
    <t>Err</t>
  </si>
  <si>
    <t>Err^2</t>
  </si>
  <si>
    <t>n</t>
  </si>
  <si>
    <t>m</t>
  </si>
  <si>
    <t>gdl</t>
  </si>
  <si>
    <t>sigma0</t>
  </si>
  <si>
    <t>sigma0^2</t>
  </si>
  <si>
    <t>mm</t>
  </si>
  <si>
    <t>pos</t>
  </si>
  <si>
    <t>tens</t>
  </si>
  <si>
    <t>u(a0)</t>
  </si>
  <si>
    <t>u(a1)</t>
  </si>
  <si>
    <t>Caa</t>
  </si>
  <si>
    <t>u2centrata</t>
  </si>
  <si>
    <t>P</t>
  </si>
  <si>
    <t>t</t>
  </si>
  <si>
    <t>LCL</t>
  </si>
  <si>
    <t>UCL</t>
  </si>
  <si>
    <t>u2tipo</t>
  </si>
  <si>
    <t>u(y)</t>
  </si>
  <si>
    <t>R</t>
  </si>
  <si>
    <t>Distanza a contatto</t>
  </si>
  <si>
    <t>Sensore 1</t>
  </si>
  <si>
    <t>distanza</t>
  </si>
  <si>
    <t xml:space="preserve">media delle due </t>
  </si>
  <si>
    <t>coeff</t>
  </si>
  <si>
    <t xml:space="preserve">frazione di varianza dal modello </t>
  </si>
  <si>
    <t xml:space="preserve">l'incertezza </t>
  </si>
  <si>
    <t>U(y)</t>
  </si>
  <si>
    <t>la deviazione standard</t>
  </si>
  <si>
    <t>primo indicatore di incertezza</t>
  </si>
  <si>
    <t>lo scarto quatratico medio</t>
  </si>
  <si>
    <t>(intervallo di confedenza)</t>
  </si>
  <si>
    <t>lo spaotamento tra le linee</t>
  </si>
  <si>
    <t xml:space="preserve">la variabilità di dati non spiegati dal modello </t>
  </si>
  <si>
    <t>(yj-ymedio)^2</t>
  </si>
  <si>
    <t>spagliata</t>
  </si>
  <si>
    <t>gum</t>
  </si>
  <si>
    <t>L'INCERTEZZA massima</t>
  </si>
  <si>
    <t>deviazione standatd</t>
  </si>
  <si>
    <t>U(y')max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</si>
</sst>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0"/>
    <numFmt numFmtId="165" formatCode="0.000"/>
    <numFmt numFmtId="166" formatCode="0.00000"/>
    <numFmt numFmtId="167" formatCode="#,##0.000000"/>
    <numFmt numFmtId="168" formatCode="#,##0.000000000000000"/>
  </numFmts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EB9C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9" fontId="4" fillId="0" borderId="0" applyFont="0" applyFill="0" applyBorder="0" applyAlignment="0" applyProtection="0"/>
    <xf numFmtId="0" fontId="5" fillId="10" borderId="0" applyNumberFormat="0" applyBorder="0" applyAlignment="0" applyProtection="0"/>
  </cellStyleXfs>
  <cellXfs count="89">
    <xf numFmtId="0" fontId="0" fillId="0" borderId="0" xfId="0"/>
    <xf numFmtId="164" fontId="0" fillId="0" borderId="6" xfId="0" applyNumberFormat="1" applyBorder="1"/>
    <xf numFmtId="165" fontId="0" fillId="0" borderId="5" xfId="0" applyNumberFormat="1" applyBorder="1"/>
    <xf numFmtId="0" fontId="0" fillId="0" borderId="0" xfId="0" applyBorder="1"/>
    <xf numFmtId="3" fontId="0" fillId="0" borderId="0" xfId="0" applyNumberFormat="1" applyBorder="1"/>
    <xf numFmtId="0" fontId="0" fillId="0" borderId="11" xfId="0" applyBorder="1"/>
    <xf numFmtId="0" fontId="0" fillId="0" borderId="12" xfId="0" applyBorder="1"/>
    <xf numFmtId="0" fontId="0" fillId="0" borderId="3" xfId="0" applyBorder="1"/>
    <xf numFmtId="0" fontId="0" fillId="0" borderId="4" xfId="0" applyBorder="1"/>
    <xf numFmtId="165" fontId="0" fillId="0" borderId="12" xfId="0" applyNumberFormat="1" applyBorder="1"/>
    <xf numFmtId="0" fontId="0" fillId="5" borderId="1" xfId="0" applyFill="1" applyBorder="1"/>
    <xf numFmtId="0" fontId="0" fillId="5" borderId="11" xfId="0" applyFill="1" applyBorder="1"/>
    <xf numFmtId="165" fontId="0" fillId="5" borderId="13" xfId="0" applyNumberFormat="1" applyFill="1" applyBorder="1"/>
    <xf numFmtId="0" fontId="2" fillId="0" borderId="0" xfId="0" applyFont="1"/>
    <xf numFmtId="0" fontId="2" fillId="0" borderId="0" xfId="0" applyFont="1" applyBorder="1"/>
    <xf numFmtId="0" fontId="2" fillId="6" borderId="7" xfId="0" applyFont="1" applyFill="1" applyBorder="1"/>
    <xf numFmtId="0" fontId="2" fillId="6" borderId="8" xfId="0" applyFont="1" applyFill="1" applyBorder="1"/>
    <xf numFmtId="165" fontId="0" fillId="0" borderId="11" xfId="0" applyNumberFormat="1" applyBorder="1"/>
    <xf numFmtId="0" fontId="2" fillId="0" borderId="10" xfId="0" applyFont="1" applyBorder="1"/>
    <xf numFmtId="0" fontId="0" fillId="0" borderId="15" xfId="0" applyBorder="1"/>
    <xf numFmtId="0" fontId="2" fillId="4" borderId="18" xfId="0" applyFont="1" applyFill="1" applyBorder="1"/>
    <xf numFmtId="0" fontId="2" fillId="4" borderId="19" xfId="0" applyFont="1" applyFill="1" applyBorder="1"/>
    <xf numFmtId="165" fontId="0" fillId="5" borderId="9" xfId="0" applyNumberFormat="1" applyFill="1" applyBorder="1"/>
    <xf numFmtId="165" fontId="0" fillId="0" borderId="15" xfId="0" applyNumberFormat="1" applyBorder="1"/>
    <xf numFmtId="165" fontId="0" fillId="0" borderId="16" xfId="0" applyNumberFormat="1" applyBorder="1"/>
    <xf numFmtId="164" fontId="1" fillId="7" borderId="8" xfId="0" applyNumberFormat="1" applyFont="1" applyFill="1" applyBorder="1"/>
    <xf numFmtId="0" fontId="0" fillId="0" borderId="22" xfId="0" applyBorder="1"/>
    <xf numFmtId="0" fontId="0" fillId="0" borderId="23" xfId="0" applyBorder="1"/>
    <xf numFmtId="0" fontId="0" fillId="0" borderId="21" xfId="0" applyBorder="1"/>
    <xf numFmtId="0" fontId="0" fillId="0" borderId="24" xfId="0" applyBorder="1"/>
    <xf numFmtId="0" fontId="0" fillId="0" borderId="25" xfId="0" applyBorder="1"/>
    <xf numFmtId="0" fontId="0" fillId="2" borderId="20" xfId="0" applyFill="1" applyBorder="1"/>
    <xf numFmtId="165" fontId="0" fillId="2" borderId="26" xfId="0" applyNumberFormat="1" applyFill="1" applyBorder="1"/>
    <xf numFmtId="165" fontId="2" fillId="6" borderId="14" xfId="0" applyNumberFormat="1" applyFont="1" applyFill="1" applyBorder="1"/>
    <xf numFmtId="0" fontId="1" fillId="0" borderId="7" xfId="0" applyFont="1" applyBorder="1"/>
    <xf numFmtId="0" fontId="2" fillId="0" borderId="17" xfId="0" applyFont="1" applyBorder="1"/>
    <xf numFmtId="166" fontId="0" fillId="0" borderId="11" xfId="0" applyNumberFormat="1" applyBorder="1"/>
    <xf numFmtId="166" fontId="0" fillId="0" borderId="12" xfId="0" applyNumberFormat="1" applyBorder="1"/>
    <xf numFmtId="166" fontId="0" fillId="0" borderId="3" xfId="0" applyNumberFormat="1" applyBorder="1"/>
    <xf numFmtId="166" fontId="0" fillId="0" borderId="4" xfId="0" applyNumberFormat="1" applyBorder="1"/>
    <xf numFmtId="0" fontId="3" fillId="7" borderId="27" xfId="0" applyFont="1" applyFill="1" applyBorder="1"/>
    <xf numFmtId="164" fontId="1" fillId="7" borderId="28" xfId="0" applyNumberFormat="1" applyFont="1" applyFill="1" applyBorder="1"/>
    <xf numFmtId="164" fontId="1" fillId="7" borderId="29" xfId="0" applyNumberFormat="1" applyFont="1" applyFill="1" applyBorder="1"/>
    <xf numFmtId="165" fontId="0" fillId="0" borderId="4" xfId="0" applyNumberFormat="1" applyBorder="1"/>
    <xf numFmtId="167" fontId="0" fillId="0" borderId="5" xfId="0" applyNumberFormat="1" applyBorder="1"/>
    <xf numFmtId="165" fontId="0" fillId="0" borderId="6" xfId="0" applyNumberFormat="1" applyBorder="1"/>
    <xf numFmtId="9" fontId="0" fillId="0" borderId="12" xfId="1" applyFont="1" applyBorder="1"/>
    <xf numFmtId="0" fontId="2" fillId="0" borderId="0" xfId="0" applyFont="1" applyFill="1" applyBorder="1"/>
    <xf numFmtId="3" fontId="2" fillId="0" borderId="30" xfId="0" applyNumberFormat="1" applyFont="1" applyBorder="1"/>
    <xf numFmtId="167" fontId="0" fillId="0" borderId="9" xfId="0" applyNumberFormat="1" applyBorder="1"/>
    <xf numFmtId="3" fontId="2" fillId="0" borderId="18" xfId="0" applyNumberFormat="1" applyFont="1" applyBorder="1"/>
    <xf numFmtId="3" fontId="2" fillId="0" borderId="31" xfId="0" applyNumberFormat="1" applyFont="1" applyBorder="1"/>
    <xf numFmtId="167" fontId="0" fillId="0" borderId="11" xfId="0" applyNumberFormat="1" applyBorder="1"/>
    <xf numFmtId="167" fontId="0" fillId="0" borderId="13" xfId="0" applyNumberFormat="1" applyBorder="1"/>
    <xf numFmtId="164" fontId="0" fillId="0" borderId="12" xfId="0" applyNumberFormat="1" applyBorder="1"/>
    <xf numFmtId="0" fontId="2" fillId="4" borderId="30" xfId="0" applyFont="1" applyFill="1" applyBorder="1"/>
    <xf numFmtId="165" fontId="0" fillId="4" borderId="32" xfId="0" applyNumberFormat="1" applyFill="1" applyBorder="1"/>
    <xf numFmtId="165" fontId="0" fillId="4" borderId="33" xfId="0" applyNumberFormat="1" applyFill="1" applyBorder="1"/>
    <xf numFmtId="0" fontId="2" fillId="4" borderId="31" xfId="0" applyFont="1" applyFill="1" applyBorder="1"/>
    <xf numFmtId="164" fontId="0" fillId="5" borderId="12" xfId="0" applyNumberFormat="1" applyFill="1" applyBorder="1"/>
    <xf numFmtId="164" fontId="0" fillId="5" borderId="2" xfId="0" applyNumberFormat="1" applyFill="1" applyBorder="1"/>
    <xf numFmtId="2" fontId="0" fillId="0" borderId="8" xfId="0" applyNumberFormat="1" applyBorder="1"/>
    <xf numFmtId="0" fontId="0" fillId="8" borderId="7" xfId="0" applyFill="1" applyBorder="1"/>
    <xf numFmtId="0" fontId="2" fillId="3" borderId="18" xfId="0" applyFont="1" applyFill="1" applyBorder="1"/>
    <xf numFmtId="0" fontId="2" fillId="3" borderId="31" xfId="0" applyFont="1" applyFill="1" applyBorder="1"/>
    <xf numFmtId="0" fontId="0" fillId="0" borderId="1" xfId="0" applyBorder="1"/>
    <xf numFmtId="0" fontId="2" fillId="0" borderId="18" xfId="0" applyFont="1" applyBorder="1"/>
    <xf numFmtId="0" fontId="2" fillId="0" borderId="31" xfId="0" applyFont="1" applyBorder="1"/>
    <xf numFmtId="0" fontId="0" fillId="0" borderId="28" xfId="0" applyBorder="1"/>
    <xf numFmtId="0" fontId="0" fillId="0" borderId="29" xfId="0" applyBorder="1"/>
    <xf numFmtId="0" fontId="0" fillId="0" borderId="0" xfId="0" applyFill="1" applyBorder="1"/>
    <xf numFmtId="165" fontId="0" fillId="0" borderId="0" xfId="0" applyNumberFormat="1" applyFill="1" applyBorder="1"/>
    <xf numFmtId="0" fontId="0" fillId="0" borderId="10" xfId="0" applyBorder="1"/>
    <xf numFmtId="0" fontId="0" fillId="9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/>
    <xf numFmtId="165" fontId="0" fillId="0" borderId="0" xfId="0" applyNumberFormat="1"/>
    <xf numFmtId="0" fontId="5" fillId="10" borderId="0" xfId="2"/>
    <xf numFmtId="0" fontId="6" fillId="0" borderId="0" xfId="0" applyFont="1"/>
    <xf numFmtId="164" fontId="0" fillId="0" borderId="0" xfId="0" applyNumberFormat="1"/>
    <xf numFmtId="4" fontId="0" fillId="0" borderId="0" xfId="0" applyNumberFormat="1"/>
    <xf numFmtId="0" fontId="0" fillId="6" borderId="0" xfId="0" applyFill="1"/>
    <xf numFmtId="0" fontId="0" fillId="11" borderId="0" xfId="0" applyFill="1"/>
    <xf numFmtId="167" fontId="0" fillId="0" borderId="35" xfId="0" applyNumberFormat="1" applyFill="1" applyBorder="1"/>
    <xf numFmtId="0" fontId="0" fillId="12" borderId="0" xfId="0" applyFill="1"/>
    <xf numFmtId="168" fontId="0" fillId="12" borderId="0" xfId="0" applyNumberFormat="1" applyFill="1"/>
    <xf numFmtId="0" fontId="0" fillId="7" borderId="0" xfId="0" applyFill="1"/>
    <xf numFmtId="0" fontId="0" fillId="6" borderId="34" xfId="0" applyFill="1" applyBorder="1" applyAlignment="1">
      <alignment horizontal="center"/>
    </xf>
    <xf numFmtId="0" fontId="0" fillId="6" borderId="33" xfId="0" applyFill="1" applyBorder="1" applyAlignment="1">
      <alignment horizontal="center"/>
    </xf>
  </cellXfs>
  <cellStyles count="3">
    <cellStyle name="Neutral" xfId="2" builtinId="28"/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966351586436889E-2"/>
          <c:y val="0.19888182554772754"/>
          <c:w val="0.95914039835774556"/>
          <c:h val="0.7754743491898235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Foglio1!$D$9:$D$38</c:f>
              <c:numCache>
                <c:formatCode>General</c:formatCode>
                <c:ptCount val="30"/>
                <c:pt idx="0">
                  <c:v>3.00787</c:v>
                </c:pt>
                <c:pt idx="1">
                  <c:v>3.1749399999999999</c:v>
                </c:pt>
                <c:pt idx="2">
                  <c:v>3.3962569999999999</c:v>
                </c:pt>
                <c:pt idx="3">
                  <c:v>3.6052550000000001</c:v>
                </c:pt>
                <c:pt idx="4">
                  <c:v>3.8636050000000002</c:v>
                </c:pt>
                <c:pt idx="5">
                  <c:v>4.1062839999999996</c:v>
                </c:pt>
                <c:pt idx="6">
                  <c:v>4.2932689999999996</c:v>
                </c:pt>
                <c:pt idx="7">
                  <c:v>4.488836</c:v>
                </c:pt>
                <c:pt idx="8">
                  <c:v>4.704453</c:v>
                </c:pt>
                <c:pt idx="9">
                  <c:v>4.9072709999999997</c:v>
                </c:pt>
                <c:pt idx="10">
                  <c:v>5.1671990000000001</c:v>
                </c:pt>
                <c:pt idx="11">
                  <c:v>5.3655200000000001</c:v>
                </c:pt>
                <c:pt idx="12">
                  <c:v>5.6056100000000004</c:v>
                </c:pt>
                <c:pt idx="13">
                  <c:v>5.7938099999999997</c:v>
                </c:pt>
                <c:pt idx="14">
                  <c:v>6.077064</c:v>
                </c:pt>
                <c:pt idx="15">
                  <c:v>6.2768629999999996</c:v>
                </c:pt>
                <c:pt idx="16">
                  <c:v>6.5495190000000001</c:v>
                </c:pt>
                <c:pt idx="17">
                  <c:v>6.7743669999999998</c:v>
                </c:pt>
                <c:pt idx="18">
                  <c:v>6.9633430000000001</c:v>
                </c:pt>
                <c:pt idx="19">
                  <c:v>7.2315050000000003</c:v>
                </c:pt>
                <c:pt idx="20">
                  <c:v>7.4706169999999998</c:v>
                </c:pt>
                <c:pt idx="21">
                  <c:v>7.6848210000000003</c:v>
                </c:pt>
                <c:pt idx="22">
                  <c:v>7.9091959999999997</c:v>
                </c:pt>
                <c:pt idx="23">
                  <c:v>8.0201360000000008</c:v>
                </c:pt>
                <c:pt idx="24">
                  <c:v>8.2414769999999997</c:v>
                </c:pt>
                <c:pt idx="25">
                  <c:v>8.4794239999999999</c:v>
                </c:pt>
                <c:pt idx="26">
                  <c:v>8.7082580000000007</c:v>
                </c:pt>
                <c:pt idx="27">
                  <c:v>8.9437029999999993</c:v>
                </c:pt>
                <c:pt idx="28">
                  <c:v>9.1166630000000008</c:v>
                </c:pt>
                <c:pt idx="29">
                  <c:v>9.3449740000000006</c:v>
                </c:pt>
              </c:numCache>
            </c:numRef>
          </c:xVal>
          <c:yVal>
            <c:numRef>
              <c:f>Foglio1!$J$9:$J$38</c:f>
              <c:numCache>
                <c:formatCode>#,##0.000</c:formatCode>
                <c:ptCount val="30"/>
                <c:pt idx="0">
                  <c:v>4.0167203022113185E-2</c:v>
                </c:pt>
                <c:pt idx="1">
                  <c:v>-9.0081978332315349E-3</c:v>
                </c:pt>
                <c:pt idx="2">
                  <c:v>-9.2114191841764503E-3</c:v>
                </c:pt>
                <c:pt idx="3">
                  <c:v>-2.0535776806521855E-2</c:v>
                </c:pt>
                <c:pt idx="4">
                  <c:v>1.2693020637792651E-2</c:v>
                </c:pt>
                <c:pt idx="5">
                  <c:v>3.1774620540981235E-2</c:v>
                </c:pt>
                <c:pt idx="6">
                  <c:v>5.77743010984344E-4</c:v>
                </c:pt>
                <c:pt idx="7">
                  <c:v>-2.2871623237157745E-2</c:v>
                </c:pt>
                <c:pt idx="8">
                  <c:v>-2.822059316728831E-2</c:v>
                </c:pt>
                <c:pt idx="9">
                  <c:v>-4.5124025564962311E-2</c:v>
                </c:pt>
                <c:pt idx="10">
                  <c:v>-1.0470668250830428E-2</c:v>
                </c:pt>
                <c:pt idx="11">
                  <c:v>-3.1433825448608843E-2</c:v>
                </c:pt>
                <c:pt idx="12">
                  <c:v>-1.4689478715860016E-2</c:v>
                </c:pt>
                <c:pt idx="13">
                  <c:v>-4.4789499311872927E-2</c:v>
                </c:pt>
                <c:pt idx="14">
                  <c:v>1.0921705608939902E-2</c:v>
                </c:pt>
                <c:pt idx="15">
                  <c:v>-8.7071680098853577E-3</c:v>
                </c:pt>
                <c:pt idx="16">
                  <c:v>3.7436555605276922E-2</c:v>
                </c:pt>
                <c:pt idx="17">
                  <c:v>4.0420990084701902E-2</c:v>
                </c:pt>
                <c:pt idx="18">
                  <c:v>1.1021513505785396E-2</c:v>
                </c:pt>
                <c:pt idx="19">
                  <c:v>5.3108220609568768E-2</c:v>
                </c:pt>
                <c:pt idx="20">
                  <c:v>6.8969665217677445E-2</c:v>
                </c:pt>
                <c:pt idx="21">
                  <c:v>6.234509129765442E-2</c:v>
                </c:pt>
                <c:pt idx="22">
                  <c:v>6.4902518921297059E-2</c:v>
                </c:pt>
                <c:pt idx="23">
                  <c:v>-3.4944963995394929E-2</c:v>
                </c:pt>
                <c:pt idx="24">
                  <c:v>-3.5126519036533743E-2</c:v>
                </c:pt>
                <c:pt idx="25">
                  <c:v>-2.0316793216977658E-2</c:v>
                </c:pt>
                <c:pt idx="26">
                  <c:v>-1.3733945783756418E-2</c:v>
                </c:pt>
                <c:pt idx="27">
                  <c:v>-1.1829327615924257E-3</c:v>
                </c:pt>
                <c:pt idx="28">
                  <c:v>-4.5041060085109663E-2</c:v>
                </c:pt>
                <c:pt idx="29">
                  <c:v>-3.8930357653103265E-2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DF-4BA8-B8D9-C1FD3C8663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5757352"/>
        <c:axId val="405756696"/>
      </c:scatterChart>
      <c:valAx>
        <c:axId val="405757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756696"/>
        <c:crosses val="autoZero"/>
        <c:crossBetween val="midCat"/>
      </c:valAx>
      <c:valAx>
        <c:axId val="405756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7573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9950863132659425E-2"/>
          <c:y val="1.4876233279299335E-2"/>
          <c:w val="0.92162641445362248"/>
          <c:h val="0.94683855790882854"/>
        </c:manualLayout>
      </c:layout>
      <c:scatterChart>
        <c:scatterStyle val="lineMarker"/>
        <c:varyColors val="0"/>
        <c:ser>
          <c:idx val="0"/>
          <c:order val="0"/>
          <c:tx>
            <c:strRef>
              <c:f>Foglio1!$D$8</c:f>
              <c:strCache>
                <c:ptCount val="1"/>
                <c:pt idx="0">
                  <c:v>Tensione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Foglio1!$D$9:$D$38</c:f>
              <c:numCache>
                <c:formatCode>General</c:formatCode>
                <c:ptCount val="30"/>
                <c:pt idx="0">
                  <c:v>3.00787</c:v>
                </c:pt>
                <c:pt idx="1">
                  <c:v>3.1749399999999999</c:v>
                </c:pt>
                <c:pt idx="2">
                  <c:v>3.3962569999999999</c:v>
                </c:pt>
                <c:pt idx="3">
                  <c:v>3.6052550000000001</c:v>
                </c:pt>
                <c:pt idx="4">
                  <c:v>3.8636050000000002</c:v>
                </c:pt>
                <c:pt idx="5">
                  <c:v>4.1062839999999996</c:v>
                </c:pt>
                <c:pt idx="6">
                  <c:v>4.2932689999999996</c:v>
                </c:pt>
                <c:pt idx="7">
                  <c:v>4.488836</c:v>
                </c:pt>
                <c:pt idx="8">
                  <c:v>4.704453</c:v>
                </c:pt>
                <c:pt idx="9">
                  <c:v>4.9072709999999997</c:v>
                </c:pt>
                <c:pt idx="10">
                  <c:v>5.1671990000000001</c:v>
                </c:pt>
                <c:pt idx="11">
                  <c:v>5.3655200000000001</c:v>
                </c:pt>
                <c:pt idx="12">
                  <c:v>5.6056100000000004</c:v>
                </c:pt>
                <c:pt idx="13">
                  <c:v>5.7938099999999997</c:v>
                </c:pt>
                <c:pt idx="14">
                  <c:v>6.077064</c:v>
                </c:pt>
                <c:pt idx="15">
                  <c:v>6.2768629999999996</c:v>
                </c:pt>
                <c:pt idx="16">
                  <c:v>6.5495190000000001</c:v>
                </c:pt>
                <c:pt idx="17">
                  <c:v>6.7743669999999998</c:v>
                </c:pt>
                <c:pt idx="18">
                  <c:v>6.9633430000000001</c:v>
                </c:pt>
                <c:pt idx="19">
                  <c:v>7.2315050000000003</c:v>
                </c:pt>
                <c:pt idx="20">
                  <c:v>7.4706169999999998</c:v>
                </c:pt>
                <c:pt idx="21">
                  <c:v>7.6848210000000003</c:v>
                </c:pt>
                <c:pt idx="22">
                  <c:v>7.9091959999999997</c:v>
                </c:pt>
                <c:pt idx="23">
                  <c:v>8.0201360000000008</c:v>
                </c:pt>
                <c:pt idx="24">
                  <c:v>8.2414769999999997</c:v>
                </c:pt>
                <c:pt idx="25">
                  <c:v>8.4794239999999999</c:v>
                </c:pt>
                <c:pt idx="26">
                  <c:v>8.7082580000000007</c:v>
                </c:pt>
                <c:pt idx="27">
                  <c:v>8.9437029999999993</c:v>
                </c:pt>
                <c:pt idx="28">
                  <c:v>9.1166630000000008</c:v>
                </c:pt>
                <c:pt idx="29">
                  <c:v>9.3449740000000006</c:v>
                </c:pt>
              </c:numCache>
            </c:numRef>
          </c:xVal>
          <c:yVal>
            <c:numRef>
              <c:f>Foglio1!$C$9:$C$38</c:f>
              <c:numCache>
                <c:formatCode>General</c:formatCode>
                <c:ptCount val="30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4.4000000000000004</c:v>
                </c:pt>
                <c:pt idx="23">
                  <c:v>4.5999999999999996</c:v>
                </c:pt>
                <c:pt idx="24">
                  <c:v>4.8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</c:v>
                </c:pt>
                <c:pt idx="29">
                  <c:v>5.8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657-4B92-8185-CB3FC1DDD628}"/>
            </c:ext>
          </c:extLst>
        </c:ser>
        <c:ser>
          <c:idx val="1"/>
          <c:order val="1"/>
          <c:spPr>
            <a:ln w="3175" cap="rnd" cmpd="sng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Foglio1!$D$9:$D$38</c:f>
              <c:numCache>
                <c:formatCode>General</c:formatCode>
                <c:ptCount val="30"/>
                <c:pt idx="0">
                  <c:v>3.00787</c:v>
                </c:pt>
                <c:pt idx="1">
                  <c:v>3.1749399999999999</c:v>
                </c:pt>
                <c:pt idx="2">
                  <c:v>3.3962569999999999</c:v>
                </c:pt>
                <c:pt idx="3">
                  <c:v>3.6052550000000001</c:v>
                </c:pt>
                <c:pt idx="4">
                  <c:v>3.8636050000000002</c:v>
                </c:pt>
                <c:pt idx="5">
                  <c:v>4.1062839999999996</c:v>
                </c:pt>
                <c:pt idx="6">
                  <c:v>4.2932689999999996</c:v>
                </c:pt>
                <c:pt idx="7">
                  <c:v>4.488836</c:v>
                </c:pt>
                <c:pt idx="8">
                  <c:v>4.704453</c:v>
                </c:pt>
                <c:pt idx="9">
                  <c:v>4.9072709999999997</c:v>
                </c:pt>
                <c:pt idx="10">
                  <c:v>5.1671990000000001</c:v>
                </c:pt>
                <c:pt idx="11">
                  <c:v>5.3655200000000001</c:v>
                </c:pt>
                <c:pt idx="12">
                  <c:v>5.6056100000000004</c:v>
                </c:pt>
                <c:pt idx="13">
                  <c:v>5.7938099999999997</c:v>
                </c:pt>
                <c:pt idx="14">
                  <c:v>6.077064</c:v>
                </c:pt>
                <c:pt idx="15">
                  <c:v>6.2768629999999996</c:v>
                </c:pt>
                <c:pt idx="16">
                  <c:v>6.5495190000000001</c:v>
                </c:pt>
                <c:pt idx="17">
                  <c:v>6.7743669999999998</c:v>
                </c:pt>
                <c:pt idx="18">
                  <c:v>6.9633430000000001</c:v>
                </c:pt>
                <c:pt idx="19">
                  <c:v>7.2315050000000003</c:v>
                </c:pt>
                <c:pt idx="20">
                  <c:v>7.4706169999999998</c:v>
                </c:pt>
                <c:pt idx="21">
                  <c:v>7.6848210000000003</c:v>
                </c:pt>
                <c:pt idx="22">
                  <c:v>7.9091959999999997</c:v>
                </c:pt>
                <c:pt idx="23">
                  <c:v>8.0201360000000008</c:v>
                </c:pt>
                <c:pt idx="24">
                  <c:v>8.2414769999999997</c:v>
                </c:pt>
                <c:pt idx="25">
                  <c:v>8.4794239999999999</c:v>
                </c:pt>
                <c:pt idx="26">
                  <c:v>8.7082580000000007</c:v>
                </c:pt>
                <c:pt idx="27">
                  <c:v>8.9437029999999993</c:v>
                </c:pt>
                <c:pt idx="28">
                  <c:v>9.1166630000000008</c:v>
                </c:pt>
                <c:pt idx="29">
                  <c:v>9.3449740000000006</c:v>
                </c:pt>
              </c:numCache>
            </c:numRef>
          </c:xVal>
          <c:yVal>
            <c:numRef>
              <c:f>Foglio1!$N$9:$N$38</c:f>
              <c:numCache>
                <c:formatCode>0.000</c:formatCode>
                <c:ptCount val="30"/>
                <c:pt idx="0">
                  <c:v>-3.7365946537599087E-2</c:v>
                </c:pt>
                <c:pt idx="1">
                  <c:v>0.11378158615705078</c:v>
                </c:pt>
                <c:pt idx="2">
                  <c:v>0.31398110821421887</c:v>
                </c:pt>
                <c:pt idx="3">
                  <c:v>0.50301050041814688</c:v>
                </c:pt>
                <c:pt idx="4">
                  <c:v>0.73664035702544051</c:v>
                </c:pt>
                <c:pt idx="5">
                  <c:v>0.95606168051437401</c:v>
                </c:pt>
                <c:pt idx="6">
                  <c:v>1.1251017933876164</c:v>
                </c:pt>
                <c:pt idx="7">
                  <c:v>1.3018769862086594</c:v>
                </c:pt>
                <c:pt idx="8">
                  <c:v>1.4967477244002456</c:v>
                </c:pt>
                <c:pt idx="9">
                  <c:v>1.6800240544282834</c:v>
                </c:pt>
                <c:pt idx="10">
                  <c:v>1.9148693567061552</c:v>
                </c:pt>
                <c:pt idx="11">
                  <c:v>2.0940234195145422</c:v>
                </c:pt>
                <c:pt idx="12">
                  <c:v>2.3108756300918998</c:v>
                </c:pt>
                <c:pt idx="13">
                  <c:v>2.4808339917137845</c:v>
                </c:pt>
                <c:pt idx="14">
                  <c:v>2.736589583983311</c:v>
                </c:pt>
                <c:pt idx="15">
                  <c:v>2.9169605505076208</c:v>
                </c:pt>
                <c:pt idx="16">
                  <c:v>3.163062053032335</c:v>
                </c:pt>
                <c:pt idx="17">
                  <c:v>3.3659752493048356</c:v>
                </c:pt>
                <c:pt idx="18">
                  <c:v>3.5364905096516046</c:v>
                </c:pt>
                <c:pt idx="19">
                  <c:v>3.7784165923123201</c:v>
                </c:pt>
                <c:pt idx="20">
                  <c:v>3.9940958180918193</c:v>
                </c:pt>
                <c:pt idx="21">
                  <c:v>4.1872770158459023</c:v>
                </c:pt>
                <c:pt idx="22">
                  <c:v>4.3895998410616661</c:v>
                </c:pt>
                <c:pt idx="23">
                  <c:v>4.4896246735707965</c:v>
                </c:pt>
                <c:pt idx="24">
                  <c:v>4.6891654575105388</c:v>
                </c:pt>
                <c:pt idx="25">
                  <c:v>4.9036429703245696</c:v>
                </c:pt>
                <c:pt idx="26">
                  <c:v>5.1098737846081788</c:v>
                </c:pt>
                <c:pt idx="27">
                  <c:v>5.3220297586027803</c:v>
                </c:pt>
                <c:pt idx="28">
                  <c:v>5.477860506395599</c:v>
                </c:pt>
                <c:pt idx="29">
                  <c:v>5.6835337779541124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657-4B92-8185-CB3FC1DDD628}"/>
            </c:ext>
          </c:extLst>
        </c:ser>
        <c:ser>
          <c:idx val="2"/>
          <c:order val="2"/>
          <c:spPr>
            <a:ln w="3175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Foglio1!$D$9:$D$38</c:f>
              <c:numCache>
                <c:formatCode>General</c:formatCode>
                <c:ptCount val="30"/>
                <c:pt idx="0">
                  <c:v>3.00787</c:v>
                </c:pt>
                <c:pt idx="1">
                  <c:v>3.1749399999999999</c:v>
                </c:pt>
                <c:pt idx="2">
                  <c:v>3.3962569999999999</c:v>
                </c:pt>
                <c:pt idx="3">
                  <c:v>3.6052550000000001</c:v>
                </c:pt>
                <c:pt idx="4">
                  <c:v>3.8636050000000002</c:v>
                </c:pt>
                <c:pt idx="5">
                  <c:v>4.1062839999999996</c:v>
                </c:pt>
                <c:pt idx="6">
                  <c:v>4.2932689999999996</c:v>
                </c:pt>
                <c:pt idx="7">
                  <c:v>4.488836</c:v>
                </c:pt>
                <c:pt idx="8">
                  <c:v>4.704453</c:v>
                </c:pt>
                <c:pt idx="9">
                  <c:v>4.9072709999999997</c:v>
                </c:pt>
                <c:pt idx="10">
                  <c:v>5.1671990000000001</c:v>
                </c:pt>
                <c:pt idx="11">
                  <c:v>5.3655200000000001</c:v>
                </c:pt>
                <c:pt idx="12">
                  <c:v>5.6056100000000004</c:v>
                </c:pt>
                <c:pt idx="13">
                  <c:v>5.7938099999999997</c:v>
                </c:pt>
                <c:pt idx="14">
                  <c:v>6.077064</c:v>
                </c:pt>
                <c:pt idx="15">
                  <c:v>6.2768629999999996</c:v>
                </c:pt>
                <c:pt idx="16">
                  <c:v>6.5495190000000001</c:v>
                </c:pt>
                <c:pt idx="17">
                  <c:v>6.7743669999999998</c:v>
                </c:pt>
                <c:pt idx="18">
                  <c:v>6.9633430000000001</c:v>
                </c:pt>
                <c:pt idx="19">
                  <c:v>7.2315050000000003</c:v>
                </c:pt>
                <c:pt idx="20">
                  <c:v>7.4706169999999998</c:v>
                </c:pt>
                <c:pt idx="21">
                  <c:v>7.6848210000000003</c:v>
                </c:pt>
                <c:pt idx="22">
                  <c:v>7.9091959999999997</c:v>
                </c:pt>
                <c:pt idx="23">
                  <c:v>8.0201360000000008</c:v>
                </c:pt>
                <c:pt idx="24">
                  <c:v>8.2414769999999997</c:v>
                </c:pt>
                <c:pt idx="25">
                  <c:v>8.4794239999999999</c:v>
                </c:pt>
                <c:pt idx="26">
                  <c:v>8.7082580000000007</c:v>
                </c:pt>
                <c:pt idx="27">
                  <c:v>8.9437029999999993</c:v>
                </c:pt>
                <c:pt idx="28">
                  <c:v>9.1166630000000008</c:v>
                </c:pt>
                <c:pt idx="29">
                  <c:v>9.3449740000000006</c:v>
                </c:pt>
              </c:numCache>
            </c:numRef>
          </c:xVal>
          <c:yVal>
            <c:numRef>
              <c:f>Foglio1!$O$9:$O$38</c:f>
              <c:numCache>
                <c:formatCode>0.000</c:formatCode>
                <c:ptCount val="30"/>
                <c:pt idx="0">
                  <c:v>0.11770035258182546</c:v>
                </c:pt>
                <c:pt idx="1">
                  <c:v>0.26820201817648615</c:v>
                </c:pt>
                <c:pt idx="2">
                  <c:v>0.46759605341742827</c:v>
                </c:pt>
                <c:pt idx="3">
                  <c:v>0.65591794596880937</c:v>
                </c:pt>
                <c:pt idx="4">
                  <c:v>0.88874568425014489</c:v>
                </c:pt>
                <c:pt idx="5">
                  <c:v>1.1074875605675885</c:v>
                </c:pt>
                <c:pt idx="6">
                  <c:v>1.2760536926343522</c:v>
                </c:pt>
                <c:pt idx="7">
                  <c:v>1.4523797673170249</c:v>
                </c:pt>
                <c:pt idx="8">
                  <c:v>1.6468110892651779</c:v>
                </c:pt>
                <c:pt idx="9">
                  <c:v>1.8297278944417921</c:v>
                </c:pt>
                <c:pt idx="10">
                  <c:v>2.0641893067921839</c:v>
                </c:pt>
                <c:pt idx="11">
                  <c:v>2.2431089295882405</c:v>
                </c:pt>
                <c:pt idx="12">
                  <c:v>2.45974541247638</c:v>
                </c:pt>
                <c:pt idx="13">
                  <c:v>2.6295870096624698</c:v>
                </c:pt>
                <c:pt idx="14">
                  <c:v>2.8852538272345685</c:v>
                </c:pt>
                <c:pt idx="15">
                  <c:v>3.0656251134726085</c:v>
                </c:pt>
                <c:pt idx="16">
                  <c:v>3.3118110581782192</c:v>
                </c:pt>
                <c:pt idx="17">
                  <c:v>3.514866730864568</c:v>
                </c:pt>
                <c:pt idx="18">
                  <c:v>3.6855525173599664</c:v>
                </c:pt>
                <c:pt idx="19">
                  <c:v>3.9277998489068171</c:v>
                </c:pt>
                <c:pt idx="20">
                  <c:v>4.143843512343536</c:v>
                </c:pt>
                <c:pt idx="21">
                  <c:v>4.3374131667494069</c:v>
                </c:pt>
                <c:pt idx="22">
                  <c:v>4.5402051967809287</c:v>
                </c:pt>
                <c:pt idx="23">
                  <c:v>4.6404853984384129</c:v>
                </c:pt>
                <c:pt idx="24">
                  <c:v>4.8405815044163933</c:v>
                </c:pt>
                <c:pt idx="25">
                  <c:v>5.055723443241475</c:v>
                </c:pt>
                <c:pt idx="26">
                  <c:v>5.2626583238243088</c:v>
                </c:pt>
                <c:pt idx="27">
                  <c:v>5.4756043758740356</c:v>
                </c:pt>
                <c:pt idx="28">
                  <c:v>5.632057373434181</c:v>
                </c:pt>
                <c:pt idx="29">
                  <c:v>5.8386055067396807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657-4B92-8185-CB3FC1DDD6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5758008"/>
        <c:axId val="405756368"/>
      </c:scatterChart>
      <c:valAx>
        <c:axId val="4057580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756368"/>
        <c:crosses val="autoZero"/>
        <c:crossBetween val="midCat"/>
      </c:valAx>
      <c:valAx>
        <c:axId val="405756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7580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130068</xdr:colOff>
      <xdr:row>55</xdr:row>
      <xdr:rowOff>135112</xdr:rowOff>
    </xdr:from>
    <xdr:to>
      <xdr:col>38</xdr:col>
      <xdr:colOff>236766</xdr:colOff>
      <xdr:row>69</xdr:row>
      <xdr:rowOff>93010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D4BC9245-9918-4D5D-AB29-4FEA24BD13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217713</xdr:colOff>
      <xdr:row>7</xdr:row>
      <xdr:rowOff>27217</xdr:rowOff>
    </xdr:from>
    <xdr:to>
      <xdr:col>38</xdr:col>
      <xdr:colOff>149680</xdr:colOff>
      <xdr:row>28</xdr:row>
      <xdr:rowOff>163286</xdr:rowOff>
    </xdr:to>
    <xdr:graphicFrame macro="">
      <xdr:nvGraphicFramePr>
        <xdr:cNvPr id="5" name="Grafico 4">
          <a:extLst>
            <a:ext uri="{FF2B5EF4-FFF2-40B4-BE49-F238E27FC236}">
              <a16:creationId xmlns:a16="http://schemas.microsoft.com/office/drawing/2014/main" id="{849E21FB-6BC3-48CF-BB5A-3F68F13B0C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1CF6A-3E4B-4278-BC61-A09F420E1225}">
  <dimension ref="B3:X76"/>
  <sheetViews>
    <sheetView tabSelected="1" topLeftCell="A49" zoomScaleNormal="100" workbookViewId="0">
      <selection activeCell="E8" sqref="E8"/>
    </sheetView>
  </sheetViews>
  <sheetFormatPr defaultRowHeight="15" x14ac:dyDescent="0.25"/>
  <cols>
    <col min="3" max="3" width="23" bestFit="1" customWidth="1"/>
    <col min="4" max="4" width="13.85546875" bestFit="1" customWidth="1"/>
    <col min="5" max="5" width="14.85546875" bestFit="1" customWidth="1"/>
    <col min="6" max="6" width="13.85546875" bestFit="1" customWidth="1"/>
    <col min="7" max="7" width="9.7109375" bestFit="1" customWidth="1"/>
    <col min="8" max="8" width="6.42578125" bestFit="1" customWidth="1"/>
    <col min="9" max="9" width="14.140625" customWidth="1"/>
    <col min="10" max="10" width="20.140625" bestFit="1" customWidth="1"/>
    <col min="11" max="11" width="21" bestFit="1" customWidth="1"/>
    <col min="12" max="12" width="14.28515625" customWidth="1"/>
    <col min="13" max="13" width="10.85546875" customWidth="1"/>
    <col min="14" max="15" width="17" bestFit="1" customWidth="1"/>
    <col min="16" max="16" width="32.42578125" customWidth="1"/>
  </cols>
  <sheetData>
    <row r="3" spans="2:24" x14ac:dyDescent="0.25">
      <c r="J3" s="3"/>
      <c r="K3" s="3"/>
      <c r="L3" s="3"/>
      <c r="M3" s="3"/>
      <c r="N3" s="3"/>
    </row>
    <row r="4" spans="2:24" x14ac:dyDescent="0.25">
      <c r="J4" s="14"/>
      <c r="K4" s="14"/>
      <c r="L4" s="14"/>
      <c r="M4" s="14"/>
      <c r="N4" s="14"/>
      <c r="Q4" s="13"/>
      <c r="R4" s="13"/>
      <c r="S4" s="13"/>
      <c r="T4" s="13"/>
      <c r="U4" s="13"/>
      <c r="V4" s="13"/>
      <c r="W4" s="13"/>
      <c r="X4" s="13"/>
    </row>
    <row r="5" spans="2:24" x14ac:dyDescent="0.25">
      <c r="J5" s="3"/>
      <c r="K5" s="3"/>
      <c r="L5" s="3"/>
      <c r="M5" s="4"/>
      <c r="N5" s="3"/>
      <c r="O5" s="3"/>
    </row>
    <row r="6" spans="2:24" x14ac:dyDescent="0.25">
      <c r="J6" s="3"/>
      <c r="K6" s="3"/>
      <c r="L6" s="3"/>
      <c r="M6" s="4"/>
      <c r="N6" s="3"/>
      <c r="O6" s="3"/>
    </row>
    <row r="7" spans="2:24" ht="15.75" thickBot="1" x14ac:dyDescent="0.3">
      <c r="C7" s="13" t="s">
        <v>2</v>
      </c>
      <c r="G7" t="s">
        <v>20</v>
      </c>
      <c r="H7" t="s">
        <v>19</v>
      </c>
      <c r="I7" s="3"/>
      <c r="J7" s="3"/>
      <c r="K7" s="4"/>
      <c r="L7" s="4"/>
      <c r="M7" s="4"/>
      <c r="N7" s="3"/>
      <c r="O7" s="3"/>
    </row>
    <row r="8" spans="2:24" ht="16.5" thickBot="1" x14ac:dyDescent="0.3">
      <c r="C8" s="63" t="s">
        <v>0</v>
      </c>
      <c r="D8" s="64" t="s">
        <v>1</v>
      </c>
      <c r="E8" s="13"/>
      <c r="F8" s="20" t="s">
        <v>3</v>
      </c>
      <c r="G8" s="21" t="s">
        <v>4</v>
      </c>
      <c r="H8" s="58" t="s">
        <v>5</v>
      </c>
      <c r="I8" s="55" t="s">
        <v>6</v>
      </c>
      <c r="J8" s="40" t="s">
        <v>11</v>
      </c>
      <c r="K8" s="50" t="s">
        <v>24</v>
      </c>
      <c r="L8" s="48" t="s">
        <v>29</v>
      </c>
      <c r="M8" s="51" t="s">
        <v>30</v>
      </c>
      <c r="N8" s="66" t="s">
        <v>27</v>
      </c>
      <c r="O8" s="67" t="s">
        <v>28</v>
      </c>
      <c r="P8" s="78" t="s">
        <v>46</v>
      </c>
    </row>
    <row r="9" spans="2:24" x14ac:dyDescent="0.25">
      <c r="B9" s="68">
        <v>0</v>
      </c>
      <c r="C9" s="65">
        <f t="shared" ref="C9:C38" si="0">B9-$C$49</f>
        <v>0</v>
      </c>
      <c r="D9">
        <v>3.00787</v>
      </c>
      <c r="F9" s="10">
        <v>1</v>
      </c>
      <c r="G9" s="22">
        <f t="shared" ref="G9:G37" si="1">D9</f>
        <v>3.00787</v>
      </c>
      <c r="H9" s="60">
        <f t="shared" ref="H9:H38" si="2">C9</f>
        <v>0</v>
      </c>
      <c r="I9" s="57">
        <f t="shared" ref="I9:I38" si="3">$E$62*F9+$E$63*G9</f>
        <v>4.0167203022113185E-2</v>
      </c>
      <c r="J9" s="42">
        <f t="shared" ref="J9:J18" si="4">I9-H9</f>
        <v>4.0167203022113185E-2</v>
      </c>
      <c r="K9" s="44">
        <f t="array" ref="K9">MMULT(F9:G9,MMULT($E$65:$F$66,TRANSPOSE(F9:G9)))</f>
        <v>1.5844152566242624E-4</v>
      </c>
      <c r="L9" s="49">
        <f t="shared" ref="L9:L37" si="5">K9+$K$53</f>
        <v>1.432657210437353E-3</v>
      </c>
      <c r="M9" s="1">
        <f t="shared" ref="M9:M37" si="6">$K$60*(K9+$K$53)^0.5</f>
        <v>7.7533149559712272E-2</v>
      </c>
      <c r="N9" s="2">
        <f t="shared" ref="N9:N18" si="7">I9-M9</f>
        <v>-3.7365946537599087E-2</v>
      </c>
      <c r="O9" s="45">
        <f t="shared" ref="O9:O18" si="8">I9+M9</f>
        <v>0.11770035258182546</v>
      </c>
      <c r="P9" s="80">
        <f>(H9-AVERAGE(H9:H38))^2</f>
        <v>8.41</v>
      </c>
    </row>
    <row r="10" spans="2:24" ht="15.75" thickBot="1" x14ac:dyDescent="0.3">
      <c r="B10" s="69">
        <v>0.2</v>
      </c>
      <c r="C10" s="65">
        <f t="shared" si="0"/>
        <v>0.2</v>
      </c>
      <c r="D10">
        <v>3.1749399999999999</v>
      </c>
      <c r="F10" s="10">
        <v>1</v>
      </c>
      <c r="G10" s="22">
        <f t="shared" si="1"/>
        <v>3.1749399999999999</v>
      </c>
      <c r="H10" s="60">
        <f t="shared" si="2"/>
        <v>0.2</v>
      </c>
      <c r="I10" s="57">
        <f t="shared" si="3"/>
        <v>0.19099180216676848</v>
      </c>
      <c r="J10" s="42">
        <f t="shared" si="4"/>
        <v>-9.0081978332315349E-3</v>
      </c>
      <c r="K10" s="44">
        <f t="array" ref="K10">MMULT(F10:G10,MMULT($E$65:$F$66,TRANSPOSE(F10:G10)))</f>
        <v>1.4653204996946999E-4</v>
      </c>
      <c r="L10" s="49">
        <f t="shared" si="5"/>
        <v>1.4207477347443968E-3</v>
      </c>
      <c r="M10" s="1">
        <f t="shared" si="6"/>
        <v>7.7210216009717697E-2</v>
      </c>
      <c r="N10" s="2">
        <f t="shared" si="7"/>
        <v>0.11378158615705078</v>
      </c>
      <c r="O10" s="45">
        <f t="shared" si="8"/>
        <v>0.26820201817648615</v>
      </c>
      <c r="P10" s="80">
        <f t="shared" ref="P10:P38" si="9">(H10-AVERAGE(H10:H39))^2</f>
        <v>7.839999999999999</v>
      </c>
    </row>
    <row r="11" spans="2:24" x14ac:dyDescent="0.25">
      <c r="B11" s="68">
        <v>0.4</v>
      </c>
      <c r="C11" s="65">
        <f t="shared" si="0"/>
        <v>0.4</v>
      </c>
      <c r="D11">
        <v>3.3962569999999999</v>
      </c>
      <c r="F11" s="10">
        <v>1</v>
      </c>
      <c r="G11" s="22">
        <f t="shared" si="1"/>
        <v>3.3962569999999999</v>
      </c>
      <c r="H11" s="60">
        <f t="shared" si="2"/>
        <v>0.4</v>
      </c>
      <c r="I11" s="57">
        <f t="shared" si="3"/>
        <v>0.39078858081582357</v>
      </c>
      <c r="J11" s="42">
        <f t="shared" si="4"/>
        <v>-9.2114191841764503E-3</v>
      </c>
      <c r="K11" s="44">
        <f t="array" ref="K11">MMULT(F11:G11,MMULT($E$65:$F$66,TRANSPOSE(F11:G11)))</f>
        <v>1.3174891712127828E-4</v>
      </c>
      <c r="L11" s="49">
        <f t="shared" si="5"/>
        <v>1.4059646018962052E-3</v>
      </c>
      <c r="M11" s="1">
        <f t="shared" si="6"/>
        <v>7.6807472601604726E-2</v>
      </c>
      <c r="N11" s="2">
        <f t="shared" si="7"/>
        <v>0.31398110821421887</v>
      </c>
      <c r="O11" s="45">
        <f t="shared" si="8"/>
        <v>0.46759605341742827</v>
      </c>
      <c r="P11" s="80">
        <f t="shared" si="9"/>
        <v>7.2900000000000009</v>
      </c>
    </row>
    <row r="12" spans="2:24" ht="15.75" thickBot="1" x14ac:dyDescent="0.3">
      <c r="B12" s="69">
        <v>0.6</v>
      </c>
      <c r="C12" s="65">
        <f t="shared" si="0"/>
        <v>0.6</v>
      </c>
      <c r="D12">
        <v>3.6052550000000001</v>
      </c>
      <c r="F12" s="10">
        <v>1</v>
      </c>
      <c r="G12" s="22">
        <f t="shared" si="1"/>
        <v>3.6052550000000001</v>
      </c>
      <c r="H12" s="60">
        <f t="shared" si="2"/>
        <v>0.6</v>
      </c>
      <c r="I12" s="57">
        <f t="shared" si="3"/>
        <v>0.57946422319347812</v>
      </c>
      <c r="J12" s="42">
        <f t="shared" si="4"/>
        <v>-2.0535776806521855E-2</v>
      </c>
      <c r="K12" s="44">
        <f t="array" ref="K12">MMULT(F12:G12,MMULT($E$65:$F$66,TRANSPOSE(F12:G12)))</f>
        <v>1.1882792442078381E-4</v>
      </c>
      <c r="L12" s="49">
        <f t="shared" si="5"/>
        <v>1.3930436091957106E-3</v>
      </c>
      <c r="M12" s="1">
        <f t="shared" si="6"/>
        <v>7.645372277533119E-2</v>
      </c>
      <c r="N12" s="2">
        <f t="shared" si="7"/>
        <v>0.50301050041814688</v>
      </c>
      <c r="O12" s="45">
        <f t="shared" si="8"/>
        <v>0.65591794596880937</v>
      </c>
      <c r="P12" s="80">
        <f t="shared" si="9"/>
        <v>6.7600000000000007</v>
      </c>
    </row>
    <row r="13" spans="2:24" x14ac:dyDescent="0.25">
      <c r="B13" s="68">
        <v>0.8</v>
      </c>
      <c r="C13" s="65">
        <f t="shared" si="0"/>
        <v>0.8</v>
      </c>
      <c r="D13">
        <v>3.8636050000000002</v>
      </c>
      <c r="F13" s="10">
        <v>1</v>
      </c>
      <c r="G13" s="22">
        <f t="shared" si="1"/>
        <v>3.8636050000000002</v>
      </c>
      <c r="H13" s="60">
        <f t="shared" si="2"/>
        <v>0.8</v>
      </c>
      <c r="I13" s="57">
        <f t="shared" si="3"/>
        <v>0.8126930206377927</v>
      </c>
      <c r="J13" s="42">
        <f t="shared" si="4"/>
        <v>1.2693020637792651E-2</v>
      </c>
      <c r="K13" s="44">
        <f t="array" ref="K13">MMULT(F13:G13,MMULT($E$65:$F$66,TRANSPOSE(F13:G13)))</f>
        <v>1.0425106682534546E-4</v>
      </c>
      <c r="L13" s="49">
        <f t="shared" si="5"/>
        <v>1.3784667516002723E-3</v>
      </c>
      <c r="M13" s="1">
        <f t="shared" si="6"/>
        <v>7.6052663612352245E-2</v>
      </c>
      <c r="N13" s="2">
        <f t="shared" si="7"/>
        <v>0.73664035702544051</v>
      </c>
      <c r="O13" s="45">
        <f t="shared" si="8"/>
        <v>0.88874568425014489</v>
      </c>
      <c r="P13" s="80">
        <f t="shared" si="9"/>
        <v>6.25</v>
      </c>
    </row>
    <row r="14" spans="2:24" ht="15.75" thickBot="1" x14ac:dyDescent="0.3">
      <c r="B14" s="69">
        <v>1</v>
      </c>
      <c r="C14" s="65">
        <f t="shared" si="0"/>
        <v>1</v>
      </c>
      <c r="D14">
        <v>4.1062839999999996</v>
      </c>
      <c r="F14" s="10">
        <v>1</v>
      </c>
      <c r="G14" s="22">
        <f t="shared" si="1"/>
        <v>4.1062839999999996</v>
      </c>
      <c r="H14" s="60">
        <f t="shared" si="2"/>
        <v>1</v>
      </c>
      <c r="I14" s="57">
        <f t="shared" si="3"/>
        <v>1.0317746205409812</v>
      </c>
      <c r="J14" s="42">
        <f t="shared" si="4"/>
        <v>3.1774620540981235E-2</v>
      </c>
      <c r="K14" s="44">
        <f t="array" ref="K14">MMULT(F14:G14,MMULT($E$65:$F$66,TRANSPOSE(F14:G14)))</f>
        <v>9.1963483092548116E-5</v>
      </c>
      <c r="L14" s="49">
        <f t="shared" si="5"/>
        <v>1.366179167867475E-3</v>
      </c>
      <c r="M14" s="1">
        <f t="shared" si="6"/>
        <v>7.5712940026607209E-2</v>
      </c>
      <c r="N14" s="2">
        <f t="shared" si="7"/>
        <v>0.95606168051437401</v>
      </c>
      <c r="O14" s="45">
        <f t="shared" si="8"/>
        <v>1.1074875605675885</v>
      </c>
      <c r="P14" s="80">
        <f t="shared" si="9"/>
        <v>5.7599999999999971</v>
      </c>
    </row>
    <row r="15" spans="2:24" x14ac:dyDescent="0.25">
      <c r="B15" s="68">
        <v>1.2</v>
      </c>
      <c r="C15" s="65">
        <f t="shared" si="0"/>
        <v>1.2</v>
      </c>
      <c r="D15">
        <v>4.2932689999999996</v>
      </c>
      <c r="F15" s="10">
        <v>1</v>
      </c>
      <c r="G15" s="22">
        <f t="shared" si="1"/>
        <v>4.2932689999999996</v>
      </c>
      <c r="H15" s="60">
        <f t="shared" si="2"/>
        <v>1.2</v>
      </c>
      <c r="I15" s="57">
        <f t="shared" si="3"/>
        <v>1.2005777430109843</v>
      </c>
      <c r="J15" s="42">
        <f t="shared" si="4"/>
        <v>5.77743010984344E-4</v>
      </c>
      <c r="K15" s="44">
        <f t="array" ref="K15">MMULT(F15:G15,MMULT($E$65:$F$66,TRANSPOSE(F15:G15)))</f>
        <v>8.3424265606627329E-5</v>
      </c>
      <c r="L15" s="49">
        <f t="shared" si="5"/>
        <v>1.3576399503815542E-3</v>
      </c>
      <c r="M15" s="1">
        <f t="shared" si="6"/>
        <v>7.5475949623367844E-2</v>
      </c>
      <c r="N15" s="2">
        <f t="shared" si="7"/>
        <v>1.1251017933876164</v>
      </c>
      <c r="O15" s="45">
        <f t="shared" si="8"/>
        <v>1.2760536926343522</v>
      </c>
      <c r="P15" s="80">
        <f t="shared" si="9"/>
        <v>5.2899999999999991</v>
      </c>
    </row>
    <row r="16" spans="2:24" ht="15.75" thickBot="1" x14ac:dyDescent="0.3">
      <c r="B16" s="69">
        <v>1.4</v>
      </c>
      <c r="C16" s="65">
        <f t="shared" si="0"/>
        <v>1.4</v>
      </c>
      <c r="D16">
        <v>4.488836</v>
      </c>
      <c r="F16" s="10">
        <v>1</v>
      </c>
      <c r="G16" s="22">
        <f t="shared" si="1"/>
        <v>4.488836</v>
      </c>
      <c r="H16" s="60">
        <f t="shared" si="2"/>
        <v>1.4</v>
      </c>
      <c r="I16" s="57">
        <f t="shared" si="3"/>
        <v>1.3771283767628422</v>
      </c>
      <c r="J16" s="42">
        <f t="shared" si="4"/>
        <v>-2.2871623237157745E-2</v>
      </c>
      <c r="K16" s="44">
        <f t="array" ref="K16">MMULT(F16:G16,MMULT($E$65:$F$66,TRANSPOSE(F16:G16)))</f>
        <v>7.535767396239062E-5</v>
      </c>
      <c r="L16" s="49">
        <f t="shared" si="5"/>
        <v>1.3495733587373174E-3</v>
      </c>
      <c r="M16" s="1">
        <f t="shared" si="6"/>
        <v>7.5251390554182646E-2</v>
      </c>
      <c r="N16" s="2">
        <f t="shared" si="7"/>
        <v>1.3018769862086594</v>
      </c>
      <c r="O16" s="45">
        <f t="shared" si="8"/>
        <v>1.4523797673170249</v>
      </c>
      <c r="P16" s="80">
        <f t="shared" si="9"/>
        <v>4.8400000000000007</v>
      </c>
    </row>
    <row r="17" spans="2:19" x14ac:dyDescent="0.25">
      <c r="B17" s="68">
        <v>1.6</v>
      </c>
      <c r="C17" s="65">
        <f t="shared" si="0"/>
        <v>1.6</v>
      </c>
      <c r="D17">
        <v>4.704453</v>
      </c>
      <c r="F17" s="10">
        <v>1</v>
      </c>
      <c r="G17" s="22">
        <f t="shared" si="1"/>
        <v>4.704453</v>
      </c>
      <c r="H17" s="60">
        <f t="shared" si="2"/>
        <v>1.6</v>
      </c>
      <c r="I17" s="57">
        <f t="shared" si="3"/>
        <v>1.5717794068327118</v>
      </c>
      <c r="J17" s="42">
        <f t="shared" si="4"/>
        <v>-2.822059316728831E-2</v>
      </c>
      <c r="K17" s="44">
        <f t="array" ref="K17">MMULT(F17:G17,MMULT($E$65:$F$66,TRANSPOSE(F17:G17)))</f>
        <v>6.748860021273909E-5</v>
      </c>
      <c r="L17" s="49">
        <f t="shared" si="5"/>
        <v>1.3417042849876658E-3</v>
      </c>
      <c r="M17" s="1">
        <f t="shared" si="6"/>
        <v>7.5031682432466079E-2</v>
      </c>
      <c r="N17" s="2">
        <f t="shared" si="7"/>
        <v>1.4967477244002456</v>
      </c>
      <c r="O17" s="45">
        <f t="shared" si="8"/>
        <v>1.6468110892651779</v>
      </c>
      <c r="P17" s="80">
        <f t="shared" si="9"/>
        <v>4.4099999999999984</v>
      </c>
    </row>
    <row r="18" spans="2:19" ht="15.75" thickBot="1" x14ac:dyDescent="0.3">
      <c r="B18" s="69">
        <v>1.8</v>
      </c>
      <c r="C18" s="7">
        <f t="shared" si="0"/>
        <v>1.8</v>
      </c>
      <c r="D18">
        <v>4.9072709999999997</v>
      </c>
      <c r="F18" s="10">
        <v>1</v>
      </c>
      <c r="G18" s="22">
        <f t="shared" si="1"/>
        <v>4.9072709999999997</v>
      </c>
      <c r="H18" s="60">
        <f t="shared" si="2"/>
        <v>1.8</v>
      </c>
      <c r="I18" s="57">
        <f t="shared" si="3"/>
        <v>1.7548759744350377</v>
      </c>
      <c r="J18" s="42">
        <f t="shared" si="4"/>
        <v>-4.5124025564962311E-2</v>
      </c>
      <c r="K18" s="44">
        <f t="array" ref="K18">MMULT(F18:G18,MMULT($E$65:$F$66,TRANSPOSE(F18:G18)))</f>
        <v>6.1067336888302306E-5</v>
      </c>
      <c r="L18" s="49">
        <f t="shared" si="5"/>
        <v>1.3352830216632292E-3</v>
      </c>
      <c r="M18" s="1">
        <f t="shared" si="6"/>
        <v>7.4851920006754433E-2</v>
      </c>
      <c r="N18" s="2">
        <f t="shared" si="7"/>
        <v>1.6800240544282834</v>
      </c>
      <c r="O18" s="45">
        <f t="shared" si="8"/>
        <v>1.8297278944417921</v>
      </c>
      <c r="P18" s="80">
        <f t="shared" si="9"/>
        <v>3.9999999999999991</v>
      </c>
    </row>
    <row r="19" spans="2:19" x14ac:dyDescent="0.25">
      <c r="B19" s="68">
        <v>2</v>
      </c>
      <c r="C19" s="5">
        <f t="shared" si="0"/>
        <v>2</v>
      </c>
      <c r="D19">
        <v>5.1671990000000001</v>
      </c>
      <c r="F19" s="11">
        <v>1</v>
      </c>
      <c r="G19" s="12">
        <f t="shared" si="1"/>
        <v>5.1671990000000001</v>
      </c>
      <c r="H19" s="59">
        <f t="shared" si="2"/>
        <v>2</v>
      </c>
      <c r="I19" s="56">
        <f t="shared" si="3"/>
        <v>1.9895293317491696</v>
      </c>
      <c r="J19" s="41">
        <f t="shared" ref="J19:J38" si="10">I19-H19</f>
        <v>-1.0470668250830428E-2</v>
      </c>
      <c r="K19" s="52">
        <f t="array" ref="K19">MMULT(F19:G19,MMULT($E$65:$F$66,TRANSPOSE(F19:G19)))</f>
        <v>5.4227906950497025E-5</v>
      </c>
      <c r="L19" s="53">
        <f t="shared" si="5"/>
        <v>1.3284435917254238E-3</v>
      </c>
      <c r="M19" s="54">
        <f t="shared" si="6"/>
        <v>7.4659975043014401E-2</v>
      </c>
      <c r="N19" s="17">
        <f t="shared" ref="N19:N38" si="11">I19-M19</f>
        <v>1.9148693567061552</v>
      </c>
      <c r="O19" s="9">
        <f t="shared" ref="O19:O38" si="12">I19+M19</f>
        <v>2.0641893067921839</v>
      </c>
      <c r="P19" s="80">
        <f t="shared" si="9"/>
        <v>3.61</v>
      </c>
    </row>
    <row r="20" spans="2:19" ht="15.75" thickBot="1" x14ac:dyDescent="0.3">
      <c r="B20" s="69">
        <v>2.2000000000000002</v>
      </c>
      <c r="C20" s="65">
        <f t="shared" si="0"/>
        <v>2.2000000000000002</v>
      </c>
      <c r="D20">
        <v>5.3655200000000001</v>
      </c>
      <c r="F20" s="10">
        <v>1</v>
      </c>
      <c r="G20" s="22">
        <f t="shared" si="1"/>
        <v>5.3655200000000001</v>
      </c>
      <c r="H20" s="60">
        <f t="shared" si="2"/>
        <v>2.2000000000000002</v>
      </c>
      <c r="I20" s="57">
        <f t="shared" si="3"/>
        <v>2.1685661745513913</v>
      </c>
      <c r="J20" s="42">
        <f t="shared" si="10"/>
        <v>-3.1433825448608843E-2</v>
      </c>
      <c r="K20" s="44">
        <f t="array" ref="K20">MMULT(F20:G20,MMULT($E$65:$F$66,TRANSPOSE(F20:G20)))</f>
        <v>5.0059731925474096E-5</v>
      </c>
      <c r="L20" s="49">
        <f t="shared" si="5"/>
        <v>1.3242754167004009E-3</v>
      </c>
      <c r="M20" s="1">
        <f t="shared" si="6"/>
        <v>7.454275503684929E-2</v>
      </c>
      <c r="N20" s="2">
        <f t="shared" si="11"/>
        <v>2.0940234195145422</v>
      </c>
      <c r="O20" s="45">
        <f t="shared" si="12"/>
        <v>2.2431089295882405</v>
      </c>
      <c r="P20" s="80">
        <f t="shared" si="9"/>
        <v>3.2399999999999993</v>
      </c>
    </row>
    <row r="21" spans="2:19" x14ac:dyDescent="0.25">
      <c r="B21" s="68">
        <v>2.4</v>
      </c>
      <c r="C21" s="65">
        <f t="shared" si="0"/>
        <v>2.4</v>
      </c>
      <c r="D21">
        <v>5.6056100000000004</v>
      </c>
      <c r="F21" s="10">
        <v>1</v>
      </c>
      <c r="G21" s="22">
        <f t="shared" si="1"/>
        <v>5.6056100000000004</v>
      </c>
      <c r="H21" s="60">
        <f t="shared" si="2"/>
        <v>2.4</v>
      </c>
      <c r="I21" s="57">
        <f t="shared" si="3"/>
        <v>2.3853105212841399</v>
      </c>
      <c r="J21" s="42">
        <f t="shared" si="10"/>
        <v>-1.4689478715860016E-2</v>
      </c>
      <c r="K21" s="44">
        <f t="array" ref="K21">MMULT(F21:G21,MMULT($E$65:$F$66,TRANSPOSE(F21:G21)))</f>
        <v>4.6230034687751264E-5</v>
      </c>
      <c r="L21" s="49">
        <f t="shared" si="5"/>
        <v>1.3204457194626782E-3</v>
      </c>
      <c r="M21" s="1">
        <f t="shared" si="6"/>
        <v>7.443489119224013E-2</v>
      </c>
      <c r="N21" s="2">
        <f t="shared" si="11"/>
        <v>2.3108756300918998</v>
      </c>
      <c r="O21" s="45">
        <f t="shared" si="12"/>
        <v>2.45974541247638</v>
      </c>
      <c r="P21" s="80">
        <f t="shared" si="9"/>
        <v>2.8899999999999992</v>
      </c>
    </row>
    <row r="22" spans="2:19" ht="15.75" thickBot="1" x14ac:dyDescent="0.3">
      <c r="B22" s="69">
        <v>2.6</v>
      </c>
      <c r="C22" s="65">
        <f t="shared" si="0"/>
        <v>2.6</v>
      </c>
      <c r="D22">
        <v>5.7938099999999997</v>
      </c>
      <c r="F22" s="10">
        <v>1</v>
      </c>
      <c r="G22" s="22">
        <f t="shared" si="1"/>
        <v>5.7938099999999997</v>
      </c>
      <c r="H22" s="60">
        <f t="shared" si="2"/>
        <v>2.6</v>
      </c>
      <c r="I22" s="57">
        <f t="shared" si="3"/>
        <v>2.5552105006881272</v>
      </c>
      <c r="J22" s="42">
        <f t="shared" si="10"/>
        <v>-4.4789499311872927E-2</v>
      </c>
      <c r="K22" s="44">
        <f t="array" ref="K22">MMULT(F22:G22,MMULT($E$65:$F$66,TRANSPOSE(F22:G22)))</f>
        <v>4.4159491803813042E-5</v>
      </c>
      <c r="L22" s="49">
        <f t="shared" si="5"/>
        <v>1.3183751765787398E-3</v>
      </c>
      <c r="M22" s="1">
        <f t="shared" si="6"/>
        <v>7.4376508974342878E-2</v>
      </c>
      <c r="N22" s="2">
        <f t="shared" si="11"/>
        <v>2.4808339917137845</v>
      </c>
      <c r="O22" s="45">
        <f t="shared" si="12"/>
        <v>2.6295870096624698</v>
      </c>
      <c r="P22" s="80">
        <f t="shared" si="9"/>
        <v>2.5599999999999974</v>
      </c>
    </row>
    <row r="23" spans="2:19" x14ac:dyDescent="0.25">
      <c r="B23" s="68">
        <v>2.8</v>
      </c>
      <c r="C23" s="65">
        <f t="shared" si="0"/>
        <v>2.8</v>
      </c>
      <c r="D23">
        <v>6.077064</v>
      </c>
      <c r="F23" s="10">
        <v>1</v>
      </c>
      <c r="G23" s="22">
        <f t="shared" si="1"/>
        <v>6.077064</v>
      </c>
      <c r="H23" s="60">
        <f t="shared" si="2"/>
        <v>2.8</v>
      </c>
      <c r="I23" s="57">
        <f t="shared" si="3"/>
        <v>2.8109217056089397</v>
      </c>
      <c r="J23" s="42">
        <f t="shared" si="10"/>
        <v>1.0921705608939902E-2</v>
      </c>
      <c r="K23" s="44">
        <f t="array" ref="K23">MMULT(F23:G23,MMULT($E$65:$F$66,TRANSPOSE(F23:G23)))</f>
        <v>4.258636831093875E-5</v>
      </c>
      <c r="L23" s="49">
        <f t="shared" si="5"/>
        <v>1.3168020530858655E-3</v>
      </c>
      <c r="M23" s="1">
        <f t="shared" si="6"/>
        <v>7.4332121625628952E-2</v>
      </c>
      <c r="N23" s="2">
        <f t="shared" si="11"/>
        <v>2.736589583983311</v>
      </c>
      <c r="O23" s="45">
        <f t="shared" si="12"/>
        <v>2.8852538272345685</v>
      </c>
      <c r="P23" s="80">
        <f t="shared" si="9"/>
        <v>2.25</v>
      </c>
    </row>
    <row r="24" spans="2:19" ht="15.75" thickBot="1" x14ac:dyDescent="0.3">
      <c r="B24" s="69">
        <v>3</v>
      </c>
      <c r="C24" s="65">
        <f t="shared" si="0"/>
        <v>3</v>
      </c>
      <c r="D24">
        <v>6.2768629999999996</v>
      </c>
      <c r="F24" s="10">
        <v>1</v>
      </c>
      <c r="G24" s="22">
        <f t="shared" si="1"/>
        <v>6.2768629999999996</v>
      </c>
      <c r="H24" s="60">
        <f t="shared" si="2"/>
        <v>3</v>
      </c>
      <c r="I24" s="57">
        <f t="shared" si="3"/>
        <v>2.9912928319901146</v>
      </c>
      <c r="J24" s="42">
        <f t="shared" si="10"/>
        <v>-8.7071680098853577E-3</v>
      </c>
      <c r="K24" s="44">
        <f t="array" ref="K24">MMULT(F24:G24,MMULT($E$65:$F$66,TRANSPOSE(F24:G24)))</f>
        <v>4.2592032082395139E-5</v>
      </c>
      <c r="L24" s="49">
        <f t="shared" si="5"/>
        <v>1.3168077168573219E-3</v>
      </c>
      <c r="M24" s="1">
        <f t="shared" si="6"/>
        <v>7.4332281482493948E-2</v>
      </c>
      <c r="N24" s="2">
        <f t="shared" si="11"/>
        <v>2.9169605505076208</v>
      </c>
      <c r="O24" s="45">
        <f t="shared" si="12"/>
        <v>3.0656251134726085</v>
      </c>
      <c r="P24" s="80">
        <f t="shared" si="9"/>
        <v>1.9600000000000011</v>
      </c>
    </row>
    <row r="25" spans="2:19" x14ac:dyDescent="0.25">
      <c r="B25" s="68">
        <v>3.2</v>
      </c>
      <c r="C25" s="65">
        <f t="shared" si="0"/>
        <v>3.2</v>
      </c>
      <c r="D25">
        <v>6.5495190000000001</v>
      </c>
      <c r="F25" s="10">
        <v>1</v>
      </c>
      <c r="G25" s="22">
        <f t="shared" si="1"/>
        <v>6.5495190000000001</v>
      </c>
      <c r="H25" s="60">
        <f t="shared" si="2"/>
        <v>3.2</v>
      </c>
      <c r="I25" s="57">
        <f t="shared" si="3"/>
        <v>3.2374365556052771</v>
      </c>
      <c r="J25" s="42">
        <f t="shared" si="10"/>
        <v>3.7436555605276922E-2</v>
      </c>
      <c r="K25" s="44">
        <f t="array" ref="K25">MMULT(F25:G25,MMULT($E$65:$F$66,TRANSPOSE(F25:G25)))</f>
        <v>4.4088363052035079E-5</v>
      </c>
      <c r="L25" s="49">
        <f t="shared" si="5"/>
        <v>1.318304047826962E-3</v>
      </c>
      <c r="M25" s="1">
        <f t="shared" si="6"/>
        <v>7.4374502572942008E-2</v>
      </c>
      <c r="N25" s="2">
        <f t="shared" si="11"/>
        <v>3.163062053032335</v>
      </c>
      <c r="O25" s="45">
        <f t="shared" si="12"/>
        <v>3.3118110581782192</v>
      </c>
      <c r="P25" s="80">
        <f t="shared" si="9"/>
        <v>1.6899999999999995</v>
      </c>
    </row>
    <row r="26" spans="2:19" ht="15.75" thickBot="1" x14ac:dyDescent="0.3">
      <c r="B26" s="69">
        <v>3.4</v>
      </c>
      <c r="C26" s="65">
        <f t="shared" si="0"/>
        <v>3.4</v>
      </c>
      <c r="D26">
        <v>6.7743669999999998</v>
      </c>
      <c r="F26" s="10">
        <v>1</v>
      </c>
      <c r="G26" s="22">
        <f t="shared" si="1"/>
        <v>6.7743669999999998</v>
      </c>
      <c r="H26" s="60">
        <f t="shared" si="2"/>
        <v>3.4</v>
      </c>
      <c r="I26" s="57">
        <f t="shared" si="3"/>
        <v>3.4404209900847018</v>
      </c>
      <c r="J26" s="42">
        <f t="shared" si="10"/>
        <v>4.0420990084701902E-2</v>
      </c>
      <c r="K26" s="44">
        <f t="array" ref="K26">MMULT(F26:G26,MMULT($E$65:$F$66,TRANSPOSE(F26:G26)))</f>
        <v>4.6614997583653079E-5</v>
      </c>
      <c r="L26" s="49">
        <f t="shared" si="5"/>
        <v>1.3208306823585798E-3</v>
      </c>
      <c r="M26" s="1">
        <f t="shared" si="6"/>
        <v>7.4445740779866112E-2</v>
      </c>
      <c r="N26" s="2">
        <f t="shared" si="11"/>
        <v>3.3659752493048356</v>
      </c>
      <c r="O26" s="45">
        <f t="shared" si="12"/>
        <v>3.514866730864568</v>
      </c>
      <c r="P26" s="80">
        <f t="shared" si="9"/>
        <v>1.4399999999999993</v>
      </c>
      <c r="S26" s="76"/>
    </row>
    <row r="27" spans="2:19" x14ac:dyDescent="0.25">
      <c r="B27" s="68">
        <v>3.6</v>
      </c>
      <c r="C27" s="65">
        <f t="shared" si="0"/>
        <v>3.6</v>
      </c>
      <c r="D27">
        <v>6.9633430000000001</v>
      </c>
      <c r="F27" s="10">
        <v>1</v>
      </c>
      <c r="G27" s="22">
        <f t="shared" si="1"/>
        <v>6.9633430000000001</v>
      </c>
      <c r="H27" s="60">
        <f t="shared" si="2"/>
        <v>3.6</v>
      </c>
      <c r="I27" s="57">
        <f t="shared" si="3"/>
        <v>3.6110215135057855</v>
      </c>
      <c r="J27" s="42">
        <f t="shared" si="10"/>
        <v>1.1021513505785396E-2</v>
      </c>
      <c r="K27" s="44">
        <f t="array" ref="K27">MMULT(F27:G27,MMULT($E$65:$F$66,TRANSPOSE(F27:G27)))</f>
        <v>4.9642237946114089E-5</v>
      </c>
      <c r="L27" s="49">
        <f t="shared" si="5"/>
        <v>1.323857922721041E-3</v>
      </c>
      <c r="M27" s="1">
        <f t="shared" si="6"/>
        <v>7.4531003854180766E-2</v>
      </c>
      <c r="N27" s="2">
        <f t="shared" si="11"/>
        <v>3.5364905096516046</v>
      </c>
      <c r="O27" s="45">
        <f t="shared" si="12"/>
        <v>3.6855525173599664</v>
      </c>
      <c r="P27" s="80">
        <f t="shared" si="9"/>
        <v>1.2100000000000002</v>
      </c>
    </row>
    <row r="28" spans="2:19" ht="15.75" thickBot="1" x14ac:dyDescent="0.3">
      <c r="B28" s="69">
        <v>3.8</v>
      </c>
      <c r="C28" s="65">
        <f t="shared" si="0"/>
        <v>3.8</v>
      </c>
      <c r="D28">
        <v>7.2315050000000003</v>
      </c>
      <c r="F28" s="10">
        <v>1</v>
      </c>
      <c r="G28" s="22">
        <f t="shared" si="1"/>
        <v>7.2315050000000003</v>
      </c>
      <c r="H28" s="60">
        <f t="shared" si="2"/>
        <v>3.8</v>
      </c>
      <c r="I28" s="57">
        <f t="shared" si="3"/>
        <v>3.8531082206095686</v>
      </c>
      <c r="J28" s="42">
        <f t="shared" si="10"/>
        <v>5.3108220609568768E-2</v>
      </c>
      <c r="K28" s="44">
        <f t="array" ref="K28">MMULT(F28:G28,MMULT($E$65:$F$66,TRANSPOSE(F28:G28)))</f>
        <v>5.5354574257904316E-5</v>
      </c>
      <c r="L28" s="49">
        <f t="shared" si="5"/>
        <v>1.3295702590328312E-3</v>
      </c>
      <c r="M28" s="1">
        <f t="shared" si="6"/>
        <v>7.4691628297248305E-2</v>
      </c>
      <c r="N28" s="2">
        <f t="shared" si="11"/>
        <v>3.7784165923123201</v>
      </c>
      <c r="O28" s="45">
        <f t="shared" si="12"/>
        <v>3.9277998489068171</v>
      </c>
      <c r="P28" s="80">
        <f t="shared" si="9"/>
        <v>1</v>
      </c>
    </row>
    <row r="29" spans="2:19" x14ac:dyDescent="0.25">
      <c r="B29" s="68">
        <v>4</v>
      </c>
      <c r="C29" s="65">
        <f t="shared" si="0"/>
        <v>4</v>
      </c>
      <c r="D29">
        <v>7.4706169999999998</v>
      </c>
      <c r="F29" s="10">
        <v>1</v>
      </c>
      <c r="G29" s="22">
        <f t="shared" si="1"/>
        <v>7.4706169999999998</v>
      </c>
      <c r="H29" s="60">
        <f t="shared" si="2"/>
        <v>4</v>
      </c>
      <c r="I29" s="57">
        <f t="shared" si="3"/>
        <v>4.0689696652176774</v>
      </c>
      <c r="J29" s="42">
        <f t="shared" si="10"/>
        <v>6.8969665217677445E-2</v>
      </c>
      <c r="K29" s="44">
        <f t="array" ref="K29">MMULT(F29:G29,MMULT($E$65:$F$66,TRANSPOSE(F29:G29)))</f>
        <v>6.1849767007183268E-5</v>
      </c>
      <c r="L29" s="49">
        <f t="shared" si="5"/>
        <v>1.3360654517821102E-3</v>
      </c>
      <c r="M29" s="1">
        <f t="shared" si="6"/>
        <v>7.4873847125858178E-2</v>
      </c>
      <c r="N29" s="2">
        <f t="shared" si="11"/>
        <v>3.9940958180918193</v>
      </c>
      <c r="O29" s="45">
        <f t="shared" si="12"/>
        <v>4.143843512343536</v>
      </c>
      <c r="P29" s="80">
        <f t="shared" si="9"/>
        <v>0.81000000000000061</v>
      </c>
    </row>
    <row r="30" spans="2:19" ht="15.75" thickBot="1" x14ac:dyDescent="0.3">
      <c r="B30" s="69">
        <v>4.2</v>
      </c>
      <c r="C30" s="7">
        <f t="shared" si="0"/>
        <v>4.2</v>
      </c>
      <c r="D30">
        <v>7.6848210000000003</v>
      </c>
      <c r="F30" s="10">
        <v>1</v>
      </c>
      <c r="G30" s="22">
        <f t="shared" si="1"/>
        <v>7.6848210000000003</v>
      </c>
      <c r="H30" s="60">
        <f t="shared" si="2"/>
        <v>4.2</v>
      </c>
      <c r="I30" s="57">
        <f t="shared" si="3"/>
        <v>4.2623450912976546</v>
      </c>
      <c r="J30" s="42">
        <f t="shared" si="10"/>
        <v>6.234509129765442E-2</v>
      </c>
      <c r="K30" s="44">
        <f t="array" ref="K30">MMULT(F30:G30,MMULT($E$65:$F$66,TRANSPOSE(F30:G30)))</f>
        <v>6.8790463909561723E-5</v>
      </c>
      <c r="L30" s="49">
        <f t="shared" si="5"/>
        <v>1.3430061486844887E-3</v>
      </c>
      <c r="M30" s="1">
        <f t="shared" si="6"/>
        <v>7.506807545175187E-2</v>
      </c>
      <c r="N30" s="2">
        <f t="shared" si="11"/>
        <v>4.1872770158459023</v>
      </c>
      <c r="O30" s="45">
        <f t="shared" si="12"/>
        <v>4.3374131667494069</v>
      </c>
      <c r="P30" s="80">
        <f t="shared" si="9"/>
        <v>0.63999999999999968</v>
      </c>
    </row>
    <row r="31" spans="2:19" x14ac:dyDescent="0.25">
      <c r="B31" s="68">
        <v>4.4000000000000004</v>
      </c>
      <c r="C31" s="5">
        <f t="shared" si="0"/>
        <v>4.4000000000000004</v>
      </c>
      <c r="D31">
        <v>7.9091959999999997</v>
      </c>
      <c r="F31" s="11">
        <v>1</v>
      </c>
      <c r="G31" s="12">
        <f t="shared" si="1"/>
        <v>7.9091959999999997</v>
      </c>
      <c r="H31" s="59">
        <f t="shared" si="2"/>
        <v>4.4000000000000004</v>
      </c>
      <c r="I31" s="56">
        <f t="shared" si="3"/>
        <v>4.4649025189212974</v>
      </c>
      <c r="J31" s="41">
        <f t="shared" si="10"/>
        <v>6.4902518921297059E-2</v>
      </c>
      <c r="K31" s="52">
        <f t="array" ref="K31">MMULT(F31:G31,MMULT($E$65:$F$66,TRANSPOSE(F31:G31)))</f>
        <v>7.7197894256325551E-5</v>
      </c>
      <c r="L31" s="53">
        <f t="shared" si="5"/>
        <v>1.3514135790312523E-3</v>
      </c>
      <c r="M31" s="54">
        <f t="shared" si="6"/>
        <v>7.5302677859631378E-2</v>
      </c>
      <c r="N31" s="17">
        <f t="shared" si="11"/>
        <v>4.3895998410616661</v>
      </c>
      <c r="O31" s="9">
        <f t="shared" si="12"/>
        <v>4.5402051967809287</v>
      </c>
      <c r="P31" s="80">
        <f t="shared" si="9"/>
        <v>0.48999999999999899</v>
      </c>
    </row>
    <row r="32" spans="2:19" ht="15.75" thickBot="1" x14ac:dyDescent="0.3">
      <c r="B32" s="69">
        <v>4.5999999999999996</v>
      </c>
      <c r="C32" s="65">
        <f t="shared" si="0"/>
        <v>4.5999999999999996</v>
      </c>
      <c r="D32">
        <v>8.0201360000000008</v>
      </c>
      <c r="F32" s="10">
        <v>1</v>
      </c>
      <c r="G32" s="22">
        <f t="shared" si="1"/>
        <v>8.0201360000000008</v>
      </c>
      <c r="H32" s="60">
        <f t="shared" si="2"/>
        <v>4.5999999999999996</v>
      </c>
      <c r="I32" s="57">
        <f t="shared" si="3"/>
        <v>4.5650550360046047</v>
      </c>
      <c r="J32" s="42">
        <f t="shared" si="10"/>
        <v>-3.4944963995394929E-2</v>
      </c>
      <c r="K32" s="44">
        <f t="array" ref="K32">MMULT(F32:G32,MMULT($E$65:$F$66,TRANSPOSE(F32:G32)))</f>
        <v>8.1784742046667549E-5</v>
      </c>
      <c r="L32" s="49">
        <f t="shared" si="5"/>
        <v>1.3560004268215943E-3</v>
      </c>
      <c r="M32" s="1">
        <f t="shared" si="6"/>
        <v>7.5430362433808504E-2</v>
      </c>
      <c r="N32" s="2">
        <f t="shared" si="11"/>
        <v>4.4896246735707965</v>
      </c>
      <c r="O32" s="45">
        <f t="shared" si="12"/>
        <v>4.6404853984384129</v>
      </c>
      <c r="P32" s="80">
        <f t="shared" si="9"/>
        <v>0.36000000000000065</v>
      </c>
    </row>
    <row r="33" spans="2:16" x14ac:dyDescent="0.25">
      <c r="B33" s="68">
        <v>4.8</v>
      </c>
      <c r="C33" s="65">
        <f t="shared" si="0"/>
        <v>4.8</v>
      </c>
      <c r="D33">
        <v>8.2414769999999997</v>
      </c>
      <c r="F33" s="10">
        <v>1</v>
      </c>
      <c r="G33" s="22">
        <f t="shared" si="1"/>
        <v>8.2414769999999997</v>
      </c>
      <c r="H33" s="60">
        <f t="shared" si="2"/>
        <v>4.8</v>
      </c>
      <c r="I33" s="57">
        <f t="shared" si="3"/>
        <v>4.7648734809634661</v>
      </c>
      <c r="J33" s="42">
        <f t="shared" si="10"/>
        <v>-3.5126519036533743E-2</v>
      </c>
      <c r="K33" s="44">
        <f t="array" ref="K33">MMULT(F33:G33,MMULT($E$65:$F$66,TRANSPOSE(F33:G33)))</f>
        <v>9.1786057610229472E-5</v>
      </c>
      <c r="L33" s="49">
        <f t="shared" si="5"/>
        <v>1.3660017423851563E-3</v>
      </c>
      <c r="M33" s="1">
        <f t="shared" si="6"/>
        <v>7.570802345292682E-2</v>
      </c>
      <c r="N33" s="2">
        <f t="shared" si="11"/>
        <v>4.6891654575105388</v>
      </c>
      <c r="O33" s="45">
        <f t="shared" si="12"/>
        <v>4.8405815044163933</v>
      </c>
      <c r="P33" s="80">
        <f t="shared" si="9"/>
        <v>0.25</v>
      </c>
    </row>
    <row r="34" spans="2:16" ht="15.75" thickBot="1" x14ac:dyDescent="0.3">
      <c r="B34" s="69">
        <v>5</v>
      </c>
      <c r="C34" s="65">
        <f t="shared" si="0"/>
        <v>5</v>
      </c>
      <c r="D34">
        <v>8.4794239999999999</v>
      </c>
      <c r="F34" s="10">
        <v>1</v>
      </c>
      <c r="G34" s="22">
        <f t="shared" si="1"/>
        <v>8.4794239999999999</v>
      </c>
      <c r="H34" s="60">
        <f t="shared" si="2"/>
        <v>5</v>
      </c>
      <c r="I34" s="57">
        <f t="shared" si="3"/>
        <v>4.9796832067830223</v>
      </c>
      <c r="J34" s="42">
        <f t="shared" si="10"/>
        <v>-2.0316793216977658E-2</v>
      </c>
      <c r="K34" s="44">
        <f t="array" ref="K34">MMULT(F34:G34,MMULT($E$65:$F$66,TRANSPOSE(F34:G34)))</f>
        <v>1.0380061530708228E-4</v>
      </c>
      <c r="L34" s="49">
        <f t="shared" si="5"/>
        <v>1.3780163000820091E-3</v>
      </c>
      <c r="M34" s="1">
        <f t="shared" si="6"/>
        <v>7.6040236458452357E-2</v>
      </c>
      <c r="N34" s="2">
        <f t="shared" si="11"/>
        <v>4.9036429703245696</v>
      </c>
      <c r="O34" s="45">
        <f t="shared" si="12"/>
        <v>5.055723443241475</v>
      </c>
      <c r="P34" s="80">
        <f t="shared" si="9"/>
        <v>0.16000000000000028</v>
      </c>
    </row>
    <row r="35" spans="2:16" x14ac:dyDescent="0.25">
      <c r="B35" s="68">
        <v>5.2</v>
      </c>
      <c r="C35" s="65">
        <f t="shared" si="0"/>
        <v>5.2</v>
      </c>
      <c r="D35">
        <v>8.7082580000000007</v>
      </c>
      <c r="F35" s="10">
        <v>1</v>
      </c>
      <c r="G35" s="22">
        <f t="shared" si="1"/>
        <v>8.7082580000000007</v>
      </c>
      <c r="H35" s="60">
        <f t="shared" si="2"/>
        <v>5.2</v>
      </c>
      <c r="I35" s="57">
        <f t="shared" si="3"/>
        <v>5.1862660542162438</v>
      </c>
      <c r="J35" s="42">
        <f t="shared" si="10"/>
        <v>-1.3733945783756418E-2</v>
      </c>
      <c r="K35" s="44">
        <f t="array" ref="K35">MMULT(F35:G35,MMULT($E$65:$F$66,TRANSPOSE(F35:G35)))</f>
        <v>1.1658937975410577E-4</v>
      </c>
      <c r="L35" s="49">
        <f t="shared" si="5"/>
        <v>1.3908050645290327E-3</v>
      </c>
      <c r="M35" s="1">
        <f t="shared" si="6"/>
        <v>7.6392269608064611E-2</v>
      </c>
      <c r="N35" s="2">
        <f t="shared" si="11"/>
        <v>5.1098737846081788</v>
      </c>
      <c r="O35" s="45">
        <f t="shared" si="12"/>
        <v>5.2626583238243088</v>
      </c>
      <c r="P35" s="80">
        <f t="shared" si="9"/>
        <v>9.0000000000000427E-2</v>
      </c>
    </row>
    <row r="36" spans="2:16" ht="15.75" thickBot="1" x14ac:dyDescent="0.3">
      <c r="B36" s="69">
        <v>5.4</v>
      </c>
      <c r="C36" s="65">
        <f t="shared" si="0"/>
        <v>5.4</v>
      </c>
      <c r="D36">
        <v>8.9437029999999993</v>
      </c>
      <c r="F36" s="10">
        <v>1</v>
      </c>
      <c r="G36" s="22">
        <f t="shared" si="1"/>
        <v>8.9437029999999993</v>
      </c>
      <c r="H36" s="60">
        <f t="shared" si="2"/>
        <v>5.4</v>
      </c>
      <c r="I36" s="57">
        <f t="shared" si="3"/>
        <v>5.3988170672384079</v>
      </c>
      <c r="J36" s="42">
        <f t="shared" si="10"/>
        <v>-1.1829327615924257E-3</v>
      </c>
      <c r="K36" s="44">
        <f t="array" ref="K36">MMULT(F36:G36,MMULT($E$65:$F$66,TRANSPOSE(F36:G36)))</f>
        <v>1.3101080922231067E-4</v>
      </c>
      <c r="L36" s="49">
        <f t="shared" si="5"/>
        <v>1.4052264939972375E-3</v>
      </c>
      <c r="M36" s="1">
        <f t="shared" si="6"/>
        <v>7.678730863562766E-2</v>
      </c>
      <c r="N36" s="2">
        <f t="shared" si="11"/>
        <v>5.3220297586027803</v>
      </c>
      <c r="O36" s="45">
        <f t="shared" si="12"/>
        <v>5.4756043758740356</v>
      </c>
      <c r="P36" s="80">
        <f t="shared" si="9"/>
        <v>4.000000000000007E-2</v>
      </c>
    </row>
    <row r="37" spans="2:16" ht="15.75" thickBot="1" x14ac:dyDescent="0.3">
      <c r="B37" s="68">
        <v>5.6</v>
      </c>
      <c r="C37" s="65">
        <f t="shared" si="0"/>
        <v>5.6</v>
      </c>
      <c r="D37">
        <v>9.1166630000000008</v>
      </c>
      <c r="F37" s="10">
        <v>1</v>
      </c>
      <c r="G37" s="22">
        <f t="shared" si="1"/>
        <v>9.1166630000000008</v>
      </c>
      <c r="H37" s="60">
        <f t="shared" si="2"/>
        <v>5.6</v>
      </c>
      <c r="I37" s="57">
        <f t="shared" si="3"/>
        <v>5.55495893991489</v>
      </c>
      <c r="J37" s="42">
        <f t="shared" si="10"/>
        <v>-4.5041060085109663E-2</v>
      </c>
      <c r="K37" s="44">
        <f t="array" ref="K37">MMULT(F37:G37,MMULT($E$65:$F$66,TRANSPOSE(F37:G37)))</f>
        <v>1.4242120130684608E-4</v>
      </c>
      <c r="L37" s="49">
        <f t="shared" si="5"/>
        <v>1.4166368860817728E-3</v>
      </c>
      <c r="M37" s="1">
        <f t="shared" si="6"/>
        <v>7.7098433519291062E-2</v>
      </c>
      <c r="N37" s="2">
        <f t="shared" si="11"/>
        <v>5.477860506395599</v>
      </c>
      <c r="O37" s="45">
        <f t="shared" si="12"/>
        <v>5.632057373434181</v>
      </c>
      <c r="P37" s="80">
        <f t="shared" si="9"/>
        <v>9.9999999999999291E-3</v>
      </c>
    </row>
    <row r="38" spans="2:16" x14ac:dyDescent="0.25">
      <c r="B38" s="68">
        <v>5.8</v>
      </c>
      <c r="C38" s="65">
        <f t="shared" si="0"/>
        <v>5.8</v>
      </c>
      <c r="D38">
        <v>9.3449740000000006</v>
      </c>
      <c r="F38" s="10">
        <v>1</v>
      </c>
      <c r="G38" s="22">
        <f>D38</f>
        <v>9.3449740000000006</v>
      </c>
      <c r="H38" s="60">
        <f t="shared" si="2"/>
        <v>5.8</v>
      </c>
      <c r="I38" s="57">
        <f t="shared" si="3"/>
        <v>5.7610696423468966</v>
      </c>
      <c r="J38" s="42">
        <f t="shared" si="10"/>
        <v>-3.8930357653103265E-2</v>
      </c>
      <c r="K38" s="44">
        <f t="array" ref="K38">MMULT(F38:G38,MMULT($E$65:$F$66,TRANSPOSE(F38:G38)))</f>
        <v>1.5854185676705623E-4</v>
      </c>
      <c r="L38" s="49">
        <f t="shared" ref="L38" si="13">K38+$K$53</f>
        <v>1.4327575415419831E-3</v>
      </c>
      <c r="M38" s="1">
        <f t="shared" ref="M38" si="14">$K$60*(K38+$K$53)^0.5</f>
        <v>7.7535864392784482E-2</v>
      </c>
      <c r="N38" s="2">
        <f t="shared" si="11"/>
        <v>5.6835337779541124</v>
      </c>
      <c r="O38" s="45">
        <f t="shared" si="12"/>
        <v>5.8386055067396807</v>
      </c>
      <c r="P38" s="80">
        <f t="shared" si="9"/>
        <v>0</v>
      </c>
    </row>
    <row r="39" spans="2:16" x14ac:dyDescent="0.25">
      <c r="L39" s="83"/>
      <c r="M39" s="79"/>
      <c r="P39" s="80">
        <f>SUM(P9:P38)</f>
        <v>85.55</v>
      </c>
    </row>
    <row r="42" spans="2:16" x14ac:dyDescent="0.25">
      <c r="B42" s="70"/>
      <c r="C42" s="47"/>
      <c r="D42" s="70"/>
      <c r="E42" s="70"/>
      <c r="F42" s="70"/>
      <c r="G42" s="13"/>
    </row>
    <row r="43" spans="2:16" x14ac:dyDescent="0.25">
      <c r="B43" s="70"/>
      <c r="C43" s="71"/>
      <c r="D43" s="70"/>
      <c r="E43" s="70"/>
      <c r="F43" s="70"/>
    </row>
    <row r="44" spans="2:16" x14ac:dyDescent="0.25">
      <c r="B44" s="70"/>
      <c r="C44" s="70"/>
      <c r="D44" s="70"/>
      <c r="E44" s="70"/>
      <c r="F44" s="70"/>
    </row>
    <row r="45" spans="2:16" x14ac:dyDescent="0.25">
      <c r="B45" s="70"/>
      <c r="C45" s="70"/>
      <c r="D45" s="70"/>
      <c r="E45" s="70"/>
      <c r="F45" s="70"/>
      <c r="J45" s="77" t="s">
        <v>39</v>
      </c>
      <c r="K45" s="77">
        <f>K54*K60</f>
        <v>7.3120264660898729E-2</v>
      </c>
      <c r="L45" s="77" t="s">
        <v>40</v>
      </c>
      <c r="M45" s="77"/>
      <c r="N45" t="s">
        <v>43</v>
      </c>
    </row>
    <row r="46" spans="2:16" x14ac:dyDescent="0.25">
      <c r="B46" s="70"/>
      <c r="C46" s="47"/>
      <c r="D46" s="70"/>
      <c r="E46" s="70"/>
      <c r="F46" s="70"/>
      <c r="N46" t="s">
        <v>44</v>
      </c>
    </row>
    <row r="47" spans="2:16" ht="15.75" thickBot="1" x14ac:dyDescent="0.3"/>
    <row r="48" spans="2:16" ht="15.75" thickBot="1" x14ac:dyDescent="0.3">
      <c r="J48" s="34" t="s">
        <v>12</v>
      </c>
      <c r="K48" s="25">
        <f>SUMSQ(J9:J38)</f>
        <v>3.5678039173697954E-2</v>
      </c>
    </row>
    <row r="49" spans="3:15" ht="15.75" thickBot="1" x14ac:dyDescent="0.3">
      <c r="C49" s="72">
        <v>0</v>
      </c>
      <c r="D49" s="72" t="s">
        <v>32</v>
      </c>
      <c r="J49" s="86" t="s">
        <v>50</v>
      </c>
      <c r="K49" s="86">
        <f>(K48/K52)^0.5</f>
        <v>3.5696157843315951E-2</v>
      </c>
    </row>
    <row r="50" spans="3:15" x14ac:dyDescent="0.25">
      <c r="D50" s="3"/>
      <c r="E50" s="3"/>
      <c r="J50" s="19" t="s">
        <v>13</v>
      </c>
      <c r="K50" s="26">
        <v>2</v>
      </c>
      <c r="L50" t="s">
        <v>36</v>
      </c>
    </row>
    <row r="51" spans="3:15" ht="15.75" thickBot="1" x14ac:dyDescent="0.3">
      <c r="D51" s="3"/>
      <c r="E51" s="3"/>
      <c r="J51" s="28" t="s">
        <v>14</v>
      </c>
      <c r="K51" s="27">
        <f>COUNT(C9:C38)</f>
        <v>30</v>
      </c>
    </row>
    <row r="52" spans="3:15" ht="15.75" thickBot="1" x14ac:dyDescent="0.3">
      <c r="D52" s="18" t="s">
        <v>7</v>
      </c>
      <c r="E52" s="17" cm="1">
        <f t="array" ref="E52:F53">MMULT(TRANSPOSE(F9:G38),F9:G38)</f>
        <v>30</v>
      </c>
      <c r="F52" s="6">
        <v>185.272109</v>
      </c>
      <c r="J52" s="29" t="s">
        <v>15</v>
      </c>
      <c r="K52" s="30">
        <f>K51-K50</f>
        <v>28</v>
      </c>
    </row>
    <row r="53" spans="3:15" ht="15.75" thickBot="1" x14ac:dyDescent="0.3">
      <c r="D53" s="3"/>
      <c r="E53" s="7">
        <v>185.272109</v>
      </c>
      <c r="F53" s="8">
        <v>1254.4573724799166</v>
      </c>
      <c r="J53" s="31" t="s">
        <v>17</v>
      </c>
      <c r="K53" s="32">
        <f>$K$48/$K$52</f>
        <v>1.2742156847749268E-3</v>
      </c>
    </row>
    <row r="54" spans="3:15" ht="15.75" thickBot="1" x14ac:dyDescent="0.3">
      <c r="J54" s="15" t="s">
        <v>16</v>
      </c>
      <c r="K54" s="33">
        <f>K53^0.5</f>
        <v>3.5696157843315951E-2</v>
      </c>
      <c r="L54" s="16" t="s">
        <v>18</v>
      </c>
      <c r="M54" s="47" t="s">
        <v>38</v>
      </c>
      <c r="O54" t="s">
        <v>41</v>
      </c>
    </row>
    <row r="55" spans="3:15" ht="15.75" thickBot="1" x14ac:dyDescent="0.3">
      <c r="O55" t="s">
        <v>45</v>
      </c>
    </row>
    <row r="56" spans="3:15" ht="15.75" thickBot="1" x14ac:dyDescent="0.3">
      <c r="D56" s="18" t="s">
        <v>8</v>
      </c>
      <c r="E56" s="5">
        <f t="array" ref="E56:F57">MINVERSE(E52:F53)</f>
        <v>0.37922308412125166</v>
      </c>
      <c r="F56" s="6">
        <v>-5.6007850181257188E-2</v>
      </c>
      <c r="J56" s="5" t="s">
        <v>21</v>
      </c>
      <c r="K56" s="9">
        <f>E65^0.5</f>
        <v>2.1982083655013699E-2</v>
      </c>
      <c r="L56" t="s">
        <v>48</v>
      </c>
    </row>
    <row r="57" spans="3:15" ht="15.75" thickBot="1" x14ac:dyDescent="0.3">
      <c r="E57" s="7">
        <v>-5.6007850181257195E-2</v>
      </c>
      <c r="F57" s="8">
        <v>9.0690148371858591E-3</v>
      </c>
      <c r="J57" s="7" t="s">
        <v>22</v>
      </c>
      <c r="K57" s="43">
        <f>F66^0.5</f>
        <v>3.3993942035307925E-3</v>
      </c>
    </row>
    <row r="58" spans="3:15" ht="15.75" thickBot="1" x14ac:dyDescent="0.3"/>
    <row r="59" spans="3:15" ht="15.75" thickBot="1" x14ac:dyDescent="0.3">
      <c r="D59" s="18" t="s">
        <v>9</v>
      </c>
      <c r="E59" cm="1">
        <f t="array" ref="E59:E60">MMULT(TRANSPOSE(F9:G38),H9:H38)</f>
        <v>87</v>
      </c>
      <c r="J59" s="5" t="s">
        <v>25</v>
      </c>
      <c r="K59" s="46">
        <f>95%</f>
        <v>0.95</v>
      </c>
    </row>
    <row r="60" spans="3:15" ht="15.75" thickBot="1" x14ac:dyDescent="0.3">
      <c r="E60">
        <v>636.83277379999993</v>
      </c>
      <c r="J60" s="7" t="s">
        <v>26</v>
      </c>
      <c r="K60" s="43">
        <f>_xlfn.T.INV.2T(1-K59,K52)</f>
        <v>2.0484071417952445</v>
      </c>
    </row>
    <row r="61" spans="3:15" ht="15.75" thickBot="1" x14ac:dyDescent="0.3"/>
    <row r="62" spans="3:15" ht="15.75" thickBot="1" x14ac:dyDescent="0.3">
      <c r="D62" s="35" t="s">
        <v>10</v>
      </c>
      <c r="E62" s="23">
        <f t="array" ref="E62:E63">MMULT(E56:F57,E59:E60)</f>
        <v>-2.6752262669559457</v>
      </c>
      <c r="J62" s="62" t="s">
        <v>31</v>
      </c>
      <c r="K62" s="61">
        <f>F65/K56/K57</f>
        <v>-0.95503978496730102</v>
      </c>
      <c r="L62" s="81" t="s">
        <v>47</v>
      </c>
    </row>
    <row r="63" spans="3:15" ht="15.75" thickBot="1" x14ac:dyDescent="0.3">
      <c r="E63" s="24">
        <v>0.9027629086290494</v>
      </c>
    </row>
    <row r="64" spans="3:15" ht="15.75" thickBot="1" x14ac:dyDescent="0.3"/>
    <row r="65" spans="3:14" ht="15.75" thickBot="1" x14ac:dyDescent="0.3">
      <c r="D65" s="18" t="s">
        <v>23</v>
      </c>
      <c r="E65" s="36">
        <f t="array" ref="E65:F66">K53*E56:F57</f>
        <v>4.8321200181602038E-4</v>
      </c>
      <c r="F65" s="37">
        <v>-7.1366081171482141E-5</v>
      </c>
      <c r="J65" s="82" t="s">
        <v>31</v>
      </c>
      <c r="K65" s="82">
        <f>1-(K53/(P39/K52))</f>
        <v>0.99958295687698773</v>
      </c>
      <c r="L65" s="82" t="s">
        <v>37</v>
      </c>
      <c r="M65" s="82"/>
      <c r="N65" s="82"/>
    </row>
    <row r="66" spans="3:14" ht="15.75" thickBot="1" x14ac:dyDescent="0.3">
      <c r="E66" s="38">
        <v>-7.1366081171482141E-5</v>
      </c>
      <c r="F66" s="39">
        <v>1.1555880950998751E-5</v>
      </c>
    </row>
    <row r="68" spans="3:14" x14ac:dyDescent="0.25">
      <c r="J68" s="84" t="s">
        <v>51</v>
      </c>
      <c r="K68" s="85">
        <f>MAX(M9:M38)</f>
        <v>7.7535864392784482E-2</v>
      </c>
      <c r="L68" s="84" t="s">
        <v>49</v>
      </c>
    </row>
    <row r="69" spans="3:14" x14ac:dyDescent="0.25">
      <c r="C69" s="70"/>
      <c r="D69" s="70"/>
      <c r="E69" s="70"/>
      <c r="F69" s="70"/>
      <c r="G69" s="70"/>
    </row>
    <row r="70" spans="3:14" x14ac:dyDescent="0.25">
      <c r="C70" s="70"/>
      <c r="D70" s="47"/>
      <c r="E70" s="47"/>
      <c r="F70" s="70"/>
      <c r="G70" s="70"/>
    </row>
    <row r="76" spans="3:14" x14ac:dyDescent="0.25">
      <c r="I76" t="s">
        <v>42</v>
      </c>
    </row>
  </sheetData>
  <phoneticPr fontId="7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944DC-5BA6-4A51-BC7F-393126F6D5A9}">
  <dimension ref="A1:G32"/>
  <sheetViews>
    <sheetView workbookViewId="0">
      <selection activeCell="J3" sqref="J3"/>
    </sheetView>
  </sheetViews>
  <sheetFormatPr defaultRowHeight="15" x14ac:dyDescent="0.25"/>
  <cols>
    <col min="3" max="3" width="16" bestFit="1" customWidth="1"/>
  </cols>
  <sheetData>
    <row r="1" spans="1:7" x14ac:dyDescent="0.25">
      <c r="A1" s="87" t="s">
        <v>33</v>
      </c>
      <c r="B1" s="88"/>
      <c r="C1" s="73" t="s">
        <v>35</v>
      </c>
      <c r="D1" s="74" t="s">
        <v>34</v>
      </c>
      <c r="E1" s="75"/>
      <c r="F1" s="75"/>
      <c r="G1" s="75"/>
    </row>
    <row r="2" spans="1:7" x14ac:dyDescent="0.25">
      <c r="A2" s="74">
        <v>9.6708700000000007</v>
      </c>
      <c r="B2" s="74">
        <v>9.7046759999999992</v>
      </c>
      <c r="C2" s="74">
        <v>2.9665710000000001</v>
      </c>
      <c r="D2" s="74">
        <v>0</v>
      </c>
    </row>
    <row r="3" spans="1:7" x14ac:dyDescent="0.25">
      <c r="A3" s="74">
        <v>9.432741</v>
      </c>
      <c r="B3" s="74">
        <v>9.4968540000000008</v>
      </c>
      <c r="C3" s="74">
        <v>3.181009</v>
      </c>
      <c r="D3" s="74">
        <v>2E-3</v>
      </c>
    </row>
    <row r="4" spans="1:7" x14ac:dyDescent="0.25">
      <c r="A4" s="74">
        <v>9.2180590000000002</v>
      </c>
      <c r="B4" s="74">
        <v>9.2458270000000002</v>
      </c>
      <c r="C4" s="74">
        <v>3.4104169999999998</v>
      </c>
      <c r="D4" s="74">
        <v>4.0000000000000001E-3</v>
      </c>
    </row>
    <row r="5" spans="1:7" x14ac:dyDescent="0.25">
      <c r="A5" s="74">
        <v>9.0150749999999995</v>
      </c>
      <c r="B5" s="74">
        <v>9.0401550000000004</v>
      </c>
      <c r="C5" s="74">
        <v>3.6567495000000001</v>
      </c>
      <c r="D5" s="74">
        <v>6.0000000000000001E-3</v>
      </c>
    </row>
    <row r="6" spans="1:7" x14ac:dyDescent="0.25">
      <c r="A6" s="74">
        <v>8.7981960000000008</v>
      </c>
      <c r="B6" s="74">
        <v>8.8298919999999992</v>
      </c>
      <c r="C6" s="74">
        <v>3.9171960000000001</v>
      </c>
      <c r="D6" s="74">
        <v>8.0000000000000002E-3</v>
      </c>
    </row>
    <row r="7" spans="1:7" x14ac:dyDescent="0.25">
      <c r="A7" s="74">
        <v>8.5763020000000001</v>
      </c>
      <c r="B7" s="74">
        <v>8.6159230000000004</v>
      </c>
      <c r="C7" s="74">
        <v>4.1079724999999998</v>
      </c>
      <c r="D7" s="74">
        <v>0.01</v>
      </c>
    </row>
    <row r="8" spans="1:7" x14ac:dyDescent="0.25">
      <c r="A8" s="74">
        <v>8.3156940000000006</v>
      </c>
      <c r="B8" s="74">
        <v>8.3783169999999991</v>
      </c>
      <c r="C8" s="74">
        <v>4.3037574999999997</v>
      </c>
      <c r="D8" s="74">
        <v>1.2E-2</v>
      </c>
    </row>
    <row r="9" spans="1:7" x14ac:dyDescent="0.25">
      <c r="A9" s="74">
        <v>8.1123270000000005</v>
      </c>
      <c r="B9" s="74">
        <v>8.1421759999999992</v>
      </c>
      <c r="C9" s="74">
        <v>4.5054095000000007</v>
      </c>
      <c r="D9" s="74">
        <v>1.4E-2</v>
      </c>
    </row>
    <row r="10" spans="1:7" x14ac:dyDescent="0.25">
      <c r="A10" s="74">
        <v>7.9218700000000002</v>
      </c>
      <c r="B10" s="74">
        <v>7.9302000000000001</v>
      </c>
      <c r="C10" s="74">
        <v>4.7310794999999999</v>
      </c>
      <c r="D10" s="74">
        <v>1.6E-2</v>
      </c>
    </row>
    <row r="11" spans="1:7" x14ac:dyDescent="0.25">
      <c r="A11" s="74">
        <v>7.72105</v>
      </c>
      <c r="B11" s="74">
        <v>7.7144209999999998</v>
      </c>
      <c r="C11" s="74">
        <v>4.9478309999999999</v>
      </c>
      <c r="D11" s="74">
        <v>1.7999999999999999E-2</v>
      </c>
    </row>
    <row r="12" spans="1:7" x14ac:dyDescent="0.25">
      <c r="A12" s="74">
        <v>7.4718439999999999</v>
      </c>
      <c r="B12" s="74">
        <v>7.4936499999999997</v>
      </c>
      <c r="C12" s="74">
        <v>5.1631105000000002</v>
      </c>
      <c r="D12" s="74">
        <v>0.02</v>
      </c>
    </row>
    <row r="13" spans="1:7" x14ac:dyDescent="0.25">
      <c r="A13" s="74">
        <v>7.2651700000000003</v>
      </c>
      <c r="B13" s="74">
        <v>7.2692329999999998</v>
      </c>
      <c r="C13" s="74">
        <v>5.3936299999999999</v>
      </c>
      <c r="D13" s="74">
        <v>2.1999999999999999E-2</v>
      </c>
    </row>
    <row r="14" spans="1:7" x14ac:dyDescent="0.25">
      <c r="A14" s="74">
        <v>7.0295670000000001</v>
      </c>
      <c r="B14" s="74">
        <v>7.0079820000000002</v>
      </c>
      <c r="C14" s="74">
        <v>5.6214414999999995</v>
      </c>
      <c r="D14" s="74">
        <v>2.4E-2</v>
      </c>
    </row>
    <row r="15" spans="1:7" x14ac:dyDescent="0.25">
      <c r="A15" s="74">
        <v>6.8045280000000004</v>
      </c>
      <c r="B15" s="74">
        <v>6.795674</v>
      </c>
      <c r="C15" s="74">
        <v>5.8611424999999997</v>
      </c>
      <c r="D15" s="74">
        <v>2.5999999999999999E-2</v>
      </c>
    </row>
    <row r="16" spans="1:7" x14ac:dyDescent="0.25">
      <c r="A16" s="74">
        <v>6.55403</v>
      </c>
      <c r="B16" s="74">
        <v>6.5765089999999997</v>
      </c>
      <c r="C16" s="74">
        <v>6.095294</v>
      </c>
      <c r="D16" s="74">
        <v>2.8000000000000001E-2</v>
      </c>
    </row>
    <row r="17" spans="1:4" x14ac:dyDescent="0.25">
      <c r="A17" s="74">
        <v>6.3443240000000003</v>
      </c>
      <c r="B17" s="74">
        <v>6.3512849999999998</v>
      </c>
      <c r="C17" s="74">
        <v>6.3478045000000005</v>
      </c>
      <c r="D17" s="74">
        <v>0.03</v>
      </c>
    </row>
    <row r="18" spans="1:4" x14ac:dyDescent="0.25">
      <c r="A18" s="74">
        <v>6.0923069999999999</v>
      </c>
      <c r="B18" s="74">
        <v>6.0982810000000001</v>
      </c>
      <c r="C18" s="74">
        <v>6.5652694999999994</v>
      </c>
      <c r="D18" s="74">
        <v>3.2000000000000001E-2</v>
      </c>
    </row>
    <row r="19" spans="1:4" x14ac:dyDescent="0.25">
      <c r="A19" s="74">
        <v>5.8602670000000003</v>
      </c>
      <c r="B19" s="74">
        <v>5.862018</v>
      </c>
      <c r="C19" s="74">
        <v>6.8001009999999997</v>
      </c>
      <c r="D19" s="74">
        <v>3.4000000000000002E-2</v>
      </c>
    </row>
    <row r="20" spans="1:4" x14ac:dyDescent="0.25">
      <c r="A20" s="74">
        <v>5.6198569999999997</v>
      </c>
      <c r="B20" s="74">
        <v>5.6230260000000003</v>
      </c>
      <c r="C20" s="74">
        <v>7.0187745000000001</v>
      </c>
      <c r="D20" s="74">
        <v>3.5999999999999997E-2</v>
      </c>
    </row>
    <row r="21" spans="1:4" x14ac:dyDescent="0.25">
      <c r="A21" s="74">
        <v>5.3942290000000002</v>
      </c>
      <c r="B21" s="74">
        <v>5.3930309999999997</v>
      </c>
      <c r="C21" s="74">
        <v>7.2672015000000005</v>
      </c>
      <c r="D21" s="74">
        <v>3.7999999999999999E-2</v>
      </c>
    </row>
    <row r="22" spans="1:4" x14ac:dyDescent="0.25">
      <c r="A22" s="74">
        <v>5.163837</v>
      </c>
      <c r="B22" s="74">
        <v>5.1623840000000003</v>
      </c>
      <c r="C22" s="74">
        <v>7.4827469999999998</v>
      </c>
      <c r="D22" s="74">
        <v>0.04</v>
      </c>
    </row>
    <row r="23" spans="1:4" x14ac:dyDescent="0.25">
      <c r="A23" s="74">
        <v>4.9407509999999997</v>
      </c>
      <c r="B23" s="74">
        <v>4.9549110000000001</v>
      </c>
      <c r="C23" s="74">
        <v>7.7177354999999999</v>
      </c>
      <c r="D23" s="74">
        <v>4.2000000000000003E-2</v>
      </c>
    </row>
    <row r="24" spans="1:4" x14ac:dyDescent="0.25">
      <c r="A24" s="74">
        <v>4.7336090000000004</v>
      </c>
      <c r="B24" s="74">
        <v>4.7285500000000003</v>
      </c>
      <c r="C24" s="74">
        <v>7.9260350000000006</v>
      </c>
      <c r="D24" s="74">
        <v>4.3999999999999997E-2</v>
      </c>
    </row>
    <row r="25" spans="1:4" x14ac:dyDescent="0.25">
      <c r="A25" s="74">
        <v>4.5062610000000003</v>
      </c>
      <c r="B25" s="74">
        <v>4.5045580000000003</v>
      </c>
      <c r="C25" s="74">
        <v>8.1272514999999999</v>
      </c>
      <c r="D25" s="74">
        <v>4.5999999999999999E-2</v>
      </c>
    </row>
    <row r="26" spans="1:4" x14ac:dyDescent="0.25">
      <c r="A26" s="74">
        <v>4.3079929999999997</v>
      </c>
      <c r="B26" s="74">
        <v>4.2995219999999996</v>
      </c>
      <c r="C26" s="74">
        <v>8.3470054999999999</v>
      </c>
      <c r="D26" s="74">
        <v>4.8000000000000001E-2</v>
      </c>
    </row>
    <row r="27" spans="1:4" x14ac:dyDescent="0.25">
      <c r="A27" s="74">
        <v>4.105264</v>
      </c>
      <c r="B27" s="74">
        <v>4.1106809999999996</v>
      </c>
      <c r="C27" s="74">
        <v>8.5961125000000003</v>
      </c>
      <c r="D27" s="74">
        <v>0.05</v>
      </c>
    </row>
    <row r="28" spans="1:4" x14ac:dyDescent="0.25">
      <c r="A28" s="74">
        <v>3.9225210000000001</v>
      </c>
      <c r="B28" s="74">
        <v>3.9118710000000001</v>
      </c>
      <c r="C28" s="74">
        <v>8.8140439999999991</v>
      </c>
      <c r="D28" s="74">
        <v>5.1999999999999998E-2</v>
      </c>
    </row>
    <row r="29" spans="1:4" x14ac:dyDescent="0.25">
      <c r="A29" s="74">
        <v>3.6618240000000002</v>
      </c>
      <c r="B29" s="74">
        <v>3.651675</v>
      </c>
      <c r="C29" s="74">
        <v>9.0276150000000008</v>
      </c>
      <c r="D29" s="74">
        <v>5.3999999999999999E-2</v>
      </c>
    </row>
    <row r="30" spans="1:4" x14ac:dyDescent="0.25">
      <c r="A30" s="74">
        <v>3.4151030000000002</v>
      </c>
      <c r="B30" s="74">
        <v>3.4057309999999998</v>
      </c>
      <c r="C30" s="74">
        <v>9.2319430000000011</v>
      </c>
      <c r="D30" s="74">
        <v>5.6000000000000001E-2</v>
      </c>
    </row>
    <row r="31" spans="1:4" x14ac:dyDescent="0.25">
      <c r="A31" s="74">
        <v>3.1869839999999998</v>
      </c>
      <c r="B31" s="74">
        <v>3.1750340000000001</v>
      </c>
      <c r="C31" s="74">
        <v>9.4647974999999995</v>
      </c>
      <c r="D31" s="74">
        <v>5.8000000000000003E-2</v>
      </c>
    </row>
    <row r="32" spans="1:4" x14ac:dyDescent="0.25">
      <c r="A32" s="74">
        <v>2.9638170000000001</v>
      </c>
      <c r="B32" s="74">
        <v>2.969325</v>
      </c>
      <c r="C32" s="74">
        <v>9.687773</v>
      </c>
      <c r="D32" s="74">
        <v>0.06</v>
      </c>
    </row>
  </sheetData>
  <sortState xmlns:xlrd2="http://schemas.microsoft.com/office/spreadsheetml/2017/richdata2" ref="C2:C32">
    <sortCondition ref="C2:C32"/>
  </sortState>
  <mergeCells count="1"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Foglio1</vt:lpstr>
      <vt:lpstr>Foglio2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Ghidelli</dc:creator>
  <cp:lastModifiedBy>peter william</cp:lastModifiedBy>
  <dcterms:created xsi:type="dcterms:W3CDTF">2018-10-11T12:15:19Z</dcterms:created>
  <dcterms:modified xsi:type="dcterms:W3CDTF">2021-11-29T16:59:18Z</dcterms:modified>
</cp:coreProperties>
</file>