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<sst xmlns="http://schemas.openxmlformats.org/spreadsheetml/2006/main" count="130" uniqueCount="88">
  <si>
    <t>Coût Projet</t>
  </si>
  <si>
    <t>ETAPES</t>
  </si>
  <si>
    <t>Pôles</t>
  </si>
  <si>
    <t>Estimation Basse Taux de Marge : 0%</t>
  </si>
  <si>
    <t>Estimation Haute Taux de Marge 100%</t>
  </si>
  <si>
    <t>Légende Pôles d'activités</t>
  </si>
  <si>
    <t>Pôles d'activités du devis</t>
  </si>
  <si>
    <t>Budget réel par pôles</t>
  </si>
  <si>
    <t>Pourcentage répartition dans devis</t>
  </si>
  <si>
    <t>Budget pour devis par pôles</t>
  </si>
  <si>
    <t>PHASE D'INITIALISATION</t>
  </si>
  <si>
    <t>CP : Chef de Projet</t>
  </si>
  <si>
    <t>Développement du site internet</t>
  </si>
  <si>
    <t>Recueil des besoins</t>
  </si>
  <si>
    <t>CP</t>
  </si>
  <si>
    <t>MR : Marketing</t>
  </si>
  <si>
    <t>Gestion de projet</t>
  </si>
  <si>
    <t>Analyse SWOT et Benchmarking</t>
  </si>
  <si>
    <t>MR</t>
  </si>
  <si>
    <t>DG : Graphique et design</t>
  </si>
  <si>
    <t>Conception graphique</t>
  </si>
  <si>
    <t>Réunions de projet</t>
  </si>
  <si>
    <t>DV : Développement</t>
  </si>
  <si>
    <t>Marketing et Référencement</t>
  </si>
  <si>
    <t>Rédaction note de cadrage</t>
  </si>
  <si>
    <t>HB : Hébergement</t>
  </si>
  <si>
    <t>Formation utilisateur</t>
  </si>
  <si>
    <t>Rédaction pro. commerciale, devis</t>
  </si>
  <si>
    <t>FU : Formation utilisateur</t>
  </si>
  <si>
    <t>Recette et mise en ligne du site</t>
  </si>
  <si>
    <t>PHASE DE LANCEMENT</t>
  </si>
  <si>
    <t>Charte graphique</t>
  </si>
  <si>
    <t>DG</t>
  </si>
  <si>
    <t>Codes Couleur :</t>
  </si>
  <si>
    <t>Total</t>
  </si>
  <si>
    <t>Cellules fond vert :</t>
  </si>
  <si>
    <t>Création wireframe</t>
  </si>
  <si>
    <t>MODIFIABLE : Faire une selection avec la flèche, ou bien modifier le montant selon le diagramme de Gantt. Proposer un taux de marge.</t>
  </si>
  <si>
    <t>DEVIS CLIENT</t>
  </si>
  <si>
    <t>Spécificités techniques</t>
  </si>
  <si>
    <t>DV</t>
  </si>
  <si>
    <t>Cahier des charges</t>
  </si>
  <si>
    <t>Description</t>
  </si>
  <si>
    <t>Unité de valeur</t>
  </si>
  <si>
    <t>Prix</t>
  </si>
  <si>
    <t>Planning</t>
  </si>
  <si>
    <t>PHASE DE CONCEPTION</t>
  </si>
  <si>
    <t>Cellules fond jaune :</t>
  </si>
  <si>
    <t>MODIFIABLE : Permet de répartir proportionnellement chaque pôle d'activité du projet. Le total devant être égal à 100%.</t>
  </si>
  <si>
    <t>Conception éditoriale</t>
  </si>
  <si>
    <t>Conception marketing</t>
  </si>
  <si>
    <t>PHASE DE PRODUCTION</t>
  </si>
  <si>
    <t>Intégration des maquettes</t>
  </si>
  <si>
    <t>Cellules fond gris :</t>
  </si>
  <si>
    <t>Référencement et SEO</t>
  </si>
  <si>
    <t>MODIFIABLE : Nombre entier correspondant aux unités de valeur de travail (équivalent jour/homme). A varier selon les besoins.</t>
  </si>
  <si>
    <t>TOTAL PRESTATION HORS TAXE</t>
  </si>
  <si>
    <t>Création base de données</t>
  </si>
  <si>
    <t>TVA Taux à</t>
  </si>
  <si>
    <t>Codage de l’application et tests</t>
  </si>
  <si>
    <t>TOTAL PRESTATION TTC</t>
  </si>
  <si>
    <t>Préparation de l’hébergement</t>
  </si>
  <si>
    <t>HB</t>
  </si>
  <si>
    <t>Phase de recette</t>
  </si>
  <si>
    <t>Cellules fond rouge :</t>
  </si>
  <si>
    <t>Mise en ligne du site</t>
  </si>
  <si>
    <t>NON MODIFIABLE : Pour le pourcentage signifie une erreur dans les valeurs de répartition du devis.</t>
  </si>
  <si>
    <t>Rédaction du manuel de l’utilisateur</t>
  </si>
  <si>
    <t>FU</t>
  </si>
  <si>
    <t>PHASE DE MAINTENANCE</t>
  </si>
  <si>
    <t>Journée de formation</t>
  </si>
  <si>
    <t>Cellules fond bleu :</t>
  </si>
  <si>
    <t>TOTAL PRESTATION</t>
  </si>
  <si>
    <t>NON MODIFIABLE : Montant total de la prestation facturé au client en Hors Taxe et TTC.</t>
  </si>
  <si>
    <t>OPTIONS</t>
  </si>
  <si>
    <t>Non</t>
  </si>
  <si>
    <t>INSCRIPTION VIA RESEAU SOCIAUX</t>
  </si>
  <si>
    <t>Développement</t>
  </si>
  <si>
    <t>Explications générales :</t>
  </si>
  <si>
    <t>CREATION DU BLOG</t>
  </si>
  <si>
    <t>Les coûts (D5-D31) sont tirés du diagramme de Gantt dans la partie estimation basse et mulipliés par 2 pour l'estimation haute. Ils peuvent être modifiés si nécessaire.
Modifications à faire :
OPTIONS (A35-A47) : on sélectionne une ou plusieurs options en cliquant sur la flèche. 
POURCENTAGE REPARTITION DANS DEVIS (N4-N9) : pour reprendre ce que disait Stéphane on peut répartir la valeur de chaque poste en % du total selon notre choix. 
TAUX DE MARGE (N42) : on indique un taux de marge et cela nous permet d'avoir une représentation dde notre futur devis.</t>
  </si>
  <si>
    <t>Graphique</t>
  </si>
  <si>
    <t>AUTO-COMPLETION</t>
  </si>
  <si>
    <t>MARGE REALISEE</t>
  </si>
  <si>
    <t>BOOKMARK OBSERVATION</t>
  </si>
  <si>
    <t>TAUX DE MARGE</t>
  </si>
  <si>
    <t>SYSTEME BADGE GAMIFICATION</t>
  </si>
  <si>
    <t>SYSTEME DE MODERATION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</si>
</sst>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12">
    <font>
      <sz val="10.0"/>
      <color rgb="FF000000"/>
      <name val="Arial"/>
    </font>
    <font>
      <b/>
      <sz val="14.0"/>
      <color rgb="FFFF9900"/>
    </font>
    <font/>
    <font>
      <b/>
      <sz val="14.0"/>
      <color rgb="FF0000FF"/>
    </font>
    <font>
      <b/>
      <sz val="12.0"/>
    </font>
    <font>
      <b/>
    </font>
    <font>
      <b/>
      <color rgb="FF0000FF"/>
    </font>
    <font>
      <b/>
      <sz val="12.0"/>
      <color rgb="FF0000FF"/>
    </font>
    <font>
      <b/>
      <sz val="12.0"/>
      <color rgb="FFEFEFEF"/>
    </font>
    <font>
      <color rgb="FF0000FF"/>
    </font>
    <font>
      <color rgb="FFEFEFEF"/>
    </font>
    <font>
      <b/>
      <color rgb="FFFF0000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32">
    <border/>
    <border>
      <left style="thin">
        <color rgb="FF0000FF"/>
      </left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980000"/>
      </left>
      <top style="thin">
        <color rgb="FF980000"/>
      </top>
    </border>
    <border>
      <top style="thin">
        <color rgb="FF980000"/>
      </top>
    </border>
    <border>
      <right style="thin">
        <color rgb="FF980000"/>
      </right>
      <top style="thin">
        <color rgb="FF980000"/>
      </top>
    </border>
    <border>
      <left style="thin">
        <color rgb="FF980000"/>
      </left>
    </border>
    <border>
      <right style="thin">
        <color rgb="FF980000"/>
      </right>
    </border>
    <border>
      <left style="thin">
        <color rgb="FF980000"/>
      </left>
      <top style="thin">
        <color rgb="FF980000"/>
      </top>
      <bottom style="thin">
        <color rgb="FF980000"/>
      </bottom>
    </border>
    <border>
      <right style="thin">
        <color rgb="FF980000"/>
      </right>
      <top style="thin">
        <color rgb="FF980000"/>
      </top>
      <bottom style="thin">
        <color rgb="FF980000"/>
      </bottom>
    </border>
    <border>
      <top style="thin">
        <color rgb="FF980000"/>
      </top>
      <bottom style="thin">
        <color rgb="FF980000"/>
      </bottom>
    </border>
    <border>
      <left style="thin">
        <color rgb="FF980000"/>
      </left>
      <right style="thin">
        <color rgb="FF980000"/>
      </right>
      <top style="thin">
        <color rgb="FF980000"/>
      </top>
      <bottom style="thin">
        <color rgb="FF980000"/>
      </bottom>
    </border>
    <border>
      <left style="thin">
        <color rgb="FF980000"/>
      </left>
      <right style="thin">
        <color rgb="FF980000"/>
      </right>
    </border>
    <border>
      <left style="thin">
        <color rgb="FF980000"/>
      </left>
      <bottom style="thin">
        <color rgb="FF980000"/>
      </bottom>
    </border>
    <border>
      <right style="thin">
        <color rgb="FF980000"/>
      </right>
      <bottom style="thin">
        <color rgb="FF980000"/>
      </bottom>
    </border>
    <border>
      <left style="thin">
        <color rgb="FF980000"/>
      </left>
      <right style="thin">
        <color rgb="FF980000"/>
      </right>
      <bottom style="thin">
        <color rgb="FF980000"/>
      </bottom>
    </border>
    <border>
      <top style="thin">
        <color rgb="FF000000"/>
      </top>
      <bottom style="thin">
        <color rgb="FF000000"/>
      </bottom>
    </border>
    <border>
      <bottom style="thin">
        <color rgb="FF98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4" fillId="0" fontId="2" numFmtId="0" xfId="0" applyBorder="1" applyFont="1"/>
    <xf borderId="5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5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4" fillId="0" fontId="5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9" fillId="0" fontId="2" numFmtId="164" xfId="0" applyBorder="1" applyFont="1" applyNumberFormat="1"/>
    <xf borderId="11" fillId="0" fontId="4" numFmtId="164" xfId="0" applyBorder="1" applyFont="1" applyNumberFormat="1"/>
    <xf borderId="10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5" fillId="0" fontId="2" numFmtId="10" xfId="0" applyAlignment="1" applyBorder="1" applyFont="1" applyNumberFormat="1">
      <alignment readingOrder="0"/>
    </xf>
    <xf borderId="6" fillId="0" fontId="2" numFmtId="164" xfId="0" applyBorder="1" applyFont="1" applyNumberFormat="1"/>
    <xf borderId="8" fillId="2" fontId="2" numFmtId="10" xfId="0" applyAlignment="1" applyBorder="1" applyFill="1" applyFont="1" applyNumberFormat="1">
      <alignment readingOrder="0"/>
    </xf>
    <xf borderId="4" fillId="0" fontId="2" numFmtId="164" xfId="0" applyBorder="1" applyFont="1" applyNumberFormat="1"/>
    <xf borderId="0" fillId="0" fontId="2" numFmtId="0" xfId="0" applyAlignment="1" applyFont="1">
      <alignment readingOrder="0"/>
    </xf>
    <xf borderId="9" fillId="3" fontId="2" numFmtId="164" xfId="0" applyAlignment="1" applyBorder="1" applyFill="1" applyFont="1" applyNumberFormat="1">
      <alignment readingOrder="0"/>
    </xf>
    <xf borderId="11" fillId="0" fontId="2" numFmtId="164" xfId="0" applyBorder="1" applyFont="1" applyNumberFormat="1"/>
    <xf borderId="11" fillId="2" fontId="2" numFmtId="10" xfId="0" applyAlignment="1" applyBorder="1" applyFont="1" applyNumberFormat="1">
      <alignment readingOrder="0"/>
    </xf>
    <xf borderId="10" fillId="0" fontId="2" numFmtId="164" xfId="0" applyBorder="1" applyFont="1" applyNumberFormat="1"/>
    <xf borderId="10" fillId="0" fontId="2" numFmtId="164" xfId="0" applyAlignment="1" applyBorder="1" applyFont="1" applyNumberFormat="1">
      <alignment readingOrder="0"/>
    </xf>
    <xf borderId="12" fillId="0" fontId="2" numFmtId="0" xfId="0" applyAlignment="1" applyBorder="1" applyFont="1">
      <alignment readingOrder="0"/>
    </xf>
    <xf borderId="3" fillId="0" fontId="2" numFmtId="10" xfId="0" applyAlignment="1" applyBorder="1" applyFont="1" applyNumberFormat="1">
      <alignment readingOrder="0"/>
    </xf>
    <xf borderId="8" fillId="0" fontId="2" numFmtId="164" xfId="0" applyBorder="1" applyFont="1" applyNumberFormat="1"/>
    <xf borderId="5" fillId="0" fontId="2" numFmtId="0" xfId="0" applyBorder="1" applyFont="1"/>
    <xf borderId="3" fillId="0" fontId="2" numFmtId="0" xfId="0" applyBorder="1" applyFont="1"/>
    <xf borderId="4" fillId="0" fontId="5" numFmtId="0" xfId="0" applyAlignment="1" applyBorder="1" applyFont="1">
      <alignment readingOrder="0"/>
    </xf>
    <xf borderId="13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14" fillId="0" fontId="5" numFmtId="164" xfId="0" applyBorder="1" applyFont="1" applyNumberFormat="1"/>
    <xf borderId="12" fillId="0" fontId="2" numFmtId="10" xfId="0" applyAlignment="1" applyBorder="1" applyFont="1" applyNumberFormat="1">
      <alignment readingOrder="0"/>
    </xf>
    <xf borderId="12" fillId="0" fontId="5" numFmtId="164" xfId="0" applyBorder="1" applyFont="1" applyNumberFormat="1"/>
    <xf borderId="4" fillId="3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 shrinkToFit="0" vertical="top" wrapText="1"/>
    </xf>
    <xf borderId="15" fillId="0" fontId="6" numFmtId="0" xfId="0" applyAlignment="1" applyBorder="1" applyFont="1">
      <alignment readingOrder="0"/>
    </xf>
    <xf borderId="16" fillId="0" fontId="6" numFmtId="0" xfId="0" applyAlignment="1" applyBorder="1" applyFont="1">
      <alignment readingOrder="0"/>
    </xf>
    <xf borderId="16" fillId="0" fontId="2" numFmtId="0" xfId="0" applyBorder="1" applyFont="1"/>
    <xf borderId="17" fillId="0" fontId="2" numFmtId="0" xfId="0" applyBorder="1" applyFont="1"/>
    <xf borderId="10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5" numFmtId="0" xfId="0" applyAlignment="1" applyBorder="1" applyFont="1">
      <alignment readingOrder="0"/>
    </xf>
    <xf borderId="21" fillId="0" fontId="2" numFmtId="0" xfId="0" applyBorder="1" applyFont="1"/>
    <xf borderId="22" fillId="0" fontId="5" numFmtId="0" xfId="0" applyAlignment="1" applyBorder="1" applyFont="1">
      <alignment horizontal="right" readingOrder="0"/>
    </xf>
    <xf borderId="23" fillId="0" fontId="5" numFmtId="0" xfId="0" applyAlignment="1" applyBorder="1" applyFont="1">
      <alignment horizontal="right" readingOrder="0"/>
    </xf>
    <xf borderId="12" fillId="0" fontId="2" numFmtId="0" xfId="0" applyBorder="1" applyFont="1"/>
    <xf borderId="18" fillId="0" fontId="2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24" fillId="0" fontId="2" numFmtId="164" xfId="0" applyBorder="1" applyFont="1" applyNumberFormat="1"/>
    <xf borderId="10" fillId="2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14" fillId="0" fontId="2" numFmtId="0" xfId="0" applyBorder="1" applyFont="1"/>
    <xf borderId="4" fillId="4" fontId="2" numFmtId="0" xfId="0" applyAlignment="1" applyBorder="1" applyFont="1">
      <alignment readingOrder="0"/>
    </xf>
    <xf borderId="25" fillId="0" fontId="2" numFmtId="0" xfId="0" applyBorder="1" applyFont="1"/>
    <xf borderId="26" fillId="0" fontId="2" numFmtId="0" xfId="0" applyBorder="1" applyFont="1"/>
    <xf borderId="27" fillId="0" fontId="2" numFmtId="164" xfId="0" applyBorder="1" applyFont="1" applyNumberFormat="1"/>
    <xf borderId="20" fillId="0" fontId="7" numFmtId="0" xfId="0" applyAlignment="1" applyBorder="1" applyFont="1">
      <alignment horizontal="right" readingOrder="0"/>
    </xf>
    <xf borderId="22" fillId="0" fontId="2" numFmtId="0" xfId="0" applyBorder="1" applyFont="1"/>
    <xf borderId="23" fillId="5" fontId="8" numFmtId="164" xfId="0" applyBorder="1" applyFill="1" applyFont="1" applyNumberFormat="1"/>
    <xf borderId="18" fillId="0" fontId="2" numFmtId="0" xfId="0" applyAlignment="1" applyBorder="1" applyFont="1">
      <alignment horizontal="right" readingOrder="0"/>
    </xf>
    <xf borderId="0" fillId="0" fontId="2" numFmtId="10" xfId="0" applyAlignment="1" applyFont="1" applyNumberFormat="1">
      <alignment readingOrder="0"/>
    </xf>
    <xf borderId="23" fillId="0" fontId="2" numFmtId="164" xfId="0" applyBorder="1" applyFont="1" applyNumberFormat="1"/>
    <xf borderId="20" fillId="0" fontId="9" numFmtId="0" xfId="0" applyAlignment="1" applyBorder="1" applyFont="1">
      <alignment horizontal="right" readingOrder="0"/>
    </xf>
    <xf borderId="23" fillId="5" fontId="10" numFmtId="164" xfId="0" applyBorder="1" applyFont="1" applyNumberFormat="1"/>
    <xf borderId="10" fillId="6" fontId="2" numFmtId="0" xfId="0" applyAlignment="1" applyBorder="1" applyFill="1" applyFont="1">
      <alignment readingOrder="0"/>
    </xf>
    <xf borderId="23" fillId="0" fontId="2" numFmtId="0" xfId="0" applyBorder="1" applyFont="1"/>
    <xf borderId="21" fillId="0" fontId="5" numFmtId="0" xfId="0" applyAlignment="1" applyBorder="1" applyFont="1">
      <alignment horizontal="right"/>
    </xf>
    <xf borderId="24" fillId="0" fontId="2" numFmtId="0" xfId="0" applyBorder="1" applyFont="1"/>
    <xf borderId="18" fillId="7" fontId="0" numFmtId="0" xfId="0" applyBorder="1" applyFill="1" applyFont="1"/>
    <xf borderId="19" fillId="0" fontId="2" numFmtId="164" xfId="0" applyBorder="1" applyFont="1" applyNumberFormat="1"/>
    <xf borderId="4" fillId="5" fontId="10" numFmtId="0" xfId="0" applyAlignment="1" applyBorder="1" applyFont="1">
      <alignment readingOrder="0"/>
    </xf>
    <xf borderId="9" fillId="0" fontId="2" numFmtId="0" xfId="0" applyBorder="1" applyFont="1"/>
    <xf borderId="7" fillId="0" fontId="7" numFmtId="0" xfId="0" applyAlignment="1" applyBorder="1" applyFont="1">
      <alignment readingOrder="0" vertical="top"/>
    </xf>
    <xf borderId="28" fillId="0" fontId="2" numFmtId="0" xfId="0" applyAlignment="1" applyBorder="1" applyFont="1">
      <alignment vertical="top"/>
    </xf>
    <xf borderId="5" fillId="0" fontId="2" numFmtId="164" xfId="0" applyAlignment="1" applyBorder="1" applyFont="1" applyNumberFormat="1">
      <alignment vertical="top"/>
    </xf>
    <xf borderId="6" fillId="0" fontId="7" numFmtId="164" xfId="0" applyAlignment="1" applyBorder="1" applyFont="1" applyNumberFormat="1">
      <alignment vertical="top"/>
    </xf>
    <xf borderId="9" fillId="7" fontId="0" numFmtId="0" xfId="0" applyBorder="1" applyFont="1"/>
    <xf borderId="9" fillId="0" fontId="3" numFmtId="0" xfId="0" applyAlignment="1" applyBorder="1" applyFont="1">
      <alignment readingOrder="0"/>
    </xf>
    <xf borderId="9" fillId="3" fontId="2" numFmtId="0" xfId="0" applyAlignment="1" applyBorder="1" applyFont="1">
      <alignment readingOrder="0"/>
    </xf>
    <xf borderId="29" fillId="0" fontId="2" numFmtId="0" xfId="0" applyBorder="1" applyFont="1"/>
    <xf borderId="27" fillId="0" fontId="2" numFmtId="0" xfId="0" applyBorder="1" applyFont="1"/>
    <xf borderId="26" fillId="0" fontId="2" numFmtId="164" xfId="0" applyBorder="1" applyFont="1" applyNumberFormat="1"/>
    <xf borderId="3" fillId="0" fontId="5" numFmtId="0" xfId="0" applyAlignment="1" applyBorder="1" applyFont="1">
      <alignment readingOrder="0"/>
    </xf>
    <xf borderId="20" fillId="0" fontId="7" numFmtId="0" xfId="0" applyAlignment="1" applyBorder="1" applyFont="1">
      <alignment horizontal="right"/>
    </xf>
    <xf borderId="23" fillId="0" fontId="7" numFmtId="164" xfId="0" applyBorder="1" applyFont="1" applyNumberFormat="1"/>
    <xf borderId="3" fillId="0" fontId="2" numFmtId="0" xfId="0" applyAlignment="1" applyBorder="1" applyFont="1">
      <alignment readingOrder="0" shrinkToFit="0" vertical="top" wrapText="1"/>
    </xf>
    <xf borderId="18" fillId="0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11" fillId="0" fontId="2" numFmtId="0" xfId="0" applyBorder="1" applyFont="1"/>
    <xf borderId="20" fillId="0" fontId="9" numFmtId="0" xfId="0" applyAlignment="1" applyBorder="1" applyFont="1">
      <alignment horizontal="right"/>
    </xf>
    <xf borderId="23" fillId="0" fontId="9" numFmtId="164" xfId="0" applyBorder="1" applyFont="1" applyNumberFormat="1"/>
    <xf borderId="30" fillId="0" fontId="2" numFmtId="0" xfId="0" applyBorder="1" applyFont="1"/>
    <xf borderId="4" fillId="8" fontId="11" numFmtId="0" xfId="0" applyAlignment="1" applyBorder="1" applyFill="1" applyFont="1">
      <alignment horizontal="center" readingOrder="0" shrinkToFit="0" vertical="center" wrapText="1"/>
    </xf>
    <xf borderId="5" fillId="0" fontId="2" numFmtId="0" xfId="0" applyAlignment="1" applyBorder="1" applyFont="1">
      <alignment horizontal="right" readingOrder="0"/>
    </xf>
    <xf borderId="28" fillId="0" fontId="2" numFmtId="0" xfId="0" applyBorder="1" applyFont="1"/>
    <xf borderId="28" fillId="9" fontId="2" numFmtId="9" xfId="0" applyAlignment="1" applyBorder="1" applyFill="1" applyFont="1" applyNumberFormat="1">
      <alignment readingOrder="0"/>
    </xf>
    <xf borderId="7" fillId="8" fontId="11" numFmtId="164" xfId="0" applyBorder="1" applyFont="1" applyNumberFormat="1"/>
    <xf borderId="13" fillId="0" fontId="2" numFmtId="0" xfId="0" applyBorder="1" applyFont="1"/>
    <xf borderId="31" fillId="0" fontId="2" numFmtId="0" xfId="0" applyAlignment="1" applyBorder="1" applyFont="1">
      <alignment readingOrder="0"/>
    </xf>
    <xf borderId="13" fillId="3" fontId="2" numFmtId="164" xfId="0" applyAlignment="1" applyBorder="1" applyFont="1" applyNumberFormat="1">
      <alignment readingOrder="0"/>
    </xf>
    <xf borderId="14" fillId="0" fontId="2" numFmtId="164" xfId="0" applyBorder="1" applyFont="1" applyNumberFormat="1"/>
    <xf borderId="13" fillId="0" fontId="2" numFmtId="164" xfId="0" applyBorder="1" applyFont="1" applyNumberFormat="1"/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>
        <color rgb="FFEFEFEF"/>
      </font>
      <fill>
        <patternFill patternType="solid">
          <fgColor rgb="FF4A86E8"/>
          <bgColor rgb="FF4A86E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14"/>
    <col customWidth="1" min="2" max="2" width="42.14"/>
    <col customWidth="1" min="3" max="3" width="7.43"/>
    <col customWidth="1" min="8" max="8" width="7.14"/>
    <col customWidth="1" min="9" max="9" width="28.14"/>
    <col customWidth="1" min="10" max="10" width="19.57"/>
    <col customWidth="1" min="11" max="11" width="6.29"/>
    <col customWidth="1" min="12" max="12" width="30.57"/>
    <col customWidth="1" min="13" max="13" width="9.29"/>
    <col customWidth="1" min="14" max="14" width="22.71"/>
    <col customWidth="1" min="15" max="15" width="16.14"/>
  </cols>
  <sheetData>
    <row r="1">
      <c r="D1" s="1" t="s">
        <v>0</v>
      </c>
      <c r="E1" s="2"/>
    </row>
    <row r="3" ht="40.5" customHeight="1">
      <c r="A3" s="3" t="s">
        <v>1</v>
      </c>
      <c r="B3" s="4"/>
      <c r="C3" s="5" t="s">
        <v>2</v>
      </c>
      <c r="D3" s="6" t="s">
        <v>3</v>
      </c>
      <c r="E3" s="7"/>
      <c r="F3" s="6" t="s">
        <v>4</v>
      </c>
      <c r="G3" s="7"/>
      <c r="I3" s="8" t="s">
        <v>5</v>
      </c>
      <c r="L3" s="9" t="s">
        <v>6</v>
      </c>
      <c r="M3" s="10" t="s">
        <v>7</v>
      </c>
      <c r="N3" s="11"/>
      <c r="O3" s="12" t="s">
        <v>8</v>
      </c>
      <c r="P3" s="12" t="s">
        <v>9</v>
      </c>
    </row>
    <row r="4">
      <c r="A4" s="13"/>
      <c r="B4" s="14" t="s">
        <v>10</v>
      </c>
      <c r="D4" s="15"/>
      <c r="E4" s="16">
        <f>SUM(D5:D9)</f>
        <v>1730</v>
      </c>
      <c r="F4" s="15"/>
      <c r="G4" s="16">
        <f>SUM(F5:F9)</f>
        <v>3460</v>
      </c>
      <c r="I4" s="17" t="s">
        <v>11</v>
      </c>
      <c r="L4" s="18" t="s">
        <v>12</v>
      </c>
      <c r="M4" s="19">
        <f>(N4/N11)</f>
        <v>0.3085778994</v>
      </c>
      <c r="N4" s="20">
        <f>SUMIF(C5:C31,"DV",D5:D31)</f>
        <v>3270</v>
      </c>
      <c r="O4" s="21">
        <v>0.22</v>
      </c>
      <c r="P4" s="22">
        <f>N11*O4</f>
        <v>2331.34</v>
      </c>
    </row>
    <row r="5">
      <c r="A5" s="13"/>
      <c r="B5" s="17" t="s">
        <v>13</v>
      </c>
      <c r="C5" s="23" t="s">
        <v>14</v>
      </c>
      <c r="D5" s="24">
        <v>544.0</v>
      </c>
      <c r="E5" s="25"/>
      <c r="F5" s="15">
        <f t="shared" ref="F5:F9" si="1">D5*2</f>
        <v>1088</v>
      </c>
      <c r="G5" s="25"/>
      <c r="I5" s="17" t="s">
        <v>15</v>
      </c>
      <c r="L5" s="13" t="s">
        <v>16</v>
      </c>
      <c r="M5" s="19">
        <f>(N5/N11)</f>
        <v>0.2310087761</v>
      </c>
      <c r="N5" s="20">
        <f>SUMIF(C5:C31,"CP",D5:D31)</f>
        <v>2448</v>
      </c>
      <c r="O5" s="26">
        <v>0.17</v>
      </c>
      <c r="P5" s="27">
        <f>N11*O5</f>
        <v>1801.49</v>
      </c>
    </row>
    <row r="6">
      <c r="A6" s="13"/>
      <c r="B6" s="17" t="s">
        <v>17</v>
      </c>
      <c r="C6" s="23" t="s">
        <v>18</v>
      </c>
      <c r="D6" s="24">
        <v>234.0</v>
      </c>
      <c r="E6" s="25"/>
      <c r="F6" s="15">
        <f t="shared" si="1"/>
        <v>468</v>
      </c>
      <c r="G6" s="25"/>
      <c r="I6" s="17" t="s">
        <v>19</v>
      </c>
      <c r="L6" s="13" t="s">
        <v>20</v>
      </c>
      <c r="M6" s="19">
        <f>(N6/N11)</f>
        <v>0.2736623573</v>
      </c>
      <c r="N6" s="20">
        <f>SUMIF(C5:C31,"DG",D5:D31)</f>
        <v>2900</v>
      </c>
      <c r="O6" s="26">
        <v>0.2</v>
      </c>
      <c r="P6" s="27">
        <f>N11*O6</f>
        <v>2119.4</v>
      </c>
    </row>
    <row r="7">
      <c r="A7" s="13"/>
      <c r="B7" s="17" t="s">
        <v>21</v>
      </c>
      <c r="C7" s="23" t="s">
        <v>14</v>
      </c>
      <c r="D7" s="24">
        <v>272.0</v>
      </c>
      <c r="E7" s="25"/>
      <c r="F7" s="15">
        <f t="shared" si="1"/>
        <v>544</v>
      </c>
      <c r="G7" s="25"/>
      <c r="I7" s="17" t="s">
        <v>22</v>
      </c>
      <c r="L7" s="13" t="s">
        <v>23</v>
      </c>
      <c r="M7" s="19">
        <f>(N7/N11)</f>
        <v>0.09936774559</v>
      </c>
      <c r="N7" s="20">
        <f>SUMIF(C5:C31,"MR",D5:D31)</f>
        <v>1053</v>
      </c>
      <c r="O7" s="26">
        <v>0.16</v>
      </c>
      <c r="P7" s="28">
        <f>N11*O7</f>
        <v>1695.52</v>
      </c>
    </row>
    <row r="8">
      <c r="A8" s="13"/>
      <c r="B8" s="17" t="s">
        <v>24</v>
      </c>
      <c r="C8" s="23" t="s">
        <v>14</v>
      </c>
      <c r="D8" s="24">
        <v>544.0</v>
      </c>
      <c r="E8" s="25"/>
      <c r="F8" s="15">
        <f t="shared" si="1"/>
        <v>1088</v>
      </c>
      <c r="G8" s="25"/>
      <c r="I8" s="17" t="s">
        <v>25</v>
      </c>
      <c r="L8" s="13" t="s">
        <v>26</v>
      </c>
      <c r="M8" s="19">
        <f>(N8/N11)</f>
        <v>0.04114371992</v>
      </c>
      <c r="N8" s="20">
        <f>SUMIF(C5:C31,"FU",D5:D31)</f>
        <v>436</v>
      </c>
      <c r="O8" s="26">
        <v>0.15</v>
      </c>
      <c r="P8" s="27">
        <f>N11*O8</f>
        <v>1589.55</v>
      </c>
    </row>
    <row r="9">
      <c r="A9" s="13"/>
      <c r="B9" s="17" t="s">
        <v>27</v>
      </c>
      <c r="C9" s="23" t="s">
        <v>14</v>
      </c>
      <c r="D9" s="24">
        <v>136.0</v>
      </c>
      <c r="E9" s="25"/>
      <c r="F9" s="15">
        <f t="shared" si="1"/>
        <v>272</v>
      </c>
      <c r="G9" s="25"/>
      <c r="I9" s="29" t="s">
        <v>28</v>
      </c>
      <c r="L9" s="13" t="s">
        <v>29</v>
      </c>
      <c r="M9" s="30">
        <f>(N9/N11)</f>
        <v>0.04623950175</v>
      </c>
      <c r="N9" s="31">
        <f>SUMIF(C5:C31,"HB",D5:D31)</f>
        <v>490</v>
      </c>
      <c r="O9" s="26">
        <v>0.1</v>
      </c>
      <c r="P9" s="27">
        <f>N11*O9</f>
        <v>1059.7</v>
      </c>
    </row>
    <row r="10">
      <c r="A10" s="13"/>
      <c r="B10" s="14" t="s">
        <v>30</v>
      </c>
      <c r="D10" s="15"/>
      <c r="E10" s="16">
        <f>SUM(D11:D16)</f>
        <v>2288</v>
      </c>
      <c r="F10" s="15"/>
      <c r="G10" s="16">
        <f>SUM(F11:F16)</f>
        <v>4576</v>
      </c>
      <c r="L10" s="32"/>
      <c r="M10" s="33"/>
      <c r="N10" s="7"/>
      <c r="O10" s="7"/>
      <c r="P10" s="7"/>
    </row>
    <row r="11">
      <c r="A11" s="13"/>
      <c r="B11" s="17" t="s">
        <v>31</v>
      </c>
      <c r="C11" s="23" t="s">
        <v>32</v>
      </c>
      <c r="D11" s="24">
        <v>300.0</v>
      </c>
      <c r="E11" s="25"/>
      <c r="F11" s="15">
        <f>D11*2</f>
        <v>600</v>
      </c>
      <c r="G11" s="25"/>
      <c r="I11" s="34" t="s">
        <v>33</v>
      </c>
      <c r="L11" s="35" t="s">
        <v>34</v>
      </c>
      <c r="M11" s="36"/>
      <c r="N11" s="37">
        <f t="shared" ref="N11:P11" si="2">SUM(N4:N9)</f>
        <v>10597</v>
      </c>
      <c r="O11" s="38">
        <f t="shared" si="2"/>
        <v>1</v>
      </c>
      <c r="P11" s="39">
        <f t="shared" si="2"/>
        <v>10597</v>
      </c>
    </row>
    <row r="12">
      <c r="A12" s="13"/>
      <c r="B12" s="17"/>
      <c r="C12" s="23"/>
      <c r="D12" s="24"/>
      <c r="E12" s="25"/>
      <c r="F12" s="15"/>
      <c r="G12" s="25"/>
      <c r="I12" s="40" t="s">
        <v>35</v>
      </c>
    </row>
    <row r="13">
      <c r="A13" s="13"/>
      <c r="B13" s="17" t="s">
        <v>36</v>
      </c>
      <c r="C13" s="23" t="s">
        <v>32</v>
      </c>
      <c r="D13" s="24">
        <v>600.0</v>
      </c>
      <c r="E13" s="25"/>
      <c r="F13" s="15">
        <f t="shared" ref="F13:F16" si="3">D13*2</f>
        <v>1200</v>
      </c>
      <c r="G13" s="25"/>
      <c r="I13" s="41" t="s">
        <v>37</v>
      </c>
      <c r="L13" s="42" t="s">
        <v>38</v>
      </c>
      <c r="M13" s="43"/>
      <c r="N13" s="44"/>
      <c r="O13" s="45"/>
    </row>
    <row r="14">
      <c r="A14" s="13"/>
      <c r="B14" s="17" t="s">
        <v>39</v>
      </c>
      <c r="C14" s="23" t="s">
        <v>40</v>
      </c>
      <c r="D14" s="24">
        <v>436.0</v>
      </c>
      <c r="E14" s="25"/>
      <c r="F14" s="15">
        <f t="shared" si="3"/>
        <v>872</v>
      </c>
      <c r="G14" s="25"/>
      <c r="I14" s="46"/>
      <c r="L14" s="47"/>
      <c r="O14" s="48"/>
    </row>
    <row r="15">
      <c r="A15" s="13"/>
      <c r="B15" s="17" t="s">
        <v>41</v>
      </c>
      <c r="C15" s="23" t="s">
        <v>14</v>
      </c>
      <c r="D15" s="24">
        <v>816.0</v>
      </c>
      <c r="E15" s="25"/>
      <c r="F15" s="15">
        <f t="shared" si="3"/>
        <v>1632</v>
      </c>
      <c r="G15" s="25"/>
      <c r="I15" s="46"/>
      <c r="L15" s="49" t="s">
        <v>42</v>
      </c>
      <c r="M15" s="50"/>
      <c r="N15" s="51" t="s">
        <v>43</v>
      </c>
      <c r="O15" s="52" t="s">
        <v>44</v>
      </c>
    </row>
    <row r="16">
      <c r="A16" s="13"/>
      <c r="B16" s="17" t="s">
        <v>45</v>
      </c>
      <c r="C16" s="23" t="s">
        <v>14</v>
      </c>
      <c r="D16" s="24">
        <v>136.0</v>
      </c>
      <c r="E16" s="25"/>
      <c r="F16" s="15">
        <f t="shared" si="3"/>
        <v>272</v>
      </c>
      <c r="G16" s="25"/>
      <c r="I16" s="53"/>
      <c r="L16" s="54" t="s">
        <v>12</v>
      </c>
      <c r="M16" s="48"/>
      <c r="N16" s="55">
        <v>4.0</v>
      </c>
      <c r="O16" s="56">
        <f>SUM((P4*N42),P4)</f>
        <v>3380.443</v>
      </c>
    </row>
    <row r="17">
      <c r="A17" s="13"/>
      <c r="B17" s="14" t="s">
        <v>46</v>
      </c>
      <c r="D17" s="15"/>
      <c r="E17" s="16">
        <f>SUM(D18:D20)</f>
        <v>2351</v>
      </c>
      <c r="F17" s="15"/>
      <c r="G17" s="16">
        <f>SUM(F18:F20)</f>
        <v>4702</v>
      </c>
      <c r="I17" s="57" t="s">
        <v>47</v>
      </c>
      <c r="L17" s="54" t="s">
        <v>16</v>
      </c>
      <c r="M17" s="48"/>
      <c r="N17" s="55">
        <v>3.0</v>
      </c>
      <c r="O17" s="56">
        <f>SUM((P5*N42),P5)</f>
        <v>2612.1605</v>
      </c>
    </row>
    <row r="18">
      <c r="A18" s="13"/>
      <c r="B18" s="17" t="s">
        <v>20</v>
      </c>
      <c r="C18" s="23" t="s">
        <v>32</v>
      </c>
      <c r="D18" s="24">
        <v>2000.0</v>
      </c>
      <c r="E18" s="25"/>
      <c r="F18" s="15">
        <f t="shared" ref="F18:F20" si="4">D18*2</f>
        <v>4000</v>
      </c>
      <c r="G18" s="25"/>
      <c r="I18" s="41" t="s">
        <v>48</v>
      </c>
      <c r="L18" s="54" t="s">
        <v>20</v>
      </c>
      <c r="M18" s="48"/>
      <c r="N18" s="55">
        <v>5.0</v>
      </c>
      <c r="O18" s="56">
        <f>SUM((P6*N42),P6)</f>
        <v>3073.13</v>
      </c>
    </row>
    <row r="19">
      <c r="A19" s="13"/>
      <c r="B19" s="17" t="s">
        <v>49</v>
      </c>
      <c r="C19" s="23" t="s">
        <v>18</v>
      </c>
      <c r="D19" s="24">
        <v>234.0</v>
      </c>
      <c r="E19" s="25"/>
      <c r="F19" s="15">
        <f t="shared" si="4"/>
        <v>468</v>
      </c>
      <c r="G19" s="25"/>
      <c r="I19" s="46"/>
      <c r="L19" s="54" t="s">
        <v>23</v>
      </c>
      <c r="M19" s="48"/>
      <c r="N19" s="55">
        <v>4.0</v>
      </c>
      <c r="O19" s="56">
        <f>SUM((P7*N42),P7)</f>
        <v>2458.504</v>
      </c>
    </row>
    <row r="20">
      <c r="A20" s="13"/>
      <c r="B20" s="17" t="s">
        <v>50</v>
      </c>
      <c r="C20" s="23" t="s">
        <v>18</v>
      </c>
      <c r="D20" s="24">
        <v>117.0</v>
      </c>
      <c r="E20" s="25"/>
      <c r="F20" s="15">
        <f t="shared" si="4"/>
        <v>234</v>
      </c>
      <c r="G20" s="25"/>
      <c r="I20" s="46"/>
      <c r="L20" s="54" t="s">
        <v>26</v>
      </c>
      <c r="M20" s="48"/>
      <c r="N20" s="55">
        <v>3.0</v>
      </c>
      <c r="O20" s="56">
        <f>SUM((P8*N42),P8)</f>
        <v>2304.8475</v>
      </c>
    </row>
    <row r="21">
      <c r="A21" s="13"/>
      <c r="B21" s="14" t="s">
        <v>51</v>
      </c>
      <c r="D21" s="15"/>
      <c r="E21" s="16">
        <f>SUM(D22:D29)</f>
        <v>4010</v>
      </c>
      <c r="F21" s="15"/>
      <c r="G21" s="16">
        <f>SUM(F22:F29)</f>
        <v>8020</v>
      </c>
      <c r="I21" s="46"/>
      <c r="L21" s="58" t="s">
        <v>29</v>
      </c>
      <c r="M21" s="59"/>
      <c r="N21" s="55">
        <v>2.0</v>
      </c>
      <c r="O21" s="56">
        <f>SUM((P9*N42),P9)</f>
        <v>1536.565</v>
      </c>
    </row>
    <row r="22">
      <c r="A22" s="13"/>
      <c r="B22" s="17" t="s">
        <v>52</v>
      </c>
      <c r="C22" s="23" t="s">
        <v>40</v>
      </c>
      <c r="D22" s="24">
        <v>109.0</v>
      </c>
      <c r="E22" s="25"/>
      <c r="F22" s="15">
        <f t="shared" ref="F22:F29" si="5">D22*2</f>
        <v>218</v>
      </c>
      <c r="G22" s="25"/>
      <c r="I22" s="60" t="s">
        <v>53</v>
      </c>
      <c r="L22" s="61"/>
      <c r="M22" s="62"/>
      <c r="O22" s="63"/>
    </row>
    <row r="23">
      <c r="A23" s="13"/>
      <c r="B23" s="17" t="s">
        <v>54</v>
      </c>
      <c r="C23" s="23" t="s">
        <v>18</v>
      </c>
      <c r="D23" s="24">
        <v>468.0</v>
      </c>
      <c r="E23" s="25"/>
      <c r="F23" s="15">
        <f t="shared" si="5"/>
        <v>936</v>
      </c>
      <c r="G23" s="25"/>
      <c r="I23" s="41" t="s">
        <v>55</v>
      </c>
      <c r="L23" s="64" t="s">
        <v>56</v>
      </c>
      <c r="M23" s="65"/>
      <c r="N23" s="50"/>
      <c r="O23" s="66">
        <f>SUM(O16:O21)</f>
        <v>15365.65</v>
      </c>
    </row>
    <row r="24">
      <c r="A24" s="13"/>
      <c r="B24" s="17" t="s">
        <v>57</v>
      </c>
      <c r="C24" s="23" t="s">
        <v>40</v>
      </c>
      <c r="D24" s="24">
        <v>109.0</v>
      </c>
      <c r="E24" s="25"/>
      <c r="F24" s="15">
        <f t="shared" si="5"/>
        <v>218</v>
      </c>
      <c r="G24" s="25"/>
      <c r="I24" s="46"/>
      <c r="L24" s="67" t="s">
        <v>58</v>
      </c>
      <c r="N24" s="68">
        <v>0.2</v>
      </c>
      <c r="O24" s="69">
        <f>O23*N24</f>
        <v>3073.13</v>
      </c>
    </row>
    <row r="25">
      <c r="A25" s="13"/>
      <c r="B25" s="17" t="s">
        <v>59</v>
      </c>
      <c r="C25" s="23" t="s">
        <v>40</v>
      </c>
      <c r="D25" s="24">
        <v>2616.0</v>
      </c>
      <c r="E25" s="25"/>
      <c r="F25" s="15">
        <f t="shared" si="5"/>
        <v>5232</v>
      </c>
      <c r="G25" s="25"/>
      <c r="I25" s="46"/>
      <c r="L25" s="70" t="s">
        <v>60</v>
      </c>
      <c r="M25" s="65"/>
      <c r="N25" s="50"/>
      <c r="O25" s="71">
        <f>SUM(O23:O24)</f>
        <v>18438.78</v>
      </c>
    </row>
    <row r="26">
      <c r="A26" s="13"/>
      <c r="B26" s="17" t="s">
        <v>61</v>
      </c>
      <c r="C26" s="23" t="s">
        <v>62</v>
      </c>
      <c r="D26" s="24">
        <v>109.0</v>
      </c>
      <c r="E26" s="25"/>
      <c r="F26" s="15">
        <f t="shared" si="5"/>
        <v>218</v>
      </c>
      <c r="G26" s="25"/>
      <c r="I26" s="53"/>
      <c r="L26" s="47"/>
      <c r="O26" s="48"/>
    </row>
    <row r="27">
      <c r="A27" s="13"/>
      <c r="B27" s="17" t="s">
        <v>63</v>
      </c>
      <c r="C27" s="23" t="s">
        <v>62</v>
      </c>
      <c r="D27" s="24">
        <v>272.0</v>
      </c>
      <c r="E27" s="25"/>
      <c r="F27" s="15">
        <f t="shared" si="5"/>
        <v>544</v>
      </c>
      <c r="G27" s="25"/>
      <c r="I27" s="72" t="s">
        <v>64</v>
      </c>
      <c r="L27" s="47"/>
      <c r="O27" s="48"/>
    </row>
    <row r="28">
      <c r="A28" s="13"/>
      <c r="B28" s="17" t="s">
        <v>65</v>
      </c>
      <c r="C28" s="23" t="s">
        <v>62</v>
      </c>
      <c r="D28" s="24">
        <v>109.0</v>
      </c>
      <c r="E28" s="25"/>
      <c r="F28" s="15">
        <f t="shared" si="5"/>
        <v>218</v>
      </c>
      <c r="G28" s="25"/>
      <c r="I28" s="41" t="s">
        <v>66</v>
      </c>
      <c r="L28" s="49" t="str">
        <f>if(SUM(N29:N34)&gt;0,CONCAT("Nombre d'options proposées : ",SUM(N29:N34)),"Aucune option proposée")</f>
        <v>Aucune option proposée</v>
      </c>
      <c r="M28" s="65"/>
      <c r="N28" s="73"/>
      <c r="O28" s="74" t="str">
        <f>IF(SUM(N29:N34)&gt;0,"Prix","")</f>
        <v/>
      </c>
    </row>
    <row r="29">
      <c r="A29" s="13"/>
      <c r="B29" s="17" t="s">
        <v>67</v>
      </c>
      <c r="C29" s="23" t="s">
        <v>68</v>
      </c>
      <c r="D29" s="24">
        <v>218.0</v>
      </c>
      <c r="E29" s="25"/>
      <c r="F29" s="15">
        <f t="shared" si="5"/>
        <v>436</v>
      </c>
      <c r="G29" s="25"/>
      <c r="I29" s="46"/>
      <c r="L29" s="47" t="str">
        <f>IF(A35="OUI",PROPER(LOWER(B35)),"")</f>
        <v/>
      </c>
      <c r="N29" s="75" t="str">
        <f>IF(A35="OUI",1,"")</f>
        <v/>
      </c>
      <c r="O29" s="48" t="str">
        <f>IF(A35="Oui",SUM((E35*N42),E35),"")</f>
        <v/>
      </c>
    </row>
    <row r="30">
      <c r="A30" s="13"/>
      <c r="B30" s="14" t="s">
        <v>69</v>
      </c>
      <c r="D30" s="15"/>
      <c r="E30" s="16">
        <f>SUM(D31)</f>
        <v>218</v>
      </c>
      <c r="F30" s="15"/>
      <c r="G30" s="16">
        <f>SUM(F31)</f>
        <v>436</v>
      </c>
      <c r="I30" s="46"/>
      <c r="L30" s="76" t="str">
        <f>IF(A37="OUI",PROPER(LOWER(B37)),"")</f>
        <v/>
      </c>
      <c r="N30" s="75" t="str">
        <f>IF(A37="OUI",1,"")</f>
        <v/>
      </c>
      <c r="O30" s="77" t="str">
        <f>IF(A37="Oui",SUM((E37*N42),E37),"")</f>
        <v/>
      </c>
    </row>
    <row r="31">
      <c r="A31" s="13"/>
      <c r="B31" s="17" t="s">
        <v>70</v>
      </c>
      <c r="C31" s="23" t="s">
        <v>68</v>
      </c>
      <c r="D31" s="24">
        <v>218.0</v>
      </c>
      <c r="E31" s="25"/>
      <c r="F31" s="15">
        <f>D31*2</f>
        <v>436</v>
      </c>
      <c r="G31" s="25"/>
      <c r="I31" s="78" t="s">
        <v>71</v>
      </c>
      <c r="L31" s="47" t="str">
        <f>IF(A40="OUI",PROPER(LOWER(B40)),"")</f>
        <v/>
      </c>
      <c r="N31" s="75" t="str">
        <f>IF(A40="OUI",1,"")</f>
        <v/>
      </c>
      <c r="O31" s="77" t="str">
        <f>IF(A40="Oui",SUM((E40*N42),E40),"")</f>
        <v/>
      </c>
    </row>
    <row r="32">
      <c r="A32" s="79"/>
      <c r="B32" s="80" t="s">
        <v>72</v>
      </c>
      <c r="C32" s="81"/>
      <c r="D32" s="82"/>
      <c r="E32" s="83">
        <f>SUM(E4:E31)</f>
        <v>10597</v>
      </c>
      <c r="F32" s="82"/>
      <c r="G32" s="83">
        <f>SUM(G4:G30)</f>
        <v>21194</v>
      </c>
      <c r="I32" s="41" t="s">
        <v>73</v>
      </c>
      <c r="L32" s="47" t="str">
        <f>IF(A42="OUI",PROPER(LOWER(B42)),"")</f>
        <v/>
      </c>
      <c r="N32" s="75" t="str">
        <f>IF(A42="OUI",1,"")</f>
        <v/>
      </c>
      <c r="O32" s="77" t="str">
        <f>IF(A42="Oui",SUM((E42*N42),E42),"")</f>
        <v/>
      </c>
    </row>
    <row r="33">
      <c r="A33" s="79"/>
      <c r="B33" s="46"/>
      <c r="D33" s="15"/>
      <c r="E33" s="25"/>
      <c r="F33" s="15"/>
      <c r="G33" s="25"/>
      <c r="I33" s="46"/>
      <c r="L33" s="84" t="str">
        <f>IF(A44="OUI",PROPER(LOWER(B44)),"")</f>
        <v/>
      </c>
      <c r="N33" s="75" t="str">
        <f>IF(A44="OUI",1,"")</f>
        <v/>
      </c>
      <c r="O33" s="77" t="str">
        <f>IF(A44="Oui",SUM((E44*N42),E44),"")</f>
        <v/>
      </c>
    </row>
    <row r="34">
      <c r="A34" s="85" t="s">
        <v>74</v>
      </c>
      <c r="B34" s="17"/>
      <c r="D34" s="15"/>
      <c r="E34" s="16"/>
      <c r="F34" s="15"/>
      <c r="G34" s="25"/>
      <c r="I34" s="53"/>
      <c r="L34" s="47" t="str">
        <f>IF(A47="OUI",PROPER(LOWER(B47)),"")</f>
        <v/>
      </c>
      <c r="N34" s="75" t="str">
        <f>IF(A47="OUI",1,"")</f>
        <v/>
      </c>
      <c r="O34" s="77" t="str">
        <f>IF(A47="Oui",SUM((E47*N42),E47),"")</f>
        <v/>
      </c>
    </row>
    <row r="35">
      <c r="A35" s="86" t="s">
        <v>75</v>
      </c>
      <c r="B35" s="14" t="s">
        <v>76</v>
      </c>
      <c r="D35" s="15"/>
      <c r="E35" s="16">
        <f>SUM(D36)</f>
        <v>109</v>
      </c>
      <c r="F35" s="15"/>
      <c r="G35" s="16">
        <f>SUM(F36)</f>
        <v>218</v>
      </c>
      <c r="L35" s="61"/>
      <c r="M35" s="87"/>
      <c r="N35" s="88"/>
      <c r="O35" s="89"/>
    </row>
    <row r="36">
      <c r="A36" s="79"/>
      <c r="B36" s="17" t="s">
        <v>77</v>
      </c>
      <c r="C36" s="23" t="s">
        <v>40</v>
      </c>
      <c r="D36" s="24">
        <v>109.0</v>
      </c>
      <c r="E36" s="25"/>
      <c r="F36" s="15">
        <f>D36*2</f>
        <v>218</v>
      </c>
      <c r="G36" s="25"/>
      <c r="I36" s="90" t="s">
        <v>78</v>
      </c>
      <c r="J36" s="11"/>
      <c r="L36" s="91" t="str">
        <f>if(SUM(N29:N34)&gt;0,"TOTAL PRESTATION OPTIONS INCLUSES HORS TAXE","")</f>
        <v/>
      </c>
      <c r="M36" s="65"/>
      <c r="N36" s="50"/>
      <c r="O36" s="92" t="str">
        <f>IF(SUM(N29:N34)&gt;0,SUM(O29:O34,O23),"")</f>
        <v/>
      </c>
    </row>
    <row r="37">
      <c r="A37" s="86" t="s">
        <v>75</v>
      </c>
      <c r="B37" s="14" t="s">
        <v>79</v>
      </c>
      <c r="D37" s="15"/>
      <c r="E37" s="16">
        <f>SUM(D38:D39)</f>
        <v>536</v>
      </c>
      <c r="F37" s="15"/>
      <c r="G37" s="16">
        <f>SUM(F38:F39)</f>
        <v>1072</v>
      </c>
      <c r="I37" s="93" t="s">
        <v>80</v>
      </c>
      <c r="J37" s="11"/>
      <c r="L37" s="94" t="str">
        <f>IF(SUM(N29:N34)&gt;0,"TVA Taux à","")</f>
        <v/>
      </c>
      <c r="M37" s="95"/>
      <c r="N37" t="str">
        <f>IF(SUM(N29:N34)&gt;0,N24,"")</f>
        <v/>
      </c>
      <c r="O37" s="69" t="str">
        <f>IF(SUM(N29:N34)&gt;0,O36*N37,"")</f>
        <v/>
      </c>
    </row>
    <row r="38">
      <c r="A38" s="79"/>
      <c r="B38" s="17" t="s">
        <v>81</v>
      </c>
      <c r="C38" s="23" t="s">
        <v>32</v>
      </c>
      <c r="D38" s="24">
        <v>100.0</v>
      </c>
      <c r="E38" s="25"/>
      <c r="F38" s="15">
        <f t="shared" ref="F38:F39" si="6">D38*2</f>
        <v>200</v>
      </c>
      <c r="G38" s="25"/>
      <c r="I38" s="79"/>
      <c r="J38" s="96"/>
      <c r="L38" s="97" t="str">
        <f>IF(SUM(N29:N34)&gt;0,"TOTAL PRESTATION OPTIONS INCLUSES TTC","")</f>
        <v/>
      </c>
      <c r="M38" s="65"/>
      <c r="N38" s="50"/>
      <c r="O38" s="98" t="str">
        <f>IF(SUM(N29:N34)&gt;0,SUM(O36:O37),"")</f>
        <v/>
      </c>
    </row>
    <row r="39">
      <c r="A39" s="79"/>
      <c r="B39" s="17" t="s">
        <v>77</v>
      </c>
      <c r="C39" s="23" t="s">
        <v>40</v>
      </c>
      <c r="D39" s="24">
        <v>436.0</v>
      </c>
      <c r="E39" s="25"/>
      <c r="F39" s="15">
        <f t="shared" si="6"/>
        <v>872</v>
      </c>
      <c r="G39" s="25"/>
      <c r="I39" s="79"/>
      <c r="J39" s="96"/>
    </row>
    <row r="40">
      <c r="A40" s="86" t="s">
        <v>75</v>
      </c>
      <c r="B40" s="14" t="s">
        <v>82</v>
      </c>
      <c r="D40" s="15"/>
      <c r="E40" s="16">
        <f>SUM(D41)</f>
        <v>109</v>
      </c>
      <c r="F40" s="15"/>
      <c r="G40" s="16">
        <f>SUM(F41)</f>
        <v>218</v>
      </c>
      <c r="I40" s="79"/>
      <c r="J40" s="96"/>
      <c r="L40" s="33"/>
      <c r="M40" s="99"/>
      <c r="N40" s="99"/>
      <c r="O40" s="100" t="s">
        <v>83</v>
      </c>
    </row>
    <row r="41">
      <c r="A41" s="79"/>
      <c r="B41" s="17" t="s">
        <v>77</v>
      </c>
      <c r="C41" s="23" t="s">
        <v>40</v>
      </c>
      <c r="D41" s="24">
        <v>109.0</v>
      </c>
      <c r="E41" s="25"/>
      <c r="F41" s="15">
        <f>D41*2</f>
        <v>218</v>
      </c>
      <c r="G41" s="25"/>
      <c r="I41" s="79"/>
      <c r="J41" s="96"/>
      <c r="L41" s="79"/>
      <c r="O41" s="46"/>
    </row>
    <row r="42">
      <c r="A42" s="86" t="s">
        <v>75</v>
      </c>
      <c r="B42" s="14" t="s">
        <v>84</v>
      </c>
      <c r="D42" s="15"/>
      <c r="E42" s="16">
        <f>SUM(D43)</f>
        <v>109</v>
      </c>
      <c r="F42" s="15"/>
      <c r="G42" s="16">
        <f>SUM(F43)</f>
        <v>218</v>
      </c>
      <c r="I42" s="79"/>
      <c r="J42" s="96"/>
      <c r="L42" s="101" t="s">
        <v>85</v>
      </c>
      <c r="M42" s="102"/>
      <c r="N42" s="103">
        <v>0.45</v>
      </c>
      <c r="O42" s="104">
        <f>SUM(O23,O29:O34)-SUM(E32,if(A35="Oui",E35,0),if(A37="Oui",E37,0),if(A40="Oui",E40,0),if(A42="Oui",E42,0),if(A44="Oui",E44,0),if(A47="Oui",E47,0))</f>
        <v>4768.65</v>
      </c>
    </row>
    <row r="43">
      <c r="A43" s="79"/>
      <c r="B43" s="17" t="s">
        <v>77</v>
      </c>
      <c r="C43" s="23" t="s">
        <v>40</v>
      </c>
      <c r="D43" s="24">
        <v>109.0</v>
      </c>
      <c r="E43" s="25"/>
      <c r="F43" s="15">
        <f>D43*2</f>
        <v>218</v>
      </c>
      <c r="G43" s="25"/>
      <c r="I43" s="79"/>
      <c r="J43" s="96"/>
    </row>
    <row r="44">
      <c r="A44" s="86" t="s">
        <v>75</v>
      </c>
      <c r="B44" s="14" t="s">
        <v>86</v>
      </c>
      <c r="D44" s="15"/>
      <c r="E44" s="16">
        <f>SUM(D45:D46)</f>
        <v>209</v>
      </c>
      <c r="F44" s="15"/>
      <c r="G44" s="16">
        <f>SUM(F45:F46)</f>
        <v>418</v>
      </c>
      <c r="I44" s="79"/>
      <c r="J44" s="96"/>
    </row>
    <row r="45">
      <c r="A45" s="79"/>
      <c r="B45" s="17" t="s">
        <v>81</v>
      </c>
      <c r="C45" s="23" t="s">
        <v>32</v>
      </c>
      <c r="D45" s="24">
        <v>100.0</v>
      </c>
      <c r="E45" s="25"/>
      <c r="F45" s="15">
        <f t="shared" ref="F45:F46" si="7">D45*2</f>
        <v>200</v>
      </c>
      <c r="G45" s="25"/>
      <c r="I45" s="79"/>
      <c r="J45" s="96"/>
    </row>
    <row r="46">
      <c r="A46" s="79"/>
      <c r="B46" s="17" t="s">
        <v>77</v>
      </c>
      <c r="C46" s="23" t="s">
        <v>40</v>
      </c>
      <c r="D46" s="24">
        <v>109.0</v>
      </c>
      <c r="E46" s="25"/>
      <c r="F46" s="15">
        <f t="shared" si="7"/>
        <v>218</v>
      </c>
      <c r="G46" s="25"/>
      <c r="I46" s="79"/>
      <c r="J46" s="96"/>
    </row>
    <row r="47">
      <c r="A47" s="86" t="s">
        <v>75</v>
      </c>
      <c r="B47" s="14" t="s">
        <v>87</v>
      </c>
      <c r="D47" s="15"/>
      <c r="E47" s="16">
        <f>SUM(D48)</f>
        <v>218</v>
      </c>
      <c r="F47" s="15"/>
      <c r="G47" s="16">
        <f>SUM(F48)</f>
        <v>436</v>
      </c>
      <c r="I47" s="79"/>
      <c r="J47" s="96"/>
    </row>
    <row r="48">
      <c r="A48" s="105"/>
      <c r="B48" s="29" t="s">
        <v>77</v>
      </c>
      <c r="C48" s="106" t="s">
        <v>40</v>
      </c>
      <c r="D48" s="107">
        <v>218.0</v>
      </c>
      <c r="E48" s="108"/>
      <c r="F48" s="109">
        <f>D48*2</f>
        <v>436</v>
      </c>
      <c r="G48" s="108"/>
      <c r="I48" s="79"/>
      <c r="J48" s="96"/>
    </row>
    <row r="49">
      <c r="I49" s="105"/>
      <c r="J49" s="59"/>
    </row>
  </sheetData>
  <mergeCells count="33">
    <mergeCell ref="D1:E1"/>
    <mergeCell ref="D3:E3"/>
    <mergeCell ref="F3:G3"/>
    <mergeCell ref="M3:N3"/>
    <mergeCell ref="L34:M34"/>
    <mergeCell ref="L35:M35"/>
    <mergeCell ref="O40:O41"/>
    <mergeCell ref="L40:N41"/>
    <mergeCell ref="L38:N38"/>
    <mergeCell ref="L42:M42"/>
    <mergeCell ref="L30:M30"/>
    <mergeCell ref="L31:M31"/>
    <mergeCell ref="I28:I30"/>
    <mergeCell ref="I23:I26"/>
    <mergeCell ref="I13:I16"/>
    <mergeCell ref="I18:I21"/>
    <mergeCell ref="I37:J49"/>
    <mergeCell ref="L25:N25"/>
    <mergeCell ref="L24:M24"/>
    <mergeCell ref="L29:M29"/>
    <mergeCell ref="L28:M28"/>
    <mergeCell ref="L36:N36"/>
    <mergeCell ref="I32:I34"/>
    <mergeCell ref="L32:M32"/>
    <mergeCell ref="L18:M18"/>
    <mergeCell ref="L19:M19"/>
    <mergeCell ref="L20:M20"/>
    <mergeCell ref="L23:N23"/>
    <mergeCell ref="L22:M22"/>
    <mergeCell ref="L16:M16"/>
    <mergeCell ref="L17:M17"/>
    <mergeCell ref="L21:M21"/>
    <mergeCell ref="L15:M15"/>
  </mergeCells>
  <conditionalFormatting sqref="O11">
    <cfRule type="cellIs" dxfId="0" priority="1" operator="notEqual">
      <formula>"100.00%"</formula>
    </cfRule>
  </conditionalFormatting>
  <conditionalFormatting sqref="O36">
    <cfRule type="notContainsBlanks" dxfId="1" priority="2">
      <formula>LEN(TRIM(O36))&gt;0</formula>
    </cfRule>
  </conditionalFormatting>
  <conditionalFormatting sqref="O38">
    <cfRule type="notContainsBlanks" dxfId="1" priority="3">
      <formula>LEN(TRIM(O38))&gt;0</formula>
    </cfRule>
  </conditionalFormatting>
  <conditionalFormatting sqref="N42">
    <cfRule type="cellIs" dxfId="0" priority="4" operator="notBetween">
      <formula>"0%"</formula>
      <formula>"100%"</formula>
    </cfRule>
  </conditionalFormatting>
  <dataValidations>
    <dataValidation type="list" allowBlank="1" showInputMessage="1" showErrorMessage="1" prompt="Cliquez ici et saisissez une des valeurs de la la liste d'éléments" sqref="A35 A37 A40 A42 A44 A47">
      <formula1>"Oui,Non"</formula1>
    </dataValidation>
    <dataValidation type="decimal" allowBlank="1" showDropDown="1" showInputMessage="1" prompt="Le taux de marge doit être compris entre 0% et 100%" sqref="N42">
      <formula1>0.0</formula1>
      <formula2>1.0</formula2>
    </dataValidation>
    <dataValidation type="decimal" allowBlank="1" showDropDown="1" showInputMessage="1" prompt="Saisissez un nombre entre 1% et 100%" sqref="O4:O9">
      <formula1>0.01</formula1>
      <formula2>1.0</formula2>
    </dataValidation>
  </dataValidations>
  <drawing r:id="rId1"/>
</worksheet>
</file>