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0"/>
      <sz val="12"/>
      <scheme val="minor"/>
    </font>
  </fonts>
  <fills count="3">
    <fill>
      <patternFill/>
    </fill>
    <fill>
      <patternFill patternType="gray125"/>
    </fill>
    <fill>
      <patternFill patternType="solid">
        <fgColor rgb="0091bf4d"/>
        <bgColor rgb="0091bf4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0" fillId="2" borderId="0" pivotButton="0" quotePrefix="0" xfId="0"/>
  </cellXfs>
  <cellStyles count="2">
    <cellStyle name="Normal" xfId="0" builtinId="0" hidden="0"/>
    <cellStyle name="Hyperlink" xfId="1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0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canonicalUrl</t>
        </is>
      </c>
      <c r="C1" s="1" t="inlineStr">
        <is>
          <t>name</t>
        </is>
      </c>
      <c r="D1" s="1" t="inlineStr">
        <is>
          <t>Amazon Product Title</t>
        </is>
      </c>
      <c r="E1" s="1" t="inlineStr">
        <is>
          <t>Amazon Product URL</t>
        </is>
      </c>
      <c r="F1" s="1" t="inlineStr">
        <is>
          <t>ASIN</t>
        </is>
      </c>
      <c r="G1" s="1" t="inlineStr">
        <is>
          <t>Source Image</t>
        </is>
      </c>
      <c r="H1" s="1" t="inlineStr">
        <is>
          <t>Amazon Image</t>
        </is>
      </c>
      <c r="I1" s="1" t="inlineStr">
        <is>
          <t>offers/0/price</t>
        </is>
      </c>
      <c r="J1" s="1" t="inlineStr">
        <is>
          <t>Amazon Price</t>
        </is>
      </c>
      <c r="K1" s="1" t="inlineStr">
        <is>
          <t>ROI</t>
        </is>
      </c>
      <c r="L1" s="1" t="inlineStr">
        <is>
          <t>Rating</t>
        </is>
      </c>
      <c r="M1" s="1" t="inlineStr">
        <is>
          <t>ReviewCount</t>
        </is>
      </c>
      <c r="N1" s="1" t="inlineStr">
        <is>
          <t>offerCount</t>
        </is>
      </c>
      <c r="O1" s="1" t="inlineStr">
        <is>
          <t>offers/0/availability</t>
        </is>
      </c>
      <c r="P1" s="1" t="inlineStr">
        <is>
          <t>offers/0/regularPrice</t>
        </is>
      </c>
      <c r="Q1" s="1" t="inlineStr">
        <is>
          <t>sku</t>
        </is>
      </c>
      <c r="R1" s="1" t="inlineStr">
        <is>
          <t>Match?</t>
        </is>
      </c>
      <c r="S1" s="1" t="inlineStr">
        <is>
          <t>Qualified?</t>
        </is>
      </c>
      <c r="T1" s="1" t="inlineStr">
        <is>
          <t>Approved</t>
        </is>
      </c>
      <c r="U1" s="1" t="inlineStr">
        <is>
          <t>Notes</t>
        </is>
      </c>
    </row>
    <row r="2">
      <c r="A2" s="2">
        <f>HYPERLINK("https://ads.midwayusa.com/product/1007073487?pid=363683", "https://ads.midwayusa.com/product/1007073487?pid=363683")</f>
        <v/>
      </c>
      <c r="B2" s="2">
        <f>HYPERLINK("https://ads.midwayusa.com/product/1007073487", "https://ads.midwayusa.com/product/1007073487")</f>
        <v/>
      </c>
      <c r="C2" t="inlineStr">
        <is>
          <t>Grace USA Roll Pin Punch Set 7-Piece Steel</t>
        </is>
      </c>
      <c r="D2" t="inlineStr">
        <is>
          <t>Grace USA 27pc Gunsmith Steel &amp; Brass Roll Pin Spring Punch Set with Bench Block - GRSBRP27SBB, Multi</t>
        </is>
      </c>
      <c r="E2" s="2">
        <f>HYPERLINK("https://www.amazon.com/Grace-USA-Gunsmith-Steel-Spring/dp/B06ZYK5KXD/ref=sr_1_6?keywords=Grace+USA+Roll+Pin+Punch+Set+7-Piece+Steel&amp;qid=1695173066&amp;sr=8-6", "https://www.amazon.com/Grace-USA-Gunsmith-Steel-Spring/dp/B06ZYK5KXD/ref=sr_1_6?keywords=Grace+USA+Roll+Pin+Punch+Set+7-Piece+Steel&amp;qid=1695173066&amp;sr=8-6")</f>
        <v/>
      </c>
      <c r="F2" t="inlineStr">
        <is>
          <t>B06ZYK5KXD</t>
        </is>
      </c>
      <c r="G2">
        <f>_xludf.IMAGE("https://media.mwstatic.com/product-images/src/Primary/363/363683.jpg?imwidth=680")</f>
        <v/>
      </c>
      <c r="H2">
        <f>_xludf.IMAGE("https://m.media-amazon.com/images/I/813eqzt-bsL._AC_UL320_.jpg")</f>
        <v/>
      </c>
      <c r="I2" t="inlineStr">
        <is>
          <t>3.0</t>
        </is>
      </c>
      <c r="J2" t="n">
        <v>154.99</v>
      </c>
      <c r="K2" s="3" t="inlineStr">
        <is>
          <t>5066.33%</t>
        </is>
      </c>
      <c r="L2" t="n">
        <v>4.6</v>
      </c>
      <c r="M2" t="n">
        <v>14</v>
      </c>
      <c r="O2" t="inlineStr">
        <is>
          <t>InStock</t>
        </is>
      </c>
      <c r="P2" t="inlineStr">
        <is>
          <t>29.99</t>
        </is>
      </c>
      <c r="Q2" t="inlineStr">
        <is>
          <t>363683</t>
        </is>
      </c>
    </row>
    <row r="3">
      <c r="A3" s="2">
        <f>HYPERLINK("https://ads.midwayusa.com/product/1007073487?pid=363683", "https://ads.midwayusa.com/product/1007073487?pid=363683")</f>
        <v/>
      </c>
      <c r="B3" s="2">
        <f>HYPERLINK("https://ads.midwayusa.com/product/1007073487", "https://ads.midwayusa.com/product/1007073487")</f>
        <v/>
      </c>
      <c r="C3" t="inlineStr">
        <is>
          <t>Grace USA Roll Pin Punch Set 7-Piece Steel</t>
        </is>
      </c>
      <c r="D3" t="inlineStr">
        <is>
          <t>Grace USA GRRS12 Professional Steel Roll Pin Punch Set with Vinyl Pouch, Gunsmith Tools &amp; Accessories, 12 Piece, Black</t>
        </is>
      </c>
      <c r="E3" s="2">
        <f>HYPERLINK("https://www.amazon.com/Grace-USA-GRRS12-Professional-Accessories/dp/B06ZXZ81RF/ref=sr_1_5?keywords=Grace+USA+Roll+Pin+Punch+Set+7-Piece+Steel&amp;qid=1695173066&amp;sr=8-5", "https://www.amazon.com/Grace-USA-GRRS12-Professional-Accessories/dp/B06ZXZ81RF/ref=sr_1_5?keywords=Grace+USA+Roll+Pin+Punch+Set+7-Piece+Steel&amp;qid=1695173066&amp;sr=8-5")</f>
        <v/>
      </c>
      <c r="F3" t="inlineStr">
        <is>
          <t>B06ZXZ81RF</t>
        </is>
      </c>
      <c r="G3">
        <f>_xludf.IMAGE("https://media.mwstatic.com/product-images/src/Primary/363/363683.jpg?imwidth=680")</f>
        <v/>
      </c>
      <c r="H3">
        <f>_xludf.IMAGE("https://m.media-amazon.com/images/I/81oeZw9AMHL._AC_UL320_.jpg")</f>
        <v/>
      </c>
      <c r="I3" t="inlineStr">
        <is>
          <t>3.0</t>
        </is>
      </c>
      <c r="J3" t="n">
        <v>74.47</v>
      </c>
      <c r="K3" s="3" t="inlineStr">
        <is>
          <t>2382.33%</t>
        </is>
      </c>
      <c r="L3" t="n">
        <v>4.6</v>
      </c>
      <c r="M3" t="n">
        <v>44</v>
      </c>
      <c r="O3" t="inlineStr">
        <is>
          <t>InStock</t>
        </is>
      </c>
      <c r="P3" t="inlineStr">
        <is>
          <t>29.99</t>
        </is>
      </c>
      <c r="Q3" t="inlineStr">
        <is>
          <t>363683</t>
        </is>
      </c>
    </row>
    <row r="4">
      <c r="A4" s="2">
        <f>HYPERLINK("https://ads.midwayusa.com/product/1007073487?pid=363683", "https://ads.midwayusa.com/product/1007073487?pid=363683")</f>
        <v/>
      </c>
      <c r="B4" s="2">
        <f>HYPERLINK("https://ads.midwayusa.com/product/1007073487", "https://ads.midwayusa.com/product/1007073487")</f>
        <v/>
      </c>
      <c r="C4" t="inlineStr">
        <is>
          <t>Grace USA Roll Pin Punch Set 7-Piece Steel</t>
        </is>
      </c>
      <c r="D4" t="inlineStr">
        <is>
          <t>Grace USA BRP-8 - Gun Care Brass Roll Pin Punch Set - BRP8 - Gunsmithing - Brass Roll Pin Punches - 8 piece - Gunsmith Tools &amp; Accessories, Gold</t>
        </is>
      </c>
      <c r="E4" s="2">
        <f>HYPERLINK("https://www.amazon.com/Grace-USA-Gunsmithing-Gunsmith-Accessories/dp/B00CAM4YTO/ref=sr_1_10?keywords=Grace+USA+Roll+Pin+Punch+Set+7-Piece+Steel&amp;qid=1695173066&amp;sr=8-10", "https://www.amazon.com/Grace-USA-Gunsmithing-Gunsmith-Accessories/dp/B00CAM4YTO/ref=sr_1_10?keywords=Grace+USA+Roll+Pin+Punch+Set+7-Piece+Steel&amp;qid=1695173066&amp;sr=8-10")</f>
        <v/>
      </c>
      <c r="F4" t="inlineStr">
        <is>
          <t>B00CAM4YTO</t>
        </is>
      </c>
      <c r="G4">
        <f>_xludf.IMAGE("https://media.mwstatic.com/product-images/src/Primary/363/363683.jpg?imwidth=680")</f>
        <v/>
      </c>
      <c r="H4">
        <f>_xludf.IMAGE("https://m.media-amazon.com/images/I/816VuBXzB8L._AC_UL320_.jpg")</f>
        <v/>
      </c>
      <c r="I4" t="inlineStr">
        <is>
          <t>3.0</t>
        </is>
      </c>
      <c r="J4" t="n">
        <v>37.74</v>
      </c>
      <c r="K4" s="3" t="inlineStr">
        <is>
          <t>1158.00%</t>
        </is>
      </c>
      <c r="L4" t="n">
        <v>4.6</v>
      </c>
      <c r="M4" t="n">
        <v>92</v>
      </c>
      <c r="O4" t="inlineStr">
        <is>
          <t>InStock</t>
        </is>
      </c>
      <c r="P4" t="inlineStr">
        <is>
          <t>29.99</t>
        </is>
      </c>
      <c r="Q4" t="inlineStr">
        <is>
          <t>363683</t>
        </is>
      </c>
    </row>
    <row r="5">
      <c r="A5" s="2">
        <f>HYPERLINK("https://ads.midwayusa.com/product/1007073487?pid=363683", "https://ads.midwayusa.com/product/1007073487?pid=363683")</f>
        <v/>
      </c>
      <c r="B5" s="2">
        <f>HYPERLINK("https://ads.midwayusa.com/product/1007073487", "https://ads.midwayusa.com/product/1007073487")</f>
        <v/>
      </c>
      <c r="C5" t="inlineStr">
        <is>
          <t>Grace USA Roll Pin Punch Set 7-Piece Steel</t>
        </is>
      </c>
      <c r="D5" t="inlineStr">
        <is>
          <t>Grace USA Gun Care Steel Punch Set, Gunsmith Tools &amp; Accessories, 7 Piece Set, Made in USA</t>
        </is>
      </c>
      <c r="E5" s="2">
        <f>HYPERLINK("https://www.amazon.com/Grace-USA-Steel-Gunsmith-Accessories/dp/B007WADLBQ/ref=sr_1_2?keywords=Grace+USA+Roll+Pin+Punch+Set+7-Piece+Steel&amp;qid=1695173066&amp;sr=8-2", "https://www.amazon.com/Grace-USA-Steel-Gunsmith-Accessories/dp/B007WADLBQ/ref=sr_1_2?keywords=Grace+USA+Roll+Pin+Punch+Set+7-Piece+Steel&amp;qid=1695173066&amp;sr=8-2")</f>
        <v/>
      </c>
      <c r="F5" t="inlineStr">
        <is>
          <t>B007WADLBQ</t>
        </is>
      </c>
      <c r="G5">
        <f>_xludf.IMAGE("https://media.mwstatic.com/product-images/src/Primary/363/363683.jpg?imwidth=680")</f>
        <v/>
      </c>
      <c r="H5">
        <f>_xludf.IMAGE("https://m.media-amazon.com/images/I/81PQxA9Ct4L._AC_UL320_.jpg")</f>
        <v/>
      </c>
      <c r="I5" t="inlineStr">
        <is>
          <t>3.0</t>
        </is>
      </c>
      <c r="J5" t="n">
        <v>34.84</v>
      </c>
      <c r="K5" s="3" t="inlineStr">
        <is>
          <t>1061.33%</t>
        </is>
      </c>
      <c r="L5" t="n">
        <v>4.8</v>
      </c>
      <c r="M5" t="n">
        <v>149</v>
      </c>
      <c r="O5" t="inlineStr">
        <is>
          <t>InStock</t>
        </is>
      </c>
      <c r="P5" t="inlineStr">
        <is>
          <t>29.99</t>
        </is>
      </c>
      <c r="Q5" t="inlineStr">
        <is>
          <t>363683</t>
        </is>
      </c>
    </row>
    <row r="6">
      <c r="A6" s="2">
        <f>HYPERLINK("https://ads.midwayusa.com/product/1007073487?pid=363683", "https://ads.midwayusa.com/product/1007073487?pid=363683")</f>
        <v/>
      </c>
      <c r="B6" s="2">
        <f>HYPERLINK("https://ads.midwayusa.com/product/1007073487", "https://ads.midwayusa.com/product/1007073487")</f>
        <v/>
      </c>
      <c r="C6" t="inlineStr">
        <is>
          <t>Grace USA Roll Pin Punch Set 7-Piece Steel</t>
        </is>
      </c>
      <c r="D6" t="inlineStr">
        <is>
          <t>Grace USA - Steel Roll Spring Punch Set - SRS7 - Gunsmithing - Steel Punches - 7 piece - Gunsmith Tools &amp; Accessories, Black, Short Steel Roll Set</t>
        </is>
      </c>
      <c r="E6" s="2">
        <f>HYPERLINK("https://www.amazon.com/Grace-USA-Gunsmithing-Gunsmith-Accessories/dp/B00H407C1O/ref=sr_1_1?keywords=Grace+USA+Roll+Pin+Punch+Set+7-Piece+Steel&amp;qid=1695173066&amp;sr=8-1", "https://www.amazon.com/Grace-USA-Gunsmithing-Gunsmith-Accessories/dp/B00H407C1O/ref=sr_1_1?keywords=Grace+USA+Roll+Pin+Punch+Set+7-Piece+Steel&amp;qid=1695173066&amp;sr=8-1")</f>
        <v/>
      </c>
      <c r="F6" t="inlineStr">
        <is>
          <t>B00H407C1O</t>
        </is>
      </c>
      <c r="G6">
        <f>_xludf.IMAGE("https://media.mwstatic.com/product-images/src/Primary/363/363683.jpg?imwidth=680")</f>
        <v/>
      </c>
      <c r="H6">
        <f>_xludf.IMAGE("https://m.media-amazon.com/images/I/714ALMuKhQL._AC_UL320_.jpg")</f>
        <v/>
      </c>
      <c r="I6" t="inlineStr">
        <is>
          <t>3.0</t>
        </is>
      </c>
      <c r="J6" t="n">
        <v>29.97</v>
      </c>
      <c r="K6" s="3" t="inlineStr">
        <is>
          <t>899.00%</t>
        </is>
      </c>
      <c r="L6" t="n">
        <v>4.7</v>
      </c>
      <c r="M6" t="n">
        <v>303</v>
      </c>
      <c r="O6" t="inlineStr">
        <is>
          <t>InStock</t>
        </is>
      </c>
      <c r="P6" t="inlineStr">
        <is>
          <t>29.99</t>
        </is>
      </c>
      <c r="Q6" t="inlineStr">
        <is>
          <t>363683</t>
        </is>
      </c>
    </row>
    <row r="7">
      <c r="A7" s="2">
        <f>HYPERLINK("https://ads.midwayusa.com/product/1007073487?pid=363683", "https://ads.midwayusa.com/product/1007073487?pid=363683")</f>
        <v/>
      </c>
      <c r="B7" s="2">
        <f>HYPERLINK("https://ads.midwayusa.com/product/1007073487", "https://ads.midwayusa.com/product/1007073487")</f>
        <v/>
      </c>
      <c r="C7" t="inlineStr">
        <is>
          <t>Grace USA Roll Pin Punch Set 7-Piece Steel</t>
        </is>
      </c>
      <c r="D7" t="inlineStr">
        <is>
          <t>Grace USA Starter Short Pin Punch Set, Gunsmith, Hunting, Machinists, DIY Tools, Hardened Steel, Pin Punch Set, Punch Set, 5 Piece Set</t>
        </is>
      </c>
      <c r="E7" s="2">
        <f>HYPERLINK("https://www.amazon.com/Grace-USA-Starter-Gunsmith-Accessories/dp/B06XNNX4SH/ref=sr_1_4?keywords=Grace+USA+Roll+Pin+Punch+Set+7-Piece+Steel&amp;qid=1695173066&amp;sr=8-4", "https://www.amazon.com/Grace-USA-Starter-Gunsmith-Accessories/dp/B06XNNX4SH/ref=sr_1_4?keywords=Grace+USA+Roll+Pin+Punch+Set+7-Piece+Steel&amp;qid=1695173066&amp;sr=8-4")</f>
        <v/>
      </c>
      <c r="F7" t="inlineStr">
        <is>
          <t>B06XNNX4SH</t>
        </is>
      </c>
      <c r="G7">
        <f>_xludf.IMAGE("https://media.mwstatic.com/product-images/src/Primary/363/363683.jpg?imwidth=680")</f>
        <v/>
      </c>
      <c r="H7">
        <f>_xludf.IMAGE("https://m.media-amazon.com/images/I/81CQ+Bv0RGL._AC_UL320_.jpg")</f>
        <v/>
      </c>
      <c r="I7" t="inlineStr">
        <is>
          <t>3.0</t>
        </is>
      </c>
      <c r="J7" t="n">
        <v>24.24</v>
      </c>
      <c r="K7" s="3" t="inlineStr">
        <is>
          <t>708.00%</t>
        </is>
      </c>
      <c r="L7" t="n">
        <v>4.6</v>
      </c>
      <c r="M7" t="n">
        <v>107</v>
      </c>
      <c r="O7" t="inlineStr">
        <is>
          <t>InStock</t>
        </is>
      </c>
      <c r="P7" t="inlineStr">
        <is>
          <t>29.99</t>
        </is>
      </c>
      <c r="Q7" t="inlineStr">
        <is>
          <t>363683</t>
        </is>
      </c>
    </row>
    <row r="8">
      <c r="A8" s="2">
        <f>HYPERLINK("https://ads.midwayusa.com/product/1026334245?pid=718695", "https://ads.midwayusa.com/product/1026334245?pid=718695")</f>
        <v/>
      </c>
      <c r="B8" s="2">
        <f>HYPERLINK("https://ads.midwayusa.com/product/1026334245", "https://ads.midwayusa.com/product/1026334245")</f>
        <v/>
      </c>
      <c r="C8" t="inlineStr">
        <is>
          <t>Zeiss Terra ED Binocular 8x 25mm Refurb</t>
        </is>
      </c>
      <c r="D8" t="inlineStr">
        <is>
          <t>ZEISS Terra ED Binoculars 8x42 Waterproof, and Fast Focusing with Coated Glass for Optimal Clarity in All Weather Conditions for Bird Watching, Hunting, Sightseeing, Grey</t>
        </is>
      </c>
      <c r="E8" s="2">
        <f>HYPERLINK("https://www.amazon.com/ZEISS-Binoculars-Waterproof-Conditions-Sightseeing/dp/B01N7UD2U0/ref=sr_1_5?keywords=Zeiss+Terra+ED+Binocular+8x+25mm+Refurb&amp;qid=1695173066&amp;sr=8-5", "https://www.amazon.com/ZEISS-Binoculars-Waterproof-Conditions-Sightseeing/dp/B01N7UD2U0/ref=sr_1_5?keywords=Zeiss+Terra+ED+Binocular+8x+25mm+Refurb&amp;qid=1695173066&amp;sr=8-5")</f>
        <v/>
      </c>
      <c r="F8" t="inlineStr">
        <is>
          <t>B01N7UD2U0</t>
        </is>
      </c>
      <c r="G8">
        <f>_xludf.IMAGE("https://media.mwstatic.com/product-images/src/Primary/490/490958.jpg?imwidth=680")</f>
        <v/>
      </c>
      <c r="H8">
        <f>_xludf.IMAGE("https://m.media-amazon.com/images/I/51lf6zN4UfL._AC_UY218_.jpg")</f>
        <v/>
      </c>
      <c r="I8" t="inlineStr">
        <is>
          <t>60.0</t>
        </is>
      </c>
      <c r="J8" t="n">
        <v>440</v>
      </c>
      <c r="K8" s="3" t="inlineStr">
        <is>
          <t>633.33%</t>
        </is>
      </c>
      <c r="L8" t="n">
        <v>4.8</v>
      </c>
      <c r="M8" t="n">
        <v>50</v>
      </c>
      <c r="O8" t="inlineStr">
        <is>
          <t>InStock</t>
        </is>
      </c>
      <c r="P8" t="inlineStr">
        <is>
          <t>399.99</t>
        </is>
      </c>
      <c r="Q8" t="inlineStr">
        <is>
          <t>718695</t>
        </is>
      </c>
    </row>
    <row r="9">
      <c r="A9" s="2">
        <f>HYPERLINK("https://ads.midwayusa.com/product/1026334245?pid=718695", "https://ads.midwayusa.com/product/1026334245?pid=718695")</f>
        <v/>
      </c>
      <c r="B9" s="2">
        <f>HYPERLINK("https://ads.midwayusa.com/product/1026334245", "https://ads.midwayusa.com/product/1026334245")</f>
        <v/>
      </c>
      <c r="C9" t="inlineStr">
        <is>
          <t>Zeiss Terra ED Binocular 8x 25mm Refurb</t>
        </is>
      </c>
      <c r="D9" t="inlineStr">
        <is>
          <t>Zeiss 8x25 Terra ED Compact Pocket Binoculars with Zeiss Lens Cleaning Kit Bundle</t>
        </is>
      </c>
      <c r="E9" s="2">
        <f>HYPERLINK("https://www.amazon.com/Compact-Pocket-Binoculars-Cleaning-Bundle/dp/B07PYNSSJD/ref=sr_1_1?keywords=Zeiss+Terra+ED+Binocular+8x+25mm+Refurb&amp;qid=1695173066&amp;sr=8-1", "https://www.amazon.com/Compact-Pocket-Binoculars-Cleaning-Bundle/dp/B07PYNSSJD/ref=sr_1_1?keywords=Zeiss+Terra+ED+Binocular+8x+25mm+Refurb&amp;qid=1695173066&amp;sr=8-1")</f>
        <v/>
      </c>
      <c r="F9" t="inlineStr">
        <is>
          <t>B07PYNSSJD</t>
        </is>
      </c>
      <c r="G9">
        <f>_xludf.IMAGE("https://media.mwstatic.com/product-images/src/Primary/490/490958.jpg?imwidth=680")</f>
        <v/>
      </c>
      <c r="H9">
        <f>_xludf.IMAGE("https://m.media-amazon.com/images/I/61HFKgQbLlL._AC_UY218_.jpg")</f>
        <v/>
      </c>
      <c r="I9" t="inlineStr">
        <is>
          <t>60.0</t>
        </is>
      </c>
      <c r="J9" t="n">
        <v>379.99</v>
      </c>
      <c r="K9" s="3" t="inlineStr">
        <is>
          <t>533.32%</t>
        </is>
      </c>
      <c r="L9" t="n">
        <v>5</v>
      </c>
      <c r="M9" t="n">
        <v>4</v>
      </c>
      <c r="O9" t="inlineStr">
        <is>
          <t>InStock</t>
        </is>
      </c>
      <c r="P9" t="inlineStr">
        <is>
          <t>399.99</t>
        </is>
      </c>
      <c r="Q9" t="inlineStr">
        <is>
          <t>718695</t>
        </is>
      </c>
    </row>
    <row r="10">
      <c r="A10" s="2">
        <f>HYPERLINK("https://ads.midwayusa.com/product/102633417?pid=886482", "https://ads.midwayusa.com/product/102633417?pid=886482")</f>
        <v/>
      </c>
      <c r="B10" s="2">
        <f>HYPERLINK("https://ads.midwayusa.com/product/102633417", "https://ads.midwayusa.com/product/102633417")</f>
        <v/>
      </c>
      <c r="C10" t="inlineStr">
        <is>
          <t>Zeiss Terra ED Binocular 8x 25mm Demo</t>
        </is>
      </c>
      <c r="D10" t="inlineStr">
        <is>
          <t>Zeiss 8x25 Terra ED Compact Pocket Binoculars with Zeiss Lens Cleaning Kit Bundle</t>
        </is>
      </c>
      <c r="E10" s="2">
        <f>HYPERLINK("https://www.amazon.com/Compact-Pocket-Binoculars-Cleaning-Bundle/dp/B07PYNSSJD/ref=sr_1_1?keywords=Zeiss+Terra+ED+Binocular+8x+25mm+Demo&amp;qid=1695173067&amp;sr=8-1", "https://www.amazon.com/Compact-Pocket-Binoculars-Cleaning-Bundle/dp/B07PYNSSJD/ref=sr_1_1?keywords=Zeiss+Terra+ED+Binocular+8x+25mm+Demo&amp;qid=1695173067&amp;sr=8-1")</f>
        <v/>
      </c>
      <c r="F10" t="inlineStr">
        <is>
          <t>B07PYNSSJD</t>
        </is>
      </c>
      <c r="G10">
        <f>_xludf.IMAGE("https://media.mwstatic.com/product-images/src/Primary/490/490958.jpg?imwidth=680")</f>
        <v/>
      </c>
      <c r="H10">
        <f>_xludf.IMAGE("https://m.media-amazon.com/images/I/61HFKgQbLlL._AC_UY218_.jpg")</f>
        <v/>
      </c>
      <c r="I10" t="inlineStr">
        <is>
          <t>60.0</t>
        </is>
      </c>
      <c r="J10" t="n">
        <v>379.99</v>
      </c>
      <c r="K10" s="3" t="inlineStr">
        <is>
          <t>533.32%</t>
        </is>
      </c>
      <c r="L10" t="n">
        <v>5</v>
      </c>
      <c r="M10" t="n">
        <v>4</v>
      </c>
      <c r="O10" t="inlineStr">
        <is>
          <t>InStock</t>
        </is>
      </c>
      <c r="P10" t="inlineStr">
        <is>
          <t>399.99</t>
        </is>
      </c>
      <c r="Q10" t="inlineStr">
        <is>
          <t>886482</t>
        </is>
      </c>
    </row>
    <row r="11">
      <c r="A11" s="2">
        <f>HYPERLINK("https://ads.midwayusa.com/product/1026334245?pid=718695", "https://ads.midwayusa.com/product/1026334245?pid=718695")</f>
        <v/>
      </c>
      <c r="B11" s="2">
        <f>HYPERLINK("https://ads.midwayusa.com/product/1026334245", "https://ads.midwayusa.com/product/1026334245")</f>
        <v/>
      </c>
      <c r="C11" t="inlineStr">
        <is>
          <t>Zeiss Terra ED Binocular 8x 25mm Refurb</t>
        </is>
      </c>
      <c r="D11" t="inlineStr">
        <is>
          <t>ZEISS Terra ED 8x42 Black-Orange Binoculars (524203-9905-000)</t>
        </is>
      </c>
      <c r="E11" s="2">
        <f>HYPERLINK("https://www.amazon.com/Zeiss-Terra-Black-Orange-Binoculars-524203-9905-000/dp/B09KS3LWT3/ref=sr_1_6?keywords=Zeiss+Terra+ED+Binocular+8x+25mm+Refurb&amp;qid=1695173066&amp;sr=8-6", "https://www.amazon.com/Zeiss-Terra-Black-Orange-Binoculars-524203-9905-000/dp/B09KS3LWT3/ref=sr_1_6?keywords=Zeiss+Terra+ED+Binocular+8x+25mm+Refurb&amp;qid=1695173066&amp;sr=8-6")</f>
        <v/>
      </c>
      <c r="F11" t="inlineStr">
        <is>
          <t>B09KS3LWT3</t>
        </is>
      </c>
      <c r="G11">
        <f>_xludf.IMAGE("https://media.mwstatic.com/product-images/src/Primary/490/490958.jpg?imwidth=680")</f>
        <v/>
      </c>
      <c r="H11">
        <f>_xludf.IMAGE("https://m.media-amazon.com/images/I/61Kbvf28OrL._AC_UY218_.jpg")</f>
        <v/>
      </c>
      <c r="I11" t="inlineStr">
        <is>
          <t>60.0</t>
        </is>
      </c>
      <c r="J11" t="n">
        <v>349.99</v>
      </c>
      <c r="K11" s="3" t="inlineStr">
        <is>
          <t>483.32%</t>
        </is>
      </c>
      <c r="L11" t="n">
        <v>5</v>
      </c>
      <c r="M11" t="n">
        <v>5</v>
      </c>
      <c r="O11" t="inlineStr">
        <is>
          <t>InStock</t>
        </is>
      </c>
      <c r="P11" t="inlineStr">
        <is>
          <t>399.99</t>
        </is>
      </c>
      <c r="Q11" t="inlineStr">
        <is>
          <t>718695</t>
        </is>
      </c>
    </row>
    <row r="12">
      <c r="A12" s="2">
        <f>HYPERLINK("https://ads.midwayusa.com/product/102633417?pid=886482", "https://ads.midwayusa.com/product/102633417?pid=886482")</f>
        <v/>
      </c>
      <c r="B12" s="2">
        <f>HYPERLINK("https://ads.midwayusa.com/product/102633417", "https://ads.midwayusa.com/product/102633417")</f>
        <v/>
      </c>
      <c r="C12" t="inlineStr">
        <is>
          <t>Zeiss Terra ED Binocular 8x 25mm Demo</t>
        </is>
      </c>
      <c r="D12" t="inlineStr">
        <is>
          <t>ZEISS Terra ED 8x42 Black-Orange Binoculars (524203-9905-000)</t>
        </is>
      </c>
      <c r="E12" s="2">
        <f>HYPERLINK("https://www.amazon.com/Zeiss-Terra-Black-Orange-Binoculars-524203-9905-000/dp/B09KS3LWT3/ref=sr_1_6?keywords=Zeiss+Terra+ED+Binocular+8x+25mm+Demo&amp;qid=1695173067&amp;sr=8-6", "https://www.amazon.com/Zeiss-Terra-Black-Orange-Binoculars-524203-9905-000/dp/B09KS3LWT3/ref=sr_1_6?keywords=Zeiss+Terra+ED+Binocular+8x+25mm+Demo&amp;qid=1695173067&amp;sr=8-6")</f>
        <v/>
      </c>
      <c r="F12" t="inlineStr">
        <is>
          <t>B09KS3LWT3</t>
        </is>
      </c>
      <c r="G12">
        <f>_xludf.IMAGE("https://media.mwstatic.com/product-images/src/Primary/490/490958.jpg?imwidth=680")</f>
        <v/>
      </c>
      <c r="H12">
        <f>_xludf.IMAGE("https://m.media-amazon.com/images/I/61Kbvf28OrL._AC_UY218_.jpg")</f>
        <v/>
      </c>
      <c r="I12" t="inlineStr">
        <is>
          <t>60.0</t>
        </is>
      </c>
      <c r="J12" t="n">
        <v>349.99</v>
      </c>
      <c r="K12" s="3" t="inlineStr">
        <is>
          <t>483.32%</t>
        </is>
      </c>
      <c r="L12" t="n">
        <v>5</v>
      </c>
      <c r="M12" t="n">
        <v>5</v>
      </c>
      <c r="O12" t="inlineStr">
        <is>
          <t>InStock</t>
        </is>
      </c>
      <c r="P12" t="inlineStr">
        <is>
          <t>399.99</t>
        </is>
      </c>
      <c r="Q12" t="inlineStr">
        <is>
          <t>886482</t>
        </is>
      </c>
    </row>
    <row r="13">
      <c r="A13" s="2">
        <f>HYPERLINK("https://ads.midwayusa.com/product/102633417?pid=886482", "https://ads.midwayusa.com/product/102633417?pid=886482")</f>
        <v/>
      </c>
      <c r="B13" s="2">
        <f>HYPERLINK("https://ads.midwayusa.com/product/102633417", "https://ads.midwayusa.com/product/102633417")</f>
        <v/>
      </c>
      <c r="C13" t="inlineStr">
        <is>
          <t>Zeiss Terra ED Binocular 8x 25mm Demo</t>
        </is>
      </c>
      <c r="D13" t="inlineStr">
        <is>
          <t>ZEISS Terra ED Binoculars 8x42 Waterproof, and Fast Focusing with Coated Glass for Optimal Clarity in all Weather Conditions for Bird Watching, Hunting, Sightseeing, Green</t>
        </is>
      </c>
      <c r="E13" s="2">
        <f>HYPERLINK("https://www.amazon.com/Zeiss-Terra-Black-Green-Binoculars/dp/B06XB45N9K/ref=sr_1_5?keywords=Zeiss+Terra+ED+Binocular+8x+25mm+Demo&amp;qid=1695173067&amp;sr=8-5", "https://www.amazon.com/Zeiss-Terra-Black-Green-Binoculars/dp/B06XB45N9K/ref=sr_1_5?keywords=Zeiss+Terra+ED+Binocular+8x+25mm+Demo&amp;qid=1695173067&amp;sr=8-5")</f>
        <v/>
      </c>
      <c r="F13" t="inlineStr">
        <is>
          <t>B06XB45N9K</t>
        </is>
      </c>
      <c r="G13">
        <f>_xludf.IMAGE("https://media.mwstatic.com/product-images/src/Primary/490/490958.jpg?imwidth=680")</f>
        <v/>
      </c>
      <c r="H13">
        <f>_xludf.IMAGE("https://m.media-amazon.com/images/I/51QOdSfS3zL._AC_UY218_.jpg")</f>
        <v/>
      </c>
      <c r="I13" t="inlineStr">
        <is>
          <t>60.0</t>
        </is>
      </c>
      <c r="J13" t="n">
        <v>341.42</v>
      </c>
      <c r="K13" s="3" t="inlineStr">
        <is>
          <t>469.03%</t>
        </is>
      </c>
      <c r="L13" t="n">
        <v>4.7</v>
      </c>
      <c r="M13" t="n">
        <v>94</v>
      </c>
      <c r="O13" t="inlineStr">
        <is>
          <t>InStock</t>
        </is>
      </c>
      <c r="P13" t="inlineStr">
        <is>
          <t>399.99</t>
        </is>
      </c>
      <c r="Q13" t="inlineStr">
        <is>
          <t>886482</t>
        </is>
      </c>
    </row>
    <row r="14">
      <c r="A14" s="2">
        <f>HYPERLINK("https://ads.midwayusa.com/product/1026334245?pid=718695", "https://ads.midwayusa.com/product/1026334245?pid=718695")</f>
        <v/>
      </c>
      <c r="B14" s="2">
        <f>HYPERLINK("https://ads.midwayusa.com/product/1026334245", "https://ads.midwayusa.com/product/1026334245")</f>
        <v/>
      </c>
      <c r="C14" t="inlineStr">
        <is>
          <t>Zeiss Terra ED Binocular 8x 25mm Refurb</t>
        </is>
      </c>
      <c r="D14" t="inlineStr">
        <is>
          <t>ZEISS Terra ED Binoculars 8x32 Waterproof, and Fast Focusing with Coated Glass for Optimal Clarity in All Weather Conditions for Bird Watching, Hunting, Sightseeing, Green</t>
        </is>
      </c>
      <c r="E14" s="2">
        <f>HYPERLINK("https://www.amazon.com/ZEISS-Binoculars-Waterproof-Conditions-Sightseeing/dp/B083JD12Z8/ref=sr_1_4?keywords=Zeiss+Terra+ED+Binocular+8x+25mm+Refurb&amp;qid=1695173066&amp;sr=8-4", "https://www.amazon.com/ZEISS-Binoculars-Waterproof-Conditions-Sightseeing/dp/B083JD12Z8/ref=sr_1_4?keywords=Zeiss+Terra+ED+Binocular+8x+25mm+Refurb&amp;qid=1695173066&amp;sr=8-4")</f>
        <v/>
      </c>
      <c r="F14" t="inlineStr">
        <is>
          <t>B083JD12Z8</t>
        </is>
      </c>
      <c r="G14">
        <f>_xludf.IMAGE("https://media.mwstatic.com/product-images/src/Primary/490/490958.jpg?imwidth=680")</f>
        <v/>
      </c>
      <c r="H14">
        <f>_xludf.IMAGE("https://m.media-amazon.com/images/I/51HClP1kdlS._AC_UY218_.jpg")</f>
        <v/>
      </c>
      <c r="I14" t="inlineStr">
        <is>
          <t>60.0</t>
        </is>
      </c>
      <c r="J14" t="n">
        <v>340</v>
      </c>
      <c r="K14" s="3" t="inlineStr">
        <is>
          <t>466.67%</t>
        </is>
      </c>
      <c r="L14" t="n">
        <v>4.1</v>
      </c>
      <c r="M14" t="n">
        <v>7</v>
      </c>
      <c r="O14" t="inlineStr">
        <is>
          <t>InStock</t>
        </is>
      </c>
      <c r="P14" t="inlineStr">
        <is>
          <t>399.99</t>
        </is>
      </c>
      <c r="Q14" t="inlineStr">
        <is>
          <t>718695</t>
        </is>
      </c>
    </row>
    <row r="15">
      <c r="A15" s="2">
        <f>HYPERLINK("https://ads.midwayusa.com/product/102633417?pid=886482", "https://ads.midwayusa.com/product/102633417?pid=886482")</f>
        <v/>
      </c>
      <c r="B15" s="2">
        <f>HYPERLINK("https://ads.midwayusa.com/product/102633417", "https://ads.midwayusa.com/product/102633417")</f>
        <v/>
      </c>
      <c r="C15" t="inlineStr">
        <is>
          <t>Zeiss Terra ED Binocular 8x 25mm Demo</t>
        </is>
      </c>
      <c r="D15" t="inlineStr">
        <is>
          <t>ZEISS Terra ED Binoculars 8x32 Waterproof, and Fast Focusing with Coated Glass for Optimal Clarity in All Weather Conditions for Bird Watching, Hunting, Sightseeing, Green</t>
        </is>
      </c>
      <c r="E15" s="2">
        <f>HYPERLINK("https://www.amazon.com/ZEISS-Binoculars-Waterproof-Conditions-Sightseeing/dp/B083JD12Z8/ref=sr_1_4?keywords=Zeiss+Terra+ED+Binocular+8x+25mm+Demo&amp;qid=1695173067&amp;sr=8-4", "https://www.amazon.com/ZEISS-Binoculars-Waterproof-Conditions-Sightseeing/dp/B083JD12Z8/ref=sr_1_4?keywords=Zeiss+Terra+ED+Binocular+8x+25mm+Demo&amp;qid=1695173067&amp;sr=8-4")</f>
        <v/>
      </c>
      <c r="F15" t="inlineStr">
        <is>
          <t>B083JD12Z8</t>
        </is>
      </c>
      <c r="G15">
        <f>_xludf.IMAGE("https://media.mwstatic.com/product-images/src/Primary/490/490958.jpg?imwidth=680")</f>
        <v/>
      </c>
      <c r="H15">
        <f>_xludf.IMAGE("https://m.media-amazon.com/images/I/51HClP1kdlS._AC_UY218_.jpg")</f>
        <v/>
      </c>
      <c r="I15" t="inlineStr">
        <is>
          <t>60.0</t>
        </is>
      </c>
      <c r="J15" t="n">
        <v>340</v>
      </c>
      <c r="K15" s="3" t="inlineStr">
        <is>
          <t>466.67%</t>
        </is>
      </c>
      <c r="L15" t="n">
        <v>4.1</v>
      </c>
      <c r="M15" t="n">
        <v>7</v>
      </c>
      <c r="O15" t="inlineStr">
        <is>
          <t>InStock</t>
        </is>
      </c>
      <c r="P15" t="inlineStr">
        <is>
          <t>399.99</t>
        </is>
      </c>
      <c r="Q15" t="inlineStr">
        <is>
          <t>886482</t>
        </is>
      </c>
    </row>
    <row r="16">
      <c r="A16" s="2">
        <f>HYPERLINK("https://ads.midwayusa.com/product/1017102050?pid=183372", "https://ads.midwayusa.com/product/1017102050?pid=183372")</f>
        <v/>
      </c>
      <c r="B16" s="2">
        <f>HYPERLINK("https://ads.midwayusa.com/product/1017102050", "https://ads.midwayusa.com/product/1017102050")</f>
        <v/>
      </c>
      <c r="C16" t="inlineStr">
        <is>
          <t>SOG MacV Multi-Tool Black Steel</t>
        </is>
      </c>
      <c r="D16" t="inlineStr">
        <is>
          <t>SOG PowerLock Oxide Stainless Steel Folding Knife 18 Multi Tool Pliers with Screwdrivers, Crimper, Can Opener, Gripper, and Cutter, Black</t>
        </is>
      </c>
      <c r="E16" s="2">
        <f>HYPERLINK("https://www.amazon.com/SOG-PowerLock-EOD-Black-Oxide-Nylon-Sheath-CP/dp/B01DT4WW7C/ref=sr_1_7?keywords=SOG+MacV+Multi-Tool+Black+Steel&amp;qid=1695173084&amp;sr=8-7", "https://www.amazon.com/SOG-PowerLock-EOD-Black-Oxide-Nylon-Sheath-CP/dp/B01DT4WW7C/ref=sr_1_7?keywords=SOG+MacV+Multi-Tool+Black+Steel&amp;qid=1695173084&amp;sr=8-7")</f>
        <v/>
      </c>
      <c r="F16" t="inlineStr">
        <is>
          <t>B01DT4WW7C</t>
        </is>
      </c>
      <c r="G16">
        <f>_xludf.IMAGE("https://media.mwstatic.com/product-images/src/Primary/183/183372.jpg?imwidth=680")</f>
        <v/>
      </c>
      <c r="H16">
        <f>_xludf.IMAGE("https://m.media-amazon.com/images/I/61Q5PhfdrQL._AC_UL320_.jpg")</f>
        <v/>
      </c>
      <c r="I16" t="inlineStr">
        <is>
          <t>11.86</t>
        </is>
      </c>
      <c r="J16" t="n">
        <v>64.88</v>
      </c>
      <c r="K16" s="3" t="inlineStr">
        <is>
          <t>447.05%</t>
        </is>
      </c>
      <c r="L16" t="n">
        <v>4.4</v>
      </c>
      <c r="M16" t="n">
        <v>6</v>
      </c>
      <c r="O16" t="inlineStr">
        <is>
          <t>InStock</t>
        </is>
      </c>
      <c r="P16" t="inlineStr">
        <is>
          <t>18.95</t>
        </is>
      </c>
      <c r="Q16" t="inlineStr">
        <is>
          <t>183372</t>
        </is>
      </c>
    </row>
    <row r="17">
      <c r="A17" s="2">
        <f>HYPERLINK("https://ads.midwayusa.com/product/1017102050?pid=183372", "https://ads.midwayusa.com/product/1017102050?pid=183372")</f>
        <v/>
      </c>
      <c r="B17" s="2">
        <f>HYPERLINK("https://ads.midwayusa.com/product/1017102050", "https://ads.midwayusa.com/product/1017102050")</f>
        <v/>
      </c>
      <c r="C17" t="inlineStr">
        <is>
          <t>SOG MacV Multi-Tool Black Steel</t>
        </is>
      </c>
      <c r="D17" t="inlineStr">
        <is>
          <t>SOG PowerLock Multi-Tool- Compound Leverage Technology with EOD Crimper Device, 420 Stainless Steel Body, 18 Lightweight Specialty Tools (B61N-CP) , Black</t>
        </is>
      </c>
      <c r="E17" s="2">
        <f>HYPERLINK("https://www.amazon.com/SOG-Multitool-Pliers-Pocket-Tool/dp/B000JD08ZU/ref=sr_1_3?keywords=SOG+MacV+Multi-Tool+Black+Steel&amp;qid=1695173084&amp;sr=8-3", "https://www.amazon.com/SOG-Multitool-Pliers-Pocket-Tool/dp/B000JD08ZU/ref=sr_1_3?keywords=SOG+MacV+Multi-Tool+Black+Steel&amp;qid=1695173084&amp;sr=8-3")</f>
        <v/>
      </c>
      <c r="F17" t="inlineStr">
        <is>
          <t>B000JD08ZU</t>
        </is>
      </c>
      <c r="G17">
        <f>_xludf.IMAGE("https://media.mwstatic.com/product-images/src/Primary/183/183372.jpg?imwidth=680")</f>
        <v/>
      </c>
      <c r="H17">
        <f>_xludf.IMAGE("https://m.media-amazon.com/images/I/71pJSIRL2VL._AC_UL320_.jpg")</f>
        <v/>
      </c>
      <c r="I17" t="inlineStr">
        <is>
          <t>11.86</t>
        </is>
      </c>
      <c r="J17" t="n">
        <v>64.04000000000001</v>
      </c>
      <c r="K17" s="3" t="inlineStr">
        <is>
          <t>439.97%</t>
        </is>
      </c>
      <c r="L17" t="n">
        <v>4.6</v>
      </c>
      <c r="M17" t="n">
        <v>925</v>
      </c>
      <c r="O17" t="inlineStr">
        <is>
          <t>InStock</t>
        </is>
      </c>
      <c r="P17" t="inlineStr">
        <is>
          <t>18.95</t>
        </is>
      </c>
      <c r="Q17" t="inlineStr">
        <is>
          <t>183372</t>
        </is>
      </c>
    </row>
    <row r="18">
      <c r="A18" s="2">
        <f>HYPERLINK("https://ads.midwayusa.com/product/1017102050?pid=183372", "https://ads.midwayusa.com/product/1017102050?pid=183372")</f>
        <v/>
      </c>
      <c r="B18" s="2">
        <f>HYPERLINK("https://ads.midwayusa.com/product/1017102050", "https://ads.midwayusa.com/product/1017102050")</f>
        <v/>
      </c>
      <c r="C18" t="inlineStr">
        <is>
          <t>SOG MacV Multi-Tool Black Steel</t>
        </is>
      </c>
      <c r="D18" t="inlineStr">
        <is>
          <t>SOG PowerAccess Multi-Tool EDC Utility Tool, One-Handed Open, 18 Lightweight Speciality Tools, Stainless 5CR15MOV Steel Construction-Black (PA1002-CP)</t>
        </is>
      </c>
      <c r="E18" s="2">
        <f>HYPERLINK("https://www.amazon.com/SOG-PA1002CP-PowerAccess-Multi-Tool-Black/dp/B08RQVMF92/ref=sr_1_5?keywords=SOG+MacV+Multi-Tool+Black+Steel&amp;qid=1695173084&amp;sr=8-5", "https://www.amazon.com/SOG-PA1002CP-PowerAccess-Multi-Tool-Black/dp/B08RQVMF92/ref=sr_1_5?keywords=SOG+MacV+Multi-Tool+Black+Steel&amp;qid=1695173084&amp;sr=8-5")</f>
        <v/>
      </c>
      <c r="F18" t="inlineStr">
        <is>
          <t>B08RQVMF92</t>
        </is>
      </c>
      <c r="G18">
        <f>_xludf.IMAGE("https://media.mwstatic.com/product-images/src/Primary/183/183372.jpg?imwidth=680")</f>
        <v/>
      </c>
      <c r="H18">
        <f>_xludf.IMAGE("https://m.media-amazon.com/images/I/615QyPQFcYL._AC_UL320_.jpg")</f>
        <v/>
      </c>
      <c r="I18" t="inlineStr">
        <is>
          <t>11.86</t>
        </is>
      </c>
      <c r="J18" t="n">
        <v>51.26</v>
      </c>
      <c r="K18" s="3" t="inlineStr">
        <is>
          <t>332.21%</t>
        </is>
      </c>
      <c r="L18" t="n">
        <v>4.4</v>
      </c>
      <c r="M18" t="n">
        <v>154</v>
      </c>
      <c r="O18" t="inlineStr">
        <is>
          <t>InStock</t>
        </is>
      </c>
      <c r="P18" t="inlineStr">
        <is>
          <t>18.95</t>
        </is>
      </c>
      <c r="Q18" t="inlineStr">
        <is>
          <t>183372</t>
        </is>
      </c>
    </row>
    <row r="19">
      <c r="A19" s="2">
        <f>HYPERLINK("https://ads.midwayusa.com/product/1024124655?pid=991337", "https://ads.midwayusa.com/product/1024124655?pid=991337")</f>
        <v/>
      </c>
      <c r="B19" s="2">
        <f>HYPERLINK("https://ads.midwayusa.com/product/1024124655", "https://ads.midwayusa.com/product/1024124655")</f>
        <v/>
      </c>
      <c r="C19" t="inlineStr">
        <is>
          <t>SOG Altair XR Folding Knife</t>
        </is>
      </c>
      <c r="D19" t="inlineStr">
        <is>
          <t>SOG High-Performance Duty S35VN Steel Ambidextrous Carry EDC 3.9" Sharp Blade Seal XR - USA Made Folding Knife, black</t>
        </is>
      </c>
      <c r="E19" s="2">
        <f>HYPERLINK("https://www.amazon.com/SOG-High-Performance-S35VN-Steel-Ambidextrous/dp/B08KH6V61B/ref=sr_1_6?keywords=SOG+Altair+XR+Folding+Knife&amp;qid=1695173066&amp;sr=8-6", "https://www.amazon.com/SOG-High-Performance-S35VN-Steel-Ambidextrous/dp/B08KH6V61B/ref=sr_1_6?keywords=SOG+Altair+XR+Folding+Knife&amp;qid=1695173066&amp;sr=8-6")</f>
        <v/>
      </c>
      <c r="F19" t="inlineStr">
        <is>
          <t>B08KH6V61B</t>
        </is>
      </c>
      <c r="G19">
        <f>_xludf.IMAGE("https://media.mwstatic.com/product-images/src/Primary/991/991337.jpg?imwidth=680")</f>
        <v/>
      </c>
      <c r="H19">
        <f>_xludf.IMAGE("https://m.media-amazon.com/images/I/41Q3hjdyYWL._AC_UL320_.jpg")</f>
        <v/>
      </c>
      <c r="I19" t="inlineStr">
        <is>
          <t>37.49</t>
        </is>
      </c>
      <c r="J19" t="n">
        <v>159.82</v>
      </c>
      <c r="K19" s="3" t="inlineStr">
        <is>
          <t>326.30%</t>
        </is>
      </c>
      <c r="L19" t="n">
        <v>4.7</v>
      </c>
      <c r="M19" t="n">
        <v>117</v>
      </c>
      <c r="O19" t="inlineStr">
        <is>
          <t>InStock</t>
        </is>
      </c>
      <c r="P19" t="inlineStr">
        <is>
          <t>138.95</t>
        </is>
      </c>
      <c r="Q19" t="inlineStr">
        <is>
          <t>991337</t>
        </is>
      </c>
    </row>
    <row r="20">
      <c r="A20" s="2">
        <f>HYPERLINK("https://ads.midwayusa.com/product/102371904?pid=890690", "https://ads.midwayusa.com/product/102371904?pid=890690")</f>
        <v/>
      </c>
      <c r="B20" s="2">
        <f>HYPERLINK("https://ads.midwayusa.com/product/102371904", "https://ads.midwayusa.com/product/102371904")</f>
        <v/>
      </c>
      <c r="C20" t="inlineStr">
        <is>
          <t>SOG Terminus XR Folding Knife D2 Steel</t>
        </is>
      </c>
      <c r="D20" t="inlineStr">
        <is>
          <t>SOG Aegis at Tanto Outdoor Pocket Folding Opening Knife, Ambidextrous at-XR Lock with Ergonomic Handle, Heat-Treated D2 Steel Blade, Built-in Blade Locking Safety and Spine-Mounted Safety System</t>
        </is>
      </c>
      <c r="E20" s="2">
        <f>HYPERLINK("https://www.amazon.com/SOG-Outdoor-Ambidextrous-Ergonomic-Spine-Mounted/dp/B09P8WXR9V/ref=sr_1_6?keywords=SOG+Terminus+XR+Folding+Knife+D2+Steel&amp;qid=1695173067&amp;sr=8-6", "https://www.amazon.com/SOG-Outdoor-Ambidextrous-Ergonomic-Spine-Mounted/dp/B09P8WXR9V/ref=sr_1_6?keywords=SOG+Terminus+XR+Folding+Knife+D2+Steel&amp;qid=1695173067&amp;sr=8-6")</f>
        <v/>
      </c>
      <c r="F20" t="inlineStr">
        <is>
          <t>B09P8WXR9V</t>
        </is>
      </c>
      <c r="G20">
        <f>_xludf.IMAGE("https://media.mwstatic.com/product-images/src/Primary/890/890690.jpg?imwidth=680")</f>
        <v/>
      </c>
      <c r="H20">
        <f>_xludf.IMAGE("https://m.media-amazon.com/images/I/41LfBnXgZKL._AC_UL320_.jpg")</f>
        <v/>
      </c>
      <c r="I20" t="inlineStr">
        <is>
          <t>17.99</t>
        </is>
      </c>
      <c r="J20" t="n">
        <v>70</v>
      </c>
      <c r="K20" s="3" t="inlineStr">
        <is>
          <t>289.11%</t>
        </is>
      </c>
      <c r="L20" t="n">
        <v>4.4</v>
      </c>
      <c r="M20" t="n">
        <v>21</v>
      </c>
      <c r="O20" t="inlineStr">
        <is>
          <t>InStock</t>
        </is>
      </c>
      <c r="P20" t="inlineStr">
        <is>
          <t>66.95</t>
        </is>
      </c>
      <c r="Q20" t="inlineStr">
        <is>
          <t>890690</t>
        </is>
      </c>
    </row>
    <row r="21">
      <c r="A21" s="2">
        <f>HYPERLINK("https://ads.midwayusa.com/product/102371904?pid=890690", "https://ads.midwayusa.com/product/102371904?pid=890690")</f>
        <v/>
      </c>
      <c r="B21" s="2">
        <f>HYPERLINK("https://ads.midwayusa.com/product/102371904", "https://ads.midwayusa.com/product/102371904")</f>
        <v/>
      </c>
      <c r="C21" t="inlineStr">
        <is>
          <t>SOG Terminus XR Folding Knife D2 Steel</t>
        </is>
      </c>
      <c r="D21" t="inlineStr">
        <is>
          <t>SOG Terminus XR G10 Folding Pocket Knife- Ambidextrous EDC Knife with Adjustable Belt Clip, G10 Handle, and Stonewashed Hardware- Crimson (TM1023-CP)</t>
        </is>
      </c>
      <c r="E21" s="2">
        <f>HYPERLINK("https://www.amazon.com/SOG-Ambidextrous-Adjustable-Stonewashed-Hardware/dp/B08RQJL1TB/ref=sr_1_2?keywords=SOG+Terminus+XR+Folding+Knife+D2+Steel&amp;qid=1695173067&amp;sr=8-2", "https://www.amazon.com/SOG-Ambidextrous-Adjustable-Stonewashed-Hardware/dp/B08RQJL1TB/ref=sr_1_2?keywords=SOG+Terminus+XR+Folding+Knife+D2+Steel&amp;qid=1695173067&amp;sr=8-2")</f>
        <v/>
      </c>
      <c r="F21" t="inlineStr">
        <is>
          <t>B08RQJL1TB</t>
        </is>
      </c>
      <c r="G21">
        <f>_xludf.IMAGE("https://media.mwstatic.com/product-images/src/Primary/890/890690.jpg?imwidth=680")</f>
        <v/>
      </c>
      <c r="H21">
        <f>_xludf.IMAGE("https://m.media-amazon.com/images/I/516CF3pU4DL._AC_UL320_.jpg")</f>
        <v/>
      </c>
      <c r="I21" t="inlineStr">
        <is>
          <t>17.99</t>
        </is>
      </c>
      <c r="J21" t="n">
        <v>49.55</v>
      </c>
      <c r="K21" s="3" t="inlineStr">
        <is>
          <t>175.43%</t>
        </is>
      </c>
      <c r="L21" t="n">
        <v>4.3</v>
      </c>
      <c r="M21" t="n">
        <v>290</v>
      </c>
      <c r="O21" t="inlineStr">
        <is>
          <t>InStock</t>
        </is>
      </c>
      <c r="P21" t="inlineStr">
        <is>
          <t>66.95</t>
        </is>
      </c>
      <c r="Q21" t="inlineStr">
        <is>
          <t>890690</t>
        </is>
      </c>
    </row>
    <row r="22">
      <c r="A22" s="2">
        <f>HYPERLINK("https://ads.midwayusa.com/product/102371904?pid=890690", "https://ads.midwayusa.com/product/102371904?pid=890690")</f>
        <v/>
      </c>
      <c r="B22" s="2">
        <f>HYPERLINK("https://ads.midwayusa.com/product/102371904", "https://ads.midwayusa.com/product/102371904")</f>
        <v/>
      </c>
      <c r="C22" t="inlineStr">
        <is>
          <t>SOG Terminus XR Folding Knife D2 Steel</t>
        </is>
      </c>
      <c r="D22" t="inlineStr">
        <is>
          <t>SOG Hunting High Carbon Steel Ambidextrous Carry EDC 2.95' Sharp Blade Terminus XR OD Green Folding Knife</t>
        </is>
      </c>
      <c r="E22" s="2">
        <f>HYPERLINK("https://www.amazon.com/SOG-SOGTM1022BX-Terminus-G10-Green/dp/B0817DMXLG/ref=sr_1_1?keywords=SOG+Terminus+XR+Folding+Knife+D2+Steel&amp;qid=1695173067&amp;sr=8-1", "https://www.amazon.com/SOG-SOGTM1022BX-Terminus-G10-Green/dp/B0817DMXLG/ref=sr_1_1?keywords=SOG+Terminus+XR+Folding+Knife+D2+Steel&amp;qid=1695173067&amp;sr=8-1")</f>
        <v/>
      </c>
      <c r="F22" t="inlineStr">
        <is>
          <t>B0817DMXLG</t>
        </is>
      </c>
      <c r="G22">
        <f>_xludf.IMAGE("https://media.mwstatic.com/product-images/src/Primary/890/890690.jpg?imwidth=680")</f>
        <v/>
      </c>
      <c r="H22">
        <f>_xludf.IMAGE("https://m.media-amazon.com/images/I/41ZGCRPGZvL._AC_UL320_.jpg")</f>
        <v/>
      </c>
      <c r="I22" t="inlineStr">
        <is>
          <t>17.99</t>
        </is>
      </c>
      <c r="J22" t="n">
        <v>49.11</v>
      </c>
      <c r="K22" s="3" t="inlineStr">
        <is>
          <t>172.98%</t>
        </is>
      </c>
      <c r="L22" t="n">
        <v>4.5</v>
      </c>
      <c r="M22" t="n">
        <v>153</v>
      </c>
      <c r="O22" t="inlineStr">
        <is>
          <t>InStock</t>
        </is>
      </c>
      <c r="P22" t="inlineStr">
        <is>
          <t>66.95</t>
        </is>
      </c>
      <c r="Q22" t="inlineStr">
        <is>
          <t>890690</t>
        </is>
      </c>
    </row>
    <row r="23">
      <c r="A23" s="2">
        <f>HYPERLINK("https://ads.midwayusa.com/product/1024124655?pid=991337", "https://ads.midwayusa.com/product/1024124655?pid=991337")</f>
        <v/>
      </c>
      <c r="B23" s="2">
        <f>HYPERLINK("https://ads.midwayusa.com/product/1024124655", "https://ads.midwayusa.com/product/1024124655")</f>
        <v/>
      </c>
      <c r="C23" t="inlineStr">
        <is>
          <t>SOG Altair XR Folding Knife</t>
        </is>
      </c>
      <c r="D23" t="inlineStr">
        <is>
          <t>SOG Urban Next Generation Gentleman's Stainless Steel Ambidextrous Carry EDC 2.8" Sharp Blade Ultra XR Carbon &amp; Gold Folding Knife</t>
        </is>
      </c>
      <c r="E23" s="2">
        <f>HYPERLINK("https://www.amazon.com/SOG-Ultra-XR-Carbon-Gold/dp/B08CWZW63X/ref=sr_1_5?keywords=SOG+Altair+XR+Folding+Knife&amp;qid=1695173066&amp;sr=8-5", "https://www.amazon.com/SOG-Ultra-XR-Carbon-Gold/dp/B08CWZW63X/ref=sr_1_5?keywords=SOG+Altair+XR+Folding+Knife&amp;qid=1695173066&amp;sr=8-5")</f>
        <v/>
      </c>
      <c r="F23" t="inlineStr">
        <is>
          <t>B08CWZW63X</t>
        </is>
      </c>
      <c r="G23">
        <f>_xludf.IMAGE("https://media.mwstatic.com/product-images/src/Primary/991/991337.jpg?imwidth=680")</f>
        <v/>
      </c>
      <c r="H23">
        <f>_xludf.IMAGE("https://m.media-amazon.com/images/I/41vNIvwBkNL._AC_UL320_.jpg")</f>
        <v/>
      </c>
      <c r="I23" t="inlineStr">
        <is>
          <t>37.49</t>
        </is>
      </c>
      <c r="J23" t="n">
        <v>90.23999999999999</v>
      </c>
      <c r="K23" s="3" t="inlineStr">
        <is>
          <t>140.70%</t>
        </is>
      </c>
      <c r="L23" t="n">
        <v>4.4</v>
      </c>
      <c r="M23" t="n">
        <v>52</v>
      </c>
      <c r="O23" t="inlineStr">
        <is>
          <t>InStock</t>
        </is>
      </c>
      <c r="P23" t="inlineStr">
        <is>
          <t>138.95</t>
        </is>
      </c>
      <c r="Q23" t="inlineStr">
        <is>
          <t>991337</t>
        </is>
      </c>
    </row>
    <row r="24">
      <c r="A24" s="2">
        <f>HYPERLINK("https://ads.midwayusa.com/product/1024683877?pid=340967", "https://ads.midwayusa.com/product/1024683877?pid=340967")</f>
        <v/>
      </c>
      <c r="B24" s="2">
        <f>HYPERLINK("https://ads.midwayusa.com/product/1024683877", "https://ads.midwayusa.com/product/1024683877")</f>
        <v/>
      </c>
      <c r="C24" t="inlineStr">
        <is>
          <t>SOG Powerpint Multi-Tool</t>
        </is>
      </c>
      <c r="D24" t="inlineStr">
        <is>
          <t>SOG Powerlock V-Cutter- Multi-Tool Pocket Utility Tool Set with 18 Specialty Tools for Heavy-Duty Field Use and Nylon Carrying Pouch (B63N-CP)</t>
        </is>
      </c>
      <c r="F24" t="inlineStr">
        <is>
          <t>B000PIF9PI</t>
        </is>
      </c>
      <c r="G24">
        <f>_xludf.IMAGE("https://media.mwstatic.com/product-images/src/Primary/340/340967.jpg?imwidth=680")</f>
        <v/>
      </c>
      <c r="H24">
        <f>_xludf.IMAGE("https://m.media-amazon.com/images/I/61tVOBiujUL._AC_UL320_.jpg")</f>
        <v/>
      </c>
      <c r="I24" t="inlineStr">
        <is>
          <t>34.96</t>
        </is>
      </c>
      <c r="J24" t="n">
        <v>61.72</v>
      </c>
      <c r="K24" s="3" t="inlineStr">
        <is>
          <t>76.54%</t>
        </is>
      </c>
      <c r="L24" t="n">
        <v>4.7</v>
      </c>
      <c r="M24" t="n">
        <v>694</v>
      </c>
      <c r="O24" t="inlineStr">
        <is>
          <t>InStock</t>
        </is>
      </c>
      <c r="P24" t="inlineStr">
        <is>
          <t>55.95</t>
        </is>
      </c>
      <c r="Q24" t="inlineStr">
        <is>
          <t>340967</t>
        </is>
      </c>
    </row>
    <row r="25">
      <c r="A25" s="2">
        <f>HYPERLINK("https://ads.midwayusa.com/product/1024683877?pid=340967", "https://ads.midwayusa.com/product/1024683877?pid=340967")</f>
        <v/>
      </c>
      <c r="B25" s="2">
        <f>HYPERLINK("https://ads.midwayusa.com/product/1024683877", "https://ads.midwayusa.com/product/1024683877")</f>
        <v/>
      </c>
      <c r="C25" t="inlineStr">
        <is>
          <t>SOG Powerpint Multi-Tool</t>
        </is>
      </c>
      <c r="D25" t="inlineStr">
        <is>
          <t>SOG PA2002-CP PowerAccess Deluxe Multi-Tool, Black</t>
        </is>
      </c>
      <c r="E25" s="2">
        <f>HYPERLINK("https://www.amazon.com/SOG-PA2002-CP-PowerAccess-Deluxe-Multi-Tool/dp/B08RQZ6996/ref=sr_1_7?keywords=SOG+Powerpint+Multi-Tool&amp;qid=1695173066&amp;sr=8-7", "https://www.amazon.com/SOG-PA2002-CP-PowerAccess-Deluxe-Multi-Tool/dp/B08RQZ6996/ref=sr_1_7?keywords=SOG+Powerpint+Multi-Tool&amp;qid=1695173066&amp;sr=8-7")</f>
        <v/>
      </c>
      <c r="F25" t="inlineStr">
        <is>
          <t>B08RQZ6996</t>
        </is>
      </c>
      <c r="G25">
        <f>_xludf.IMAGE("https://media.mwstatic.com/product-images/src/Primary/340/340967.jpg?imwidth=680")</f>
        <v/>
      </c>
      <c r="H25">
        <f>_xludf.IMAGE("https://m.media-amazon.com/images/I/51EJBSDyt8L._AC_UL320_.jpg")</f>
        <v/>
      </c>
      <c r="I25" t="inlineStr">
        <is>
          <t>34.96</t>
        </is>
      </c>
      <c r="J25" t="n">
        <v>58.88</v>
      </c>
      <c r="K25" s="3" t="inlineStr">
        <is>
          <t>68.42%</t>
        </is>
      </c>
      <c r="L25" t="n">
        <v>4.3</v>
      </c>
      <c r="M25" t="n">
        <v>297</v>
      </c>
      <c r="O25" t="inlineStr">
        <is>
          <t>InStock</t>
        </is>
      </c>
      <c r="P25" t="inlineStr">
        <is>
          <t>55.95</t>
        </is>
      </c>
      <c r="Q25" t="inlineStr">
        <is>
          <t>340967</t>
        </is>
      </c>
    </row>
    <row r="26">
      <c r="A26" s="2">
        <f>HYPERLINK("https://edmondsonsupply.com/collections/hand-tools/products/malco-mshc-2-inch-c-rhex-cleanable-reversible-magnetic-hex-driver-1-4-5-16", "https://edmondsonsupply.com/collections/hand-tools/products/malco-mshc-2-inch-c-rhex-cleanable-reversible-magnetic-hex-driver-1-4-5-16")</f>
        <v/>
      </c>
      <c r="B26" s="2">
        <f>HYPERLINK("https://edmondsonsupply.com/products/malco-mshc-2-inch-c-rhex-cleanable-reversible-magnetic-hex-driver-1-4-5-16", "https://edmondsonsupply.com/products/malco-mshc-2-inch-c-rhex-cleanable-reversible-magnetic-hex-driver-1-4-5-16")</f>
        <v/>
      </c>
      <c r="C26" t="inlineStr">
        <is>
          <t>Malco Tools MSHC 2-Inch C-Rhex Cleanable, Reversible Magnetic Hex Driver, 1/4" &amp; 5/16"</t>
        </is>
      </c>
      <c r="D26" t="inlineStr">
        <is>
          <t>Malco MALCOMBO1 2 in. C-Rhex Cleanable, Reversible Magnetic Hex Driver, 4 Piece Set &amp; Klein Tools 32767 Impact Driver, 3-in-1 Impact Flip Socket and Bit Holder, 1/4-Inch and 5/16-Inch Hex Drivers</t>
        </is>
      </c>
      <c r="E26" s="2">
        <f>HYPERLINK("https://www.amazon.com/Malco-MALCOMBO1-Cleanable-Reversible-Magnetic/dp/B0BGJ5RWTL/ref=sr_1_5?keywords=Malco+Tools+MSHC+2-Inch+C-Rhex+Cleanable%2C+Reversible+Magnetic+Hex+Driver%2C+1%2F4%22+%26+5%2F16%22&amp;qid=1695173098&amp;sr=8-5", "https://www.amazon.com/Malco-MALCOMBO1-Cleanable-Reversible-Magnetic/dp/B0BGJ5RWTL/ref=sr_1_5?keywords=Malco+Tools+MSHC+2-Inch+C-Rhex+Cleanable%2C+Reversible+Magnetic+Hex+Driver%2C+1%2F4%22+%26+5%2F16%22&amp;qid=1695173098&amp;sr=8-5")</f>
        <v/>
      </c>
      <c r="F26" t="inlineStr">
        <is>
          <t>B0BGJ5RWTL</t>
        </is>
      </c>
      <c r="G26">
        <f>_xludf.IMAGE("https://edmondsonsupply.com/cdn/shop/products/Malco-MSHC-CRHEX-Slim-Design.jpg?v=1646614493")</f>
        <v/>
      </c>
      <c r="H26">
        <f>_xludf.IMAGE("https://m.media-amazon.com/images/I/41hd4MZQBGL._AC_UL320_.jpg")</f>
        <v/>
      </c>
      <c r="I26" t="inlineStr">
        <is>
          <t>5.89</t>
        </is>
      </c>
      <c r="J26" t="n">
        <v>38.76</v>
      </c>
      <c r="K26" s="3" t="inlineStr">
        <is>
          <t>558.06%</t>
        </is>
      </c>
      <c r="L26" t="n">
        <v>4.7</v>
      </c>
      <c r="M26" t="n">
        <v>516</v>
      </c>
      <c r="O26" t="inlineStr">
        <is>
          <t>InStock</t>
        </is>
      </c>
      <c r="P26" t="inlineStr">
        <is>
          <t>undefined</t>
        </is>
      </c>
      <c r="Q26" t="inlineStr">
        <is>
          <t>4102600753252</t>
        </is>
      </c>
    </row>
    <row r="27">
      <c r="A27" s="2">
        <f>HYPERLINK("https://edmondsonsupply.com/collections/hand-tools/products/klein-tools-65200-electricians-mini-ratchet-set-5-piece", "https://edmondsonsupply.com/collections/hand-tools/products/klein-tools-65200-electricians-mini-ratchet-set-5-piece")</f>
        <v/>
      </c>
      <c r="B27" s="2">
        <f>HYPERLINK("https://edmondsonsupply.com/products/klein-tools-65200-electricians-mini-ratchet-set-5-piece", "https://edmondsonsupply.com/products/klein-tools-65200-electricians-mini-ratchet-set-5-piece")</f>
        <v/>
      </c>
      <c r="C27" t="inlineStr">
        <is>
          <t>Klein Tools 65200 Slim-Profile Mini Ratchet Set, 5-Piece</t>
        </is>
      </c>
      <c r="D27" t="inlineStr">
        <is>
          <t>KNIPEX Tools - 2 Piece Mini Pliers Wrench Set (9K0080121US) &amp; Klein Tools 65200 Ratchet Set, 5-Piece Mini Ratchet Set with Phillips, Slotted, and Adapter for Other Socket Sizes, For Tight Spaces</t>
        </is>
      </c>
      <c r="E27" s="2">
        <f>HYPERLINK("https://www.amazon.com/KNIPEX-Tools-9K0080121US-Ratchet-Phillips/dp/B0C9ZYJDDN/ref=sr_1_8?keywords=Klein+Tools+65200+Slim-Profile+Mini+Ratchet+Set%2C+5-Piece&amp;qid=1695173095&amp;sr=8-8", "https://www.amazon.com/KNIPEX-Tools-9K0080121US-Ratchet-Phillips/dp/B0C9ZYJDDN/ref=sr_1_8?keywords=Klein+Tools+65200+Slim-Profile+Mini+Ratchet+Set%2C+5-Piece&amp;qid=1695173095&amp;sr=8-8")</f>
        <v/>
      </c>
      <c r="F27" t="inlineStr">
        <is>
          <t>B0C9ZYJDDN</t>
        </is>
      </c>
      <c r="G27">
        <f>_xludf.IMAGE("https://edmondsonsupply.com/cdn/shop/products/65200.jpg?v=1633030630")</f>
        <v/>
      </c>
      <c r="H27">
        <f>_xludf.IMAGE("https://m.media-amazon.com/images/I/516RxJHqDiL._AC_UL320_.jpg")</f>
        <v/>
      </c>
      <c r="I27" t="inlineStr">
        <is>
          <t>15.97</t>
        </is>
      </c>
      <c r="J27" t="n">
        <v>100.02</v>
      </c>
      <c r="K27" s="3" t="inlineStr">
        <is>
          <t>526.30%</t>
        </is>
      </c>
      <c r="L27" t="n">
        <v>4.8</v>
      </c>
      <c r="M27" t="n">
        <v>1148</v>
      </c>
      <c r="O27" t="inlineStr">
        <is>
          <t>InStock</t>
        </is>
      </c>
      <c r="P27" t="inlineStr">
        <is>
          <t>20.96</t>
        </is>
      </c>
      <c r="Q27" t="inlineStr">
        <is>
          <t>5694440964264</t>
        </is>
      </c>
    </row>
    <row r="28">
      <c r="A28" s="2">
        <f>HYPERLINK("https://edmondsonsupply.com/collections/hand-tools/products/hilmor-1839046", "https://edmondsonsupply.com/collections/hand-tools/products/hilmor-1839046")</f>
        <v/>
      </c>
      <c r="B28" s="2">
        <f>HYPERLINK("https://edmondsonsupply.com/products/hilmor-1839046", "https://edmondsonsupply.com/products/hilmor-1839046")</f>
        <v/>
      </c>
      <c r="C28" t="inlineStr">
        <is>
          <t>Hilmor 1839046 Service Wrench Hex Key Adapter</t>
        </is>
      </c>
      <c r="D28" t="inlineStr">
        <is>
          <t>Replacement for Yellow Jacket 60609 - Service Wrench Hex Key Adapter - 3/16" , 5/16"</t>
        </is>
      </c>
      <c r="E28" s="2">
        <f>HYPERLINK("https://www.amazon.com/Replacement-Yellow-Jacket-60609-Service/dp/B010GBZZPW/ref=sr_1_8?keywords=Hilmor+1839046+Service+Wrench+Hex+Key+Adapter&amp;qid=1695173090&amp;sr=8-8", "https://www.amazon.com/Replacement-Yellow-Jacket-60609-Service/dp/B010GBZZPW/ref=sr_1_8?keywords=Hilmor+1839046+Service+Wrench+Hex+Key+Adapter&amp;qid=1695173090&amp;sr=8-8")</f>
        <v/>
      </c>
      <c r="F28" t="inlineStr">
        <is>
          <t>B010GBZZPW</t>
        </is>
      </c>
      <c r="G28">
        <f>_xludf.IMAGE("https://edmondsonsupply.com/cdn/shop/products/s-l500.jpg?v=1633030254")</f>
        <v/>
      </c>
      <c r="H28">
        <f>_xludf.IMAGE("https://m.media-amazon.com/images/I/21OyKJYsZmL._AC_UL320_.jpg")</f>
        <v/>
      </c>
      <c r="I28" t="inlineStr">
        <is>
          <t>3.22</t>
        </is>
      </c>
      <c r="J28" t="n">
        <v>16.68</v>
      </c>
      <c r="K28" s="3" t="inlineStr">
        <is>
          <t>418.01%</t>
        </is>
      </c>
      <c r="L28" t="n">
        <v>4.5</v>
      </c>
      <c r="M28" t="n">
        <v>53</v>
      </c>
      <c r="O28" t="inlineStr">
        <is>
          <t>InStock</t>
        </is>
      </c>
      <c r="P28" t="inlineStr">
        <is>
          <t>undefined</t>
        </is>
      </c>
      <c r="Q28" t="inlineStr">
        <is>
          <t>4630002172004</t>
        </is>
      </c>
    </row>
    <row r="29">
      <c r="A29" s="2">
        <f>HYPERLINK("https://edmondsonsupply.com/collections/hand-tools/products/malco-mshc-2-inch-c-rhex-cleanable-reversible-magnetic-hex-driver-1-4-5-16", "https://edmondsonsupply.com/collections/hand-tools/products/malco-mshc-2-inch-c-rhex-cleanable-reversible-magnetic-hex-driver-1-4-5-16")</f>
        <v/>
      </c>
      <c r="B29" s="2">
        <f>HYPERLINK("https://edmondsonsupply.com/products/malco-mshc-2-inch-c-rhex-cleanable-reversible-magnetic-hex-driver-1-4-5-16", "https://edmondsonsupply.com/products/malco-mshc-2-inch-c-rhex-cleanable-reversible-magnetic-hex-driver-1-4-5-16")</f>
        <v/>
      </c>
      <c r="C29" t="inlineStr">
        <is>
          <t>Malco Tools MSHC 2-Inch C-Rhex Cleanable, Reversible Magnetic Hex Driver, 1/4" &amp; 5/16"</t>
        </is>
      </c>
      <c r="D29" t="inlineStr">
        <is>
          <t>Malco MSH2XLC2 C-RHEX® Building Construction Series Cleanable, Reversible Magnetic Hex Driver (1/4" &amp; 5/16")</t>
        </is>
      </c>
      <c r="E29" s="2">
        <f>HYPERLINK("https://www.amazon.com/Malco-MSH2XLC2-Construction-Cleanable-Reversible/dp/B0BX79N2BV/ref=sr_1_2?keywords=Malco+Tools+MSHC+2-Inch+C-Rhex+Cleanable%2C+Reversible+Magnetic+Hex+Driver%2C+1%2F4%22+%26+5%2F16%22&amp;qid=1695173098&amp;sr=8-2", "https://www.amazon.com/Malco-MSH2XLC2-Construction-Cleanable-Reversible/dp/B0BX79N2BV/ref=sr_1_2?keywords=Malco+Tools+MSHC+2-Inch+C-Rhex+Cleanable%2C+Reversible+Magnetic+Hex+Driver%2C+1%2F4%22+%26+5%2F16%22&amp;qid=1695173098&amp;sr=8-2")</f>
        <v/>
      </c>
      <c r="F29" t="inlineStr">
        <is>
          <t>B0BX79N2BV</t>
        </is>
      </c>
      <c r="G29">
        <f>_xludf.IMAGE("https://edmondsonsupply.com/cdn/shop/products/Malco-MSHC-CRHEX-Slim-Design.jpg?v=1646614493")</f>
        <v/>
      </c>
      <c r="H29">
        <f>_xludf.IMAGE("https://m.media-amazon.com/images/I/31odlSGS4kL._AC_UL320_.jpg")</f>
        <v/>
      </c>
      <c r="I29" t="inlineStr">
        <is>
          <t>5.89</t>
        </is>
      </c>
      <c r="J29" t="n">
        <v>22.86</v>
      </c>
      <c r="K29" s="3" t="inlineStr">
        <is>
          <t>288.12%</t>
        </is>
      </c>
      <c r="L29" t="n">
        <v>5</v>
      </c>
      <c r="M29" t="n">
        <v>1</v>
      </c>
      <c r="O29" t="inlineStr">
        <is>
          <t>InStock</t>
        </is>
      </c>
      <c r="P29" t="inlineStr">
        <is>
          <t>undefined</t>
        </is>
      </c>
      <c r="Q29" t="inlineStr">
        <is>
          <t>4102600753252</t>
        </is>
      </c>
    </row>
    <row r="30">
      <c r="A30" s="2">
        <f>HYPERLINK("https://edmondsonsupply.com/collections/hand-tools/products/midwest-mwt-6510ro-right-cutting-offset-aviation-snip-blackout-series", "https://edmondsonsupply.com/collections/hand-tools/products/midwest-mwt-6510ro-right-cutting-offset-aviation-snip-blackout-series")</f>
        <v/>
      </c>
      <c r="B30" s="2">
        <f>HYPERLINK("https://edmondsonsupply.com/products/midwest-mwt-6510ro-right-cutting-offset-aviation-snip-blackout-series", "https://edmondsonsupply.com/products/midwest-mwt-6510ro-right-cutting-offset-aviation-snip-blackout-series")</f>
        <v/>
      </c>
      <c r="C30" t="inlineStr">
        <is>
          <t>Midwest MWT-6510RO Right-Cutting Offset Aviation Snip - Blackout Series</t>
        </is>
      </c>
      <c r="D30" t="inlineStr">
        <is>
          <t>MIDWEST Aviation Snip - Left and Right Cut Offset Stainless Steel Cutting Shears with Forged Blade &amp; KUSH'N-POWER Comfort Grips - MWT-SS6510C</t>
        </is>
      </c>
      <c r="E30" s="2">
        <f>HYPERLINK("https://www.amazon.com/MIDWEST-Aviation-Snip-Set-KUSHN-POWER/dp/B07RC7ZBK9/ref=sr_1_3?keywords=Midwest+MWT-6510RO+Right-Cutting+Offset+Aviation+Snip+-+Blackout+Series&amp;qid=1695173092&amp;sr=8-3", "https://www.amazon.com/MIDWEST-Aviation-Snip-Set-KUSHN-POWER/dp/B07RC7ZBK9/ref=sr_1_3?keywords=Midwest+MWT-6510RO+Right-Cutting+Offset+Aviation+Snip+-+Blackout+Series&amp;qid=1695173092&amp;sr=8-3")</f>
        <v/>
      </c>
      <c r="F30" t="inlineStr">
        <is>
          <t>B07RC7ZBK9</t>
        </is>
      </c>
      <c r="G30">
        <f>_xludf.IMAGE("https://edmondsonsupply.com/cdn/shop/products/6510ro.jpg?v=1587142626")</f>
        <v/>
      </c>
      <c r="H30">
        <f>_xludf.IMAGE("https://m.media-amazon.com/images/I/71438hbSyHL._AC_UL320_.jpg")</f>
        <v/>
      </c>
      <c r="I30" t="inlineStr">
        <is>
          <t>30.31</t>
        </is>
      </c>
      <c r="J30" t="n">
        <v>87.98999999999999</v>
      </c>
      <c r="K30" s="3" t="inlineStr">
        <is>
          <t>190.30%</t>
        </is>
      </c>
      <c r="L30" t="n">
        <v>4.4</v>
      </c>
      <c r="M30" t="n">
        <v>1137</v>
      </c>
      <c r="O30" t="inlineStr">
        <is>
          <t>InStock</t>
        </is>
      </c>
      <c r="P30" t="inlineStr">
        <is>
          <t>41.24</t>
        </is>
      </c>
      <c r="Q30" t="inlineStr">
        <is>
          <t>4470025027684</t>
        </is>
      </c>
    </row>
    <row r="31">
      <c r="A31" s="2">
        <f>HYPERLINK("https://edmondsonsupply.com/collections/hand-tools/products/klein-tools-65200-electricians-mini-ratchet-set-5-piece", "https://edmondsonsupply.com/collections/hand-tools/products/klein-tools-65200-electricians-mini-ratchet-set-5-piece")</f>
        <v/>
      </c>
      <c r="B31" s="2">
        <f>HYPERLINK("https://edmondsonsupply.com/products/klein-tools-65200-electricians-mini-ratchet-set-5-piece", "https://edmondsonsupply.com/products/klein-tools-65200-electricians-mini-ratchet-set-5-piece")</f>
        <v/>
      </c>
      <c r="C31" t="inlineStr">
        <is>
          <t>Klein Tools 65200 Slim-Profile Mini Ratchet Set, 5-Piece</t>
        </is>
      </c>
      <c r="D31" t="inlineStr">
        <is>
          <t>Klein Tools 32717 Precision Screwdriver Set with Case &amp; 65200 Ratchet Set, 5-Piece Mini Ratchet Set with Phillips, Slotted, and Adapter for Other Socket Sizes, For Tight Spaces</t>
        </is>
      </c>
      <c r="E31" s="2">
        <f>HYPERLINK("https://www.amazon.com/Klein-Tools-Precision-Screwdriver-Phillips/dp/B0BK4M6YR9/ref=sr_1_5?keywords=Klein+Tools+65200+Slim-Profile+Mini+Ratchet+Set%2C+5-Piece&amp;qid=1695173095&amp;sr=8-5", "https://www.amazon.com/Klein-Tools-Precision-Screwdriver-Phillips/dp/B0BK4M6YR9/ref=sr_1_5?keywords=Klein+Tools+65200+Slim-Profile+Mini+Ratchet+Set%2C+5-Piece&amp;qid=1695173095&amp;sr=8-5")</f>
        <v/>
      </c>
      <c r="F31" t="inlineStr">
        <is>
          <t>B0BK4M6YR9</t>
        </is>
      </c>
      <c r="G31">
        <f>_xludf.IMAGE("https://edmondsonsupply.com/cdn/shop/products/65200.jpg?v=1633030630")</f>
        <v/>
      </c>
      <c r="H31">
        <f>_xludf.IMAGE("https://m.media-amazon.com/images/I/51dEfrYf+TL._AC_UL320_.jpg")</f>
        <v/>
      </c>
      <c r="I31" t="inlineStr">
        <is>
          <t>15.97</t>
        </is>
      </c>
      <c r="J31" t="n">
        <v>45.93</v>
      </c>
      <c r="K31" s="3" t="inlineStr">
        <is>
          <t>187.60%</t>
        </is>
      </c>
      <c r="L31" t="n">
        <v>5</v>
      </c>
      <c r="M31" t="n">
        <v>5</v>
      </c>
      <c r="O31" t="inlineStr">
        <is>
          <t>InStock</t>
        </is>
      </c>
      <c r="P31" t="inlineStr">
        <is>
          <t>20.96</t>
        </is>
      </c>
      <c r="Q31" t="inlineStr">
        <is>
          <t>5694440964264</t>
        </is>
      </c>
    </row>
    <row r="32">
      <c r="A32" s="2">
        <f>HYPERLINK("https://edmondsonsupply.com/collections/hand-tools/products/midwest-mwt-ss6510l-special-hardness-offset-aviation-snip-left-cutting", "https://edmondsonsupply.com/collections/hand-tools/products/midwest-mwt-ss6510l-special-hardness-offset-aviation-snip-left-cutting")</f>
        <v/>
      </c>
      <c r="B32" s="2">
        <f>HYPERLINK("https://edmondsonsupply.com/products/midwest-mwt-ss6510l-special-hardness-offset-aviation-snip-left-cutting", "https://edmondsonsupply.com/products/midwest-mwt-ss6510l-special-hardness-offset-aviation-snip-left-cutting")</f>
        <v/>
      </c>
      <c r="C32" t="inlineStr">
        <is>
          <t>Midwest MWT-SS6510L Special Hardness Offset Aviation Snip - Left-Cutting</t>
        </is>
      </c>
      <c r="D32" t="inlineStr">
        <is>
          <t>MIDWEST Aviation Snip - Left and Right Cut Offset Stainless Steel Cutting Shears with Forged Blade &amp; KUSH'N-POWER Comfort Grips - MWT-SS6510C</t>
        </is>
      </c>
      <c r="E32" s="2">
        <f>HYPERLINK("https://www.amazon.com/MIDWEST-Aviation-Snip-Set-KUSHN-POWER/dp/B07RC7ZBK9/ref=sr_1_1?keywords=Midwest+MWT-SS6510L+Special+Hardness+Offset+Aviation+Snip+-+Left-Cutting&amp;qid=1695173094&amp;sr=8-1", "https://www.amazon.com/MIDWEST-Aviation-Snip-Set-KUSHN-POWER/dp/B07RC7ZBK9/ref=sr_1_1?keywords=Midwest+MWT-SS6510L+Special+Hardness+Offset+Aviation+Snip+-+Left-Cutting&amp;qid=1695173094&amp;sr=8-1")</f>
        <v/>
      </c>
      <c r="F32" t="inlineStr">
        <is>
          <t>B07RC7ZBK9</t>
        </is>
      </c>
      <c r="G32">
        <f>_xludf.IMAGE("https://edmondsonsupply.com/cdn/shop/products/MWT-SS6510L.png?v=1587150385")</f>
        <v/>
      </c>
      <c r="H32">
        <f>_xludf.IMAGE("https://m.media-amazon.com/images/I/71438hbSyHL._AC_UL320_.jpg")</f>
        <v/>
      </c>
      <c r="I32" t="inlineStr">
        <is>
          <t>32.15</t>
        </is>
      </c>
      <c r="J32" t="n">
        <v>87.98999999999999</v>
      </c>
      <c r="K32" s="3" t="inlineStr">
        <is>
          <t>173.69%</t>
        </is>
      </c>
      <c r="L32" t="n">
        <v>4.4</v>
      </c>
      <c r="M32" t="n">
        <v>1137</v>
      </c>
      <c r="O32" t="inlineStr">
        <is>
          <t>OutOfStock</t>
        </is>
      </c>
      <c r="P32" t="inlineStr">
        <is>
          <t>47.17</t>
        </is>
      </c>
      <c r="Q32" t="inlineStr">
        <is>
          <t>4421073272932</t>
        </is>
      </c>
    </row>
    <row r="33">
      <c r="A33" s="2">
        <f>HYPERLINK("https://edmondsonsupply.com/collections/hand-tools/products/klein-tools-65200-electricians-mini-ratchet-set-5-piece", "https://edmondsonsupply.com/collections/hand-tools/products/klein-tools-65200-electricians-mini-ratchet-set-5-piece")</f>
        <v/>
      </c>
      <c r="B33" s="2">
        <f>HYPERLINK("https://edmondsonsupply.com/products/klein-tools-65200-electricians-mini-ratchet-set-5-piece", "https://edmondsonsupply.com/products/klein-tools-65200-electricians-mini-ratchet-set-5-piece")</f>
        <v/>
      </c>
      <c r="C33" t="inlineStr">
        <is>
          <t>Klein Tools 65200 Slim-Profile Mini Ratchet Set, 5-Piece</t>
        </is>
      </c>
      <c r="D33" t="inlineStr">
        <is>
          <t>Klein Tools 65200 Ratchet Set, 5-Piece Mini Ratchet Set &amp; 7-in-1 Impact Flip Socket Set, 6 Hex Driver Sizes plus a 1/4-Inch Bit Holder 32907</t>
        </is>
      </c>
      <c r="E33" s="2">
        <f>HYPERLINK("https://www.amazon.com/Klein-Tools-Ratchet-5-Piece-Impact/dp/B0BNL31N8K/ref=sr_1_2?keywords=Klein+Tools+65200+Slim-Profile+Mini+Ratchet+Set%2C+5-Piece&amp;qid=1695173095&amp;sr=8-2", "https://www.amazon.com/Klein-Tools-Ratchet-5-Piece-Impact/dp/B0BNL31N8K/ref=sr_1_2?keywords=Klein+Tools+65200+Slim-Profile+Mini+Ratchet+Set%2C+5-Piece&amp;qid=1695173095&amp;sr=8-2")</f>
        <v/>
      </c>
      <c r="F33" t="inlineStr">
        <is>
          <t>B0BNL31N8K</t>
        </is>
      </c>
      <c r="G33">
        <f>_xludf.IMAGE("https://edmondsonsupply.com/cdn/shop/products/65200.jpg?v=1633030630")</f>
        <v/>
      </c>
      <c r="H33">
        <f>_xludf.IMAGE("https://m.media-amazon.com/images/I/41JD1cfUw6L._AC_UL320_.jpg")</f>
        <v/>
      </c>
      <c r="I33" t="inlineStr">
        <is>
          <t>15.97</t>
        </is>
      </c>
      <c r="J33" t="n">
        <v>35.95</v>
      </c>
      <c r="K33" s="3" t="inlineStr">
        <is>
          <t>125.11%</t>
        </is>
      </c>
      <c r="L33" t="n">
        <v>4.9</v>
      </c>
      <c r="M33" t="n">
        <v>10</v>
      </c>
      <c r="O33" t="inlineStr">
        <is>
          <t>InStock</t>
        </is>
      </c>
      <c r="P33" t="inlineStr">
        <is>
          <t>20.96</t>
        </is>
      </c>
      <c r="Q33" t="inlineStr">
        <is>
          <t>5694440964264</t>
        </is>
      </c>
    </row>
    <row r="34">
      <c r="A34" s="2">
        <f>HYPERLINK("https://edmondsonsupply.com/collections/hand-tools/products/midwest-mwt-6510lo-left-cutting-offset-aviation-snip-blackout-series", "https://edmondsonsupply.com/collections/hand-tools/products/midwest-mwt-6510lo-left-cutting-offset-aviation-snip-blackout-series")</f>
        <v/>
      </c>
      <c r="B34" s="2">
        <f>HYPERLINK("https://edmondsonsupply.com/products/midwest-mwt-6510lo-left-cutting-offset-aviation-snip-blackout-series", "https://edmondsonsupply.com/products/midwest-mwt-6510lo-left-cutting-offset-aviation-snip-blackout-series")</f>
        <v/>
      </c>
      <c r="C34" t="inlineStr">
        <is>
          <t>Midwest MWT-6510LO Left-Cutting Offset Aviation Snip - Blackout Series</t>
        </is>
      </c>
      <c r="D34" t="inlineStr">
        <is>
          <t>MIDWEST Aviation Snip - Left and Right Cut Offset Stainless Steel Cutting Shears with Forged Blade &amp; KUSH'N-POWER Comfort Grips - MWT-SS6510C</t>
        </is>
      </c>
      <c r="E34" s="2">
        <f>HYPERLINK("https://www.amazon.com/MIDWEST-Aviation-Snip-Set-KUSHN-POWER/dp/B07RC7ZBK9/ref=sr_1_4?keywords=Midwest+MWT-6510LO+Left-Cutting+Offset+Aviation+Snip+-+Blackout+Series&amp;qid=1695173093&amp;sr=8-4", "https://www.amazon.com/MIDWEST-Aviation-Snip-Set-KUSHN-POWER/dp/B07RC7ZBK9/ref=sr_1_4?keywords=Midwest+MWT-6510LO+Left-Cutting+Offset+Aviation+Snip+-+Blackout+Series&amp;qid=1695173093&amp;sr=8-4")</f>
        <v/>
      </c>
      <c r="F34" t="inlineStr">
        <is>
          <t>B07RC7ZBK9</t>
        </is>
      </c>
      <c r="G34">
        <f>_xludf.IMAGE("https://edmondsonsupply.com/cdn/shop/products/mwt-6510lo.jpg?v=1587147580")</f>
        <v/>
      </c>
      <c r="H34">
        <f>_xludf.IMAGE("https://m.media-amazon.com/images/I/71438hbSyHL._AC_UL320_.jpg")</f>
        <v/>
      </c>
      <c r="I34" t="inlineStr">
        <is>
          <t>39.85</t>
        </is>
      </c>
      <c r="J34" t="n">
        <v>87.98999999999999</v>
      </c>
      <c r="K34" s="3" t="inlineStr">
        <is>
          <t>120.80%</t>
        </is>
      </c>
      <c r="L34" t="n">
        <v>4.4</v>
      </c>
      <c r="M34" t="n">
        <v>1137</v>
      </c>
      <c r="O34" t="inlineStr">
        <is>
          <t>OutOfStock</t>
        </is>
      </c>
      <c r="P34" t="inlineStr">
        <is>
          <t>39.85</t>
        </is>
      </c>
      <c r="Q34" t="inlineStr">
        <is>
          <t>4508644606052</t>
        </is>
      </c>
    </row>
    <row r="35">
      <c r="A35" s="2">
        <f>HYPERLINK("https://edmondsonsupply.com/collections/hand-tools/products/klein-tools-65200-electricians-mini-ratchet-set-5-piece", "https://edmondsonsupply.com/collections/hand-tools/products/klein-tools-65200-electricians-mini-ratchet-set-5-piece")</f>
        <v/>
      </c>
      <c r="B35" s="2">
        <f>HYPERLINK("https://edmondsonsupply.com/products/klein-tools-65200-electricians-mini-ratchet-set-5-piece", "https://edmondsonsupply.com/products/klein-tools-65200-electricians-mini-ratchet-set-5-piece")</f>
        <v/>
      </c>
      <c r="C35" t="inlineStr">
        <is>
          <t>Klein Tools 65200 Slim-Profile Mini Ratchet Set, 5-Piece</t>
        </is>
      </c>
      <c r="D35" t="inlineStr">
        <is>
          <t>Klein Tools 65200 Ratchet Set, 5-Piece Mini Ratchet Set &amp; 32308 Multi-bit Stubby Screwdriver, Impact Rated 8-in-1 Adjustable Magnetic Tool with Phillips, Slotted, Square and Nut Driver</t>
        </is>
      </c>
      <c r="E35" s="2">
        <f>HYPERLINK("https://www.amazon.com/Klein-Tools-Multi-bit-Screwdriver-Adjustable/dp/B0BCT97D2B/ref=sr_1_3?keywords=Klein+Tools+65200+Slim-Profile+Mini+Ratchet+Set%2C+5-Piece&amp;qid=1695173095&amp;sr=8-3", "https://www.amazon.com/Klein-Tools-Multi-bit-Screwdriver-Adjustable/dp/B0BCT97D2B/ref=sr_1_3?keywords=Klein+Tools+65200+Slim-Profile+Mini+Ratchet+Set%2C+5-Piece&amp;qid=1695173095&amp;sr=8-3")</f>
        <v/>
      </c>
      <c r="F35" t="inlineStr">
        <is>
          <t>B0BCT97D2B</t>
        </is>
      </c>
      <c r="G35">
        <f>_xludf.IMAGE("https://edmondsonsupply.com/cdn/shop/products/65200.jpg?v=1633030630")</f>
        <v/>
      </c>
      <c r="H35">
        <f>_xludf.IMAGE("https://m.media-amazon.com/images/I/51FhukkqNXL._AC_UL320_.jpg")</f>
        <v/>
      </c>
      <c r="I35" t="inlineStr">
        <is>
          <t>15.97</t>
        </is>
      </c>
      <c r="J35" t="n">
        <v>32.93</v>
      </c>
      <c r="K35" s="3" t="inlineStr">
        <is>
          <t>106.20%</t>
        </is>
      </c>
      <c r="L35" t="n">
        <v>5</v>
      </c>
      <c r="M35" t="n">
        <v>7</v>
      </c>
      <c r="O35" t="inlineStr">
        <is>
          <t>InStock</t>
        </is>
      </c>
      <c r="P35" t="inlineStr">
        <is>
          <t>20.96</t>
        </is>
      </c>
      <c r="Q35" t="inlineStr">
        <is>
          <t>5694440964264</t>
        </is>
      </c>
    </row>
    <row r="36">
      <c r="A36" s="2">
        <f>HYPERLINK("https://edmondsonsupply.com/collections/hand-tools/products/midwest-mwt-ss6510l-special-hardness-offset-aviation-snip-left-cutting", "https://edmondsonsupply.com/collections/hand-tools/products/midwest-mwt-ss6510l-special-hardness-offset-aviation-snip-left-cutting")</f>
        <v/>
      </c>
      <c r="B36" s="2">
        <f>HYPERLINK("https://edmondsonsupply.com/products/midwest-mwt-ss6510l-special-hardness-offset-aviation-snip-left-cutting", "https://edmondsonsupply.com/products/midwest-mwt-ss6510l-special-hardness-offset-aviation-snip-left-cutting")</f>
        <v/>
      </c>
      <c r="C36" t="inlineStr">
        <is>
          <t>Midwest MWT-SS6510L Special Hardness Offset Aviation Snip - Left-Cutting</t>
        </is>
      </c>
      <c r="D36" t="inlineStr">
        <is>
          <t>Midwest Tools and Cutlery MWT-SS6510R Snips Forged Blade Special Hardness Offset Right Aviation Snip, Cuts Stainless Steel</t>
        </is>
      </c>
      <c r="E36" s="2">
        <f>HYPERLINK("https://www.amazon.com/Midwest-Tools-Cutlery-MWT-SS6510R-Stainless/dp/B01J7IOB64/ref=sr_1_4?keywords=Midwest+MWT-SS6510L+Special+Hardness+Offset+Aviation+Snip+-+Left-Cutting&amp;qid=1695173094&amp;sr=8-4", "https://www.amazon.com/Midwest-Tools-Cutlery-MWT-SS6510R-Stainless/dp/B01J7IOB64/ref=sr_1_4?keywords=Midwest+MWT-SS6510L+Special+Hardness+Offset+Aviation+Snip+-+Left-Cutting&amp;qid=1695173094&amp;sr=8-4")</f>
        <v/>
      </c>
      <c r="F36" t="inlineStr">
        <is>
          <t>B01J7IOB64</t>
        </is>
      </c>
      <c r="G36">
        <f>_xludf.IMAGE("https://edmondsonsupply.com/cdn/shop/products/MWT-SS6510L.png?v=1587150385")</f>
        <v/>
      </c>
      <c r="H36">
        <f>_xludf.IMAGE("https://m.media-amazon.com/images/I/61rvvPEnRIL._AC_UL320_.jpg")</f>
        <v/>
      </c>
      <c r="I36" t="inlineStr">
        <is>
          <t>32.15</t>
        </is>
      </c>
      <c r="J36" t="n">
        <v>63.44</v>
      </c>
      <c r="K36" s="3" t="inlineStr">
        <is>
          <t>97.33%</t>
        </is>
      </c>
      <c r="L36" t="n">
        <v>4.4</v>
      </c>
      <c r="M36" t="n">
        <v>28</v>
      </c>
      <c r="O36" t="inlineStr">
        <is>
          <t>OutOfStock</t>
        </is>
      </c>
      <c r="P36" t="inlineStr">
        <is>
          <t>47.17</t>
        </is>
      </c>
      <c r="Q36" t="inlineStr">
        <is>
          <t>4421073272932</t>
        </is>
      </c>
    </row>
    <row r="37">
      <c r="A37" s="2">
        <f>HYPERLINK("https://edmondsonsupply.com/collections/hand-tools/products/midwest-mwt-ss6510l-special-hardness-offset-aviation-snip-left-cutting", "https://edmondsonsupply.com/collections/hand-tools/products/midwest-mwt-ss6510l-special-hardness-offset-aviation-snip-left-cutting")</f>
        <v/>
      </c>
      <c r="B37" s="2">
        <f>HYPERLINK("https://edmondsonsupply.com/products/midwest-mwt-ss6510l-special-hardness-offset-aviation-snip-left-cutting", "https://edmondsonsupply.com/products/midwest-mwt-ss6510l-special-hardness-offset-aviation-snip-left-cutting")</f>
        <v/>
      </c>
      <c r="C37" t="inlineStr">
        <is>
          <t>Midwest MWT-SS6510L Special Hardness Offset Aviation Snip - Left-Cutting</t>
        </is>
      </c>
      <c r="D37" t="inlineStr">
        <is>
          <t>MIDWEST Blackout Series Aviation Snip - Left Cut Offset Tin Cutting Shears with Forged Blade &amp; KUSH'N-POWER Comfort Grips - MWT-6510LO</t>
        </is>
      </c>
      <c r="E37" s="2">
        <f>HYPERLINK("https://www.amazon.com/MIDWEST-Blackout-Aviation-Snip-KUSHN-POWER/dp/B00TJQL91U/ref=sr_1_3?keywords=Midwest+MWT-SS6510L+Special+Hardness+Offset+Aviation+Snip+-+Left-Cutting&amp;qid=1695173094&amp;sr=8-3", "https://www.amazon.com/MIDWEST-Blackout-Aviation-Snip-KUSHN-POWER/dp/B00TJQL91U/ref=sr_1_3?keywords=Midwest+MWT-SS6510L+Special+Hardness+Offset+Aviation+Snip+-+Left-Cutting&amp;qid=1695173094&amp;sr=8-3")</f>
        <v/>
      </c>
      <c r="F37" t="inlineStr">
        <is>
          <t>B00TJQL91U</t>
        </is>
      </c>
      <c r="G37">
        <f>_xludf.IMAGE("https://edmondsonsupply.com/cdn/shop/products/MWT-SS6510L.png?v=1587150385")</f>
        <v/>
      </c>
      <c r="H37">
        <f>_xludf.IMAGE("https://m.media-amazon.com/images/I/51OW3TahYsL._AC_UL320_.jpg")</f>
        <v/>
      </c>
      <c r="I37" t="inlineStr">
        <is>
          <t>32.15</t>
        </is>
      </c>
      <c r="J37" t="n">
        <v>58.88</v>
      </c>
      <c r="K37" s="3" t="inlineStr">
        <is>
          <t>83.14%</t>
        </is>
      </c>
      <c r="L37" t="n">
        <v>4.7</v>
      </c>
      <c r="M37" t="n">
        <v>1400</v>
      </c>
      <c r="O37" t="inlineStr">
        <is>
          <t>OutOfStock</t>
        </is>
      </c>
      <c r="P37" t="inlineStr">
        <is>
          <t>47.17</t>
        </is>
      </c>
      <c r="Q37" t="inlineStr">
        <is>
          <t>4421073272932</t>
        </is>
      </c>
    </row>
    <row r="38">
      <c r="A38" s="2">
        <f>HYPERLINK("https://edmondsonsupply.com/collections/hand-tools/products/klein-tools-94155-american-legacy-lineman-pliers-and-klein-kurve%C2%AE-wire-stripper-cutter", "https://edmondsonsupply.com/collections/hand-tools/products/klein-tools-94155-american-legacy-lineman-pliers-and-klein-kurve%C2%AE-wire-stripper-cutter")</f>
        <v/>
      </c>
      <c r="B38" s="2">
        <f>HYPERLINK("https://edmondsonsupply.com/products/klein-tools-94155-american-legacy-lineman-pliers-and-klein-kurve%c2%ae-wire-stripper-cutter", "https://edmondsonsupply.com/products/klein-tools-94155-american-legacy-lineman-pliers-and-klein-kurve%c2%ae-wire-stripper-cutter")</f>
        <v/>
      </c>
      <c r="C38" t="inlineStr">
        <is>
          <t>Klein Tools 94155 American Legacy Lineman Pliers and Klein-Kurve® Wire Stripper / Cutter</t>
        </is>
      </c>
      <c r="D38" t="inlineStr">
        <is>
          <t>Klein Tools 80043 Heavy Duty Tool Set, Includes Lineman's Side-Cutting Pliers, Diagonal Cutters and Wire Stripper, 3-Piece</t>
        </is>
      </c>
      <c r="E38" s="2">
        <f>HYPERLINK("https://www.amazon.com/Linemans-Side-Cutting-Klein-Tools-80043/dp/B0977RM5G5/ref=sr_1_3?keywords=Klein+Tools+94155+American+Legacy+Lineman+Pliers+and+Klein-Kurve%C2%AE+Wire+Stripper+%2F+Cutter&amp;qid=1695173090&amp;sr=8-3", "https://www.amazon.com/Linemans-Side-Cutting-Klein-Tools-80043/dp/B0977RM5G5/ref=sr_1_3?keywords=Klein+Tools+94155+American+Legacy+Lineman+Pliers+and+Klein-Kurve%C2%AE+Wire+Stripper+%2F+Cutter&amp;qid=1695173090&amp;sr=8-3")</f>
        <v/>
      </c>
      <c r="F38" t="inlineStr">
        <is>
          <t>B0977RM5G5</t>
        </is>
      </c>
      <c r="G38">
        <f>_xludf.IMAGE("https://edmondsonsupply.com/cdn/shop/products/94155.jpg?v=1674141590")</f>
        <v/>
      </c>
      <c r="H38">
        <f>_xludf.IMAGE("https://m.media-amazon.com/images/I/51t8JGB+SAS._AC_UL320_.jpg")</f>
        <v/>
      </c>
      <c r="I38" t="inlineStr">
        <is>
          <t>39.99</t>
        </is>
      </c>
      <c r="J38" t="n">
        <v>69.98999999999999</v>
      </c>
      <c r="K38" s="3" t="inlineStr">
        <is>
          <t>75.02%</t>
        </is>
      </c>
      <c r="L38" t="n">
        <v>4.8</v>
      </c>
      <c r="M38" t="n">
        <v>1451</v>
      </c>
      <c r="O38" t="inlineStr">
        <is>
          <t>InStock</t>
        </is>
      </c>
      <c r="P38" t="inlineStr">
        <is>
          <t>59.98</t>
        </is>
      </c>
      <c r="Q38" t="inlineStr">
        <is>
          <t>7926859104472</t>
        </is>
      </c>
    </row>
    <row r="39">
      <c r="A39" s="2">
        <f>HYPERLINK("https://edmondsonsupply.com/collections/storage-organization/products/veto-pro-pac-mb2-blackout", "https://edmondsonsupply.com/collections/storage-organization/products/veto-pro-pac-mb2-blackout")</f>
        <v/>
      </c>
      <c r="B39" s="2">
        <f>HYPERLINK("https://edmondsonsupply.com/products/veto-pro-pac-mb2-blackout", "https://edmondsonsupply.com/products/veto-pro-pac-mb2-blackout")</f>
        <v/>
      </c>
      <c r="C39" t="inlineStr">
        <is>
          <t>Veto Pro Pac MB2 Blackout</t>
        </is>
      </c>
      <c r="D39" t="inlineStr">
        <is>
          <t>Veto Pro Pac TP-XD BLACKOUT</t>
        </is>
      </c>
      <c r="E39" s="2">
        <f>HYPERLINK("https://www.amazon.com/Veto-Pro-Pac-TP-XD-BLACKOUT/dp/B0B2YBQXNP/ref=sr_1_3?keywords=Veto+Pro+Pac+MB2+Blackout&amp;qid=1695173165&amp;sr=8-3", "https://www.amazon.com/Veto-Pro-Pac-TP-XD-BLACKOUT/dp/B0B2YBQXNP/ref=sr_1_3?keywords=Veto+Pro+Pac+MB2+Blackout&amp;qid=1695173165&amp;sr=8-3")</f>
        <v/>
      </c>
      <c r="F39" t="inlineStr">
        <is>
          <t>B0B2YBQXNP</t>
        </is>
      </c>
      <c r="G39">
        <f>_xludf.IMAGE("https://edmondsonsupply.com/cdn/shop/products/mb2_398b8401-a942-46dd-b2fe-64feff432106.jpg?v=1633031045")</f>
        <v/>
      </c>
      <c r="H39">
        <f>_xludf.IMAGE("https://m.media-amazon.com/images/I/51vvq1zbgwL._AC_UL320_.jpg")</f>
        <v/>
      </c>
      <c r="I39" t="inlineStr">
        <is>
          <t>79.99</t>
        </is>
      </c>
      <c r="J39" t="n">
        <v>209.95</v>
      </c>
      <c r="K39" s="3" t="inlineStr">
        <is>
          <t>162.47%</t>
        </is>
      </c>
      <c r="L39" t="n">
        <v>4.5</v>
      </c>
      <c r="M39" t="n">
        <v>24</v>
      </c>
      <c r="O39" t="inlineStr">
        <is>
          <t>InStock</t>
        </is>
      </c>
      <c r="P39" t="inlineStr">
        <is>
          <t>undefined</t>
        </is>
      </c>
      <c r="Q39" t="inlineStr">
        <is>
          <t>6765803405485</t>
        </is>
      </c>
    </row>
    <row r="40">
      <c r="A40" s="2">
        <f>HYPERLINK("https://edmondsonsupply.com/collections/storage-organization/products/veto-pro-pac-tp4b-blackout", "https://edmondsonsupply.com/collections/storage-organization/products/veto-pro-pac-tp4b-blackout")</f>
        <v/>
      </c>
      <c r="B40" s="2">
        <f>HYPERLINK("https://edmondsonsupply.com/products/veto-pro-pac-tp4b-blackout", "https://edmondsonsupply.com/products/veto-pro-pac-tp4b-blackout")</f>
        <v/>
      </c>
      <c r="C40" t="inlineStr">
        <is>
          <t>Veto Pro Pac TP4B BLACKOUT</t>
        </is>
      </c>
      <c r="D40" t="inlineStr">
        <is>
          <t>Veto Pro Pac TP-XD BLACKOUT</t>
        </is>
      </c>
      <c r="E40" s="2">
        <f>HYPERLINK("https://www.amazon.com/Veto-Pro-Pac-TP-XD-BLACKOUT/dp/B0B2YBQXNP/ref=sr_1_5?keywords=Veto+Pro+Pac+TP4B+BLACKOUT&amp;qid=1695173173&amp;sr=8-5", "https://www.amazon.com/Veto-Pro-Pac-TP-XD-BLACKOUT/dp/B0B2YBQXNP/ref=sr_1_5?keywords=Veto+Pro+Pac+TP4B+BLACKOUT&amp;qid=1695173173&amp;sr=8-5")</f>
        <v/>
      </c>
      <c r="F40" t="inlineStr">
        <is>
          <t>B0B2YBQXNP</t>
        </is>
      </c>
      <c r="G40">
        <f>_xludf.IMAGE("https://edmondsonsupply.com/cdn/shop/products/tpb4.jpg?v=1648946186")</f>
        <v/>
      </c>
      <c r="H40">
        <f>_xludf.IMAGE("https://m.media-amazon.com/images/I/51vvq1zbgwL._AC_UL320_.jpg")</f>
        <v/>
      </c>
      <c r="I40" t="inlineStr">
        <is>
          <t>89.99</t>
        </is>
      </c>
      <c r="J40" t="n">
        <v>209.95</v>
      </c>
      <c r="K40" s="3" t="inlineStr">
        <is>
          <t>133.30%</t>
        </is>
      </c>
      <c r="L40" t="n">
        <v>4.5</v>
      </c>
      <c r="M40" t="n">
        <v>24</v>
      </c>
      <c r="O40" t="inlineStr">
        <is>
          <t>InStock</t>
        </is>
      </c>
      <c r="P40" t="inlineStr">
        <is>
          <t>undefined</t>
        </is>
      </c>
      <c r="Q40" t="inlineStr">
        <is>
          <t>7652181180632</t>
        </is>
      </c>
    </row>
    <row r="41">
      <c r="A41" s="2">
        <f>HYPERLINK("https://edmondsonsupply.com/collections/storage-organization/products/veto-pro-pac-tp3-b-tool-bag", "https://edmondsonsupply.com/collections/storage-organization/products/veto-pro-pac-tp3-b-tool-bag")</f>
        <v/>
      </c>
      <c r="B41" s="2">
        <f>HYPERLINK("https://edmondsonsupply.com/products/veto-pro-pac-tp3-b-tool-bag", "https://edmondsonsupply.com/products/veto-pro-pac-tp3-b-tool-bag")</f>
        <v/>
      </c>
      <c r="C41" t="inlineStr">
        <is>
          <t>Veto Pro Pac TP3B Tool Pouch</t>
        </is>
      </c>
      <c r="D41" t="inlineStr">
        <is>
          <t>Veto Pro Pac TP-XL Extra Large Tool Pouch</t>
        </is>
      </c>
      <c r="E41" s="2">
        <f>HYPERLINK("https://www.amazon.com/Veto-TP-XL-Extra-Large-Pouch/dp/B07WDL7SD3/ref=sr_1_9?keywords=Veto+Pro+Pac+TP3B+Tool+Pouch&amp;qid=1695173175&amp;sr=8-9", "https://www.amazon.com/Veto-TP-XL-Extra-Large-Pouch/dp/B07WDL7SD3/ref=sr_1_9?keywords=Veto+Pro+Pac+TP3B+Tool+Pouch&amp;qid=1695173175&amp;sr=8-9")</f>
        <v/>
      </c>
      <c r="F41" t="inlineStr">
        <is>
          <t>B07WDL7SD3</t>
        </is>
      </c>
      <c r="G41">
        <f>_xludf.IMAGE("https://edmondsonsupply.com/cdn/shop/products/tp3b.png?v=1633031041")</f>
        <v/>
      </c>
      <c r="H41">
        <f>_xludf.IMAGE("https://m.media-amazon.com/images/I/91dIbPcb4XL._AC_UL320_.jpg")</f>
        <v/>
      </c>
      <c r="I41" t="inlineStr">
        <is>
          <t>74.99</t>
        </is>
      </c>
      <c r="J41" t="n">
        <v>169.95</v>
      </c>
      <c r="K41" s="3" t="inlineStr">
        <is>
          <t>126.63%</t>
        </is>
      </c>
      <c r="L41" t="n">
        <v>4.9</v>
      </c>
      <c r="M41" t="n">
        <v>1132</v>
      </c>
      <c r="O41" t="inlineStr">
        <is>
          <t>InStock</t>
        </is>
      </c>
      <c r="P41" t="inlineStr">
        <is>
          <t>undefined</t>
        </is>
      </c>
      <c r="Q41" t="inlineStr">
        <is>
          <t>6752204587181</t>
        </is>
      </c>
    </row>
    <row r="42">
      <c r="A42" s="2">
        <f>HYPERLINK("https://edmondsonsupply.com/collections/storage-organization/products/fluke-c11xt-protective-eva-hard-tool-case", "https://edmondsonsupply.com/collections/storage-organization/products/fluke-c11xt-protective-eva-hard-tool-case")</f>
        <v/>
      </c>
      <c r="B42" s="2">
        <f>HYPERLINK("https://edmondsonsupply.com/products/fluke-c11xt-protective-eva-hard-tool-case", "https://edmondsonsupply.com/products/fluke-c11xt-protective-eva-hard-tool-case")</f>
        <v/>
      </c>
      <c r="C42" t="inlineStr">
        <is>
          <t>Fluke C11XT Protective EVA Hard Tool Case</t>
        </is>
      </c>
      <c r="D42" t="inlineStr">
        <is>
          <t>Fluke C37XT Protective EVA Hard Tool Carrying Case for 117/1587 FC/87V/87V Max/T5/T6/323/324/378FC and Many More</t>
        </is>
      </c>
      <c r="E42" s="2">
        <f>HYPERLINK("https://www.amazon.com/Fluke-C37XT-Protective-Carrying-378FC/dp/B09TG79CRT/ref=sr_1_2?keywords=Fluke+C11XT+Protective+EVA+Hard+Tool+Case&amp;qid=1695173156&amp;sr=8-2", "https://www.amazon.com/Fluke-C37XT-Protective-Carrying-378FC/dp/B09TG79CRT/ref=sr_1_2?keywords=Fluke+C11XT+Protective+EVA+Hard+Tool+Case&amp;qid=1695173156&amp;sr=8-2")</f>
        <v/>
      </c>
      <c r="F42" t="inlineStr">
        <is>
          <t>B09TG79CRT</t>
        </is>
      </c>
      <c r="G42">
        <f>_xludf.IMAGE("https://edmondsonsupply.com/cdn/shop/products/F-c11xt_04a_w.jpg?v=1663190833")</f>
        <v/>
      </c>
      <c r="H42">
        <f>_xludf.IMAGE("https://m.media-amazon.com/images/I/71d44jrMhPL._AC_UL320_.jpg")</f>
        <v/>
      </c>
      <c r="I42" t="inlineStr">
        <is>
          <t>35.99</t>
        </is>
      </c>
      <c r="J42" t="n">
        <v>71.87</v>
      </c>
      <c r="K42" s="3" t="inlineStr">
        <is>
          <t>99.69%</t>
        </is>
      </c>
      <c r="L42" t="n">
        <v>4.4</v>
      </c>
      <c r="M42" t="n">
        <v>67</v>
      </c>
      <c r="O42" t="inlineStr">
        <is>
          <t>OutOfStock</t>
        </is>
      </c>
      <c r="P42" t="inlineStr">
        <is>
          <t>39.99</t>
        </is>
      </c>
      <c r="Q42" t="inlineStr">
        <is>
          <t>7815620100312</t>
        </is>
      </c>
    </row>
    <row r="43">
      <c r="A43" s="2">
        <f>HYPERLINK("https://edmondsonsupply.com/collections/storage-organization/products/fieldpiece-anc4-medium-single-meter-case", "https://edmondsonsupply.com/collections/storage-organization/products/fieldpiece-anc4-medium-single-meter-case")</f>
        <v/>
      </c>
      <c r="B43" s="2">
        <f>HYPERLINK("https://edmondsonsupply.com/products/fieldpiece-anc4-medium-single-meter-case", "https://edmondsonsupply.com/products/fieldpiece-anc4-medium-single-meter-case")</f>
        <v/>
      </c>
      <c r="C43" t="inlineStr">
        <is>
          <t>Fieldpiece ANC4 - Medium Single Meter Case</t>
        </is>
      </c>
      <c r="D43" t="inlineStr">
        <is>
          <t>Fieldpiece ANC7 Large Single Meter Case</t>
        </is>
      </c>
      <c r="E43" s="2">
        <f>HYPERLINK("https://www.amazon.com/Fieldpiece-ANC7-Large-Single-Meter/dp/B0195UTHTK/ref=sr_1_2?keywords=Fieldpiece+ANC4+-+Medium+Single+Meter+Case&amp;qid=1695173161&amp;sr=8-2", "https://www.amazon.com/Fieldpiece-ANC7-Large-Single-Meter/dp/B0195UTHTK/ref=sr_1_2?keywords=Fieldpiece+ANC4+-+Medium+Single+Meter+Case&amp;qid=1695173161&amp;sr=8-2")</f>
        <v/>
      </c>
      <c r="F43" t="inlineStr">
        <is>
          <t>B0195UTHTK</t>
        </is>
      </c>
      <c r="G43">
        <f>_xludf.IMAGE("https://edmondsonsupply.com/cdn/shop/products/ANC4-SRC-product-300dpi.jpg?v=1633030970")</f>
        <v/>
      </c>
      <c r="H43">
        <f>_xludf.IMAGE("https://m.media-amazon.com/images/I/71jB9zXLBtL._AC_UL320_.jpg")</f>
        <v/>
      </c>
      <c r="I43" t="inlineStr">
        <is>
          <t>10.2</t>
        </is>
      </c>
      <c r="J43" t="n">
        <v>19.75</v>
      </c>
      <c r="K43" s="3" t="inlineStr">
        <is>
          <t>93.63%</t>
        </is>
      </c>
      <c r="L43" t="n">
        <v>4.7</v>
      </c>
      <c r="M43" t="n">
        <v>223</v>
      </c>
      <c r="O43" t="inlineStr">
        <is>
          <t>InStock</t>
        </is>
      </c>
      <c r="P43" t="inlineStr">
        <is>
          <t>12.0</t>
        </is>
      </c>
      <c r="Q43" t="inlineStr">
        <is>
          <t>6633591832749</t>
        </is>
      </c>
    </row>
    <row r="44">
      <c r="A44" s="2">
        <f>HYPERLINK("https://edmondsonsupply.com/collections/storage-organization/products/veto-pro-pac-tp3-b-tool-bag", "https://edmondsonsupply.com/collections/storage-organization/products/veto-pro-pac-tp3-b-tool-bag")</f>
        <v/>
      </c>
      <c r="B44" s="2">
        <f>HYPERLINK("https://edmondsonsupply.com/products/veto-pro-pac-tp3-b-tool-bag", "https://edmondsonsupply.com/products/veto-pro-pac-tp3-b-tool-bag")</f>
        <v/>
      </c>
      <c r="C44" t="inlineStr">
        <is>
          <t>Veto Pro Pac TP3B Tool Pouch</t>
        </is>
      </c>
      <c r="D44" t="inlineStr">
        <is>
          <t>Veto Pro Pac TP-LC (Compact, Zippered Service Tech Tool Pouch)</t>
        </is>
      </c>
      <c r="E44" s="2">
        <f>HYPERLINK("https://www.amazon.com/Veto-TP-LC-Compact-Zippered-Service/dp/B09TPZKBDP/ref=sr_1_4?keywords=Veto+Pro+Pac+TP3B+Tool+Pouch&amp;qid=1695173175&amp;sr=8-4", "https://www.amazon.com/Veto-TP-LC-Compact-Zippered-Service/dp/B09TPZKBDP/ref=sr_1_4?keywords=Veto+Pro+Pac+TP3B+Tool+Pouch&amp;qid=1695173175&amp;sr=8-4")</f>
        <v/>
      </c>
      <c r="F44" t="inlineStr">
        <is>
          <t>B09TPZKBDP</t>
        </is>
      </c>
      <c r="G44">
        <f>_xludf.IMAGE("https://edmondsonsupply.com/cdn/shop/products/tp3b.png?v=1633031041")</f>
        <v/>
      </c>
      <c r="H44">
        <f>_xludf.IMAGE("https://m.media-amazon.com/images/I/51b1SiebzcL._AC_UL320_.jpg")</f>
        <v/>
      </c>
      <c r="I44" t="inlineStr">
        <is>
          <t>74.99</t>
        </is>
      </c>
      <c r="J44" t="n">
        <v>134.95</v>
      </c>
      <c r="K44" s="3" t="inlineStr">
        <is>
          <t>79.96%</t>
        </is>
      </c>
      <c r="L44" t="n">
        <v>4.8</v>
      </c>
      <c r="M44" t="n">
        <v>281</v>
      </c>
      <c r="O44" t="inlineStr">
        <is>
          <t>InStock</t>
        </is>
      </c>
      <c r="P44" t="inlineStr">
        <is>
          <t>undefined</t>
        </is>
      </c>
      <c r="Q44" t="inlineStr">
        <is>
          <t>6752204587181</t>
        </is>
      </c>
    </row>
    <row r="45">
      <c r="A45" s="2">
        <f>HYPERLINK("https://edmondsonsupply.com/collections/storage-organization/products/fieldpiece-anc4-medium-single-meter-case", "https://edmondsonsupply.com/collections/storage-organization/products/fieldpiece-anc4-medium-single-meter-case")</f>
        <v/>
      </c>
      <c r="B45" s="2">
        <f>HYPERLINK("https://edmondsonsupply.com/products/fieldpiece-anc4-medium-single-meter-case", "https://edmondsonsupply.com/products/fieldpiece-anc4-medium-single-meter-case")</f>
        <v/>
      </c>
      <c r="C45" t="inlineStr">
        <is>
          <t>Fieldpiece ANC4 - Medium Single Meter Case</t>
        </is>
      </c>
      <c r="D45" t="inlineStr">
        <is>
          <t>Fieldpiece ANC4 Medium Single Meter Case</t>
        </is>
      </c>
      <c r="E45" s="2">
        <f>HYPERLINK("https://www.amazon.com/Fieldpiece-ANC4-Medium-Single-Meter/dp/B000TJX68U/ref=sr_1_1?keywords=Fieldpiece+ANC4+-+Medium+Single+Meter+Case&amp;qid=1695173161&amp;sr=8-1", "https://www.amazon.com/Fieldpiece-ANC4-Medium-Single-Meter/dp/B000TJX68U/ref=sr_1_1?keywords=Fieldpiece+ANC4+-+Medium+Single+Meter+Case&amp;qid=1695173161&amp;sr=8-1")</f>
        <v/>
      </c>
      <c r="F45" t="inlineStr">
        <is>
          <t>B000TJX68U</t>
        </is>
      </c>
      <c r="G45">
        <f>_xludf.IMAGE("https://edmondsonsupply.com/cdn/shop/products/ANC4-SRC-product-300dpi.jpg?v=1633030970")</f>
        <v/>
      </c>
      <c r="H45">
        <f>_xludf.IMAGE("https://m.media-amazon.com/images/I/41zQTaZ+QEL._AC_UL320_.jpg")</f>
        <v/>
      </c>
      <c r="I45" t="inlineStr">
        <is>
          <t>10.2</t>
        </is>
      </c>
      <c r="J45" t="n">
        <v>18.29</v>
      </c>
      <c r="K45" s="3" t="inlineStr">
        <is>
          <t>79.31%</t>
        </is>
      </c>
      <c r="L45" t="n">
        <v>4.4</v>
      </c>
      <c r="M45" t="n">
        <v>45</v>
      </c>
      <c r="O45" t="inlineStr">
        <is>
          <t>InStock</t>
        </is>
      </c>
      <c r="P45" t="inlineStr">
        <is>
          <t>12.0</t>
        </is>
      </c>
      <c r="Q45" t="inlineStr">
        <is>
          <t>6633591832749</t>
        </is>
      </c>
    </row>
    <row r="46">
      <c r="A46" s="2">
        <f>HYPERLINK("https://edmondsonsupply.com/collections/storage-organization/products/fieldpiece-anc11-sman-soft-case-black", "https://edmondsonsupply.com/collections/storage-organization/products/fieldpiece-anc11-sman-soft-case-black")</f>
        <v/>
      </c>
      <c r="B46" s="2">
        <f>HYPERLINK("https://edmondsonsupply.com/products/fieldpiece-anc11-sman-soft-case-black", "https://edmondsonsupply.com/products/fieldpiece-anc11-sman-soft-case-black")</f>
        <v/>
      </c>
      <c r="C46" t="inlineStr">
        <is>
          <t>Fieldpiece ANC11 Manifold Case</t>
        </is>
      </c>
      <c r="D46" t="inlineStr">
        <is>
          <t>Fieldpiece ANC11 - Padded Drawstring Case</t>
        </is>
      </c>
      <c r="E46" s="2">
        <f>HYPERLINK("https://www.amazon.com/Fieldpiece-ANC11-Padded-Drawstring-Case/dp/B08CMWRQ8V/ref=sr_1_1?keywords=Fieldpiece+ANC11+Manifold+Case&amp;qid=1695173157&amp;sr=8-1", "https://www.amazon.com/Fieldpiece-ANC11-Padded-Drawstring-Case/dp/B08CMWRQ8V/ref=sr_1_1?keywords=Fieldpiece+ANC11+Manifold+Case&amp;qid=1695173157&amp;sr=8-1")</f>
        <v/>
      </c>
      <c r="F46" t="inlineStr">
        <is>
          <t>B08CMWRQ8V</t>
        </is>
      </c>
      <c r="G46">
        <f>_xludf.IMAGE("https://edmondsonsupply.com/cdn/shop/products/ANC11-SRC-Product-300dpi.jpg?v=1633030204")</f>
        <v/>
      </c>
      <c r="H46">
        <f>_xludf.IMAGE("https://m.media-amazon.com/images/I/41cwlO2JZFL._AC_UL320_.jpg")</f>
        <v/>
      </c>
      <c r="I46" t="inlineStr">
        <is>
          <t>31.45</t>
        </is>
      </c>
      <c r="J46" t="n">
        <v>54.99</v>
      </c>
      <c r="K46" s="3" t="inlineStr">
        <is>
          <t>74.85%</t>
        </is>
      </c>
      <c r="L46" t="n">
        <v>4.7</v>
      </c>
      <c r="M46" t="n">
        <v>48</v>
      </c>
      <c r="O46" t="inlineStr">
        <is>
          <t>InStock</t>
        </is>
      </c>
      <c r="P46" t="inlineStr">
        <is>
          <t>37.0</t>
        </is>
      </c>
      <c r="Q46" t="inlineStr">
        <is>
          <t>4421344952420</t>
        </is>
      </c>
    </row>
    <row r="47">
      <c r="A47" s="2">
        <f>HYPERLINK("https://edmondsonsupply.com/collections/storage-organization/products/clc-1528-11", "https://edmondsonsupply.com/collections/storage-organization/products/clc-1528-11")</f>
        <v/>
      </c>
      <c r="B47" s="2">
        <f>HYPERLINK("https://edmondsonsupply.com/products/clc-1528-11", "https://edmondsonsupply.com/products/clc-1528-11")</f>
        <v/>
      </c>
      <c r="C47" t="inlineStr">
        <is>
          <t>CLC 1528 11" Electrical &amp; Maintenance Tool Carrier</t>
        </is>
      </c>
      <c r="D47" t="inlineStr">
        <is>
          <t>CLC WORK GEAR 1530 Electrical and Maintenance Tool Carrier, 43 Pocket &amp; CLC Custom LeatherCraft 1528 Large Electrical and Maintenance Tool Carrier, 22 Pocket, Black, 11" x 10" x 19"h</t>
        </is>
      </c>
      <c r="E47" s="2">
        <f>HYPERLINK("https://www.amazon.com/Electrical-Maintenance-Carrier-Custom-LeatherCraft/dp/B0BFXQS1YT/ref=sr_1_3?keywords=CLC+1528+11%22+Electrical+%26+Maintenance+Tool+Carrier&amp;qid=1695173195&amp;sr=8-3", "https://www.amazon.com/Electrical-Maintenance-Carrier-Custom-LeatherCraft/dp/B0BFXQS1YT/ref=sr_1_3?keywords=CLC+1528+11%22+Electrical+%26+Maintenance+Tool+Carrier&amp;qid=1695173195&amp;sr=8-3")</f>
        <v/>
      </c>
      <c r="F47" t="inlineStr">
        <is>
          <t>B0BFXQS1YT</t>
        </is>
      </c>
      <c r="G47">
        <f>_xludf.IMAGE("https://edmondsonsupply.com/cdn/shop/products/clc-1528__1_321x_3x.progressive_bf390c4e-ab2d-4119-a706-a1ca10a9b643.jpg?v=1609778372")</f>
        <v/>
      </c>
      <c r="H47">
        <f>_xludf.IMAGE("https://m.media-amazon.com/images/I/51Ev+6BezpL._AC_UL320_.jpg")</f>
        <v/>
      </c>
      <c r="I47" t="inlineStr">
        <is>
          <t>69.95</t>
        </is>
      </c>
      <c r="J47" t="n">
        <v>121.75</v>
      </c>
      <c r="K47" s="3" t="inlineStr">
        <is>
          <t>74.05%</t>
        </is>
      </c>
      <c r="L47" t="n">
        <v>4.7</v>
      </c>
      <c r="M47" t="n">
        <v>1781</v>
      </c>
      <c r="O47" t="inlineStr">
        <is>
          <t>InStock</t>
        </is>
      </c>
      <c r="P47" t="inlineStr">
        <is>
          <t>94.95</t>
        </is>
      </c>
      <c r="Q47" t="inlineStr">
        <is>
          <t>5267577110696</t>
        </is>
      </c>
    </row>
    <row r="48">
      <c r="A48" s="2">
        <f>HYPERLINK("https://edmondsonsupply.com/collections/personal-protection-safety/products/klein-tools-60177-breakaway-lanyard-for-safety-glasses", "https://edmondsonsupply.com/collections/personal-protection-safety/products/klein-tools-60177-breakaway-lanyard-for-safety-glasses")</f>
        <v/>
      </c>
      <c r="B48" s="2">
        <f>HYPERLINK("https://edmondsonsupply.com/products/klein-tools-60177-breakaway-lanyard-for-safety-glasses", "https://edmondsonsupply.com/products/klein-tools-60177-breakaway-lanyard-for-safety-glasses")</f>
        <v/>
      </c>
      <c r="C48" t="inlineStr">
        <is>
          <t>Klein Tools 60177 Breakaway Lanyard for Safety Glasses</t>
        </is>
      </c>
      <c r="D48" t="inlineStr">
        <is>
          <t>Klein Tools 80055 Safety Glasses Kit, Professional Safety Glasses with Full Frame, Gray Lens and Breakaway Lanyard, 8-Piece</t>
        </is>
      </c>
      <c r="E48" s="2">
        <f>HYPERLINK("https://www.amazon.com/Klein-80055-Glasses-Professional-Breakaway/dp/B09HR9RV4H/ref=sr_1_2?keywords=Klein+Tools+60177+Breakaway+Lanyard+for+Safety+Glasses&amp;qid=1695173237&amp;sr=8-2", "https://www.amazon.com/Klein-80055-Glasses-Professional-Breakaway/dp/B09HR9RV4H/ref=sr_1_2?keywords=Klein+Tools+60177+Breakaway+Lanyard+for+Safety+Glasses&amp;qid=1695173237&amp;sr=8-2")</f>
        <v/>
      </c>
      <c r="F48" t="inlineStr">
        <is>
          <t>B09HR9RV4H</t>
        </is>
      </c>
      <c r="G48">
        <f>_xludf.IMAGE("https://edmondsonsupply.com/cdn/shop/products/60177.jpg?v=1633030858")</f>
        <v/>
      </c>
      <c r="H48">
        <f>_xludf.IMAGE("https://m.media-amazon.com/images/I/61L5l7dmmiL._AC_UL320_.jpg")</f>
        <v/>
      </c>
      <c r="I48" t="inlineStr">
        <is>
          <t>1.99</t>
        </is>
      </c>
      <c r="J48" t="n">
        <v>49.99</v>
      </c>
      <c r="K48" s="3" t="inlineStr">
        <is>
          <t>2412.06%</t>
        </is>
      </c>
      <c r="L48" t="n">
        <v>4.5</v>
      </c>
      <c r="M48" t="n">
        <v>13</v>
      </c>
      <c r="O48" t="inlineStr">
        <is>
          <t>InStock</t>
        </is>
      </c>
      <c r="P48" t="inlineStr">
        <is>
          <t>2.68</t>
        </is>
      </c>
      <c r="Q48" t="inlineStr">
        <is>
          <t>6104982454445</t>
        </is>
      </c>
    </row>
    <row r="49">
      <c r="A49" s="2">
        <f>HYPERLINK("https://edmondsonsupply.com/collections/personal-protection-safety/products/klein-tools-56062-rechargeable-headlamp-and-worklight-300-lumens-all-day-runtime", "https://edmondsonsupply.com/collections/personal-protection-safety/products/klein-tools-56062-rechargeable-headlamp-and-worklight-300-lumens-all-day-runtime")</f>
        <v/>
      </c>
      <c r="B49" s="2">
        <f>HYPERLINK("https://edmondsonsupply.com/products/klein-tools-56062-rechargeable-headlamp-and-worklight-300-lumens-all-day-runtime", "https://edmondsonsupply.com/products/klein-tools-56062-rechargeable-headlamp-and-worklight-300-lumens-all-day-runtime")</f>
        <v/>
      </c>
      <c r="C49" t="inlineStr">
        <is>
          <t>Klein Tools 56062 Rechargeable Headlamp and Worklight, 300 Lumens All-Day Runtime</t>
        </is>
      </c>
      <c r="D49" t="inlineStr">
        <is>
          <t>Klein Tools 60347 Hard Hat &amp; 56062 Rechargeable LED Headlamp/Worklight for Klein Hardhats, 300 Lumens, All-Day Runtime, 3 Modes, for Work and Outdoors</t>
        </is>
      </c>
      <c r="E49" s="2">
        <f>HYPERLINK("https://www.amazon.com/Klein-Tools-Rechargeable-Headlamp-Worklight/dp/B09T6ZC141/ref=sr_1_7?keywords=Klein+Tools+56062+Rechargeable+Headlamp+and+Worklight%2C+300+Lumens+All-Day+Runtime&amp;qid=1695173250&amp;sr=8-7", "https://www.amazon.com/Klein-Tools-Rechargeable-Headlamp-Worklight/dp/B09T6ZC141/ref=sr_1_7?keywords=Klein+Tools+56062+Rechargeable+Headlamp+and+Worklight%2C+300+Lumens+All-Day+Runtime&amp;qid=1695173250&amp;sr=8-7")</f>
        <v/>
      </c>
      <c r="F49" t="inlineStr">
        <is>
          <t>B09T6ZC141</t>
        </is>
      </c>
      <c r="G49">
        <f>_xludf.IMAGE("https://edmondsonsupply.com/cdn/shop/products/56062.jpg?v=1633030735")</f>
        <v/>
      </c>
      <c r="H49">
        <f>_xludf.IMAGE("https://m.media-amazon.com/images/I/51KgvagWX0L._AC_UL320_.jpg")</f>
        <v/>
      </c>
      <c r="I49" t="inlineStr">
        <is>
          <t>29.97</t>
        </is>
      </c>
      <c r="J49" t="n">
        <v>146.85</v>
      </c>
      <c r="K49" s="3" t="inlineStr">
        <is>
          <t>389.99%</t>
        </is>
      </c>
      <c r="L49" t="n">
        <v>4.7</v>
      </c>
      <c r="M49" t="n">
        <v>4</v>
      </c>
      <c r="O49" t="inlineStr">
        <is>
          <t>InStock</t>
        </is>
      </c>
      <c r="P49" t="inlineStr">
        <is>
          <t>42.0</t>
        </is>
      </c>
      <c r="Q49" t="inlineStr">
        <is>
          <t>5877807218856</t>
        </is>
      </c>
    </row>
    <row r="50">
      <c r="A50" s="2">
        <f>HYPERLINK("https://edmondsonsupply.com/collections/personal-protection-safety/products/klein-tools-29025-modular-battery-for-klein-tools-cat-no-60155-hard-hat-cooling-fan", "https://edmondsonsupply.com/collections/personal-protection-safety/products/klein-tools-29025-modular-battery-for-klein-tools-cat-no-60155-hard-hat-cooling-fan")</f>
        <v/>
      </c>
      <c r="B50" s="2">
        <f>HYPERLINK("https://edmondsonsupply.com/products/klein-tools-29025-modular-battery-for-klein-tools-cat-no-60155-hard-hat-cooling-fan", "https://edmondsonsupply.com/products/klein-tools-29025-modular-battery-for-klein-tools-cat-no-60155-hard-hat-cooling-fan")</f>
        <v/>
      </c>
      <c r="C50" t="inlineStr">
        <is>
          <t>Klein Tools 29025 Modular Battery for Klein Tools Cat. No. 60155 Hard Hat Cooling Fan</t>
        </is>
      </c>
      <c r="D50" t="inlineStr">
        <is>
          <t>Klein Tools 60347 Hard Hat, Vented Full Brim, Class C &amp; 29025 Rechargeable Lithium-ion Portable Battery to Power Klein Tools Hard Hat Cooling Fan Cat. No. 60155</t>
        </is>
      </c>
      <c r="E50" s="2">
        <f>HYPERLINK("https://www.amazon.com/Klein-Tools-Rechargeable-Lithium-ion-Portable/dp/B0B56RS25Q/ref=sr_1_3?keywords=Klein+Tools+29025+Modular+Battery+for+Klein+Tools+Cat.+No.+60155+Hard+Hat+Cooling+Fan&amp;qid=1695173223&amp;sr=8-3", "https://www.amazon.com/Klein-Tools-Rechargeable-Lithium-ion-Portable/dp/B0B56RS25Q/ref=sr_1_3?keywords=Klein+Tools+29025+Modular+Battery+for+Klein+Tools+Cat.+No.+60155+Hard+Hat+Cooling+Fan&amp;qid=1695173223&amp;sr=8-3")</f>
        <v/>
      </c>
      <c r="F50" t="inlineStr">
        <is>
          <t>B0B56RS25Q</t>
        </is>
      </c>
      <c r="G50">
        <f>_xludf.IMAGE("https://edmondsonsupply.com/cdn/shop/products/29025.jpg?v=1664802987")</f>
        <v/>
      </c>
      <c r="H50">
        <f>_xludf.IMAGE("https://m.media-amazon.com/images/I/512adTKjRAL._AC_UL320_.jpg")</f>
        <v/>
      </c>
      <c r="I50" t="inlineStr">
        <is>
          <t>36.99</t>
        </is>
      </c>
      <c r="J50" t="n">
        <v>151.87</v>
      </c>
      <c r="K50" s="3" t="inlineStr">
        <is>
          <t>310.57%</t>
        </is>
      </c>
      <c r="L50" t="n">
        <v>4.2</v>
      </c>
      <c r="M50" t="n">
        <v>10</v>
      </c>
      <c r="O50" t="inlineStr">
        <is>
          <t>InStock</t>
        </is>
      </c>
      <c r="P50" t="inlineStr">
        <is>
          <t>51.78</t>
        </is>
      </c>
      <c r="Q50" t="inlineStr">
        <is>
          <t>7837556965592</t>
        </is>
      </c>
    </row>
    <row r="51">
      <c r="A51" s="2">
        <f>HYPERLINK("https://edmondsonsupply.com/collections/personal-protection-safety/products/klein-tools-60162-professional-safety-glasses-gray-lens", "https://edmondsonsupply.com/collections/personal-protection-safety/products/klein-tools-60162-professional-safety-glasses-gray-lens")</f>
        <v/>
      </c>
      <c r="B51" s="2">
        <f>HYPERLINK("https://edmondsonsupply.com/products/klein-tools-60162-professional-safety-glasses-gray-lens", "https://edmondsonsupply.com/products/klein-tools-60162-professional-safety-glasses-gray-lens")</f>
        <v/>
      </c>
      <c r="C51" t="inlineStr">
        <is>
          <t>Klein Tools 60162 Professional Safety Glasses, Gray Lens</t>
        </is>
      </c>
      <c r="D51" t="inlineStr">
        <is>
          <t>Klein Tools 80055 Safety Glasses Kit, Professional Safety Glasses with Full Frame, Gray Lens and Breakaway Lanyard, 8-Piece</t>
        </is>
      </c>
      <c r="E51" s="2">
        <f>HYPERLINK("https://www.amazon.com/Klein-80055-Glasses-Professional-Breakaway/dp/B09HR9RV4H/ref=sr_1_4?keywords=Klein+Tools+60162+Professional+Safety+Glasses%2C+Gray+Lens&amp;qid=1695173247&amp;sr=8-4", "https://www.amazon.com/Klein-80055-Glasses-Professional-Breakaway/dp/B09HR9RV4H/ref=sr_1_4?keywords=Klein+Tools+60162+Professional+Safety+Glasses%2C+Gray+Lens&amp;qid=1695173247&amp;sr=8-4")</f>
        <v/>
      </c>
      <c r="F51" t="inlineStr">
        <is>
          <t>B09HR9RV4H</t>
        </is>
      </c>
      <c r="G51">
        <f>_xludf.IMAGE("https://edmondsonsupply.com/cdn/shop/products/60162.jpg?v=1633030847")</f>
        <v/>
      </c>
      <c r="H51">
        <f>_xludf.IMAGE("https://m.media-amazon.com/images/I/61L5l7dmmiL._AC_UL320_.jpg")</f>
        <v/>
      </c>
      <c r="I51" t="inlineStr">
        <is>
          <t>12.99</t>
        </is>
      </c>
      <c r="J51" t="n">
        <v>49.99</v>
      </c>
      <c r="K51" s="3" t="inlineStr">
        <is>
          <t>284.83%</t>
        </is>
      </c>
      <c r="L51" t="n">
        <v>4.5</v>
      </c>
      <c r="M51" t="n">
        <v>13</v>
      </c>
      <c r="O51" t="inlineStr">
        <is>
          <t>InStock</t>
        </is>
      </c>
      <c r="P51" t="inlineStr">
        <is>
          <t>18.0</t>
        </is>
      </c>
      <c r="Q51" t="inlineStr">
        <is>
          <t>6092128747693</t>
        </is>
      </c>
    </row>
    <row r="52">
      <c r="A52" s="2">
        <f>HYPERLINK("https://edmondsonsupply.com/collections/personal-protection-safety/products/milwaukee-48-73-2041-performance-safety-glasses-with-gaskets-clear", "https://edmondsonsupply.com/collections/personal-protection-safety/products/milwaukee-48-73-2041-performance-safety-glasses-with-gaskets-clear")</f>
        <v/>
      </c>
      <c r="B52" s="2">
        <f>HYPERLINK("https://edmondsonsupply.com/products/milwaukee-48-73-2041-performance-safety-glasses-with-gaskets-clear", "https://edmondsonsupply.com/products/milwaukee-48-73-2041-performance-safety-glasses-with-gaskets-clear")</f>
        <v/>
      </c>
      <c r="C52" t="inlineStr">
        <is>
          <t>Milwaukee 48-73-2041 Performance Safety Glasses with Gaskets, Clear</t>
        </is>
      </c>
      <c r="D52" t="inlineStr">
        <is>
          <t>Milwaukee 48-73-2040 Clear High Performance Safety Glasses with Gasket</t>
        </is>
      </c>
      <c r="E52" s="2">
        <f>HYPERLINK("https://www.amazon.com/Milwaukee-48-73-2040-Performance-Safety-Glasses/dp/B09ZPZJR4V/ref=sr_1_2?keywords=Milwaukee+48-73-2041+Performance+Safety+Glasses+with+Gaskets%2C+Clear&amp;qid=1695173264&amp;sr=8-2", "https://www.amazon.com/Milwaukee-48-73-2040-Performance-Safety-Glasses/dp/B09ZPZJR4V/ref=sr_1_2?keywords=Milwaukee+48-73-2041+Performance+Safety+Glasses+with+Gaskets%2C+Clear&amp;qid=1695173264&amp;sr=8-2")</f>
        <v/>
      </c>
      <c r="F52" t="inlineStr">
        <is>
          <t>B09ZPZJR4V</t>
        </is>
      </c>
      <c r="G52">
        <f>_xludf.IMAGE("https://edmondsonsupply.com/cdn/shop/products/48-73-2040_7.png?v=1587150340")</f>
        <v/>
      </c>
      <c r="H52">
        <f>_xludf.IMAGE("https://m.media-amazon.com/images/I/81CjI-mgKUL._AC_UL320_.jpg")</f>
        <v/>
      </c>
      <c r="I52" t="inlineStr">
        <is>
          <t>29.97</t>
        </is>
      </c>
      <c r="J52" t="n">
        <v>107.89</v>
      </c>
      <c r="K52" s="3" t="inlineStr">
        <is>
          <t>259.99%</t>
        </is>
      </c>
      <c r="L52" t="n">
        <v>4.7</v>
      </c>
      <c r="M52" t="n">
        <v>6</v>
      </c>
      <c r="O52" t="inlineStr">
        <is>
          <t>OutOfStock</t>
        </is>
      </c>
      <c r="P52" t="inlineStr">
        <is>
          <t>37.4</t>
        </is>
      </c>
      <c r="Q52" t="inlineStr">
        <is>
          <t>4486297780324</t>
        </is>
      </c>
    </row>
    <row r="53">
      <c r="A53" s="2">
        <f>HYPERLINK("https://edmondsonsupply.com/collections/personal-protection-safety/products/klein-tools-60245-p100-half-mask-respirator-replacement-filter", "https://edmondsonsupply.com/collections/personal-protection-safety/products/klein-tools-60245-p100-half-mask-respirator-replacement-filter")</f>
        <v/>
      </c>
      <c r="B53" s="2">
        <f>HYPERLINK("https://edmondsonsupply.com/products/klein-tools-60245-p100-half-mask-respirator-replacement-filter", "https://edmondsonsupply.com/products/klein-tools-60245-p100-half-mask-respirator-replacement-filter")</f>
        <v/>
      </c>
      <c r="C53" t="inlineStr">
        <is>
          <t>Klein Tools 60245 P100 Half-Mask Respirator Replacement Filter</t>
        </is>
      </c>
      <c r="D53" t="inlineStr">
        <is>
          <t>Klein Tools 80044 Face Mask, P100 Half-Mask Respirator Kit with P100 Mask and Replacement Filters For Dust, Metal Fumes, and Mists, Size M/L</t>
        </is>
      </c>
      <c r="E53" s="2">
        <f>HYPERLINK("https://www.amazon.com/Klein-80044-Half-Mask-Respirator-Replacement/dp/B09FW2FRX8/ref=sr_1_1?keywords=Klein+Tools+60245+P100+Half-Mask+Respirator+Replacement+Filter&amp;qid=1695173235&amp;sr=8-1", "https://www.amazon.com/Klein-80044-Half-Mask-Respirator-Replacement/dp/B09FW2FRX8/ref=sr_1_1?keywords=Klein+Tools+60245+P100+Half-Mask+Respirator+Replacement+Filter&amp;qid=1695173235&amp;sr=8-1")</f>
        <v/>
      </c>
      <c r="F53" t="inlineStr">
        <is>
          <t>B09FW2FRX8</t>
        </is>
      </c>
      <c r="G53">
        <f>_xludf.IMAGE("https://edmondsonsupply.com/cdn/shop/products/60245_0999043a-829a-4bfc-9587-43bf26330e2f.jpg?v=1661863973")</f>
        <v/>
      </c>
      <c r="H53">
        <f>_xludf.IMAGE("https://m.media-amazon.com/images/I/61kQgRHQL4L._AC_UL320_.jpg")</f>
        <v/>
      </c>
      <c r="I53" t="inlineStr">
        <is>
          <t>13.99</t>
        </is>
      </c>
      <c r="J53" t="n">
        <v>50.35</v>
      </c>
      <c r="K53" s="3" t="inlineStr">
        <is>
          <t>259.90%</t>
        </is>
      </c>
      <c r="L53" t="n">
        <v>4.5</v>
      </c>
      <c r="M53" t="n">
        <v>21</v>
      </c>
      <c r="O53" t="inlineStr">
        <is>
          <t>OutOfStock</t>
        </is>
      </c>
      <c r="P53" t="inlineStr">
        <is>
          <t>20.0</t>
        </is>
      </c>
      <c r="Q53" t="inlineStr">
        <is>
          <t>7797345157336</t>
        </is>
      </c>
    </row>
    <row r="54">
      <c r="A54" s="2">
        <f>HYPERLINK("https://edmondsonsupply.com/collections/personal-protection-safety/products/klein-tools-29025-modular-battery-for-klein-tools-cat-no-60155-hard-hat-cooling-fan", "https://edmondsonsupply.com/collections/personal-protection-safety/products/klein-tools-29025-modular-battery-for-klein-tools-cat-no-60155-hard-hat-cooling-fan")</f>
        <v/>
      </c>
      <c r="B54" s="2">
        <f>HYPERLINK("https://edmondsonsupply.com/products/klein-tools-29025-modular-battery-for-klein-tools-cat-no-60155-hard-hat-cooling-fan", "https://edmondsonsupply.com/products/klein-tools-29025-modular-battery-for-klein-tools-cat-no-60155-hard-hat-cooling-fan")</f>
        <v/>
      </c>
      <c r="C54" t="inlineStr">
        <is>
          <t>Klein Tools 29025 Modular Battery for Klein Tools Cat. No. 60155 Hard Hat Cooling Fan</t>
        </is>
      </c>
      <c r="D54" t="inlineStr">
        <is>
          <t>Klein Tools 60346 Hard Hat, Non-Vented Full Brim &amp; 29025 Rechargeable Lithium-ion Portable Battery to Power Klein Tools Hard Hat Cooling Fan Cat. No. 60155</t>
        </is>
      </c>
      <c r="E54" s="2">
        <f>HYPERLINK("https://www.amazon.com/Klein-Tools-Non-Vented-Rechargeable-Lithium-ion/dp/B0B7MR6XWH/ref=sr_1_2?keywords=Klein+Tools+29025+Modular+Battery+for+Klein+Tools+Cat.+No.+60155+Hard+Hat+Cooling+Fan&amp;qid=1695173223&amp;sr=8-2", "https://www.amazon.com/Klein-Tools-Non-Vented-Rechargeable-Lithium-ion/dp/B0B7MR6XWH/ref=sr_1_2?keywords=Klein+Tools+29025+Modular+Battery+for+Klein+Tools+Cat.+No.+60155+Hard+Hat+Cooling+Fan&amp;qid=1695173223&amp;sr=8-2")</f>
        <v/>
      </c>
      <c r="F54" t="inlineStr">
        <is>
          <t>B0B7MR6XWH</t>
        </is>
      </c>
      <c r="G54">
        <f>_xludf.IMAGE("https://edmondsonsupply.com/cdn/shop/products/29025.jpg?v=1664802987")</f>
        <v/>
      </c>
      <c r="H54">
        <f>_xludf.IMAGE("https://m.media-amazon.com/images/I/5186Hi+TUJL._AC_UL320_.jpg")</f>
        <v/>
      </c>
      <c r="I54" t="inlineStr">
        <is>
          <t>36.99</t>
        </is>
      </c>
      <c r="J54" t="n">
        <v>124.98</v>
      </c>
      <c r="K54" s="3" t="inlineStr">
        <is>
          <t>237.88%</t>
        </is>
      </c>
      <c r="L54" t="n">
        <v>4.7</v>
      </c>
      <c r="M54" t="n">
        <v>4</v>
      </c>
      <c r="O54" t="inlineStr">
        <is>
          <t>InStock</t>
        </is>
      </c>
      <c r="P54" t="inlineStr">
        <is>
          <t>51.78</t>
        </is>
      </c>
      <c r="Q54" t="inlineStr">
        <is>
          <t>7837556965592</t>
        </is>
      </c>
    </row>
    <row r="55">
      <c r="A55" s="2">
        <f>HYPERLINK("https://edmondsonsupply.com/collections/personal-protection-safety/products/klein-tools-60163-professional-safety-glasses-full-frame-clear-lens", "https://edmondsonsupply.com/collections/personal-protection-safety/products/klein-tools-60163-professional-safety-glasses-full-frame-clear-lens")</f>
        <v/>
      </c>
      <c r="B55" s="2">
        <f>HYPERLINK("https://edmondsonsupply.com/products/klein-tools-60163-professional-safety-glasses-full-frame-clear-lens", "https://edmondsonsupply.com/products/klein-tools-60163-professional-safety-glasses-full-frame-clear-lens")</f>
        <v/>
      </c>
      <c r="C55" t="inlineStr">
        <is>
          <t>Klein Tools 60163 Professional Safety Glasses, Full Frame, Clear Lens</t>
        </is>
      </c>
      <c r="D55" t="inlineStr">
        <is>
          <t>Klein Tools 80055 Safety Glasses Kit, Professional Safety Glasses with Full Frame, Gray Lens and Breakaway Lanyard, 8-Piece</t>
        </is>
      </c>
      <c r="E55" s="2">
        <f>HYPERLINK("https://www.amazon.com/Klein-80055-Glasses-Professional-Breakaway/dp/B09HR9RV4H/ref=sr_1_5?keywords=Klein+Tools+60163+Professional+Safety+Glasses%2C+Full+Frame%2C+Clear+Lens&amp;qid=1695173243&amp;sr=8-5", "https://www.amazon.com/Klein-80055-Glasses-Professional-Breakaway/dp/B09HR9RV4H/ref=sr_1_5?keywords=Klein+Tools+60163+Professional+Safety+Glasses%2C+Full+Frame%2C+Clear+Lens&amp;qid=1695173243&amp;sr=8-5")</f>
        <v/>
      </c>
      <c r="F55" t="inlineStr">
        <is>
          <t>B09HR9RV4H</t>
        </is>
      </c>
      <c r="G55">
        <f>_xludf.IMAGE("https://edmondsonsupply.com/cdn/shop/products/60163.jpg?v=1633030848")</f>
        <v/>
      </c>
      <c r="H55">
        <f>_xludf.IMAGE("https://m.media-amazon.com/images/I/61L5l7dmmiL._AC_UL320_.jpg")</f>
        <v/>
      </c>
      <c r="I55" t="inlineStr">
        <is>
          <t>14.99</t>
        </is>
      </c>
      <c r="J55" t="n">
        <v>49.99</v>
      </c>
      <c r="K55" s="3" t="inlineStr">
        <is>
          <t>233.49%</t>
        </is>
      </c>
      <c r="L55" t="n">
        <v>4.5</v>
      </c>
      <c r="M55" t="n">
        <v>13</v>
      </c>
      <c r="O55" t="inlineStr">
        <is>
          <t>InStock</t>
        </is>
      </c>
      <c r="P55" t="inlineStr">
        <is>
          <t>20.98</t>
        </is>
      </c>
      <c r="Q55" t="inlineStr">
        <is>
          <t>6094353039533</t>
        </is>
      </c>
    </row>
    <row r="56">
      <c r="A56" s="2">
        <f>HYPERLINK("https://edmondsonsupply.com/collections/personal-protection-safety/products/klein-tools-60471-professional-full-frame-gasket-safety-glasses-gray-lens", "https://edmondsonsupply.com/collections/personal-protection-safety/products/klein-tools-60471-professional-full-frame-gasket-safety-glasses-gray-lens")</f>
        <v/>
      </c>
      <c r="B56" s="2">
        <f>HYPERLINK("https://edmondsonsupply.com/products/klein-tools-60471-professional-full-frame-gasket-safety-glasses-gray-lens", "https://edmondsonsupply.com/products/klein-tools-60471-professional-full-frame-gasket-safety-glasses-gray-lens")</f>
        <v/>
      </c>
      <c r="C56" t="inlineStr">
        <is>
          <t>Klein Tools 60471 Professional Full-Frame Gasket Safety Glasses, Gray Lens</t>
        </is>
      </c>
      <c r="D56" t="inlineStr">
        <is>
          <t>Klein Tools 80055 Safety Glasses Kit, Professional Safety Glasses with Full Frame, Gray Lens and Breakaway Lanyard, 8-Piece</t>
        </is>
      </c>
      <c r="E56" s="2">
        <f>HYPERLINK("https://www.amazon.com/Klein-80055-Glasses-Professional-Breakaway/dp/B09HR9RV4H/ref=sr_1_3?keywords=Klein+Tools+60471+Professional+Full-Frame+Gasket+Safety+Glasses%2C+Gray+Lens&amp;qid=1695173231&amp;sr=8-3", "https://www.amazon.com/Klein-80055-Glasses-Professional-Breakaway/dp/B09HR9RV4H/ref=sr_1_3?keywords=Klein+Tools+60471+Professional+Full-Frame+Gasket+Safety+Glasses%2C+Gray+Lens&amp;qid=1695173231&amp;sr=8-3")</f>
        <v/>
      </c>
      <c r="F56" t="inlineStr">
        <is>
          <t>B09HR9RV4H</t>
        </is>
      </c>
      <c r="G56">
        <f>_xludf.IMAGE("https://edmondsonsupply.com/cdn/shop/products/60471.jpg?v=1663257501")</f>
        <v/>
      </c>
      <c r="H56">
        <f>_xludf.IMAGE("https://m.media-amazon.com/images/I/61L5l7dmmiL._AC_UL320_.jpg")</f>
        <v/>
      </c>
      <c r="I56" t="inlineStr">
        <is>
          <t>15.99</t>
        </is>
      </c>
      <c r="J56" t="n">
        <v>49.99</v>
      </c>
      <c r="K56" s="3" t="inlineStr">
        <is>
          <t>212.63%</t>
        </is>
      </c>
      <c r="L56" t="n">
        <v>4.5</v>
      </c>
      <c r="M56" t="n">
        <v>13</v>
      </c>
      <c r="O56" t="inlineStr">
        <is>
          <t>InStock</t>
        </is>
      </c>
      <c r="P56" t="inlineStr">
        <is>
          <t>21.98</t>
        </is>
      </c>
      <c r="Q56" t="inlineStr">
        <is>
          <t>7817587785944</t>
        </is>
      </c>
    </row>
    <row r="57">
      <c r="A57" s="2">
        <f>HYPERLINK("https://edmondsonsupply.com/collections/personal-protection-safety/products/milwaukee-48-22-8731-demolition-gloves-medium", "https://edmondsonsupply.com/collections/personal-protection-safety/products/milwaukee-48-22-8731-demolition-gloves-medium")</f>
        <v/>
      </c>
      <c r="B57" s="2">
        <f>HYPERLINK("https://edmondsonsupply.com/products/milwaukee-48-22-8731-demolition-gloves-medium", "https://edmondsonsupply.com/products/milwaukee-48-22-8731-demolition-gloves-medium")</f>
        <v/>
      </c>
      <c r="C57" t="inlineStr">
        <is>
          <t>Milwaukee 48-22-8731 Demolition Gloves, Medium</t>
        </is>
      </c>
      <c r="D57" t="inlineStr">
        <is>
          <t>Milwaukee Demolition Glove Size 8 (Medium) 48-22-9731, Black/Red/Grey</t>
        </is>
      </c>
      <c r="E57" s="2">
        <f>HYPERLINK("https://www.amazon.com/Milwaukee-Demolition-Glove-Medium-48-22-9731/dp/B01G4AC3QI/ref=sr_1_3?keywords=Milwaukee+48-22-8731+Demolition+Gloves%2C+Medium&amp;qid=1695173262&amp;sr=8-3", "https://www.amazon.com/Milwaukee-Demolition-Glove-Medium-48-22-9731/dp/B01G4AC3QI/ref=sr_1_3?keywords=Milwaukee+48-22-8731+Demolition+Gloves%2C+Medium&amp;qid=1695173262&amp;sr=8-3")</f>
        <v/>
      </c>
      <c r="F57" t="inlineStr">
        <is>
          <t>B01G4AC3QI</t>
        </is>
      </c>
      <c r="G57">
        <f>_xludf.IMAGE("https://edmondsonsupply.com/cdn/shop/products/48-22-8732_A.png?v=1587144555")</f>
        <v/>
      </c>
      <c r="H57">
        <f>_xludf.IMAGE("https://m.media-amazon.com/images/I/61IZVrH3a+L._AC_UL320_.jpg")</f>
        <v/>
      </c>
      <c r="I57" t="inlineStr">
        <is>
          <t>24.97</t>
        </is>
      </c>
      <c r="J57" t="n">
        <v>73.41</v>
      </c>
      <c r="K57" s="3" t="inlineStr">
        <is>
          <t>193.99%</t>
        </is>
      </c>
      <c r="L57" t="n">
        <v>4.3</v>
      </c>
      <c r="M57" t="n">
        <v>146</v>
      </c>
      <c r="O57" t="inlineStr">
        <is>
          <t>InStock</t>
        </is>
      </c>
      <c r="P57" t="inlineStr">
        <is>
          <t>37.9</t>
        </is>
      </c>
      <c r="Q57" t="inlineStr">
        <is>
          <t>4433517150308</t>
        </is>
      </c>
    </row>
    <row r="58">
      <c r="A58" s="2">
        <f>HYPERLINK("https://edmondsonsupply.com/collections/personal-protection-safety/products/hellberg-safety-classic-pop-headband-hearing-protection", "https://edmondsonsupply.com/collections/personal-protection-safety/products/hellberg-safety-classic-pop-headband-hearing-protection")</f>
        <v/>
      </c>
      <c r="B58" s="2">
        <f>HYPERLINK("https://edmondsonsupply.com/products/hellberg-safety-classic-pop-headband-hearing-protection", "https://edmondsonsupply.com/products/hellberg-safety-classic-pop-headband-hearing-protection")</f>
        <v/>
      </c>
      <c r="C58" t="inlineStr">
        <is>
          <t>Hellberg Safety Classic PoP Headband Hearing Protection</t>
        </is>
      </c>
      <c r="D58" t="inlineStr">
        <is>
          <t>Hellberg Safety 41002-001 Secure 2 Headband Hearing Protection, 26 dB NRR, Level 2 Protection for Medium to High Noise, Best Choice for High Frequency Noise</t>
        </is>
      </c>
      <c r="E58" s="2">
        <f>HYPERLINK("https://www.amazon.com/Hellberg-Safety-41002-001-Protection-Frequency/dp/B017DJJXOE/ref=sr_1_1?keywords=Hellberg+Safety+Classic+PoP+Headband+Hearing+Protection&amp;qid=1695173245&amp;sr=8-1", "https://www.amazon.com/Hellberg-Safety-41002-001-Protection-Frequency/dp/B017DJJXOE/ref=sr_1_1?keywords=Hellberg+Safety+Classic+PoP+Headband+Hearing+Protection&amp;qid=1695173245&amp;sr=8-1")</f>
        <v/>
      </c>
      <c r="F58" t="inlineStr">
        <is>
          <t>B017DJJXOE</t>
        </is>
      </c>
      <c r="G58">
        <f>_xludf.IMAGE("https://edmondsonsupply.com/cdn/shop/products/11001-001_Original_637469062196500000.jpg?v=1635631686")</f>
        <v/>
      </c>
      <c r="H58">
        <f>_xludf.IMAGE("https://m.media-amazon.com/images/I/716bzdxEJHL._AC_UL320_.jpg")</f>
        <v/>
      </c>
      <c r="I58" t="inlineStr">
        <is>
          <t>12.93</t>
        </is>
      </c>
      <c r="J58" t="n">
        <v>37.09</v>
      </c>
      <c r="K58" s="3" t="inlineStr">
        <is>
          <t>186.85%</t>
        </is>
      </c>
      <c r="L58" t="n">
        <v>4.5</v>
      </c>
      <c r="M58" t="n">
        <v>52</v>
      </c>
      <c r="O58" t="inlineStr">
        <is>
          <t>InStock</t>
        </is>
      </c>
      <c r="P58" t="inlineStr">
        <is>
          <t>16.99</t>
        </is>
      </c>
      <c r="Q58" t="inlineStr">
        <is>
          <t>7355795472600</t>
        </is>
      </c>
    </row>
    <row r="59">
      <c r="A59" s="2">
        <f>HYPERLINK("https://edmondsonsupply.com/collections/personal-protection-safety/products/klein-tools-60345-hard-hat-earmuffs-full-brim-style", "https://edmondsonsupply.com/collections/personal-protection-safety/products/klein-tools-60345-hard-hat-earmuffs-full-brim-style")</f>
        <v/>
      </c>
      <c r="B59" s="2">
        <f>HYPERLINK("https://edmondsonsupply.com/products/klein-tools-60345-hard-hat-earmuffs-full-brim-style", "https://edmondsonsupply.com/products/klein-tools-60345-hard-hat-earmuffs-full-brim-style")</f>
        <v/>
      </c>
      <c r="C59" t="inlineStr">
        <is>
          <t>Klein Tools 60502 Hard Hat Earmuffs, Full Brim Style</t>
        </is>
      </c>
      <c r="D59" t="inlineStr">
        <is>
          <t>Klein Tools 60407 Vented Full Brim Hard Hat with Rechargeable Headlamp and Klein Tools 60502 Earmuffs for Full Brim Style - Ultimate Job Site Protection and Comfort</t>
        </is>
      </c>
      <c r="E59" s="2">
        <f>HYPERLINK("https://www.amazon.com/Klein-Tools-Rechargeable-Headlamp-Earmuffs/dp/B0C1PYTDR6/ref=sr_1_2?keywords=Klein+Tools+60502+Hard+Hat+Earmuffs%2C+Full+Brim+Style&amp;qid=1695173214&amp;sr=8-2", "https://www.amazon.com/Klein-Tools-Rechargeable-Headlamp-Earmuffs/dp/B0C1PYTDR6/ref=sr_1_2?keywords=Klein+Tools+60502+Hard+Hat+Earmuffs%2C+Full+Brim+Style&amp;qid=1695173214&amp;sr=8-2")</f>
        <v/>
      </c>
      <c r="F59" t="inlineStr">
        <is>
          <t>B0C1PYTDR6</t>
        </is>
      </c>
      <c r="G59">
        <f>_xludf.IMAGE("https://edmondsonsupply.com/cdn/shop/products/60502.jpg?v=1674486730")</f>
        <v/>
      </c>
      <c r="H59">
        <f>_xludf.IMAGE("https://m.media-amazon.com/images/I/416L7EyyxQL._AC_UL320_.jpg")</f>
        <v/>
      </c>
      <c r="I59" t="inlineStr">
        <is>
          <t>29.99</t>
        </is>
      </c>
      <c r="J59" t="n">
        <v>84.95999999999999</v>
      </c>
      <c r="K59" s="3" t="inlineStr">
        <is>
          <t>183.29%</t>
        </is>
      </c>
      <c r="L59" t="n">
        <v>5</v>
      </c>
      <c r="M59" t="n">
        <v>1</v>
      </c>
      <c r="O59" t="inlineStr">
        <is>
          <t>InStock</t>
        </is>
      </c>
      <c r="P59" t="inlineStr">
        <is>
          <t>41.98</t>
        </is>
      </c>
      <c r="Q59" t="inlineStr">
        <is>
          <t>7931874869464</t>
        </is>
      </c>
    </row>
    <row r="60">
      <c r="A60" s="2">
        <f>HYPERLINK("https://edmondsonsupply.com/collections/personal-protection-safety/products/milwaukee-48-73-2046-performance-safety-glasses-with-gaskets-polarized", "https://edmondsonsupply.com/collections/personal-protection-safety/products/milwaukee-48-73-2046-performance-safety-glasses-with-gaskets-polarized")</f>
        <v/>
      </c>
      <c r="B60" s="2">
        <f>HYPERLINK("https://edmondsonsupply.com/products/milwaukee-48-73-2046-performance-safety-glasses-with-gaskets-polarized", "https://edmondsonsupply.com/products/milwaukee-48-73-2046-performance-safety-glasses-with-gaskets-polarized")</f>
        <v/>
      </c>
      <c r="C60" t="inlineStr">
        <is>
          <t>Milwaukee 48-73-2046 Performance Safety Glasses with Gaskets, Polarized</t>
        </is>
      </c>
      <c r="D60" t="inlineStr">
        <is>
          <t>Milwaukee 48-73-2040 Clear High Performance Safety Glasses with Gasket</t>
        </is>
      </c>
      <c r="E60" s="2">
        <f>HYPERLINK("https://www.amazon.com/Milwaukee-48-73-2040-Performance-Safety-Glasses/dp/B09ZPZJR4V/ref=sr_1_2?keywords=Milwaukee+48-73-2046+Performance+Safety+Glasses+with+Gaskets%2C+Polarized&amp;qid=1695173262&amp;sr=8-2", "https://www.amazon.com/Milwaukee-48-73-2040-Performance-Safety-Glasses/dp/B09ZPZJR4V/ref=sr_1_2?keywords=Milwaukee+48-73-2046+Performance+Safety+Glasses+with+Gaskets%2C+Polarized&amp;qid=1695173262&amp;sr=8-2")</f>
        <v/>
      </c>
      <c r="F60" t="inlineStr">
        <is>
          <t>B09ZPZJR4V</t>
        </is>
      </c>
      <c r="G60">
        <f>_xludf.IMAGE("https://edmondsonsupply.com/cdn/shop/products/48-73-2045_7.png?v=1587147326")</f>
        <v/>
      </c>
      <c r="H60">
        <f>_xludf.IMAGE("https://m.media-amazon.com/images/I/81CjI-mgKUL._AC_UL320_.jpg")</f>
        <v/>
      </c>
      <c r="I60" t="inlineStr">
        <is>
          <t>39.97</t>
        </is>
      </c>
      <c r="J60" t="n">
        <v>107.89</v>
      </c>
      <c r="K60" s="3" t="inlineStr">
        <is>
          <t>169.93%</t>
        </is>
      </c>
      <c r="L60" t="n">
        <v>4.7</v>
      </c>
      <c r="M60" t="n">
        <v>6</v>
      </c>
      <c r="O60" t="inlineStr">
        <is>
          <t>InStock</t>
        </is>
      </c>
      <c r="P60" t="inlineStr">
        <is>
          <t>49.5</t>
        </is>
      </c>
      <c r="Q60" t="inlineStr">
        <is>
          <t>4475028799588</t>
        </is>
      </c>
    </row>
    <row r="61">
      <c r="A61" s="2">
        <f>HYPERLINK("https://edmondsonsupply.com/collections/personal-protection-safety/products/klein-tools-60268-safety-vest-high-visibility-reflective-vest-xl", "https://edmondsonsupply.com/collections/personal-protection-safety/products/klein-tools-60268-safety-vest-high-visibility-reflective-vest-xl")</f>
        <v/>
      </c>
      <c r="B61" s="2">
        <f>HYPERLINK("https://edmondsonsupply.com/products/klein-tools-60268-safety-vest-high-visibility-reflective-vest-xl", "https://edmondsonsupply.com/products/klein-tools-60268-safety-vest-high-visibility-reflective-vest-xl")</f>
        <v/>
      </c>
      <c r="C61" t="inlineStr">
        <is>
          <t>Klein Tools 60268 Safety Vest, High-Visibility Reflective Vest, XL</t>
        </is>
      </c>
      <c r="D61" t="inlineStr">
        <is>
          <t>Dib Safety Reflective Vest Heavy Duty, High Visibility Two Tone Engineer Vest, Made with 3M Tape, Padded Collar, Retractable ID Pocket, Yellow XL</t>
        </is>
      </c>
      <c r="E61" s="2">
        <f>HYPERLINK("https://www.amazon.com/Dib-Safety-Reflective-Visibility-Retractable/dp/B0B1CCGWBG/ref=sr_1_8?keywords=Klein+Tools+60268+Safety+Vest%2C+High-Visibility+Reflective+Vest%2C+XL&amp;qid=1695173256&amp;sr=8-8", "https://www.amazon.com/Dib-Safety-Reflective-Visibility-Retractable/dp/B0B1CCGWBG/ref=sr_1_8?keywords=Klein+Tools+60268+Safety+Vest%2C+High-Visibility+Reflective+Vest%2C+XL&amp;qid=1695173256&amp;sr=8-8")</f>
        <v/>
      </c>
      <c r="F61" t="inlineStr">
        <is>
          <t>B0B1CCGWBG</t>
        </is>
      </c>
      <c r="G61">
        <f>_xludf.IMAGE("https://edmondsonsupply.com/cdn/shop/products/60269_666bd473-3a48-44df-be76-72b410ea4070.jpg?v=1633030721")</f>
        <v/>
      </c>
      <c r="H61">
        <f>_xludf.IMAGE("https://m.media-amazon.com/images/I/61byT54po5L._AC_UL320_.jpg")</f>
        <v/>
      </c>
      <c r="I61" t="inlineStr">
        <is>
          <t>12.99</t>
        </is>
      </c>
      <c r="J61" t="n">
        <v>32.99</v>
      </c>
      <c r="K61" s="3" t="inlineStr">
        <is>
          <t>153.96%</t>
        </is>
      </c>
      <c r="L61" t="n">
        <v>4.6</v>
      </c>
      <c r="M61" t="n">
        <v>3240</v>
      </c>
      <c r="O61" t="inlineStr">
        <is>
          <t>InStock</t>
        </is>
      </c>
      <c r="P61" t="inlineStr">
        <is>
          <t>18.2</t>
        </is>
      </c>
      <c r="Q61" t="inlineStr">
        <is>
          <t>5862990086312</t>
        </is>
      </c>
    </row>
    <row r="62">
      <c r="A62" s="2">
        <f>HYPERLINK("https://edmondsonsupply.com/collections/personal-protection-safety/products/klein-tools-56062-rechargeable-headlamp-and-worklight-300-lumens-all-day-runtime", "https://edmondsonsupply.com/collections/personal-protection-safety/products/klein-tools-56062-rechargeable-headlamp-and-worklight-300-lumens-all-day-runtime")</f>
        <v/>
      </c>
      <c r="B62" s="2">
        <f>HYPERLINK("https://edmondsonsupply.com/products/klein-tools-56062-rechargeable-headlamp-and-worklight-300-lumens-all-day-runtime", "https://edmondsonsupply.com/products/klein-tools-56062-rechargeable-headlamp-and-worklight-300-lumens-all-day-runtime")</f>
        <v/>
      </c>
      <c r="C62" t="inlineStr">
        <is>
          <t>Klein Tools 56062 Rechargeable Headlamp and Worklight, 300 Lumens All-Day Runtime</t>
        </is>
      </c>
      <c r="D62" t="inlineStr">
        <is>
          <t>Recharge Headlamp Fabric Strap 400 Lumens All Day Runtime &amp; 56062 Rechargeable LED Headlamp/Worklight for Klein Hardhats, 300 Lumens</t>
        </is>
      </c>
      <c r="E62" s="2">
        <f>HYPERLINK("https://www.amazon.com/Recharge-Headlamp-Rechargeable-Worklight-Klein/dp/B0C3BC48GJ/ref=sr_1_9?keywords=Klein+Tools+56062+Rechargeable+Headlamp+and+Worklight%2C+300+Lumens+All-Day+Runtime&amp;qid=1695173250&amp;sr=8-9", "https://www.amazon.com/Recharge-Headlamp-Rechargeable-Worklight-Klein/dp/B0C3BC48GJ/ref=sr_1_9?keywords=Klein+Tools+56062+Rechargeable+Headlamp+and+Worklight%2C+300+Lumens+All-Day+Runtime&amp;qid=1695173250&amp;sr=8-9")</f>
        <v/>
      </c>
      <c r="F62" t="inlineStr">
        <is>
          <t>B0C3BC48GJ</t>
        </is>
      </c>
      <c r="G62">
        <f>_xludf.IMAGE("https://edmondsonsupply.com/cdn/shop/products/56062.jpg?v=1633030735")</f>
        <v/>
      </c>
      <c r="H62">
        <f>_xludf.IMAGE("https://m.media-amazon.com/images/I/51S63TXCcVL._AC_UL320_.jpg")</f>
        <v/>
      </c>
      <c r="I62" t="inlineStr">
        <is>
          <t>29.97</t>
        </is>
      </c>
      <c r="J62" t="n">
        <v>69.94</v>
      </c>
      <c r="K62" s="3" t="inlineStr">
        <is>
          <t>133.37%</t>
        </is>
      </c>
      <c r="L62" t="n">
        <v>4.6</v>
      </c>
      <c r="M62" t="n">
        <v>845</v>
      </c>
      <c r="O62" t="inlineStr">
        <is>
          <t>InStock</t>
        </is>
      </c>
      <c r="P62" t="inlineStr">
        <is>
          <t>42.0</t>
        </is>
      </c>
      <c r="Q62" t="inlineStr">
        <is>
          <t>5877807218856</t>
        </is>
      </c>
    </row>
    <row r="63">
      <c r="A63" s="2">
        <f>HYPERLINK("https://edmondsonsupply.com/collections/personal-protection-safety/products/klein-tools-60162-professional-safety-glasses-gray-lens", "https://edmondsonsupply.com/collections/personal-protection-safety/products/klein-tools-60162-professional-safety-glasses-gray-lens")</f>
        <v/>
      </c>
      <c r="B63" s="2">
        <f>HYPERLINK("https://edmondsonsupply.com/products/klein-tools-60162-professional-safety-glasses-gray-lens", "https://edmondsonsupply.com/products/klein-tools-60162-professional-safety-glasses-gray-lens")</f>
        <v/>
      </c>
      <c r="C63" t="inlineStr">
        <is>
          <t>Klein Tools 60162 Professional Safety Glasses, Gray Lens</t>
        </is>
      </c>
      <c r="D63" t="inlineStr">
        <is>
          <t>Klein Tools 60539 Safety Glasses, Professional PPE Protective Eyewear, Full Frame, Scratch Resistant and Anti-Fog, Polarized Lens</t>
        </is>
      </c>
      <c r="E63" s="2">
        <f>HYPERLINK("https://www.amazon.com/Klein-Tools-60539-Professional-Protective/dp/B0BLQ6F4MQ/ref=sr_1_8?keywords=Klein+Tools+60162+Professional+Safety+Glasses%2C+Gray+Lens&amp;qid=1695173247&amp;sr=8-8", "https://www.amazon.com/Klein-Tools-60539-Professional-Protective/dp/B0BLQ6F4MQ/ref=sr_1_8?keywords=Klein+Tools+60162+Professional+Safety+Glasses%2C+Gray+Lens&amp;qid=1695173247&amp;sr=8-8")</f>
        <v/>
      </c>
      <c r="F63" t="inlineStr">
        <is>
          <t>B0BLQ6F4MQ</t>
        </is>
      </c>
      <c r="G63">
        <f>_xludf.IMAGE("https://edmondsonsupply.com/cdn/shop/products/60162.jpg?v=1633030847")</f>
        <v/>
      </c>
      <c r="H63">
        <f>_xludf.IMAGE("https://m.media-amazon.com/images/I/41z93jotzdL._AC_UL320_.jpg")</f>
        <v/>
      </c>
      <c r="I63" t="inlineStr">
        <is>
          <t>12.99</t>
        </is>
      </c>
      <c r="J63" t="n">
        <v>29.99</v>
      </c>
      <c r="K63" s="3" t="inlineStr">
        <is>
          <t>130.87%</t>
        </is>
      </c>
      <c r="L63" t="n">
        <v>4.4</v>
      </c>
      <c r="M63" t="n">
        <v>11</v>
      </c>
      <c r="O63" t="inlineStr">
        <is>
          <t>InStock</t>
        </is>
      </c>
      <c r="P63" t="inlineStr">
        <is>
          <t>18.0</t>
        </is>
      </c>
      <c r="Q63" t="inlineStr">
        <is>
          <t>6092128747693</t>
        </is>
      </c>
    </row>
    <row r="64">
      <c r="A64" s="2">
        <f>HYPERLINK("https://edmondsonsupply.com/collections/personal-protection-safety/products/klein-tools-60161-professional-safety-glasses-clear-lens", "https://edmondsonsupply.com/collections/personal-protection-safety/products/klein-tools-60161-professional-safety-glasses-clear-lens")</f>
        <v/>
      </c>
      <c r="B64" s="2">
        <f>HYPERLINK("https://edmondsonsupply.com/products/klein-tools-60161-professional-safety-glasses-clear-lens", "https://edmondsonsupply.com/products/klein-tools-60161-professional-safety-glasses-clear-lens")</f>
        <v/>
      </c>
      <c r="C64" t="inlineStr">
        <is>
          <t>Klein Tools 60161 Professional Safety Glasses, Clear Lens</t>
        </is>
      </c>
      <c r="D64" t="inlineStr">
        <is>
          <t>Klein Tools 60539 Safety Glasses, Professional PPE Protective Eyewear, Full Frame, Scratch Resistant and Anti-Fog, Polarized Lens</t>
        </is>
      </c>
      <c r="E64" s="2">
        <f>HYPERLINK("https://www.amazon.com/Klein-Tools-60539-Professional-Protective/dp/B0BLQ6F4MQ/ref=sr_1_9?keywords=Klein+Tools+60161+Professional+Safety+Glasses%2C+Clear+Lens&amp;qid=1695173254&amp;sr=8-9", "https://www.amazon.com/Klein-Tools-60539-Professional-Protective/dp/B0BLQ6F4MQ/ref=sr_1_9?keywords=Klein+Tools+60161+Professional+Safety+Glasses%2C+Clear+Lens&amp;qid=1695173254&amp;sr=8-9")</f>
        <v/>
      </c>
      <c r="F64" t="inlineStr">
        <is>
          <t>B0BLQ6F4MQ</t>
        </is>
      </c>
      <c r="G64">
        <f>_xludf.IMAGE("https://edmondsonsupply.com/cdn/shop/products/60161.jpg?v=1633030845")</f>
        <v/>
      </c>
      <c r="H64">
        <f>_xludf.IMAGE("https://m.media-amazon.com/images/I/41z93jotzdL._AC_UL320_.jpg")</f>
        <v/>
      </c>
      <c r="I64" t="inlineStr">
        <is>
          <t>12.99</t>
        </is>
      </c>
      <c r="J64" t="n">
        <v>29.99</v>
      </c>
      <c r="K64" s="3" t="inlineStr">
        <is>
          <t>130.87%</t>
        </is>
      </c>
      <c r="L64" t="n">
        <v>4.4</v>
      </c>
      <c r="M64" t="n">
        <v>11</v>
      </c>
      <c r="O64" t="inlineStr">
        <is>
          <t>InStock</t>
        </is>
      </c>
      <c r="P64" t="inlineStr">
        <is>
          <t>18.0</t>
        </is>
      </c>
      <c r="Q64" t="inlineStr">
        <is>
          <t>6092105285805</t>
        </is>
      </c>
    </row>
    <row r="65">
      <c r="A65" s="2">
        <f>HYPERLINK("https://edmondsonsupply.com/collections/personal-protection-safety/products/milwaukee-48-73-2041-performance-safety-glasses-with-gaskets-clear", "https://edmondsonsupply.com/collections/personal-protection-safety/products/milwaukee-48-73-2041-performance-safety-glasses-with-gaskets-clear")</f>
        <v/>
      </c>
      <c r="B65" s="2">
        <f>HYPERLINK("https://edmondsonsupply.com/products/milwaukee-48-73-2041-performance-safety-glasses-with-gaskets-clear", "https://edmondsonsupply.com/products/milwaukee-48-73-2041-performance-safety-glasses-with-gaskets-clear")</f>
        <v/>
      </c>
      <c r="C65" t="inlineStr">
        <is>
          <t>Milwaukee 48-73-2041 Performance Safety Glasses with Gaskets, Clear</t>
        </is>
      </c>
      <c r="D65" t="inlineStr">
        <is>
          <t>Milwaukee 48-73-2020 Clear High Performance Safety Glasses</t>
        </is>
      </c>
      <c r="E65" s="2">
        <f>HYPERLINK("https://www.amazon.com/Milwaukee-48-73-2020-Performance-Safety-Glasses/dp/B09ZPZZZTK/ref=sr_1_4?keywords=Milwaukee+48-73-2041+Performance+Safety+Glasses+with+Gaskets%2C+Clear&amp;qid=1695173264&amp;sr=8-4", "https://www.amazon.com/Milwaukee-48-73-2020-Performance-Safety-Glasses/dp/B09ZPZZZTK/ref=sr_1_4?keywords=Milwaukee+48-73-2041+Performance+Safety+Glasses+with+Gaskets%2C+Clear&amp;qid=1695173264&amp;sr=8-4")</f>
        <v/>
      </c>
      <c r="F65" t="inlineStr">
        <is>
          <t>B09ZPZZZTK</t>
        </is>
      </c>
      <c r="G65">
        <f>_xludf.IMAGE("https://edmondsonsupply.com/cdn/shop/products/48-73-2040_7.png?v=1587150340")</f>
        <v/>
      </c>
      <c r="H65">
        <f>_xludf.IMAGE("https://m.media-amazon.com/images/I/81Y0JbnAWrL._AC_UL320_.jpg")</f>
        <v/>
      </c>
      <c r="I65" t="inlineStr">
        <is>
          <t>29.97</t>
        </is>
      </c>
      <c r="J65" t="n">
        <v>67</v>
      </c>
      <c r="K65" s="3" t="inlineStr">
        <is>
          <t>123.56%</t>
        </is>
      </c>
      <c r="L65" t="n">
        <v>4.7</v>
      </c>
      <c r="M65" t="n">
        <v>4</v>
      </c>
      <c r="O65" t="inlineStr">
        <is>
          <t>OutOfStock</t>
        </is>
      </c>
      <c r="P65" t="inlineStr">
        <is>
          <t>37.4</t>
        </is>
      </c>
      <c r="Q65" t="inlineStr">
        <is>
          <t>4486297780324</t>
        </is>
      </c>
    </row>
    <row r="66">
      <c r="A66" s="2">
        <f>HYPERLINK("https://edmondsonsupply.com/collections/personal-protection-safety/products/klein-tools-60345-hard-hat-earmuffs-full-brim-style", "https://edmondsonsupply.com/collections/personal-protection-safety/products/klein-tools-60345-hard-hat-earmuffs-full-brim-style")</f>
        <v/>
      </c>
      <c r="B66" s="2">
        <f>HYPERLINK("https://edmondsonsupply.com/products/klein-tools-60345-hard-hat-earmuffs-full-brim-style", "https://edmondsonsupply.com/products/klein-tools-60345-hard-hat-earmuffs-full-brim-style")</f>
        <v/>
      </c>
      <c r="C66" t="inlineStr">
        <is>
          <t>Klein Tools 60502 Hard Hat Earmuffs, Full Brim Style</t>
        </is>
      </c>
      <c r="D66" t="inlineStr">
        <is>
          <t>Klein Tools 60407 Hard Hat, Light, Vented Full Brim Style, Padded, Self-Wicking Odor-Resistant Sweatband, White &amp; 60181 Cooling Helmet Liner, Under Hard Hat Cap with Mesh Fabric at Crown</t>
        </is>
      </c>
      <c r="E66" s="2">
        <f>HYPERLINK("https://www.amazon.com/Klein-Tools-Self-Wicking-Odor-Resistant-Sweatband/dp/B0B68NYYM7/ref=sr_1_5?keywords=Klein+Tools+60502+Hard+Hat+Earmuffs%2C+Full+Brim+Style&amp;qid=1695173214&amp;sr=8-5", "https://www.amazon.com/Klein-Tools-Self-Wicking-Odor-Resistant-Sweatband/dp/B0B68NYYM7/ref=sr_1_5?keywords=Klein+Tools+60502+Hard+Hat+Earmuffs%2C+Full+Brim+Style&amp;qid=1695173214&amp;sr=8-5")</f>
        <v/>
      </c>
      <c r="F66" t="inlineStr">
        <is>
          <t>B0B68NYYM7</t>
        </is>
      </c>
      <c r="G66">
        <f>_xludf.IMAGE("https://edmondsonsupply.com/cdn/shop/products/60502.jpg?v=1674486730")</f>
        <v/>
      </c>
      <c r="H66">
        <f>_xludf.IMAGE("https://m.media-amazon.com/images/I/41IulVK0+jL._AC_UL320_.jpg")</f>
        <v/>
      </c>
      <c r="I66" t="inlineStr">
        <is>
          <t>29.99</t>
        </is>
      </c>
      <c r="J66" t="n">
        <v>64.95999999999999</v>
      </c>
      <c r="K66" s="3" t="inlineStr">
        <is>
          <t>116.61%</t>
        </is>
      </c>
      <c r="L66" t="n">
        <v>4.5</v>
      </c>
      <c r="M66" t="n">
        <v>15</v>
      </c>
      <c r="O66" t="inlineStr">
        <is>
          <t>InStock</t>
        </is>
      </c>
      <c r="P66" t="inlineStr">
        <is>
          <t>41.98</t>
        </is>
      </c>
      <c r="Q66" t="inlineStr">
        <is>
          <t>7931874869464</t>
        </is>
      </c>
    </row>
    <row r="67">
      <c r="A67" s="2">
        <f>HYPERLINK("https://edmondsonsupply.com/collections/personal-protection-safety/products/klein-tools-60492-lightweight-knee-pad-sleeves-m-l", "https://edmondsonsupply.com/collections/personal-protection-safety/products/klein-tools-60492-lightweight-knee-pad-sleeves-m-l")</f>
        <v/>
      </c>
      <c r="B67" s="2">
        <f>HYPERLINK("https://edmondsonsupply.com/products/klein-tools-60492-lightweight-knee-pad-sleeves-m-l", "https://edmondsonsupply.com/products/klein-tools-60492-lightweight-knee-pad-sleeves-m-l")</f>
        <v/>
      </c>
      <c r="C67" t="inlineStr">
        <is>
          <t>Klein Tools 60492 Lightweight Knee Pad Sleeves, M/L</t>
        </is>
      </c>
      <c r="D67" t="inlineStr">
        <is>
          <t>Klein Tools 60615 Knee Pad, Heavy Duty Padded Knee Sleeves, Breathable Mesh Back, Elastic Cuff with Slip-Resistant Silicone, S/M, Black</t>
        </is>
      </c>
      <c r="E67" s="2">
        <f>HYPERLINK("https://www.amazon.com/Klein-Tools-60615-Breathable-Slip-Resistant/dp/B0BWB8VW7J/ref=sr_1_3?keywords=Klein+Tools+60492+Lightweight+Knee+Pad+Sleeves%2C+M%2FL&amp;qid=1695173231&amp;sr=8-3", "https://www.amazon.com/Klein-Tools-60615-Breathable-Slip-Resistant/dp/B0BWB8VW7J/ref=sr_1_3?keywords=Klein+Tools+60492+Lightweight+Knee+Pad+Sleeves%2C+M%2FL&amp;qid=1695173231&amp;sr=8-3")</f>
        <v/>
      </c>
      <c r="F67" t="inlineStr">
        <is>
          <t>B0BWB8VW7J</t>
        </is>
      </c>
      <c r="G67">
        <f>_xludf.IMAGE("https://edmondsonsupply.com/cdn/shop/products/60492_60592_photo.jpg?v=1663255234")</f>
        <v/>
      </c>
      <c r="H67">
        <f>_xludf.IMAGE("https://m.media-amazon.com/images/I/61FKkSJ3xeL._AC_UL320_.jpg")</f>
        <v/>
      </c>
      <c r="I67" t="inlineStr">
        <is>
          <t>19.97</t>
        </is>
      </c>
      <c r="J67" t="n">
        <v>39.99</v>
      </c>
      <c r="K67" s="3" t="inlineStr">
        <is>
          <t>100.25%</t>
        </is>
      </c>
      <c r="L67" t="n">
        <v>4</v>
      </c>
      <c r="M67" t="n">
        <v>18</v>
      </c>
      <c r="O67" t="inlineStr">
        <is>
          <t>InStock</t>
        </is>
      </c>
      <c r="P67" t="inlineStr">
        <is>
          <t>27.98</t>
        </is>
      </c>
      <c r="Q67" t="inlineStr">
        <is>
          <t>7817560293592</t>
        </is>
      </c>
    </row>
    <row r="68">
      <c r="A68" s="2">
        <f>HYPERLINK("https://edmondsonsupply.com/collections/personal-protection-safety/products/klein-tools-60163-professional-safety-glasses-full-frame-clear-lens", "https://edmondsonsupply.com/collections/personal-protection-safety/products/klein-tools-60163-professional-safety-glasses-full-frame-clear-lens")</f>
        <v/>
      </c>
      <c r="B68" s="2">
        <f>HYPERLINK("https://edmondsonsupply.com/products/klein-tools-60163-professional-safety-glasses-full-frame-clear-lens", "https://edmondsonsupply.com/products/klein-tools-60163-professional-safety-glasses-full-frame-clear-lens")</f>
        <v/>
      </c>
      <c r="C68" t="inlineStr">
        <is>
          <t>Klein Tools 60163 Professional Safety Glasses, Full Frame, Clear Lens</t>
        </is>
      </c>
      <c r="D68" t="inlineStr">
        <is>
          <t>Klein Tools 60539 Safety Glasses, Professional PPE Protective Eyewear, Full Frame, Scratch Resistant and Anti-Fog, Polarized Lens</t>
        </is>
      </c>
      <c r="E68" s="2">
        <f>HYPERLINK("https://www.amazon.com/Klein-Tools-60539-Professional-Protective/dp/B0BLQ6F4MQ/ref=sr_1_10?keywords=Klein+Tools+60163+Professional+Safety+Glasses%2C+Full+Frame%2C+Clear+Lens&amp;qid=1695173243&amp;sr=8-10", "https://www.amazon.com/Klein-Tools-60539-Professional-Protective/dp/B0BLQ6F4MQ/ref=sr_1_10?keywords=Klein+Tools+60163+Professional+Safety+Glasses%2C+Full+Frame%2C+Clear+Lens&amp;qid=1695173243&amp;sr=8-10")</f>
        <v/>
      </c>
      <c r="F68" t="inlineStr">
        <is>
          <t>B0BLQ6F4MQ</t>
        </is>
      </c>
      <c r="G68">
        <f>_xludf.IMAGE("https://edmondsonsupply.com/cdn/shop/products/60163.jpg?v=1633030848")</f>
        <v/>
      </c>
      <c r="H68">
        <f>_xludf.IMAGE("https://m.media-amazon.com/images/I/41z93jotzdL._AC_UL320_.jpg")</f>
        <v/>
      </c>
      <c r="I68" t="inlineStr">
        <is>
          <t>14.99</t>
        </is>
      </c>
      <c r="J68" t="n">
        <v>29.99</v>
      </c>
      <c r="K68" s="3" t="inlineStr">
        <is>
          <t>100.07%</t>
        </is>
      </c>
      <c r="L68" t="n">
        <v>4.4</v>
      </c>
      <c r="M68" t="n">
        <v>11</v>
      </c>
      <c r="O68" t="inlineStr">
        <is>
          <t>InStock</t>
        </is>
      </c>
      <c r="P68" t="inlineStr">
        <is>
          <t>20.98</t>
        </is>
      </c>
      <c r="Q68" t="inlineStr">
        <is>
          <t>6094353039533</t>
        </is>
      </c>
    </row>
    <row r="69">
      <c r="A69" s="2">
        <f>HYPERLINK("https://edmondsonsupply.com/collections/personal-protection-safety/products/klein-tools-60537-professional-safety-glasses-full-frame-indoor-outdoor-lens", "https://edmondsonsupply.com/collections/personal-protection-safety/products/klein-tools-60537-professional-safety-glasses-full-frame-indoor-outdoor-lens")</f>
        <v/>
      </c>
      <c r="B69" s="2">
        <f>HYPERLINK("https://edmondsonsupply.com/products/klein-tools-60537-professional-safety-glasses-full-frame-indoor-outdoor-lens", "https://edmondsonsupply.com/products/klein-tools-60537-professional-safety-glasses-full-frame-indoor-outdoor-lens")</f>
        <v/>
      </c>
      <c r="C69" t="inlineStr">
        <is>
          <t>Klein Tools 60537 Professional Safety Glasses, Full-Frame, Indoor/Outdoor Lens</t>
        </is>
      </c>
      <c r="D69" t="inlineStr">
        <is>
          <t>Klein Tools 60539 Safety Glasses, Professional PPE Protective Eyewear, Full Frame, Scratch Resistant and Anti-Fog, Polarized Lens</t>
        </is>
      </c>
      <c r="E69" s="2">
        <f>HYPERLINK("https://www.amazon.com/Klein-Tools-60539-Professional-Protective/dp/B0BLQ6F4MQ/ref=sr_1_3?keywords=Klein+Tools+60537+Professional+Safety+Glasses%2C+Full-Frame%2C+Indoor%2FOutdoor+Lens&amp;qid=1695173230&amp;sr=8-3", "https://www.amazon.com/Klein-Tools-60539-Professional-Protective/dp/B0BLQ6F4MQ/ref=sr_1_3?keywords=Klein+Tools+60537+Professional+Safety+Glasses%2C+Full-Frame%2C+Indoor%2FOutdoor+Lens&amp;qid=1695173230&amp;sr=8-3")</f>
        <v/>
      </c>
      <c r="F69" t="inlineStr">
        <is>
          <t>B0BLQ6F4MQ</t>
        </is>
      </c>
      <c r="G69">
        <f>_xludf.IMAGE("https://edmondsonsupply.com/cdn/shop/products/60537.jpg?v=1670947087")</f>
        <v/>
      </c>
      <c r="H69">
        <f>_xludf.IMAGE("https://m.media-amazon.com/images/I/41z93jotzdL._AC_UL320_.jpg")</f>
        <v/>
      </c>
      <c r="I69" t="inlineStr">
        <is>
          <t>14.99</t>
        </is>
      </c>
      <c r="J69" t="n">
        <v>29.99</v>
      </c>
      <c r="K69" s="3" t="inlineStr">
        <is>
          <t>100.07%</t>
        </is>
      </c>
      <c r="L69" t="n">
        <v>4.4</v>
      </c>
      <c r="M69" t="n">
        <v>11</v>
      </c>
      <c r="O69" t="inlineStr">
        <is>
          <t>InStock</t>
        </is>
      </c>
      <c r="P69" t="inlineStr">
        <is>
          <t>20.98</t>
        </is>
      </c>
      <c r="Q69" t="inlineStr">
        <is>
          <t>7903997493464</t>
        </is>
      </c>
    </row>
    <row r="70">
      <c r="A70" s="2">
        <f>HYPERLINK("https://edmondsonsupply.com/collections/personal-protection-safety/products/klein-tools-60614-lightweight-knee-pad-sleeves-s-m", "https://edmondsonsupply.com/collections/personal-protection-safety/products/klein-tools-60614-lightweight-knee-pad-sleeves-s-m")</f>
        <v/>
      </c>
      <c r="B70" s="2">
        <f>HYPERLINK("https://edmondsonsupply.com/products/klein-tools-60614-lightweight-knee-pad-sleeves-s-m", "https://edmondsonsupply.com/products/klein-tools-60614-lightweight-knee-pad-sleeves-s-m")</f>
        <v/>
      </c>
      <c r="C70" t="inlineStr">
        <is>
          <t>Klein Tools 60614 Lightweight Knee Pad Sleeves, S/M</t>
        </is>
      </c>
      <c r="D70" t="inlineStr">
        <is>
          <t>Klein Tools 60615 Knee Pad, Heavy Duty Padded Knee Sleeves, Breathable Mesh Back, Elastic Cuff with Slip-Resistant Silicone, S/M, Black</t>
        </is>
      </c>
      <c r="E70" s="2">
        <f>HYPERLINK("https://www.amazon.com/Klein-Tools-60615-Breathable-Slip-Resistant/dp/B0BWB8VW7J/ref=sr_1_2?keywords=Klein+Tools+60614+Lightweight+Knee+Pad+Sleeves%2C+S%2FM&amp;qid=1695173221&amp;sr=8-2", "https://www.amazon.com/Klein-Tools-60615-Breathable-Slip-Resistant/dp/B0BWB8VW7J/ref=sr_1_2?keywords=Klein+Tools+60614+Lightweight+Knee+Pad+Sleeves%2C+S%2FM&amp;qid=1695173221&amp;sr=8-2")</f>
        <v/>
      </c>
      <c r="F70" t="inlineStr">
        <is>
          <t>B0BWB8VW7J</t>
        </is>
      </c>
      <c r="G70">
        <f>_xludf.IMAGE("https://edmondsonsupply.com/cdn/shop/products/60492_60592_photo_4859ff57-33ad-45f9-87df-8dc6b9372281.jpg?v=1681742927")</f>
        <v/>
      </c>
      <c r="H70">
        <f>_xludf.IMAGE("https://m.media-amazon.com/images/I/61FKkSJ3xeL._AC_UL320_.jpg")</f>
        <v/>
      </c>
      <c r="I70" t="inlineStr">
        <is>
          <t>19.99</t>
        </is>
      </c>
      <c r="J70" t="n">
        <v>39.99</v>
      </c>
      <c r="K70" s="3" t="inlineStr">
        <is>
          <t>100.05%</t>
        </is>
      </c>
      <c r="L70" t="n">
        <v>4</v>
      </c>
      <c r="M70" t="n">
        <v>18</v>
      </c>
      <c r="O70" t="inlineStr">
        <is>
          <t>InStock</t>
        </is>
      </c>
      <c r="P70" t="inlineStr">
        <is>
          <t>27.98</t>
        </is>
      </c>
      <c r="Q70" t="inlineStr">
        <is>
          <t>7980637356248</t>
        </is>
      </c>
    </row>
    <row r="71">
      <c r="A71" s="2">
        <f>HYPERLINK("https://edmondsonsupply.com/collections/personal-protection-safety/products/klein-tools-60345-hard-hat-earmuffs-full-brim-style", "https://edmondsonsupply.com/collections/personal-protection-safety/products/klein-tools-60345-hard-hat-earmuffs-full-brim-style")</f>
        <v/>
      </c>
      <c r="B71" s="2">
        <f>HYPERLINK("https://edmondsonsupply.com/products/klein-tools-60345-hard-hat-earmuffs-full-brim-style", "https://edmondsonsupply.com/products/klein-tools-60345-hard-hat-earmuffs-full-brim-style")</f>
        <v/>
      </c>
      <c r="C71" t="inlineStr">
        <is>
          <t>Klein Tools 60502 Hard Hat Earmuffs, Full Brim Style</t>
        </is>
      </c>
      <c r="D71" t="inlineStr">
        <is>
          <t>Klein Tools 60407RL Hard Hat, Rechargeable Headlamp, Vented, Full Brim Style, Padded Self-Wicking Odor-Resistant Sweatband, White, Large</t>
        </is>
      </c>
      <c r="E71" s="2">
        <f>HYPERLINK("https://www.amazon.com/Klein-Tools-60407RL-Rechargeable-Odor-Resistant/dp/B08DDTV9M3/ref=sr_1_9?keywords=Klein+Tools+60502+Hard+Hat+Earmuffs%2C+Full+Brim+Style&amp;qid=1695173214&amp;sr=8-9", "https://www.amazon.com/Klein-Tools-60407RL-Rechargeable-Odor-Resistant/dp/B08DDTV9M3/ref=sr_1_9?keywords=Klein+Tools+60502+Hard+Hat+Earmuffs%2C+Full+Brim+Style&amp;qid=1695173214&amp;sr=8-9")</f>
        <v/>
      </c>
      <c r="F71" t="inlineStr">
        <is>
          <t>B08DDTV9M3</t>
        </is>
      </c>
      <c r="G71">
        <f>_xludf.IMAGE("https://edmondsonsupply.com/cdn/shop/products/60502.jpg?v=1674486730")</f>
        <v/>
      </c>
      <c r="H71">
        <f>_xludf.IMAGE("https://m.media-amazon.com/images/I/61w2MM+yDgL._AC_UL320_.jpg")</f>
        <v/>
      </c>
      <c r="I71" t="inlineStr">
        <is>
          <t>29.99</t>
        </is>
      </c>
      <c r="J71" t="n">
        <v>59.99</v>
      </c>
      <c r="K71" s="3" t="inlineStr">
        <is>
          <t>100.03%</t>
        </is>
      </c>
      <c r="L71" t="n">
        <v>4.7</v>
      </c>
      <c r="M71" t="n">
        <v>1577</v>
      </c>
      <c r="O71" t="inlineStr">
        <is>
          <t>InStock</t>
        </is>
      </c>
      <c r="P71" t="inlineStr">
        <is>
          <t>41.98</t>
        </is>
      </c>
      <c r="Q71" t="inlineStr">
        <is>
          <t>7931874869464</t>
        </is>
      </c>
    </row>
    <row r="72">
      <c r="A72" s="2">
        <f>HYPERLINK("https://edmondsonsupply.com/collections/personal-protection-safety/products/klein-tools-60345-hard-hat-premium-karbn%E2%84%A2-pattern-non-vented-full-brim-class-e", "https://edmondsonsupply.com/collections/personal-protection-safety/products/klein-tools-60345-hard-hat-premium-karbn%E2%84%A2-pattern-non-vented-full-brim-class-e")</f>
        <v/>
      </c>
      <c r="B72" s="2">
        <f>HYPERLINK("https://edmondsonsupply.com/products/klein-tools-60345-hard-hat-premium-karbn%e2%84%a2-pattern-non-vented-full-brim-class-e", "https://edmondsonsupply.com/products/klein-tools-60345-hard-hat-premium-karbn%e2%84%a2-pattern-non-vented-full-brim-class-e")</f>
        <v/>
      </c>
      <c r="C72" t="inlineStr">
        <is>
          <t>Klein Tools 60345 Hard Hat, Premium KARBN™ Pattern, Non-Vented Full Brim, Class E</t>
        </is>
      </c>
      <c r="D72" t="inlineStr">
        <is>
          <t>Klein Tools 60347 Hard Hat, Vented Full Brim, Class C, Premium KARBN Pattern, Rechargeable Lamp, Padded Sweat-Wicking Sweatband, Top Pad</t>
        </is>
      </c>
      <c r="E72" s="2">
        <f>HYPERLINK("https://www.amazon.com/Klein-Tools-60347-Rechargeable-Sweat-Wicking/dp/B08SYM9K52/ref=sr_1_8?keywords=Klein+Tools+60345+Hard+Hat%2C+Premium+KARBN%E2%84%A2+Pattern%2C+Non-Vented+Full+Brim%2C+Class+E&amp;qid=1695173245&amp;sr=8-8", "https://www.amazon.com/Klein-Tools-60347-Rechargeable-Sweat-Wicking/dp/B08SYM9K52/ref=sr_1_8?keywords=Klein+Tools+60345+Hard+Hat%2C+Premium+KARBN%E2%84%A2+Pattern%2C+Non-Vented+Full+Brim%2C+Class+E&amp;qid=1695173245&amp;sr=8-8")</f>
        <v/>
      </c>
      <c r="F72" t="inlineStr">
        <is>
          <t>B08SYM9K52</t>
        </is>
      </c>
      <c r="G72">
        <f>_xludf.IMAGE("https://edmondsonsupply.com/cdn/shop/products/60345.jpg?v=1660171739")</f>
        <v/>
      </c>
      <c r="H72">
        <f>_xludf.IMAGE("https://m.media-amazon.com/images/I/61pIVbITWkL._AC_UL320_.jpg")</f>
        <v/>
      </c>
      <c r="I72" t="inlineStr">
        <is>
          <t>59.99</t>
        </is>
      </c>
      <c r="J72" t="n">
        <v>116.88</v>
      </c>
      <c r="K72" s="3" t="inlineStr">
        <is>
          <t>94.83%</t>
        </is>
      </c>
      <c r="L72" t="n">
        <v>4.7</v>
      </c>
      <c r="M72" t="n">
        <v>2542</v>
      </c>
      <c r="O72" t="inlineStr">
        <is>
          <t>InStock</t>
        </is>
      </c>
      <c r="P72" t="inlineStr">
        <is>
          <t>81.02</t>
        </is>
      </c>
      <c r="Q72" t="inlineStr">
        <is>
          <t>7778045493464</t>
        </is>
      </c>
    </row>
    <row r="73">
      <c r="A73" s="2">
        <f>HYPERLINK("https://edmondsonsupply.com/collections/personal-protection-safety/products/klein-tools-60184-lightweight-gel-knee-pads", "https://edmondsonsupply.com/collections/personal-protection-safety/products/klein-tools-60184-lightweight-gel-knee-pads")</f>
        <v/>
      </c>
      <c r="B73" s="2">
        <f>HYPERLINK("https://edmondsonsupply.com/products/klein-tools-60184-lightweight-gel-knee-pads", "https://edmondsonsupply.com/products/klein-tools-60184-lightweight-gel-knee-pads")</f>
        <v/>
      </c>
      <c r="C73" t="inlineStr">
        <is>
          <t>Klein Tools 60184 Lightweight Gel Knee Pads</t>
        </is>
      </c>
      <c r="D73" t="inlineStr">
        <is>
          <t>Klein Tools 60491 Hinged Knee Pads, Heavy Duty Gel Foam Protective Knee Pads with Quick-Fasten Buckle and Thigh Strap, Black</t>
        </is>
      </c>
      <c r="E73" s="2">
        <f>HYPERLINK("https://www.amazon.com/Klein-Tools-60491-Protective-Quick-Fasten/dp/B0BHXBMBHP/ref=sr_1_2?keywords=Klein+Tools+60184+Lightweight+Gel+Knee+Pads&amp;qid=1695173226&amp;sr=8-2", "https://www.amazon.com/Klein-Tools-60491-Protective-Quick-Fasten/dp/B0BHXBMBHP/ref=sr_1_2?keywords=Klein+Tools+60184+Lightweight+Gel+Knee+Pads&amp;qid=1695173226&amp;sr=8-2")</f>
        <v/>
      </c>
      <c r="F73" t="inlineStr">
        <is>
          <t>B0BHXBMBHP</t>
        </is>
      </c>
      <c r="G73">
        <f>_xludf.IMAGE("https://edmondsonsupply.com/cdn/shop/products/60184.jpg?v=1633030246")</f>
        <v/>
      </c>
      <c r="H73">
        <f>_xludf.IMAGE("https://m.media-amazon.com/images/I/718i4PDcjnL._AC_UL320_.jpg")</f>
        <v/>
      </c>
      <c r="I73" t="inlineStr">
        <is>
          <t>25.97</t>
        </is>
      </c>
      <c r="J73" t="n">
        <v>49.97</v>
      </c>
      <c r="K73" s="3" t="inlineStr">
        <is>
          <t>92.41%</t>
        </is>
      </c>
      <c r="L73" t="n">
        <v>4.4</v>
      </c>
      <c r="M73" t="n">
        <v>289</v>
      </c>
      <c r="O73" t="inlineStr">
        <is>
          <t>InStock</t>
        </is>
      </c>
      <c r="P73" t="inlineStr">
        <is>
          <t>36.04</t>
        </is>
      </c>
      <c r="Q73" t="inlineStr">
        <is>
          <t>4610179170404</t>
        </is>
      </c>
    </row>
    <row r="74">
      <c r="A74" s="2">
        <f>HYPERLINK("https://edmondsonsupply.com/collections/personal-protection-safety/products/klein-tools-60347-hard-hat-premium-karbn%E2%84%A2-pattern-vented-full-brim-class-c-lamp", "https://edmondsonsupply.com/collections/personal-protection-safety/products/klein-tools-60347-hard-hat-premium-karbn%E2%84%A2-pattern-vented-full-brim-class-c-lamp")</f>
        <v/>
      </c>
      <c r="B74" s="2">
        <f>HYPERLINK("https://edmondsonsupply.com/products/klein-tools-60347-hard-hat-premium-karbn%e2%84%a2-pattern-vented-full-brim-class-c-lamp", "https://edmondsonsupply.com/products/klein-tools-60347-hard-hat-premium-karbn%e2%84%a2-pattern-vented-full-brim-class-c-lamp")</f>
        <v/>
      </c>
      <c r="C74" t="inlineStr">
        <is>
          <t>Klein Tools 60347 Hard Hat, Premium KARBN™ Pattern, Vented Full Brim, Class C, Lamp</t>
        </is>
      </c>
      <c r="D74" t="inlineStr">
        <is>
          <t>Klein Tools 60407 Hard Hat, White &amp; 60347 Hard Hat, Vented Full Brim, Class C, Premium KARBN Pattern, Rechargeable Lamp, Padded Sweat-Wicking Sweatband, Top Pad</t>
        </is>
      </c>
      <c r="E74" s="2">
        <f>HYPERLINK("https://www.amazon.com/Klein-Tools-Rechargeable-Sweat-Wicking-Sweatband/dp/B0BNL94L4X/ref=sr_1_3?keywords=Klein+Tools+60347+Hard+Hat%2C+Premium+KARBN%E2%84%A2+Pattern%2C+Vented+Full+Brim%2C+Class+C%2C+Lamp&amp;qid=1695173246&amp;sr=8-3", "https://www.amazon.com/Klein-Tools-Rechargeable-Sweat-Wicking-Sweatband/dp/B0BNL94L4X/ref=sr_1_3?keywords=Klein+Tools+60347+Hard+Hat%2C+Premium+KARBN%E2%84%A2+Pattern%2C+Vented+Full+Brim%2C+Class+C%2C+Lamp&amp;qid=1695173246&amp;sr=8-3")</f>
        <v/>
      </c>
      <c r="F74" t="inlineStr">
        <is>
          <t>B0BNL94L4X</t>
        </is>
      </c>
      <c r="G74">
        <f>_xludf.IMAGE("https://edmondsonsupply.com/cdn/shop/products/60347.jpg?v=1659454043")</f>
        <v/>
      </c>
      <c r="H74">
        <f>_xludf.IMAGE("https://m.media-amazon.com/images/I/51A8iWc37VL._AC_UL320_.jpg")</f>
        <v/>
      </c>
      <c r="I74" t="inlineStr">
        <is>
          <t>89.99</t>
        </is>
      </c>
      <c r="J74" t="n">
        <v>171.85</v>
      </c>
      <c r="K74" s="3" t="inlineStr">
        <is>
          <t>90.97%</t>
        </is>
      </c>
      <c r="L74" t="n">
        <v>4.7</v>
      </c>
      <c r="M74" t="n">
        <v>4</v>
      </c>
      <c r="O74" t="inlineStr">
        <is>
          <t>OutOfStock</t>
        </is>
      </c>
      <c r="P74" t="inlineStr">
        <is>
          <t>123.76</t>
        </is>
      </c>
      <c r="Q74" t="inlineStr">
        <is>
          <t>7769755975896</t>
        </is>
      </c>
    </row>
    <row r="75">
      <c r="A75" s="2">
        <f>HYPERLINK("https://edmondsonsupply.com/collections/personal-protection-safety/products/klein-tools-60471-professional-full-frame-gasket-safety-glasses-gray-lens", "https://edmondsonsupply.com/collections/personal-protection-safety/products/klein-tools-60471-professional-full-frame-gasket-safety-glasses-gray-lens")</f>
        <v/>
      </c>
      <c r="B75" s="2">
        <f>HYPERLINK("https://edmondsonsupply.com/products/klein-tools-60471-professional-full-frame-gasket-safety-glasses-gray-lens", "https://edmondsonsupply.com/products/klein-tools-60471-professional-full-frame-gasket-safety-glasses-gray-lens")</f>
        <v/>
      </c>
      <c r="C75" t="inlineStr">
        <is>
          <t>Klein Tools 60471 Professional Full-Frame Gasket Safety Glasses, Gray Lens</t>
        </is>
      </c>
      <c r="D75" t="inlineStr">
        <is>
          <t>Klein Tools 60539 Safety Glasses, Professional PPE Protective Eyewear, Full Frame, Scratch Resistant and Anti-Fog, Polarized Lens</t>
        </is>
      </c>
      <c r="E75" s="2">
        <f>HYPERLINK("https://www.amazon.com/Klein-Tools-60539-Professional-Protective/dp/B0BLQ6F4MQ/ref=sr_1_6?keywords=Klein+Tools+60471+Professional+Full-Frame+Gasket+Safety+Glasses%2C+Gray+Lens&amp;qid=1695173231&amp;sr=8-6", "https://www.amazon.com/Klein-Tools-60539-Professional-Protective/dp/B0BLQ6F4MQ/ref=sr_1_6?keywords=Klein+Tools+60471+Professional+Full-Frame+Gasket+Safety+Glasses%2C+Gray+Lens&amp;qid=1695173231&amp;sr=8-6")</f>
        <v/>
      </c>
      <c r="F75" t="inlineStr">
        <is>
          <t>B0BLQ6F4MQ</t>
        </is>
      </c>
      <c r="G75">
        <f>_xludf.IMAGE("https://edmondsonsupply.com/cdn/shop/products/60471.jpg?v=1663257501")</f>
        <v/>
      </c>
      <c r="H75">
        <f>_xludf.IMAGE("https://m.media-amazon.com/images/I/41z93jotzdL._AC_UL320_.jpg")</f>
        <v/>
      </c>
      <c r="I75" t="inlineStr">
        <is>
          <t>15.99</t>
        </is>
      </c>
      <c r="J75" t="n">
        <v>29.99</v>
      </c>
      <c r="K75" s="3" t="inlineStr">
        <is>
          <t>87.55%</t>
        </is>
      </c>
      <c r="L75" t="n">
        <v>4.4</v>
      </c>
      <c r="M75" t="n">
        <v>11</v>
      </c>
      <c r="O75" t="inlineStr">
        <is>
          <t>InStock</t>
        </is>
      </c>
      <c r="P75" t="inlineStr">
        <is>
          <t>21.98</t>
        </is>
      </c>
      <c r="Q75" t="inlineStr">
        <is>
          <t>7817587785944</t>
        </is>
      </c>
    </row>
    <row r="76">
      <c r="A76" s="2">
        <f>HYPERLINK("https://edmondsonsupply.com/collections/personal-protection-safety/products/klein-tools-60470-professional-full-frame-gasket-safety-glasses-clear-lens", "https://edmondsonsupply.com/collections/personal-protection-safety/products/klein-tools-60470-professional-full-frame-gasket-safety-glasses-clear-lens")</f>
        <v/>
      </c>
      <c r="B76" s="2">
        <f>HYPERLINK("https://edmondsonsupply.com/products/klein-tools-60470-professional-full-frame-gasket-safety-glasses-clear-lens", "https://edmondsonsupply.com/products/klein-tools-60470-professional-full-frame-gasket-safety-glasses-clear-lens")</f>
        <v/>
      </c>
      <c r="C76" t="inlineStr">
        <is>
          <t>Klein Tools 60470 Professional Full-Frame Gasket Safety Glasses, Clear Lens</t>
        </is>
      </c>
      <c r="D76" t="inlineStr">
        <is>
          <t>Klein Tools 60539 Safety Glasses, Professional PPE Protective Eyewear, Full Frame, Scratch Resistant and Anti-Fog, Polarized Lens</t>
        </is>
      </c>
      <c r="E76" s="2">
        <f>HYPERLINK("https://www.amazon.com/Klein-Tools-60539-Professional-Protective/dp/B0BLQ6F4MQ/ref=sr_1_8?keywords=Klein+Tools+60470+Professional+Full-Frame+Gasket+Safety+Glasses%2C+Clear+Lens&amp;qid=1695173234&amp;sr=8-8", "https://www.amazon.com/Klein-Tools-60539-Professional-Protective/dp/B0BLQ6F4MQ/ref=sr_1_8?keywords=Klein+Tools+60470+Professional+Full-Frame+Gasket+Safety+Glasses%2C+Clear+Lens&amp;qid=1695173234&amp;sr=8-8")</f>
        <v/>
      </c>
      <c r="F76" t="inlineStr">
        <is>
          <t>B0BLQ6F4MQ</t>
        </is>
      </c>
      <c r="G76">
        <f>_xludf.IMAGE("https://edmondsonsupply.com/cdn/shop/products/60470.jpg?v=1663260659")</f>
        <v/>
      </c>
      <c r="H76">
        <f>_xludf.IMAGE("https://m.media-amazon.com/images/I/41z93jotzdL._AC_UL320_.jpg")</f>
        <v/>
      </c>
      <c r="I76" t="inlineStr">
        <is>
          <t>15.99</t>
        </is>
      </c>
      <c r="J76" t="n">
        <v>29.99</v>
      </c>
      <c r="K76" s="3" t="inlineStr">
        <is>
          <t>87.55%</t>
        </is>
      </c>
      <c r="L76" t="n">
        <v>4.4</v>
      </c>
      <c r="M76" t="n">
        <v>11</v>
      </c>
      <c r="O76" t="inlineStr">
        <is>
          <t>InStock</t>
        </is>
      </c>
      <c r="P76" t="inlineStr">
        <is>
          <t>21.98</t>
        </is>
      </c>
      <c r="Q76" t="inlineStr">
        <is>
          <t>7817690677464</t>
        </is>
      </c>
    </row>
    <row r="77">
      <c r="A77" s="2">
        <f>HYPERLINK("https://edmondsonsupply.com/collections/personal-protection-safety/products/klein-tools-60159-standard-safety-glasses-clear-lens", "https://edmondsonsupply.com/collections/personal-protection-safety/products/klein-tools-60159-standard-safety-glasses-clear-lens")</f>
        <v/>
      </c>
      <c r="B77" s="2">
        <f>HYPERLINK("https://edmondsonsupply.com/products/klein-tools-60159-standard-safety-glasses-clear-lens", "https://edmondsonsupply.com/products/klein-tools-60159-standard-safety-glasses-clear-lens")</f>
        <v/>
      </c>
      <c r="C77" t="inlineStr">
        <is>
          <t>Klein Tools 60159 Standard Safety Glasses, Clear Lens</t>
        </is>
      </c>
      <c r="D77" t="inlineStr">
        <is>
          <t>Klein Tools 60161 Safety Glasses, Professional PPE Protective Eyewear with Semi Frame, Scratch Resistant and Anti-Fog, Clear Lens</t>
        </is>
      </c>
      <c r="E77" s="2">
        <f>HYPERLINK("https://www.amazon.com/Klein-60161-Professional-Protective-Resistant/dp/B08B496F57/ref=sr_1_4?keywords=Klein+Tools+60159+Standard+Safety+Glasses%2C+Clear+Lens&amp;qid=1695173254&amp;sr=8-4", "https://www.amazon.com/Klein-60161-Professional-Protective-Resistant/dp/B08B496F57/ref=sr_1_4?keywords=Klein+Tools+60159+Standard+Safety+Glasses%2C+Clear+Lens&amp;qid=1695173254&amp;sr=8-4")</f>
        <v/>
      </c>
      <c r="F77" t="inlineStr">
        <is>
          <t>B08B496F57</t>
        </is>
      </c>
      <c r="G77">
        <f>_xludf.IMAGE("https://edmondsonsupply.com/cdn/shop/products/60159.jpg?v=1633030842")</f>
        <v/>
      </c>
      <c r="H77">
        <f>_xludf.IMAGE("https://m.media-amazon.com/images/I/515pVZPvJ0L._AC_UL320_.jpg")</f>
        <v/>
      </c>
      <c r="I77" t="inlineStr">
        <is>
          <t>8.99</t>
        </is>
      </c>
      <c r="J77" t="n">
        <v>15.99</v>
      </c>
      <c r="K77" s="3" t="inlineStr">
        <is>
          <t>77.86%</t>
        </is>
      </c>
      <c r="L77" t="n">
        <v>4.4</v>
      </c>
      <c r="M77" t="n">
        <v>374</v>
      </c>
      <c r="O77" t="inlineStr">
        <is>
          <t>InStock</t>
        </is>
      </c>
      <c r="P77" t="inlineStr">
        <is>
          <t>12.6</t>
        </is>
      </c>
      <c r="Q77" t="inlineStr">
        <is>
          <t>6091658428589</t>
        </is>
      </c>
    </row>
    <row r="78">
      <c r="A78" s="2">
        <f>HYPERLINK("https://edmondsonsupply.com/collections/personal-protection-safety/products/klein-tools-60159-standard-safety-glasses-clear-lens", "https://edmondsonsupply.com/collections/personal-protection-safety/products/klein-tools-60159-standard-safety-glasses-clear-lens")</f>
        <v/>
      </c>
      <c r="B78" s="2">
        <f>HYPERLINK("https://edmondsonsupply.com/products/klein-tools-60159-standard-safety-glasses-clear-lens", "https://edmondsonsupply.com/products/klein-tools-60159-standard-safety-glasses-clear-lens")</f>
        <v/>
      </c>
      <c r="C78" t="inlineStr">
        <is>
          <t>Klein Tools 60159 Standard Safety Glasses, Clear Lens</t>
        </is>
      </c>
      <c r="D78" t="inlineStr">
        <is>
          <t>Klein Tools 60470 Safety Glasses, ANSI Z87.1+ Pro Full Frame Gasket Safety Glasses, Clear Lenses, UV Protection, Anti-Fog, Scratch Resistant, Black/Orange</t>
        </is>
      </c>
      <c r="E78" s="2">
        <f>HYPERLINK("https://www.amazon.com/Klein-60470-Protection-Anti-Fog-Resistant/dp/B0B69KPRPF/ref=sr_1_2?keywords=Klein+Tools+60159+Standard+Safety+Glasses%2C+Clear+Lens&amp;qid=1695173254&amp;sr=8-2", "https://www.amazon.com/Klein-60470-Protection-Anti-Fog-Resistant/dp/B0B69KPRPF/ref=sr_1_2?keywords=Klein+Tools+60159+Standard+Safety+Glasses%2C+Clear+Lens&amp;qid=1695173254&amp;sr=8-2")</f>
        <v/>
      </c>
      <c r="F78" t="inlineStr">
        <is>
          <t>B0B69KPRPF</t>
        </is>
      </c>
      <c r="G78">
        <f>_xludf.IMAGE("https://edmondsonsupply.com/cdn/shop/products/60159.jpg?v=1633030842")</f>
        <v/>
      </c>
      <c r="H78">
        <f>_xludf.IMAGE("https://m.media-amazon.com/images/I/51TkfiRMYgL._AC_UL320_.jpg")</f>
        <v/>
      </c>
      <c r="I78" t="inlineStr">
        <is>
          <t>8.99</t>
        </is>
      </c>
      <c r="J78" t="n">
        <v>15.99</v>
      </c>
      <c r="K78" s="3" t="inlineStr">
        <is>
          <t>77.86%</t>
        </is>
      </c>
      <c r="L78" t="n">
        <v>4</v>
      </c>
      <c r="M78" t="n">
        <v>29</v>
      </c>
      <c r="O78" t="inlineStr">
        <is>
          <t>InStock</t>
        </is>
      </c>
      <c r="P78" t="inlineStr">
        <is>
          <t>12.6</t>
        </is>
      </c>
      <c r="Q78" t="inlineStr">
        <is>
          <t>6091658428589</t>
        </is>
      </c>
    </row>
    <row r="79">
      <c r="A79" s="2">
        <f>HYPERLINK("https://edmondsonsupply.com/collections/personal-protection-safety/products/klein-tools-60160-standard-safety-glasses-gray-lens", "https://edmondsonsupply.com/collections/personal-protection-safety/products/klein-tools-60160-standard-safety-glasses-gray-lens")</f>
        <v/>
      </c>
      <c r="B79" s="2">
        <f>HYPERLINK("https://edmondsonsupply.com/products/klein-tools-60160-standard-safety-glasses-gray-lens", "https://edmondsonsupply.com/products/klein-tools-60160-standard-safety-glasses-gray-lens")</f>
        <v/>
      </c>
      <c r="C79" t="inlineStr">
        <is>
          <t>Klein Tools 60160 Standard Safety Glasses, Gray Lens</t>
        </is>
      </c>
      <c r="D79" t="inlineStr">
        <is>
          <t>Klein Tools 60471 Safety Glasses, ANSI Z87.1+ Pro Full Frame Gasket Safety Glasses, Gray Lens, UV Protection, Anti-Fog, Scratch Resistant</t>
        </is>
      </c>
      <c r="E79" s="2">
        <f>HYPERLINK("https://www.amazon.com/Klein-60471-Protection-Anti-Fog-Resistant/dp/B0B69LNT2Y/ref=sr_1_3?keywords=Klein+Tools+60160+Standard+Safety+Glasses%2C+Gray+Lens&amp;qid=1695173260&amp;sr=8-3", "https://www.amazon.com/Klein-60471-Protection-Anti-Fog-Resistant/dp/B0B69LNT2Y/ref=sr_1_3?keywords=Klein+Tools+60160+Standard+Safety+Glasses%2C+Gray+Lens&amp;qid=1695173260&amp;sr=8-3")</f>
        <v/>
      </c>
      <c r="F79" t="inlineStr">
        <is>
          <t>B0B69LNT2Y</t>
        </is>
      </c>
      <c r="G79">
        <f>_xludf.IMAGE("https://edmondsonsupply.com/cdn/shop/products/60160.jpg?v=1633030843")</f>
        <v/>
      </c>
      <c r="H79">
        <f>_xludf.IMAGE("https://m.media-amazon.com/images/I/51z-a2tdJlL._AC_UL320_.jpg")</f>
        <v/>
      </c>
      <c r="I79" t="inlineStr">
        <is>
          <t>8.99</t>
        </is>
      </c>
      <c r="J79" t="n">
        <v>15.99</v>
      </c>
      <c r="K79" s="3" t="inlineStr">
        <is>
          <t>77.86%</t>
        </is>
      </c>
      <c r="L79" t="n">
        <v>4.3</v>
      </c>
      <c r="M79" t="n">
        <v>56</v>
      </c>
      <c r="O79" t="inlineStr">
        <is>
          <t>InStock</t>
        </is>
      </c>
      <c r="P79" t="inlineStr">
        <is>
          <t>12.6</t>
        </is>
      </c>
      <c r="Q79" t="inlineStr">
        <is>
          <t>6091953111213</t>
        </is>
      </c>
    </row>
    <row r="80">
      <c r="A80" s="2">
        <f>HYPERLINK("https://edmondsonsupply.com/collections/personal-protection-safety/products/klein-tools-56220-led-headlamp-flashlight-with-strap-for-hard-hat", "https://edmondsonsupply.com/collections/personal-protection-safety/products/klein-tools-56220-led-headlamp-flashlight-with-strap-for-hard-hat")</f>
        <v/>
      </c>
      <c r="B80" s="2">
        <f>HYPERLINK("https://edmondsonsupply.com/products/klein-tools-56220-led-headlamp-flashlight-with-strap-for-hard-hat", "https://edmondsonsupply.com/products/klein-tools-56220-led-headlamp-flashlight-with-strap-for-hard-hat")</f>
        <v/>
      </c>
      <c r="C80" t="inlineStr">
        <is>
          <t>Klein Tools 56220 LED Headlamp with Silicone Hard Hat Strap</t>
        </is>
      </c>
      <c r="D80" t="inlineStr">
        <is>
          <t>Klein Tools 56064 Rechargeable Auto-Off LED Headlamp, Silicone Strap, 400 LMS, All-Day Runtime, for Work, Running, Outdoor Hiking, Camping &amp; Headlamp Bracket with Fabric Strap</t>
        </is>
      </c>
      <c r="E80" s="2">
        <f>HYPERLINK("https://www.amazon.com/Klein-Tools-Rechargeable-Auto-Off-Headlamp/dp/B09Z932C3Z/ref=sr_1_8?keywords=Klein+Tools+56220+LED+Headlamp+with+Silicone+Hard+Hat+Strap&amp;qid=1695173215&amp;sr=8-8", "https://www.amazon.com/Klein-Tools-Rechargeable-Auto-Off-Headlamp/dp/B09Z932C3Z/ref=sr_1_8?keywords=Klein+Tools+56220+LED+Headlamp+with+Silicone+Hard+Hat+Strap&amp;qid=1695173215&amp;sr=8-8")</f>
        <v/>
      </c>
      <c r="F80" t="inlineStr">
        <is>
          <t>B09Z932C3Z</t>
        </is>
      </c>
      <c r="G80">
        <f>_xludf.IMAGE("https://edmondsonsupply.com/cdn/shop/files/56220_874194e8-71d5-41d8-a579-6dec47b3f455.jpg?v=1687356671")</f>
        <v/>
      </c>
      <c r="H80">
        <f>_xludf.IMAGE("https://m.media-amazon.com/images/I/51-nHtYlwEL._AC_UL320_.jpg")</f>
        <v/>
      </c>
      <c r="I80" t="inlineStr">
        <is>
          <t>26.97</t>
        </is>
      </c>
      <c r="J80" t="n">
        <v>47.94</v>
      </c>
      <c r="K80" s="3" t="inlineStr">
        <is>
          <t>77.75%</t>
        </is>
      </c>
      <c r="L80" t="n">
        <v>5</v>
      </c>
      <c r="M80" t="n">
        <v>1</v>
      </c>
      <c r="O80" t="inlineStr">
        <is>
          <t>InStock</t>
        </is>
      </c>
      <c r="P80" t="inlineStr">
        <is>
          <t>37.8</t>
        </is>
      </c>
      <c r="Q80" t="inlineStr">
        <is>
          <t>4167511605348</t>
        </is>
      </c>
    </row>
    <row r="81">
      <c r="A81" s="2">
        <f>HYPERLINK("https://edmondsonsupply.com/collections/personal-protection-safety/products/milwaukee-48-22-8732-demolition-gloves-large", "https://edmondsonsupply.com/collections/personal-protection-safety/products/milwaukee-48-22-8732-demolition-gloves-large")</f>
        <v/>
      </c>
      <c r="B81" s="2">
        <f>HYPERLINK("https://edmondsonsupply.com/products/milwaukee-48-22-8732-demolition-gloves-large", "https://edmondsonsupply.com/products/milwaukee-48-22-8732-demolition-gloves-large")</f>
        <v/>
      </c>
      <c r="C81" t="inlineStr">
        <is>
          <t>Milwaukee 48-22-8732 Demolition Gloves, Large</t>
        </is>
      </c>
      <c r="D81" t="inlineStr">
        <is>
          <t>Milwaukee Demolition Glove Size 10 (X-Large) 48-22-9733, Black/Red/Grey</t>
        </is>
      </c>
      <c r="E81" s="2">
        <f>HYPERLINK("https://www.amazon.com/Milwaukee-Demolition-Glove-X-Large-48-22-9733/dp/B01G4AC5H0/ref=sr_1_9?keywords=Milwaukee+48-22-8732+Demolition+Gloves%2C+Large&amp;qid=1695173258&amp;sr=8-9", "https://www.amazon.com/Milwaukee-Demolition-Glove-X-Large-48-22-9733/dp/B01G4AC5H0/ref=sr_1_9?keywords=Milwaukee+48-22-8732+Demolition+Gloves%2C+Large&amp;qid=1695173258&amp;sr=8-9")</f>
        <v/>
      </c>
      <c r="F81" t="inlineStr">
        <is>
          <t>B01G4AC5H0</t>
        </is>
      </c>
      <c r="G81">
        <f>_xludf.IMAGE("https://edmondsonsupply.com/cdn/shop/products/48-22-8732_A_3bfe7555-9162-400a-8a46-4ac8d4a27ffc.png?v=1587146162")</f>
        <v/>
      </c>
      <c r="H81">
        <f>_xludf.IMAGE("https://m.media-amazon.com/images/I/81BLdZBq2EL._AC_UL320_.jpg")</f>
        <v/>
      </c>
      <c r="I81" t="inlineStr">
        <is>
          <t>24.97</t>
        </is>
      </c>
      <c r="J81" t="n">
        <v>42</v>
      </c>
      <c r="K81" s="3" t="inlineStr">
        <is>
          <t>68.20%</t>
        </is>
      </c>
      <c r="L81" t="n">
        <v>4.5</v>
      </c>
      <c r="M81" t="n">
        <v>150</v>
      </c>
      <c r="O81" t="inlineStr">
        <is>
          <t>InStock</t>
        </is>
      </c>
      <c r="P81" t="inlineStr">
        <is>
          <t>37.9</t>
        </is>
      </c>
      <c r="Q81" t="inlineStr">
        <is>
          <t>4433519149156</t>
        </is>
      </c>
    </row>
    <row r="82">
      <c r="A82" s="2">
        <f>HYPERLINK("https://edmondsonsupply.com/collections/personal-protection-safety/products/klein-tools-60246-p100-half-mask-respirator-s-m", "https://edmondsonsupply.com/collections/personal-protection-safety/products/klein-tools-60246-p100-half-mask-respirator-s-m")</f>
        <v/>
      </c>
      <c r="B82" s="2">
        <f>HYPERLINK("https://edmondsonsupply.com/products/klein-tools-60246-p100-half-mask-respirator-s-m", "https://edmondsonsupply.com/products/klein-tools-60246-p100-half-mask-respirator-s-m")</f>
        <v/>
      </c>
      <c r="C82" t="inlineStr">
        <is>
          <t>Klein Tools 60246 P100 Half-Mask Respirator, S/M</t>
        </is>
      </c>
      <c r="D82" t="inlineStr">
        <is>
          <t>Klein Tools 80044 Face Mask, P100 Half-Mask Respirator Kit with P100 Mask and Replacement Filters For Dust, Metal Fumes, and Mists, Size M/L</t>
        </is>
      </c>
      <c r="E82" s="2">
        <f>HYPERLINK("https://www.amazon.com/Klein-80044-Half-Mask-Respirator-Replacement/dp/B09FW2FRX8/ref=sr_1_2?keywords=Klein+Tools+60246+P100+Half-Mask+Respirator%2C+S%2FM&amp;qid=1695173215&amp;sr=8-2", "https://www.amazon.com/Klein-80044-Half-Mask-Respirator-Replacement/dp/B09FW2FRX8/ref=sr_1_2?keywords=Klein+Tools+60246+P100+Half-Mask+Respirator%2C+S%2FM&amp;qid=1695173215&amp;sr=8-2")</f>
        <v/>
      </c>
      <c r="F82" t="inlineStr">
        <is>
          <t>B09FW2FRX8</t>
        </is>
      </c>
      <c r="G82">
        <f>_xludf.IMAGE("https://edmondsonsupply.com/cdn/shop/products/60246.jpg?v=1661862728")</f>
        <v/>
      </c>
      <c r="H82">
        <f>_xludf.IMAGE("https://m.media-amazon.com/images/I/61kQgRHQL4L._AC_UL320_.jpg")</f>
        <v/>
      </c>
      <c r="I82" t="inlineStr">
        <is>
          <t>29.99</t>
        </is>
      </c>
      <c r="J82" t="n">
        <v>50.35</v>
      </c>
      <c r="K82" s="3" t="inlineStr">
        <is>
          <t>67.89%</t>
        </is>
      </c>
      <c r="L82" t="n">
        <v>4.5</v>
      </c>
      <c r="M82" t="n">
        <v>21</v>
      </c>
      <c r="O82" t="inlineStr">
        <is>
          <t>InStock</t>
        </is>
      </c>
      <c r="P82" t="inlineStr">
        <is>
          <t>43.5</t>
        </is>
      </c>
      <c r="Q82" t="inlineStr">
        <is>
          <t>7797322383576</t>
        </is>
      </c>
    </row>
    <row r="83">
      <c r="A83" s="2">
        <f>HYPERLINK("https://edmondsonsupply.com/collections/personal-protection-safety/products/klein-tools-60244-p100-half-mask-respirator-m-l", "https://edmondsonsupply.com/collections/personal-protection-safety/products/klein-tools-60244-p100-half-mask-respirator-m-l")</f>
        <v/>
      </c>
      <c r="B83" s="2">
        <f>HYPERLINK("https://edmondsonsupply.com/products/klein-tools-60244-p100-half-mask-respirator-m-l", "https://edmondsonsupply.com/products/klein-tools-60244-p100-half-mask-respirator-m-l")</f>
        <v/>
      </c>
      <c r="C83" t="inlineStr">
        <is>
          <t>Klein Tools 60244 P100 Half-Mask Respirator, M/L</t>
        </is>
      </c>
      <c r="D83" t="inlineStr">
        <is>
          <t>Klein Tools 80044 Face Mask, P100 Half-Mask Respirator Kit with P100 Mask and Replacement Filters For Dust, Metal Fumes, and Mists, Size M/L</t>
        </is>
      </c>
      <c r="E83" s="2">
        <f>HYPERLINK("https://www.amazon.com/Klein-80044-Half-Mask-Respirator-Replacement/dp/B09FW2FRX8/ref=sr_1_3?keywords=Klein+Tools+60244+P100+Half-Mask+Respirator%2C+M%2FL&amp;qid=1695173235&amp;sr=8-3", "https://www.amazon.com/Klein-80044-Half-Mask-Respirator-Replacement/dp/B09FW2FRX8/ref=sr_1_3?keywords=Klein+Tools+60244+P100+Half-Mask+Respirator%2C+M%2FL&amp;qid=1695173235&amp;sr=8-3")</f>
        <v/>
      </c>
      <c r="F83" t="inlineStr">
        <is>
          <t>B09FW2FRX8</t>
        </is>
      </c>
      <c r="G83">
        <f>_xludf.IMAGE("https://edmondsonsupply.com/cdn/shop/products/60246_7e68115f-7e07-4587-a48b-41d81558644a.jpg?v=1661864149")</f>
        <v/>
      </c>
      <c r="H83">
        <f>_xludf.IMAGE("https://m.media-amazon.com/images/I/61kQgRHQL4L._AC_UL320_.jpg")</f>
        <v/>
      </c>
      <c r="I83" t="inlineStr">
        <is>
          <t>29.99</t>
        </is>
      </c>
      <c r="J83" t="n">
        <v>50.35</v>
      </c>
      <c r="K83" s="3" t="inlineStr">
        <is>
          <t>67.89%</t>
        </is>
      </c>
      <c r="L83" t="n">
        <v>4.5</v>
      </c>
      <c r="M83" t="n">
        <v>21</v>
      </c>
      <c r="O83" t="inlineStr">
        <is>
          <t>InStock</t>
        </is>
      </c>
      <c r="P83" t="inlineStr">
        <is>
          <t>43.5</t>
        </is>
      </c>
      <c r="Q83" t="inlineStr">
        <is>
          <t>7797350039768</t>
        </is>
      </c>
    </row>
    <row r="84">
      <c r="A84" s="2">
        <f>HYPERLINK("https://edmondsonsupply.com/collections/personal-protection-safety/products/klein-tools-60539-professional-safety-glasses-full-frame-polarized-lens", "https://edmondsonsupply.com/collections/personal-protection-safety/products/klein-tools-60539-professional-safety-glasses-full-frame-polarized-lens")</f>
        <v/>
      </c>
      <c r="B84" s="2">
        <f>HYPERLINK("https://edmondsonsupply.com/products/klein-tools-60539-professional-safety-glasses-full-frame-polarized-lens", "https://edmondsonsupply.com/products/klein-tools-60539-professional-safety-glasses-full-frame-polarized-lens")</f>
        <v/>
      </c>
      <c r="C84" t="inlineStr">
        <is>
          <t>Klein Tools 60539 Professional Safety Glasses, Full Frame, Polarized Lens</t>
        </is>
      </c>
      <c r="D84" t="inlineStr">
        <is>
          <t>Klein Tools 80055 Safety Glasses Kit, Professional Safety Glasses with Full Frame, Gray Lens and Breakaway Lanyard, 8-Piece</t>
        </is>
      </c>
      <c r="E84" s="2">
        <f>HYPERLINK("https://www.amazon.com/Klein-80055-Glasses-Professional-Breakaway/dp/B09HR9RV4H/ref=sr_1_5?keywords=Klein+Tools+60539+Professional+Safety+Glasses%2C+Full+Frame%2C+Polarized+Lens&amp;qid=1695173226&amp;sr=8-5", "https://www.amazon.com/Klein-80055-Glasses-Professional-Breakaway/dp/B09HR9RV4H/ref=sr_1_5?keywords=Klein+Tools+60539+Professional+Safety+Glasses%2C+Full+Frame%2C+Polarized+Lens&amp;qid=1695173226&amp;sr=8-5")</f>
        <v/>
      </c>
      <c r="F84" t="inlineStr">
        <is>
          <t>B09HR9RV4H</t>
        </is>
      </c>
      <c r="G84">
        <f>_xludf.IMAGE("https://edmondsonsupply.com/cdn/shop/products/60539.jpg?v=1670948006")</f>
        <v/>
      </c>
      <c r="H84">
        <f>_xludf.IMAGE("https://m.media-amazon.com/images/I/61L5l7dmmiL._AC_UL320_.jpg")</f>
        <v/>
      </c>
      <c r="I84" t="inlineStr">
        <is>
          <t>29.99</t>
        </is>
      </c>
      <c r="J84" t="n">
        <v>49.99</v>
      </c>
      <c r="K84" s="3" t="inlineStr">
        <is>
          <t>66.69%</t>
        </is>
      </c>
      <c r="L84" t="n">
        <v>4.5</v>
      </c>
      <c r="M84" t="n">
        <v>13</v>
      </c>
      <c r="O84" t="inlineStr">
        <is>
          <t>InStock</t>
        </is>
      </c>
      <c r="P84" t="inlineStr">
        <is>
          <t>41.98</t>
        </is>
      </c>
      <c r="Q84" t="inlineStr">
        <is>
          <t>7904008536280</t>
        </is>
      </c>
    </row>
    <row r="85">
      <c r="A85" s="2">
        <f>HYPERLINK("https://edmondsonsupply.com/collections/personal-protection-safety/products/klein-tools-60345-hard-hat-premium-karbn%E2%84%A2-pattern-non-vented-full-brim-class-e", "https://edmondsonsupply.com/collections/personal-protection-safety/products/klein-tools-60345-hard-hat-premium-karbn%E2%84%A2-pattern-non-vented-full-brim-class-e")</f>
        <v/>
      </c>
      <c r="B85" s="2">
        <f>HYPERLINK("https://edmondsonsupply.com/products/klein-tools-60345-hard-hat-premium-karbn%e2%84%a2-pattern-non-vented-full-brim-class-e", "https://edmondsonsupply.com/products/klein-tools-60345-hard-hat-premium-karbn%e2%84%a2-pattern-non-vented-full-brim-class-e")</f>
        <v/>
      </c>
      <c r="C85" t="inlineStr">
        <is>
          <t>Klein Tools 60345 Hard Hat, Premium KARBN™ Pattern, Non-Vented Full Brim, Class E</t>
        </is>
      </c>
      <c r="D85" t="inlineStr">
        <is>
          <t>Klein Tools 60346 Hard Hat, Non-Vented Full Brim, Class E, Premium KARBN Pattern &amp; 60181 Cooling Helmet Liner, Under Hard Hat Cap with Mesh Fabric at Crown</t>
        </is>
      </c>
      <c r="E85" s="2">
        <f>HYPERLINK("https://www.amazon.com/Klein-Tools-Non-Vented-Premium-Pattern/dp/B09Z8ZC2TJ/ref=sr_1_3?keywords=Klein+Tools+60345+Hard+Hat%2C+Premium+KARBN%E2%84%A2+Pattern%2C+Non-Vented+Full+Brim%2C+Class+E&amp;qid=1695173245&amp;sr=8-3", "https://www.amazon.com/Klein-Tools-Non-Vented-Premium-Pattern/dp/B09Z8ZC2TJ/ref=sr_1_3?keywords=Klein+Tools+60345+Hard+Hat%2C+Premium+KARBN%E2%84%A2+Pattern%2C+Non-Vented+Full+Brim%2C+Class+E&amp;qid=1695173245&amp;sr=8-3")</f>
        <v/>
      </c>
      <c r="F85" t="inlineStr">
        <is>
          <t>B09Z8ZC2TJ</t>
        </is>
      </c>
      <c r="G85">
        <f>_xludf.IMAGE("https://edmondsonsupply.com/cdn/shop/products/60345.jpg?v=1660171739")</f>
        <v/>
      </c>
      <c r="H85">
        <f>_xludf.IMAGE("https://m.media-amazon.com/images/I/51OeMTIeiuL._AC_UL320_.jpg")</f>
        <v/>
      </c>
      <c r="I85" t="inlineStr">
        <is>
          <t>59.99</t>
        </is>
      </c>
      <c r="J85" t="n">
        <v>99.98</v>
      </c>
      <c r="K85" s="3" t="inlineStr">
        <is>
          <t>66.66%</t>
        </is>
      </c>
      <c r="L85" t="n">
        <v>4.7</v>
      </c>
      <c r="M85" t="n">
        <v>8</v>
      </c>
      <c r="O85" t="inlineStr">
        <is>
          <t>InStock</t>
        </is>
      </c>
      <c r="P85" t="inlineStr">
        <is>
          <t>81.02</t>
        </is>
      </c>
      <c r="Q85" t="inlineStr">
        <is>
          <t>7778045493464</t>
        </is>
      </c>
    </row>
    <row r="86">
      <c r="A86" s="2">
        <f>HYPERLINK("https://edmondsonsupply.com/collections/personal-protection-safety/products/klein-tools-40227-journeyman-leather-utility-gloves-large", "https://edmondsonsupply.com/collections/personal-protection-safety/products/klein-tools-40227-journeyman-leather-utility-gloves-large")</f>
        <v/>
      </c>
      <c r="B86" s="2">
        <f>HYPERLINK("https://edmondsonsupply.com/products/klein-tools-40227-journeyman-leather-utility-gloves-large", "https://edmondsonsupply.com/products/klein-tools-40227-journeyman-leather-utility-gloves-large")</f>
        <v/>
      </c>
      <c r="C86" t="inlineStr">
        <is>
          <t>Klein Tools 40227 Journeyman Leather Utility Gloves, Large</t>
        </is>
      </c>
      <c r="D86" t="inlineStr">
        <is>
          <t>Klein Tools 40221 Journeyman Leather Gloves, Large</t>
        </is>
      </c>
      <c r="E86" s="2">
        <f>HYPERLINK("https://www.amazon.com/Journeyman-Leather-Klein-Tools-40221/dp/B00KWJ98QG/ref=sr_1_2?keywords=Klein+Tools+40227+Journeyman+Leather+Utility+Gloves%2C+Large&amp;qid=1695173267&amp;sr=8-2", "https://www.amazon.com/Journeyman-Leather-Klein-Tools-40221/dp/B00KWJ98QG/ref=sr_1_2?keywords=Klein+Tools+40227+Journeyman+Leather+Utility+Gloves%2C+Large&amp;qid=1695173267&amp;sr=8-2")</f>
        <v/>
      </c>
      <c r="F86" t="inlineStr">
        <is>
          <t>B00KWJ98QG</t>
        </is>
      </c>
      <c r="G86">
        <f>_xludf.IMAGE("https://edmondsonsupply.com/cdn/shop/products/40227.jpg?v=1633030298")</f>
        <v/>
      </c>
      <c r="H86">
        <f>_xludf.IMAGE("https://m.media-amazon.com/images/I/61e9r7Pq+oL._AC_UL320_.jpg")</f>
        <v/>
      </c>
      <c r="I86" t="inlineStr">
        <is>
          <t>26.99</t>
        </is>
      </c>
      <c r="J86" t="n">
        <v>44.49</v>
      </c>
      <c r="K86" s="3" t="inlineStr">
        <is>
          <t>64.84%</t>
        </is>
      </c>
      <c r="L86" t="n">
        <v>4.4</v>
      </c>
      <c r="M86" t="n">
        <v>46</v>
      </c>
      <c r="O86" t="inlineStr">
        <is>
          <t>InStock</t>
        </is>
      </c>
      <c r="P86" t="inlineStr">
        <is>
          <t>39.12</t>
        </is>
      </c>
      <c r="Q86" t="inlineStr">
        <is>
          <t>5240629723304</t>
        </is>
      </c>
    </row>
    <row r="87">
      <c r="A87" s="2">
        <f>HYPERLINK("https://edmondsonsupply.com/collections/hvac/products/cambridge-3-4-pvc-liquid-tight-conduit-fitting-straight", "https://edmondsonsupply.com/collections/hvac/products/cambridge-3-4-pvc-liquid-tight-conduit-fitting-straight")</f>
        <v/>
      </c>
      <c r="B87" s="2">
        <f>HYPERLINK("https://edmondsonsupply.com/products/cambridge-3-4-pvc-liquid-tight-conduit-fitting-straight", "https://edmondsonsupply.com/products/cambridge-3-4-pvc-liquid-tight-conduit-fitting-straight")</f>
        <v/>
      </c>
      <c r="C87" t="inlineStr">
        <is>
          <t>Cambridge 3/4" PVC Liquid Tight Conduit Fitting - Straight</t>
        </is>
      </c>
      <c r="D87" t="inlineStr">
        <is>
          <t>60Pcs,3/4" Liquid Tight Connector Non-Metallic Electrical Conduit Fittings, PVC Flexible Conduit Fittings, UL Listed(60Pcs Straight)</t>
        </is>
      </c>
      <c r="E87" s="2">
        <f>HYPERLINK("https://www.amazon.com/Connector-Non-Metallic-Electrical-Fittings-Flexible/dp/B0BWTZR72Z/ref=sr_1_3?keywords=Cambridge+3%2F4%22+PVC+Liquid+Tight+Conduit+Fitting+-+Straight&amp;qid=1695173710&amp;sr=8-3", "https://www.amazon.com/Connector-Non-Metallic-Electrical-Fittings-Flexible/dp/B0BWTZR72Z/ref=sr_1_3?keywords=Cambridge+3%2F4%22+PVC+Liquid+Tight+Conduit+Fitting+-+Straight&amp;qid=1695173710&amp;sr=8-3")</f>
        <v/>
      </c>
      <c r="F87" t="inlineStr">
        <is>
          <t>B0BWTZR72Z</t>
        </is>
      </c>
      <c r="G87">
        <f>_xludf.IMAGE("https://edmondsonsupply.com/cdn/shop/files/W14656_01.jpg?v=1692277615")</f>
        <v/>
      </c>
      <c r="H87">
        <f>_xludf.IMAGE("https://m.media-amazon.com/images/I/714VhrQG2fL._AC_UL320_.jpg")</f>
        <v/>
      </c>
      <c r="I87" t="inlineStr">
        <is>
          <t>1.5</t>
        </is>
      </c>
      <c r="J87" t="n">
        <v>99.98999999999999</v>
      </c>
      <c r="K87" s="3" t="inlineStr">
        <is>
          <t>6566.00%</t>
        </is>
      </c>
      <c r="L87" t="n">
        <v>5</v>
      </c>
      <c r="M87" t="n">
        <v>6</v>
      </c>
      <c r="O87" t="inlineStr">
        <is>
          <t>InStock</t>
        </is>
      </c>
      <c r="P87" t="inlineStr">
        <is>
          <t>undefined</t>
        </is>
      </c>
      <c r="Q87" t="inlineStr">
        <is>
          <t>8028223897816</t>
        </is>
      </c>
    </row>
    <row r="88">
      <c r="A88" s="2">
        <f>HYPERLINK("https://edmondsonsupply.com/collections/hvac/products/cambridge-1-2-pvc-liquid-tight-conduit-fitting-90-degree", "https://edmondsonsupply.com/collections/hvac/products/cambridge-1-2-pvc-liquid-tight-conduit-fitting-90-degree")</f>
        <v/>
      </c>
      <c r="B88" s="2">
        <f>HYPERLINK("https://edmondsonsupply.com/products/cambridge-1-2-pvc-liquid-tight-conduit-fitting-90-degree", "https://edmondsonsupply.com/products/cambridge-1-2-pvc-liquid-tight-conduit-fitting-90-degree")</f>
        <v/>
      </c>
      <c r="C88" t="inlineStr">
        <is>
          <t>Cambridge 1/2" PVC Liquid Tight Conduit Fitting - 90 Degree</t>
        </is>
      </c>
      <c r="D88" t="inlineStr">
        <is>
          <t>120 Pieces 1/2 Inch Liquid Tight Connector Nonmetallic Electrical Conduit Fittings 90 Degree Flexible PVC Conduit Connector for Kitchen Home Bathroom Tube Tool Supplies (90 Degree）</t>
        </is>
      </c>
      <c r="E88" s="2">
        <f>HYPERLINK("https://www.amazon.com/Connector-Nonmetallic-Electrical-Fittings-Flexible/dp/B0C282NCDC/ref=sr_1_4?keywords=Cambridge+1%2F2%22+PVC+Liquid+Tight+Conduit+Fitting+-+90+Degree&amp;qid=1695173714&amp;sr=8-4", "https://www.amazon.com/Connector-Nonmetallic-Electrical-Fittings-Flexible/dp/B0C282NCDC/ref=sr_1_4?keywords=Cambridge+1%2F2%22+PVC+Liquid+Tight+Conduit+Fitting+-+90+Degree&amp;qid=1695173714&amp;sr=8-4")</f>
        <v/>
      </c>
      <c r="F88" t="inlineStr">
        <is>
          <t>B0C282NCDC</t>
        </is>
      </c>
      <c r="G88">
        <f>_xludf.IMAGE("https://edmondsonsupply.com/cdn/shop/files/W14659_01.jpg?v=1692278106")</f>
        <v/>
      </c>
      <c r="H88">
        <f>_xludf.IMAGE("https://m.media-amazon.com/images/I/81GCJT7neDL._AC_UL320_.jpg")</f>
        <v/>
      </c>
      <c r="I88" t="inlineStr">
        <is>
          <t>1.48</t>
        </is>
      </c>
      <c r="J88" t="n">
        <v>81.98999999999999</v>
      </c>
      <c r="K88" s="3" t="inlineStr">
        <is>
          <t>5439.86%</t>
        </is>
      </c>
      <c r="L88" t="n">
        <v>5</v>
      </c>
      <c r="M88" t="n">
        <v>6</v>
      </c>
      <c r="O88" t="inlineStr">
        <is>
          <t>InStock</t>
        </is>
      </c>
      <c r="P88" t="inlineStr">
        <is>
          <t>undefined</t>
        </is>
      </c>
      <c r="Q88" t="inlineStr">
        <is>
          <t>8028224422104</t>
        </is>
      </c>
    </row>
    <row r="89">
      <c r="A89" s="2">
        <f>HYPERLINK("https://edmondsonsupply.com/collections/hvac/products/cambridge-3-4-pvc-liquid-tight-conduit-fitting-straight", "https://edmondsonsupply.com/collections/hvac/products/cambridge-3-4-pvc-liquid-tight-conduit-fitting-straight")</f>
        <v/>
      </c>
      <c r="B89" s="2">
        <f>HYPERLINK("https://edmondsonsupply.com/products/cambridge-3-4-pvc-liquid-tight-conduit-fitting-straight", "https://edmondsonsupply.com/products/cambridge-3-4-pvc-liquid-tight-conduit-fitting-straight")</f>
        <v/>
      </c>
      <c r="C89" t="inlineStr">
        <is>
          <t>Cambridge 3/4" PVC Liquid Tight Conduit Fitting - Straight</t>
        </is>
      </c>
      <c r="D89" t="inlineStr">
        <is>
          <t>30Pcs,3/4" Liquid Tight Connector Non-Metallic Electrical Conduit Fittings, PVC Flexible Conduit Fittings, UL Listed(Straight+90 Degree)</t>
        </is>
      </c>
      <c r="E89" s="2">
        <f>HYPERLINK("https://www.amazon.com/Connector-Non-Metallic-Electrical-Fittings-Flexible/dp/B0B76D3XQX/ref=sr_1_6?keywords=Cambridge+3%2F4%22+PVC+Liquid+Tight+Conduit+Fitting+-+Straight&amp;qid=1695173710&amp;sr=8-6", "https://www.amazon.com/Connector-Non-Metallic-Electrical-Fittings-Flexible/dp/B0B76D3XQX/ref=sr_1_6?keywords=Cambridge+3%2F4%22+PVC+Liquid+Tight+Conduit+Fitting+-+Straight&amp;qid=1695173710&amp;sr=8-6")</f>
        <v/>
      </c>
      <c r="F89" t="inlineStr">
        <is>
          <t>B0B76D3XQX</t>
        </is>
      </c>
      <c r="G89">
        <f>_xludf.IMAGE("https://edmondsonsupply.com/cdn/shop/files/W14656_01.jpg?v=1692277615")</f>
        <v/>
      </c>
      <c r="H89">
        <f>_xludf.IMAGE("https://m.media-amazon.com/images/I/71DWeG-B51L._AC_UL320_.jpg")</f>
        <v/>
      </c>
      <c r="I89" t="inlineStr">
        <is>
          <t>1.5</t>
        </is>
      </c>
      <c r="J89" t="n">
        <v>55.99</v>
      </c>
      <c r="K89" s="3" t="inlineStr">
        <is>
          <t>3632.67%</t>
        </is>
      </c>
      <c r="L89" t="n">
        <v>4.6</v>
      </c>
      <c r="M89" t="n">
        <v>24</v>
      </c>
      <c r="O89" t="inlineStr">
        <is>
          <t>InStock</t>
        </is>
      </c>
      <c r="P89" t="inlineStr">
        <is>
          <t>undefined</t>
        </is>
      </c>
      <c r="Q89" t="inlineStr">
        <is>
          <t>8028223897816</t>
        </is>
      </c>
    </row>
    <row r="90">
      <c r="A90" s="2">
        <f>HYPERLINK("https://edmondsonsupply.com/collections/hvac/products/cambridge-1-2-pvc-liquid-tight-conduit-fitting-straight", "https://edmondsonsupply.com/collections/hvac/products/cambridge-1-2-pvc-liquid-tight-conduit-fitting-straight")</f>
        <v/>
      </c>
      <c r="B90" s="2">
        <f>HYPERLINK("https://edmondsonsupply.com/products/cambridge-1-2-pvc-liquid-tight-conduit-fitting-straight", "https://edmondsonsupply.com/products/cambridge-1-2-pvc-liquid-tight-conduit-fitting-straight")</f>
        <v/>
      </c>
      <c r="C90" t="inlineStr">
        <is>
          <t>Cambridge 1/2" PVC Liquid Tight Conduit Fitting - Straight</t>
        </is>
      </c>
      <c r="D90" t="inlineStr">
        <is>
          <t>1/2 inch 60ft Liquid Tight Conduit and Connector Kit with 10 Straight and 6 Angle Fittings Included, Flexible Non Metallic Liquid Tight Electrical Conduit</t>
        </is>
      </c>
      <c r="E90" s="2">
        <f>HYPERLINK("https://www.amazon.com/Connector-Straight-Fittings-Included-Electrical/dp/B0BS3SQ16M/ref=sr_1_10?keywords=Cambridge+1%2F2%22+PVC+Liquid+Tight+Conduit+Fitting+-+Straight&amp;qid=1695173710&amp;sr=8-10", "https://www.amazon.com/Connector-Straight-Fittings-Included-Electrical/dp/B0BS3SQ16M/ref=sr_1_10?keywords=Cambridge+1%2F2%22+PVC+Liquid+Tight+Conduit+Fitting+-+Straight&amp;qid=1695173710&amp;sr=8-10")</f>
        <v/>
      </c>
      <c r="F90" t="inlineStr">
        <is>
          <t>B0BS3SQ16M</t>
        </is>
      </c>
      <c r="G90">
        <f>_xludf.IMAGE("https://edmondsonsupply.com/cdn/shop/files/W14658_01.jpg?v=1692277178")</f>
        <v/>
      </c>
      <c r="H90">
        <f>_xludf.IMAGE("https://m.media-amazon.com/images/I/71zyWpGSWWL._AC_UL320_.jpg")</f>
        <v/>
      </c>
      <c r="I90" t="inlineStr">
        <is>
          <t>1.19</t>
        </is>
      </c>
      <c r="J90" t="n">
        <v>42.99</v>
      </c>
      <c r="K90" s="3" t="inlineStr">
        <is>
          <t>3512.61%</t>
        </is>
      </c>
      <c r="L90" t="n">
        <v>5</v>
      </c>
      <c r="M90" t="n">
        <v>7</v>
      </c>
      <c r="O90" t="inlineStr">
        <is>
          <t>InStock</t>
        </is>
      </c>
      <c r="P90" t="inlineStr">
        <is>
          <t>undefined</t>
        </is>
      </c>
      <c r="Q90" t="inlineStr">
        <is>
          <t>8028223144152</t>
        </is>
      </c>
    </row>
    <row r="91">
      <c r="A91" s="2">
        <f>HYPERLINK("https://edmondsonsupply.com/collections/hvac/products/cambridge-1-2-pvc-liquid-tight-conduit-fitting-90-degree", "https://edmondsonsupply.com/collections/hvac/products/cambridge-1-2-pvc-liquid-tight-conduit-fitting-90-degree")</f>
        <v/>
      </c>
      <c r="B91" s="2">
        <f>HYPERLINK("https://edmondsonsupply.com/products/cambridge-1-2-pvc-liquid-tight-conduit-fitting-90-degree", "https://edmondsonsupply.com/products/cambridge-1-2-pvc-liquid-tight-conduit-fitting-90-degree")</f>
        <v/>
      </c>
      <c r="C91" t="inlineStr">
        <is>
          <t>Cambridge 1/2" PVC Liquid Tight Conduit Fitting - 90 Degree</t>
        </is>
      </c>
      <c r="D91" t="inlineStr">
        <is>
          <t>1/2 Inch Liquid Tight Connector PVC Electrical Conduit Fittings Straight 90 Degree Flexible Conduit Connector for Home Bathroom Tube Tool Supplies, Grey(50 Pcs)</t>
        </is>
      </c>
      <c r="E91" s="2">
        <f>HYPERLINK("https://www.amazon.com/Connector-Electrical-Fittings-Straight-Flexible/dp/B0BQ728PVW/ref=sr_1_3?keywords=Cambridge+1%2F2%22+PVC+Liquid+Tight+Conduit+Fitting+-+90+Degree&amp;qid=1695173714&amp;sr=8-3", "https://www.amazon.com/Connector-Electrical-Fittings-Straight-Flexible/dp/B0BQ728PVW/ref=sr_1_3?keywords=Cambridge+1%2F2%22+PVC+Liquid+Tight+Conduit+Fitting+-+90+Degree&amp;qid=1695173714&amp;sr=8-3")</f>
        <v/>
      </c>
      <c r="F91" t="inlineStr">
        <is>
          <t>B0BQ728PVW</t>
        </is>
      </c>
      <c r="G91">
        <f>_xludf.IMAGE("https://edmondsonsupply.com/cdn/shop/files/W14659_01.jpg?v=1692278106")</f>
        <v/>
      </c>
      <c r="H91">
        <f>_xludf.IMAGE("https://m.media-amazon.com/images/I/71vE2ThH+kL._AC_UL320_.jpg")</f>
        <v/>
      </c>
      <c r="I91" t="inlineStr">
        <is>
          <t>1.48</t>
        </is>
      </c>
      <c r="J91" t="n">
        <v>37.99</v>
      </c>
      <c r="K91" s="3" t="inlineStr">
        <is>
          <t>2466.89%</t>
        </is>
      </c>
      <c r="L91" t="n">
        <v>5</v>
      </c>
      <c r="M91" t="n">
        <v>6</v>
      </c>
      <c r="O91" t="inlineStr">
        <is>
          <t>InStock</t>
        </is>
      </c>
      <c r="P91" t="inlineStr">
        <is>
          <t>undefined</t>
        </is>
      </c>
      <c r="Q91" t="inlineStr">
        <is>
          <t>8028224422104</t>
        </is>
      </c>
    </row>
    <row r="92">
      <c r="A92" s="2">
        <f>HYPERLINK("https://edmondsonsupply.com/collections/hvac/products/klein-tools-60177-breakaway-lanyard-for-safety-glasses", "https://edmondsonsupply.com/collections/hvac/products/klein-tools-60177-breakaway-lanyard-for-safety-glasses")</f>
        <v/>
      </c>
      <c r="B92" s="2">
        <f>HYPERLINK("https://edmondsonsupply.com/products/klein-tools-60177-breakaway-lanyard-for-safety-glasses", "https://edmondsonsupply.com/products/klein-tools-60177-breakaway-lanyard-for-safety-glasses")</f>
        <v/>
      </c>
      <c r="C92" t="inlineStr">
        <is>
          <t>Klein Tools 60177 Breakaway Lanyard for Safety Glasses</t>
        </is>
      </c>
      <c r="D92" t="inlineStr">
        <is>
          <t>Klein Tools 80055 Safety Glasses Kit, Professional Safety Glasses with Full Frame, Gray Lens and Breakaway Lanyard, 8-Piece</t>
        </is>
      </c>
      <c r="E92" s="2">
        <f>HYPERLINK("https://www.amazon.com/Klein-80055-Glasses-Professional-Breakaway/dp/B09HR9RV4H/ref=sr_1_2?keywords=Klein+Tools+60177+Breakaway+Lanyard+for+Safety+Glasses&amp;qid=1695173531&amp;sr=8-2", "https://www.amazon.com/Klein-80055-Glasses-Professional-Breakaway/dp/B09HR9RV4H/ref=sr_1_2?keywords=Klein+Tools+60177+Breakaway+Lanyard+for+Safety+Glasses&amp;qid=1695173531&amp;sr=8-2")</f>
        <v/>
      </c>
      <c r="F92" t="inlineStr">
        <is>
          <t>B09HR9RV4H</t>
        </is>
      </c>
      <c r="G92">
        <f>_xludf.IMAGE("https://edmondsonsupply.com/cdn/shop/products/60177.jpg?v=1633030858")</f>
        <v/>
      </c>
      <c r="H92">
        <f>_xludf.IMAGE("https://m.media-amazon.com/images/I/61L5l7dmmiL._AC_UL320_.jpg")</f>
        <v/>
      </c>
      <c r="I92" t="inlineStr">
        <is>
          <t>1.99</t>
        </is>
      </c>
      <c r="J92" t="n">
        <v>49.99</v>
      </c>
      <c r="K92" s="3" t="inlineStr">
        <is>
          <t>2412.06%</t>
        </is>
      </c>
      <c r="L92" t="n">
        <v>4.5</v>
      </c>
      <c r="M92" t="n">
        <v>13</v>
      </c>
      <c r="O92" t="inlineStr">
        <is>
          <t>InStock</t>
        </is>
      </c>
      <c r="P92" t="inlineStr">
        <is>
          <t>2.68</t>
        </is>
      </c>
      <c r="Q92" t="inlineStr">
        <is>
          <t>6104982454445</t>
        </is>
      </c>
    </row>
    <row r="93">
      <c r="A93" s="2">
        <f>HYPERLINK("https://edmondsonsupply.com/collections/hvac/products/cambridge-3-4-pvc-liquid-tight-conduit-fitting-straight", "https://edmondsonsupply.com/collections/hvac/products/cambridge-3-4-pvc-liquid-tight-conduit-fitting-straight")</f>
        <v/>
      </c>
      <c r="B93" s="2">
        <f>HYPERLINK("https://edmondsonsupply.com/products/cambridge-3-4-pvc-liquid-tight-conduit-fitting-straight", "https://edmondsonsupply.com/products/cambridge-3-4-pvc-liquid-tight-conduit-fitting-straight")</f>
        <v/>
      </c>
      <c r="C93" t="inlineStr">
        <is>
          <t>Cambridge 3/4" PVC Liquid Tight Conduit Fitting - Straight</t>
        </is>
      </c>
      <c r="D93" t="inlineStr">
        <is>
          <t>Yaomiao Liquid Tight Connector 180 Degree Electrical Conduit Fittings Non Metallic PVC Conduit Fitting for Home Bathroom Kitchen Pipe, Gray (30 Pcs, 3/4 Inch)</t>
        </is>
      </c>
      <c r="E93" s="2">
        <f>HYPERLINK("https://www.amazon.com/Yaomiao-Connector-Electrical-Fittings-Metallic/dp/B0C3LGVCB2/ref=sr_1_7?keywords=Cambridge+3%2F4%22+PVC+Liquid+Tight+Conduit+Fitting+-+Straight&amp;qid=1695173710&amp;sr=8-7", "https://www.amazon.com/Yaomiao-Connector-Electrical-Fittings-Metallic/dp/B0C3LGVCB2/ref=sr_1_7?keywords=Cambridge+3%2F4%22+PVC+Liquid+Tight+Conduit+Fitting+-+Straight&amp;qid=1695173710&amp;sr=8-7")</f>
        <v/>
      </c>
      <c r="F93" t="inlineStr">
        <is>
          <t>B0C3LGVCB2</t>
        </is>
      </c>
      <c r="G93">
        <f>_xludf.IMAGE("https://edmondsonsupply.com/cdn/shop/files/W14656_01.jpg?v=1692277615")</f>
        <v/>
      </c>
      <c r="H93">
        <f>_xludf.IMAGE("https://m.media-amazon.com/images/I/714BhaNaTLL._AC_UL320_.jpg")</f>
        <v/>
      </c>
      <c r="I93" t="inlineStr">
        <is>
          <t>1.5</t>
        </is>
      </c>
      <c r="J93" t="n">
        <v>34.99</v>
      </c>
      <c r="K93" s="3" t="inlineStr">
        <is>
          <t>2232.67%</t>
        </is>
      </c>
      <c r="L93" t="n">
        <v>5</v>
      </c>
      <c r="M93" t="n">
        <v>3</v>
      </c>
      <c r="O93" t="inlineStr">
        <is>
          <t>InStock</t>
        </is>
      </c>
      <c r="P93" t="inlineStr">
        <is>
          <t>undefined</t>
        </is>
      </c>
      <c r="Q93" t="inlineStr">
        <is>
          <t>8028223897816</t>
        </is>
      </c>
    </row>
    <row r="94">
      <c r="A94" s="2">
        <f>HYPERLINK("https://edmondsonsupply.com/collections/hvac/products/cambridge-1-2-pvc-liquid-tight-conduit-fitting-90-degree", "https://edmondsonsupply.com/collections/hvac/products/cambridge-1-2-pvc-liquid-tight-conduit-fitting-90-degree")</f>
        <v/>
      </c>
      <c r="B94" s="2">
        <f>HYPERLINK("https://edmondsonsupply.com/products/cambridge-1-2-pvc-liquid-tight-conduit-fitting-90-degree", "https://edmondsonsupply.com/products/cambridge-1-2-pvc-liquid-tight-conduit-fitting-90-degree")</f>
        <v/>
      </c>
      <c r="C94" t="inlineStr">
        <is>
          <t>Cambridge 1/2" PVC Liquid Tight Conduit Fitting - 90 Degree</t>
        </is>
      </c>
      <c r="D94" t="inlineStr">
        <is>
          <t>30Pcs 1/2" Liquid Tight Connector Electrical Conduit Connector Flexible Electrical Conduit Connector Fitting Electrical PVC Conduit Fittings,UL Listed(90 Degree and 180 Degree)</t>
        </is>
      </c>
      <c r="E94" s="2">
        <f>HYPERLINK("https://www.amazon.com/Connector-Flexible-Metallic-Electrical-Fittings/dp/B0BGR7DWR5/ref=sr_1_9?keywords=Cambridge+1%2F2%22+PVC+Liquid+Tight+Conduit+Fitting+-+90+Degree&amp;qid=1695173714&amp;sr=8-9", "https://www.amazon.com/Connector-Flexible-Metallic-Electrical-Fittings/dp/B0BGR7DWR5/ref=sr_1_9?keywords=Cambridge+1%2F2%22+PVC+Liquid+Tight+Conduit+Fitting+-+90+Degree&amp;qid=1695173714&amp;sr=8-9")</f>
        <v/>
      </c>
      <c r="F94" t="inlineStr">
        <is>
          <t>B0BGR7DWR5</t>
        </is>
      </c>
      <c r="G94">
        <f>_xludf.IMAGE("https://edmondsonsupply.com/cdn/shop/files/W14659_01.jpg?v=1692278106")</f>
        <v/>
      </c>
      <c r="H94">
        <f>_xludf.IMAGE("https://m.media-amazon.com/images/I/71zhn+CbHML._AC_UL320_.jpg")</f>
        <v/>
      </c>
      <c r="I94" t="inlineStr">
        <is>
          <t>1.48</t>
        </is>
      </c>
      <c r="J94" t="n">
        <v>31.99</v>
      </c>
      <c r="K94" s="3" t="inlineStr">
        <is>
          <t>2061.49%</t>
        </is>
      </c>
      <c r="L94" t="n">
        <v>4.6</v>
      </c>
      <c r="M94" t="n">
        <v>24</v>
      </c>
      <c r="O94" t="inlineStr">
        <is>
          <t>InStock</t>
        </is>
      </c>
      <c r="P94" t="inlineStr">
        <is>
          <t>undefined</t>
        </is>
      </c>
      <c r="Q94" t="inlineStr">
        <is>
          <t>8028224422104</t>
        </is>
      </c>
    </row>
    <row r="95">
      <c r="A95" s="2">
        <f>HYPERLINK("https://edmondsonsupply.com/collections/hvac/products/cambridge-1-2-pvc-liquid-tight-conduit-fitting-straight", "https://edmondsonsupply.com/collections/hvac/products/cambridge-1-2-pvc-liquid-tight-conduit-fitting-straight")</f>
        <v/>
      </c>
      <c r="B95" s="2">
        <f>HYPERLINK("https://edmondsonsupply.com/products/cambridge-1-2-pvc-liquid-tight-conduit-fitting-straight", "https://edmondsonsupply.com/products/cambridge-1-2-pvc-liquid-tight-conduit-fitting-straight")</f>
        <v/>
      </c>
      <c r="C95" t="inlineStr">
        <is>
          <t>Cambridge 1/2" PVC Liquid Tight Conduit Fitting - Straight</t>
        </is>
      </c>
      <c r="D95" t="inlineStr">
        <is>
          <t>Neorexon Liquid-Tight Conduit and Connector Kit 1/2inch 25ft, Flexible Non Metallic Liquid Tight Electrical Conduit UL Certification, Electrical Conduit Kit with 5 Straight, 5 Angle Fittings</t>
        </is>
      </c>
      <c r="E95" s="2">
        <f>HYPERLINK("https://www.amazon.com/Neorexon-Conduit-Connector-2inch-25ft/dp/B0BJKD7KNP/ref=sr_1_4?keywords=Cambridge+1%2F2%22+PVC+Liquid+Tight+Conduit+Fitting+-+Straight&amp;qid=1695173710&amp;sr=8-4", "https://www.amazon.com/Neorexon-Conduit-Connector-2inch-25ft/dp/B0BJKD7KNP/ref=sr_1_4?keywords=Cambridge+1%2F2%22+PVC+Liquid+Tight+Conduit+Fitting+-+Straight&amp;qid=1695173710&amp;sr=8-4")</f>
        <v/>
      </c>
      <c r="F95" t="inlineStr">
        <is>
          <t>B0BJKD7KNP</t>
        </is>
      </c>
      <c r="G95">
        <f>_xludf.IMAGE("https://edmondsonsupply.com/cdn/shop/files/W14658_01.jpg?v=1692277178")</f>
        <v/>
      </c>
      <c r="H95">
        <f>_xludf.IMAGE("https://m.media-amazon.com/images/I/712k85eDRqL._AC_UL320_.jpg")</f>
        <v/>
      </c>
      <c r="I95" t="inlineStr">
        <is>
          <t>1.19</t>
        </is>
      </c>
      <c r="J95" t="n">
        <v>24.99</v>
      </c>
      <c r="K95" s="3" t="inlineStr">
        <is>
          <t>2000.00%</t>
        </is>
      </c>
      <c r="L95" t="n">
        <v>4.6</v>
      </c>
      <c r="M95" t="n">
        <v>52</v>
      </c>
      <c r="O95" t="inlineStr">
        <is>
          <t>InStock</t>
        </is>
      </c>
      <c r="P95" t="inlineStr">
        <is>
          <t>undefined</t>
        </is>
      </c>
      <c r="Q95" t="inlineStr">
        <is>
          <t>8028223144152</t>
        </is>
      </c>
    </row>
    <row r="96">
      <c r="A96" s="2">
        <f>HYPERLINK("https://edmondsonsupply.com/collections/hvac/products/cambridge-1-4-o-d-acr-copper-90-long-turn-elbow", "https://edmondsonsupply.com/collections/hvac/products/cambridge-1-4-o-d-acr-copper-90-long-turn-elbow")</f>
        <v/>
      </c>
      <c r="B96" s="2">
        <f>HYPERLINK("https://edmondsonsupply.com/products/cambridge-1-4-o-d-acr-copper-90-long-turn-elbow", "https://edmondsonsupply.com/products/cambridge-1-4-o-d-acr-copper-90-long-turn-elbow")</f>
        <v/>
      </c>
      <c r="C96" t="inlineStr">
        <is>
          <t>Cambridge 1/4" O.D. ACR Copper 90° Long Turn Elbow</t>
        </is>
      </c>
      <c r="D96" t="inlineStr">
        <is>
          <t>10 PCS 1/2" CxC Wrot Copper 90° Long Turn Elbow For 5/8"O.D. Pipe, BY PAKA TOOLS USA</t>
        </is>
      </c>
      <c r="E96" s="2">
        <f>HYPERLINK("https://www.amazon.com/Wrot-Copper-Elbow-PAKA-TOOLS/dp/B09DXNF2ZH/ref=sr_1_1?keywords=Cambridge+1%2F4%22+O.D.+ACR+Copper+90%C2%B0+Long+Turn+Elbow&amp;qid=1695173709&amp;sr=8-1", "https://www.amazon.com/Wrot-Copper-Elbow-PAKA-TOOLS/dp/B09DXNF2ZH/ref=sr_1_1?keywords=Cambridge+1%2F4%22+O.D.+ACR+Copper+90%C2%B0+Long+Turn+Elbow&amp;qid=1695173709&amp;sr=8-1")</f>
        <v/>
      </c>
      <c r="F96" t="inlineStr">
        <is>
          <t>B09DXNF2ZH</t>
        </is>
      </c>
      <c r="G96">
        <f>_xludf.IMAGE("https://edmondsonsupply.com/cdn/shop/files/ACR90LongTurnElbows_01.jpg?v=1692626799")</f>
        <v/>
      </c>
      <c r="H96">
        <f>_xludf.IMAGE("https://m.media-amazon.com/images/I/317gXsjrfSL._AC_UY218_.jpg")</f>
        <v/>
      </c>
      <c r="I96" t="inlineStr">
        <is>
          <t>0.89</t>
        </is>
      </c>
      <c r="J96" t="n">
        <v>17.99</v>
      </c>
      <c r="K96" s="3" t="inlineStr">
        <is>
          <t>1921.35%</t>
        </is>
      </c>
      <c r="L96" t="n">
        <v>5</v>
      </c>
      <c r="M96" t="n">
        <v>1</v>
      </c>
      <c r="O96" t="inlineStr">
        <is>
          <t>InStock</t>
        </is>
      </c>
      <c r="P96" t="inlineStr">
        <is>
          <t>undefined</t>
        </is>
      </c>
      <c r="Q96" t="inlineStr">
        <is>
          <t>8029392470232</t>
        </is>
      </c>
    </row>
    <row r="97">
      <c r="A97" s="2">
        <f>HYPERLINK("https://edmondsonsupply.com/collections/hvac/products/cambridge-3-4-pvc-liquid-tight-conduit-fitting-90-degree", "https://edmondsonsupply.com/collections/hvac/products/cambridge-3-4-pvc-liquid-tight-conduit-fitting-90-degree")</f>
        <v/>
      </c>
      <c r="B97" s="2">
        <f>HYPERLINK("https://edmondsonsupply.com/products/cambridge-3-4-pvc-liquid-tight-conduit-fitting-90-degree", "https://edmondsonsupply.com/products/cambridge-3-4-pvc-liquid-tight-conduit-fitting-90-degree")</f>
        <v/>
      </c>
      <c r="C97" t="inlineStr">
        <is>
          <t>Cambridge 3/4" PVC Liquid Tight Conduit Fitting - 90 Degree</t>
        </is>
      </c>
      <c r="D97" t="inlineStr">
        <is>
          <t>Liquid Tight Connector 3/4 Inch 90 Degree Non Metallic Flex Electrical Conduit Fittings, Electrical Conduit Connector Fitting for PVC Pipe Cable Home Kitchen (25 Pcs)</t>
        </is>
      </c>
      <c r="E97" s="2">
        <f>HYPERLINK("https://www.amazon.com/Connector-Metallic-Electrical-Conduit-Fittings/dp/B0B5TYFB73/ref=sr_1_3?keywords=Cambridge+3%2F4%22+PVC+Liquid+Tight+Conduit+Fitting+-+90+Degree&amp;qid=1695173711&amp;sr=8-3", "https://www.amazon.com/Connector-Metallic-Electrical-Conduit-Fittings/dp/B0B5TYFB73/ref=sr_1_3?keywords=Cambridge+3%2F4%22+PVC+Liquid+Tight+Conduit+Fitting+-+90+Degree&amp;qid=1695173711&amp;sr=8-3")</f>
        <v/>
      </c>
      <c r="F97" t="inlineStr">
        <is>
          <t>B0B5TYFB73</t>
        </is>
      </c>
      <c r="G97">
        <f>_xludf.IMAGE("https://edmondsonsupply.com/cdn/shop/files/W14657_01.jpg?v=1692278537")</f>
        <v/>
      </c>
      <c r="H97">
        <f>_xludf.IMAGE("https://m.media-amazon.com/images/I/81Q8m-JjN0L._AC_UL320_.jpg")</f>
        <v/>
      </c>
      <c r="I97" t="inlineStr">
        <is>
          <t>1.8</t>
        </is>
      </c>
      <c r="J97" t="n">
        <v>35.99</v>
      </c>
      <c r="K97" s="3" t="inlineStr">
        <is>
          <t>1899.44%</t>
        </is>
      </c>
      <c r="L97" t="n">
        <v>5</v>
      </c>
      <c r="M97" t="n">
        <v>14</v>
      </c>
      <c r="O97" t="inlineStr">
        <is>
          <t>InStock</t>
        </is>
      </c>
      <c r="P97" t="inlineStr">
        <is>
          <t>undefined</t>
        </is>
      </c>
      <c r="Q97" t="inlineStr">
        <is>
          <t>8028225175768</t>
        </is>
      </c>
    </row>
    <row r="98">
      <c r="A98" s="2">
        <f>HYPERLINK("https://edmondsonsupply.com/collections/hvac/products/cambridge-3-4-pvc-liquid-tight-conduit-fitting-straight", "https://edmondsonsupply.com/collections/hvac/products/cambridge-3-4-pvc-liquid-tight-conduit-fitting-straight")</f>
        <v/>
      </c>
      <c r="B98" s="2">
        <f>HYPERLINK("https://edmondsonsupply.com/products/cambridge-3-4-pvc-liquid-tight-conduit-fitting-straight", "https://edmondsonsupply.com/products/cambridge-3-4-pvc-liquid-tight-conduit-fitting-straight")</f>
        <v/>
      </c>
      <c r="C98" t="inlineStr">
        <is>
          <t>Cambridge 3/4" PVC Liquid Tight Conduit Fitting - Straight</t>
        </is>
      </c>
      <c r="D98" t="inlineStr">
        <is>
          <t>Liquid-Tight Conduit - 3/4inch 25 Foot Flexible Non Metallic Liquid Tight Electrical Conduit Kit, with 4 Straight and 3 Angle Fittings Included. 3/4" Dia</t>
        </is>
      </c>
      <c r="E98" s="2">
        <f>HYPERLINK("https://www.amazon.com/Liquid-Tight-Conduit-Flexible-Electrical-Included/dp/B0B7R6R75T/ref=sr_1_4?keywords=Cambridge+3%2F4%22+PVC+Liquid+Tight+Conduit+Fitting+-+Straight&amp;qid=1695173710&amp;sr=8-4", "https://www.amazon.com/Liquid-Tight-Conduit-Flexible-Electrical-Included/dp/B0B7R6R75T/ref=sr_1_4?keywords=Cambridge+3%2F4%22+PVC+Liquid+Tight+Conduit+Fitting+-+Straight&amp;qid=1695173710&amp;sr=8-4")</f>
        <v/>
      </c>
      <c r="F98" t="inlineStr">
        <is>
          <t>B0B7R6R75T</t>
        </is>
      </c>
      <c r="G98">
        <f>_xludf.IMAGE("https://edmondsonsupply.com/cdn/shop/files/W14656_01.jpg?v=1692277615")</f>
        <v/>
      </c>
      <c r="H98">
        <f>_xludf.IMAGE("https://m.media-amazon.com/images/I/91qnk8RhHWL._AC_UL320_.jpg")</f>
        <v/>
      </c>
      <c r="I98" t="inlineStr">
        <is>
          <t>1.5</t>
        </is>
      </c>
      <c r="J98" t="n">
        <v>26.99</v>
      </c>
      <c r="K98" s="3" t="inlineStr">
        <is>
          <t>1699.33%</t>
        </is>
      </c>
      <c r="L98" t="n">
        <v>4.6</v>
      </c>
      <c r="M98" t="n">
        <v>149</v>
      </c>
      <c r="O98" t="inlineStr">
        <is>
          <t>InStock</t>
        </is>
      </c>
      <c r="P98" t="inlineStr">
        <is>
          <t>undefined</t>
        </is>
      </c>
      <c r="Q98" t="inlineStr">
        <is>
          <t>8028223897816</t>
        </is>
      </c>
    </row>
    <row r="99">
      <c r="A99" s="2">
        <f>HYPERLINK("https://edmondsonsupply.com/collections/hvac/products/cambridge-3-4-pvc-liquid-tight-conduit-fitting-straight", "https://edmondsonsupply.com/collections/hvac/products/cambridge-3-4-pvc-liquid-tight-conduit-fitting-straight")</f>
        <v/>
      </c>
      <c r="B99" s="2">
        <f>HYPERLINK("https://edmondsonsupply.com/products/cambridge-3-4-pvc-liquid-tight-conduit-fitting-straight", "https://edmondsonsupply.com/products/cambridge-3-4-pvc-liquid-tight-conduit-fitting-straight")</f>
        <v/>
      </c>
      <c r="C99" t="inlineStr">
        <is>
          <t>Cambridge 3/4" PVC Liquid Tight Conduit Fitting - Straight</t>
        </is>
      </c>
      <c r="D99" t="inlineStr">
        <is>
          <t>Feotech Liquid-Tight Conduit and Connector Kit - 3/4 Inch 25 FT Non Metallic Liquid Tight Electrical Conduit with 5 Straight and 5 Angle Fittings</t>
        </is>
      </c>
      <c r="E99" s="2">
        <f>HYPERLINK("https://www.amazon.com/Feotech-Liquid-Tight-Conduit-Connector-Kit/dp/B0BY7SYDFJ/ref=sr_1_9?keywords=Cambridge+3%2F4%22+PVC+Liquid+Tight+Conduit+Fitting+-+Straight&amp;qid=1695173710&amp;sr=8-9", "https://www.amazon.com/Feotech-Liquid-Tight-Conduit-Connector-Kit/dp/B0BY7SYDFJ/ref=sr_1_9?keywords=Cambridge+3%2F4%22+PVC+Liquid+Tight+Conduit+Fitting+-+Straight&amp;qid=1695173710&amp;sr=8-9")</f>
        <v/>
      </c>
      <c r="F99" t="inlineStr">
        <is>
          <t>B0BY7SYDFJ</t>
        </is>
      </c>
      <c r="G99">
        <f>_xludf.IMAGE("https://edmondsonsupply.com/cdn/shop/files/W14656_01.jpg?v=1692277615")</f>
        <v/>
      </c>
      <c r="H99">
        <f>_xludf.IMAGE("https://m.media-amazon.com/images/I/71Qf7yCQMEL._AC_UL320_.jpg")</f>
        <v/>
      </c>
      <c r="I99" t="inlineStr">
        <is>
          <t>1.5</t>
        </is>
      </c>
      <c r="J99" t="n">
        <v>24.99</v>
      </c>
      <c r="K99" s="3" t="inlineStr">
        <is>
          <t>1566.00%</t>
        </is>
      </c>
      <c r="L99" t="n">
        <v>5</v>
      </c>
      <c r="M99" t="n">
        <v>1</v>
      </c>
      <c r="O99" t="inlineStr">
        <is>
          <t>InStock</t>
        </is>
      </c>
      <c r="P99" t="inlineStr">
        <is>
          <t>undefined</t>
        </is>
      </c>
      <c r="Q99" t="inlineStr">
        <is>
          <t>8028223897816</t>
        </is>
      </c>
    </row>
    <row r="100">
      <c r="A100" s="2">
        <f>HYPERLINK("https://edmondsonsupply.com/collections/hvac/products/cambridge-1-2-pvc-liquid-tight-conduit-fitting-90-degree", "https://edmondsonsupply.com/collections/hvac/products/cambridge-1-2-pvc-liquid-tight-conduit-fitting-90-degree")</f>
        <v/>
      </c>
      <c r="B100" s="2">
        <f>HYPERLINK("https://edmondsonsupply.com/products/cambridge-1-2-pvc-liquid-tight-conduit-fitting-90-degree", "https://edmondsonsupply.com/products/cambridge-1-2-pvc-liquid-tight-conduit-fitting-90-degree")</f>
        <v/>
      </c>
      <c r="C100" t="inlineStr">
        <is>
          <t>Cambridge 1/2" PVC Liquid Tight Conduit Fitting - 90 Degree</t>
        </is>
      </c>
      <c r="D100" t="inlineStr">
        <is>
          <t>BBTO Liquid Tight Connector 1/2 Inch Flexible Non Metallic Electrical Conduit Connector Fitting 90 Degree Electrical PVC Conduit Fittings for Home Kitchen Bathroom Tube Tool Supplies (24 Pieces)</t>
        </is>
      </c>
      <c r="E100" s="2">
        <f>HYPERLINK("https://www.amazon.com/BBTO-Connector-Flexible-Metallic-Electrical/dp/B09PTFZ341/ref=sr_1_5?keywords=Cambridge+1%2F2%22+PVC+Liquid+Tight+Conduit+Fitting+-+90+Degree&amp;qid=1695173714&amp;sr=8-5", "https://www.amazon.com/BBTO-Connector-Flexible-Metallic-Electrical/dp/B09PTFZ341/ref=sr_1_5?keywords=Cambridge+1%2F2%22+PVC+Liquid+Tight+Conduit+Fitting+-+90+Degree&amp;qid=1695173714&amp;sr=8-5")</f>
        <v/>
      </c>
      <c r="F100" t="inlineStr">
        <is>
          <t>B09PTFZ341</t>
        </is>
      </c>
      <c r="G100">
        <f>_xludf.IMAGE("https://edmondsonsupply.com/cdn/shop/files/W14659_01.jpg?v=1692278106")</f>
        <v/>
      </c>
      <c r="H100">
        <f>_xludf.IMAGE("https://m.media-amazon.com/images/I/71tLpqsoSWL._AC_UL320_.jpg")</f>
        <v/>
      </c>
      <c r="I100" t="inlineStr">
        <is>
          <t>1.48</t>
        </is>
      </c>
      <c r="J100" t="n">
        <v>20.98</v>
      </c>
      <c r="K100" s="3" t="inlineStr">
        <is>
          <t>1317.57%</t>
        </is>
      </c>
      <c r="L100" t="n">
        <v>4.8</v>
      </c>
      <c r="M100" t="n">
        <v>92</v>
      </c>
      <c r="O100" t="inlineStr">
        <is>
          <t>InStock</t>
        </is>
      </c>
      <c r="P100" t="inlineStr">
        <is>
          <t>undefined</t>
        </is>
      </c>
      <c r="Q100" t="inlineStr">
        <is>
          <t>8028224422104</t>
        </is>
      </c>
    </row>
    <row r="101">
      <c r="A101" s="2">
        <f>HYPERLINK("https://edmondsonsupply.com/collections/hvac/products/kroil-ks132-original-penetrant-aerosol-13oz-can", "https://edmondsonsupply.com/collections/hvac/products/kroil-ks132-original-penetrant-aerosol-13oz-can")</f>
        <v/>
      </c>
      <c r="B101" s="2">
        <f>HYPERLINK("https://edmondsonsupply.com/products/kroil-ks132-original-penetrant-aerosol-13oz-can", "https://edmondsonsupply.com/products/kroil-ks132-original-penetrant-aerosol-13oz-can")</f>
        <v/>
      </c>
      <c r="C101" t="inlineStr">
        <is>
          <t>Kroil KS132 Original Penetrant Aerosol 13oz can</t>
        </is>
      </c>
      <c r="D101" t="inlineStr">
        <is>
          <t>Kroil Original Penetrating Oil (Aerosol Spray-13oz Can-Case of 12) | Penetrant for Rusted Bolts, Metal, Hinges, Chains, Moving Parts | Rust, Corrosion Inhibitor (KS132C)</t>
        </is>
      </c>
      <c r="E101" s="2">
        <f>HYPERLINK("https://www.amazon.com/Penetrating-Spray-13oz-Penetrant-Corrosion-KS132C/dp/B08ZSZ82YY/ref=sr_1_8?keywords=Kroil+KS132+Original+Penetrant+Aerosol+13oz+can&amp;qid=1695173755&amp;sr=8-8", "https://www.amazon.com/Penetrating-Spray-13oz-Penetrant-Corrosion-KS132C/dp/B08ZSZ82YY/ref=sr_1_8?keywords=Kroil+KS132+Original+Penetrant+Aerosol+13oz+can&amp;qid=1695173755&amp;sr=8-8")</f>
        <v/>
      </c>
      <c r="F101" t="inlineStr">
        <is>
          <t>B08ZSZ82YY</t>
        </is>
      </c>
      <c r="G101">
        <f>_xludf.IMAGE("https://edmondsonsupply.com/cdn/shop/files/ks132.webp?v=1686779771")</f>
        <v/>
      </c>
      <c r="H101">
        <f>_xludf.IMAGE("https://m.media-amazon.com/images/I/71M3oNQE9pL._AC_UY218_.jpg")</f>
        <v/>
      </c>
      <c r="I101" t="inlineStr">
        <is>
          <t>23.79</t>
        </is>
      </c>
      <c r="J101" t="n">
        <v>328.8</v>
      </c>
      <c r="K101" s="3" t="inlineStr">
        <is>
          <t>1282.09%</t>
        </is>
      </c>
      <c r="L101" t="n">
        <v>5</v>
      </c>
      <c r="M101" t="n">
        <v>2</v>
      </c>
      <c r="O101" t="inlineStr">
        <is>
          <t>InStock</t>
        </is>
      </c>
      <c r="P101" t="inlineStr">
        <is>
          <t>27.4</t>
        </is>
      </c>
      <c r="Q101" t="inlineStr">
        <is>
          <t>8005750554840</t>
        </is>
      </c>
    </row>
    <row r="102">
      <c r="A102" s="2">
        <f>HYPERLINK("https://edmondsonsupply.com/collections/hvac/products/trion-266649-101-pleated-16x25x3-merv-13-air-filter-media-1-filter", "https://edmondsonsupply.com/collections/hvac/products/trion-266649-101-pleated-16x25x3-merv-13-air-filter-media-1-filter")</f>
        <v/>
      </c>
      <c r="B102" s="2">
        <f>HYPERLINK("https://edmondsonsupply.com/products/trion-266649-101-pleated-16x25x3-merv-13-air-filter-media-1-filter", "https://edmondsonsupply.com/products/trion-266649-101-pleated-16x25x3-merv-13-air-filter-media-1-filter")</f>
        <v/>
      </c>
      <c r="C102" t="inlineStr">
        <is>
          <t>Trion 266649-101 Pleated 16x25x3 MERV-13 Air Filter Media (1 filter)</t>
        </is>
      </c>
      <c r="D102" t="inlineStr">
        <is>
          <t>Nordic Pure 16x25x3 (15_13/16 x 24_5/16 x 3) MERV 15 Trion Bear Cub 266649-101 Replacement Pleated AC Furnace Air Filters</t>
        </is>
      </c>
      <c r="E102" s="2">
        <f>HYPERLINK("https://www.amazon.com/Nordic-Pure-16x25x3ABM15-7-Furnace-Filter/dp/B07B7PNMBH/ref=sr_1_2?keywords=Trion+266649-101+Pleated+16x25x3+MERV-13+Air+Filter+Media+%281+filter%29&amp;qid=1695173598&amp;sr=8-2", "https://www.amazon.com/Nordic-Pure-16x25x3ABM15-7-Furnace-Filter/dp/B07B7PNMBH/ref=sr_1_2?keywords=Trion+266649-101+Pleated+16x25x3+MERV-13+Air+Filter+Media+%281+filter%29&amp;qid=1695173598&amp;sr=8-2")</f>
        <v/>
      </c>
      <c r="F102" t="inlineStr">
        <is>
          <t>B07B7PNMBH</t>
        </is>
      </c>
      <c r="G102">
        <f>_xludf.IMAGE("https://edmondsonsupply.com/cdn/shop/products/AirBearMain_3b1ff07e-0f7c-460a-b436-9ba151fa29ca.png?v=1661444961")</f>
        <v/>
      </c>
      <c r="H102">
        <f>_xludf.IMAGE("https://m.media-amazon.com/images/I/71uv28FGdPL._AC_UL320_.jpg")</f>
        <v/>
      </c>
      <c r="I102" t="inlineStr">
        <is>
          <t>29.36</t>
        </is>
      </c>
      <c r="J102" t="n">
        <v>355.3</v>
      </c>
      <c r="K102" s="3" t="inlineStr">
        <is>
          <t>1110.15%</t>
        </is>
      </c>
      <c r="L102" t="n">
        <v>5</v>
      </c>
      <c r="M102" t="n">
        <v>1</v>
      </c>
      <c r="O102" t="inlineStr">
        <is>
          <t>InStock</t>
        </is>
      </c>
      <c r="P102" t="inlineStr">
        <is>
          <t>undefined</t>
        </is>
      </c>
      <c r="Q102" t="inlineStr">
        <is>
          <t>7794251989208</t>
        </is>
      </c>
    </row>
    <row r="103">
      <c r="A103" s="2">
        <f>HYPERLINK("https://edmondsonsupply.com/collections/hvac/products/cambridge-1-2-pvc-liquid-tight-conduit-fitting-90-degree", "https://edmondsonsupply.com/collections/hvac/products/cambridge-1-2-pvc-liquid-tight-conduit-fitting-90-degree")</f>
        <v/>
      </c>
      <c r="B103" s="2">
        <f>HYPERLINK("https://edmondsonsupply.com/products/cambridge-1-2-pvc-liquid-tight-conduit-fitting-90-degree", "https://edmondsonsupply.com/products/cambridge-1-2-pvc-liquid-tight-conduit-fitting-90-degree")</f>
        <v/>
      </c>
      <c r="C103" t="inlineStr">
        <is>
          <t>Cambridge 1/2" PVC Liquid Tight Conduit Fitting - 90 Degree</t>
        </is>
      </c>
      <c r="D103" t="inlineStr">
        <is>
          <t>Moicstiy 10Pcs 1/2 Inch NPT Liquid Tight Connector Nonmetallic Electrical Conduit Connector Fitting, UL Listed PVC Flexible Conduit Fittings (5Pcs Straight + 5Pcs 90 Degree)</t>
        </is>
      </c>
      <c r="E103" s="2">
        <f>HYPERLINK("https://www.amazon.com/Moicstiy-Connector-Nonmetallic-Electrical-Flexible/dp/B0B2VV972D/ref=sr_1_8?keywords=Cambridge+1%2F2%22+PVC+Liquid+Tight+Conduit+Fitting+-+90+Degree&amp;qid=1695173714&amp;sr=8-8", "https://www.amazon.com/Moicstiy-Connector-Nonmetallic-Electrical-Flexible/dp/B0B2VV972D/ref=sr_1_8?keywords=Cambridge+1%2F2%22+PVC+Liquid+Tight+Conduit+Fitting+-+90+Degree&amp;qid=1695173714&amp;sr=8-8")</f>
        <v/>
      </c>
      <c r="F103" t="inlineStr">
        <is>
          <t>B0B2VV972D</t>
        </is>
      </c>
      <c r="G103">
        <f>_xludf.IMAGE("https://edmondsonsupply.com/cdn/shop/files/W14659_01.jpg?v=1692278106")</f>
        <v/>
      </c>
      <c r="H103">
        <f>_xludf.IMAGE("https://m.media-amazon.com/images/I/61iKdaC9eHL._AC_UL320_.jpg")</f>
        <v/>
      </c>
      <c r="I103" t="inlineStr">
        <is>
          <t>1.48</t>
        </is>
      </c>
      <c r="J103" t="n">
        <v>17.49</v>
      </c>
      <c r="K103" s="3" t="inlineStr">
        <is>
          <t>1081.76%</t>
        </is>
      </c>
      <c r="L103" t="n">
        <v>4</v>
      </c>
      <c r="M103" t="n">
        <v>10</v>
      </c>
      <c r="O103" t="inlineStr">
        <is>
          <t>InStock</t>
        </is>
      </c>
      <c r="P103" t="inlineStr">
        <is>
          <t>undefined</t>
        </is>
      </c>
      <c r="Q103" t="inlineStr">
        <is>
          <t>8028224422104</t>
        </is>
      </c>
    </row>
    <row r="104">
      <c r="A104" s="2">
        <f>HYPERLINK("https://edmondsonsupply.com/collections/hvac/products/klein-tools-69445-rare-earth-magnetic-hanger-no-strap", "https://edmondsonsupply.com/collections/hvac/products/klein-tools-69445-rare-earth-magnetic-hanger-no-strap")</f>
        <v/>
      </c>
      <c r="B104" s="2">
        <f>HYPERLINK("https://edmondsonsupply.com/products/klein-tools-69445-rare-earth-magnetic-hanger-no-strap", "https://edmondsonsupply.com/products/klein-tools-69445-rare-earth-magnetic-hanger-no-strap")</f>
        <v/>
      </c>
      <c r="C104" t="inlineStr">
        <is>
          <t>Klein Tools 69445 Rare Earth Magnetic Hanger, no Strap</t>
        </is>
      </c>
      <c r="D104" t="inlineStr">
        <is>
          <t>Klein Tools ET600 Multimeter, Megohmmeter Insulation Tester, 4000 Ohms Resistance, 125V/250V/500V/1000V, Auto-Ranging TRMS Multimeter &amp; Rare-Earth Magnetic Hanger no Strap</t>
        </is>
      </c>
      <c r="E104" s="2">
        <f>HYPERLINK("https://www.amazon.com/Klein-Tools-Megohmmeter-Insulation-Ohms-Resistance-Auto-Ranging/dp/B0B7NFMBPZ/ref=sr_1_7?keywords=Klein+Tools+69445+Rare+Earth+Magnetic+Hanger%2C+no+Strap&amp;qid=1695173527&amp;sr=8-7", "https://www.amazon.com/Klein-Tools-Megohmmeter-Insulation-Ohms-Resistance-Auto-Ranging/dp/B0B7NFMBPZ/ref=sr_1_7?keywords=Klein+Tools+69445+Rare+Earth+Magnetic+Hanger%2C+no+Strap&amp;qid=1695173527&amp;sr=8-7")</f>
        <v/>
      </c>
      <c r="F104" t="inlineStr">
        <is>
          <t>B0B7NFMBPZ</t>
        </is>
      </c>
      <c r="G104">
        <f>_xludf.IMAGE("https://edmondsonsupply.com/cdn/shop/products/69445.jpg?v=1633030859")</f>
        <v/>
      </c>
      <c r="H104">
        <f>_xludf.IMAGE("https://m.media-amazon.com/images/I/61U-LeAD05L._AC_UL320_.jpg")</f>
        <v/>
      </c>
      <c r="I104" t="inlineStr">
        <is>
          <t>15.99</t>
        </is>
      </c>
      <c r="J104" t="n">
        <v>183.24</v>
      </c>
      <c r="K104" s="3" t="inlineStr">
        <is>
          <t>1045.97%</t>
        </is>
      </c>
      <c r="L104" t="n">
        <v>4.3</v>
      </c>
      <c r="M104" t="n">
        <v>4</v>
      </c>
      <c r="O104" t="inlineStr">
        <is>
          <t>InStock</t>
        </is>
      </c>
      <c r="P104" t="inlineStr">
        <is>
          <t>22.84</t>
        </is>
      </c>
      <c r="Q104" t="inlineStr">
        <is>
          <t>6112025280685</t>
        </is>
      </c>
    </row>
    <row r="105">
      <c r="A105" s="2">
        <f>HYPERLINK("https://edmondsonsupply.com/collections/hvac/products/klein-tools-69417-rare-earth-magnetic-meter-hanger", "https://edmondsonsupply.com/collections/hvac/products/klein-tools-69417-rare-earth-magnetic-meter-hanger")</f>
        <v/>
      </c>
      <c r="B105" s="2">
        <f>HYPERLINK("https://edmondsonsupply.com/products/klein-tools-69417-rare-earth-magnetic-meter-hanger", "https://edmondsonsupply.com/products/klein-tools-69417-rare-earth-magnetic-meter-hanger")</f>
        <v/>
      </c>
      <c r="C105" t="inlineStr">
        <is>
          <t>Klein Tools 69417 Rare Earth Magnetic Meter Hanger, with Strap</t>
        </is>
      </c>
      <c r="D105" t="inlineStr">
        <is>
          <t>Klein Tools CL800 Digital Clamp Meter, Autoranging TRMS &amp; Klein Tools 69409 Line Splitter 10x, Black &amp; Klein Tools 69417 Rare-Earth Magnetic Hanger, with Strap</t>
        </is>
      </c>
      <c r="E105" s="2">
        <f>HYPERLINK("https://www.amazon.com/Klein-Tools-Autoranging-Splitter-Rare-Earth/dp/B0C99CGRNM/ref=sr_1_8?keywords=Klein+Tools+69417+Rare+Earth+Magnetic+Meter+Hanger%2C+with+Strap&amp;qid=1695173681&amp;sr=8-8", "https://www.amazon.com/Klein-Tools-Autoranging-Splitter-Rare-Earth/dp/B0C99CGRNM/ref=sr_1_8?keywords=Klein+Tools+69417+Rare+Earth+Magnetic+Meter+Hanger%2C+with+Strap&amp;qid=1695173681&amp;sr=8-8")</f>
        <v/>
      </c>
      <c r="F105" t="inlineStr">
        <is>
          <t>B0C99CGRNM</t>
        </is>
      </c>
      <c r="G105">
        <f>_xludf.IMAGE("https://edmondsonsupply.com/cdn/shop/products/69417.jpg?v=1587150163")</f>
        <v/>
      </c>
      <c r="H105">
        <f>_xludf.IMAGE("https://m.media-amazon.com/images/I/51cRT-bTN5L._AC_UL320_.jpg")</f>
        <v/>
      </c>
      <c r="I105" t="inlineStr">
        <is>
          <t>13.99</t>
        </is>
      </c>
      <c r="J105" t="n">
        <v>159.93</v>
      </c>
      <c r="K105" s="3" t="inlineStr">
        <is>
          <t>1043.17%</t>
        </is>
      </c>
      <c r="L105" t="n">
        <v>5</v>
      </c>
      <c r="M105" t="n">
        <v>3</v>
      </c>
      <c r="O105" t="inlineStr">
        <is>
          <t>InStock</t>
        </is>
      </c>
      <c r="P105" t="inlineStr">
        <is>
          <t>20.0</t>
        </is>
      </c>
      <c r="Q105" t="inlineStr">
        <is>
          <t>1778073731172</t>
        </is>
      </c>
    </row>
    <row r="106">
      <c r="A106" s="2">
        <f>HYPERLINK("https://edmondsonsupply.com/collections/hvac/products/nu-calgon-4289-05", "https://edmondsonsupply.com/collections/hvac/products/nu-calgon-4289-05")</f>
        <v/>
      </c>
      <c r="B106" s="2">
        <f>HYPERLINK("https://edmondsonsupply.com/products/nu-calgon-4289-05", "https://edmondsonsupply.com/products/nu-calgon-4289-05")</f>
        <v/>
      </c>
      <c r="C106" t="inlineStr">
        <is>
          <t>Nu-Calgon 4289-05 Refrigerant Sealant 10ml</t>
        </is>
      </c>
      <c r="D106" t="inlineStr">
        <is>
          <t>Nu-Calgon 4050-11 EasySeal Direct Inject-UV Dye Refrigerant Leak Sealant, One Size Treats Systems 2 to 7.5 Tons</t>
        </is>
      </c>
      <c r="E106" s="2">
        <f>HYPERLINK("https://www.amazon.com/Nu-Calgon-4050-11-EasySeal-Inject-UV-Refrigerant/dp/B072Q3MX47/ref=sr_1_4?keywords=Nu-Calgon+4289-05+Refrigerant+Sealant+10ml&amp;qid=1695173754&amp;sr=8-4", "https://www.amazon.com/Nu-Calgon-4050-11-EasySeal-Inject-UV-Refrigerant/dp/B072Q3MX47/ref=sr_1_4?keywords=Nu-Calgon+4289-05+Refrigerant+Sealant+10ml&amp;qid=1695173754&amp;sr=8-4")</f>
        <v/>
      </c>
      <c r="F106" t="inlineStr">
        <is>
          <t>B072Q3MX47</t>
        </is>
      </c>
      <c r="G106">
        <f>_xludf.IMAGE("https://edmondsonsupply.com/cdn/shop/files/4289-05_20201019.jpg?v=1687444499")</f>
        <v/>
      </c>
      <c r="H106">
        <f>_xludf.IMAGE("https://m.media-amazon.com/images/I/51kJOZZkRVL._AC_UL320_.jpg")</f>
        <v/>
      </c>
      <c r="I106" t="inlineStr">
        <is>
          <t>5.89</t>
        </is>
      </c>
      <c r="J106" t="n">
        <v>66.09</v>
      </c>
      <c r="K106" s="3" t="inlineStr">
        <is>
          <t>1022.07%</t>
        </is>
      </c>
      <c r="L106" t="n">
        <v>4.4</v>
      </c>
      <c r="M106" t="n">
        <v>209</v>
      </c>
      <c r="O106" t="inlineStr">
        <is>
          <t>InStock</t>
        </is>
      </c>
      <c r="P106" t="inlineStr">
        <is>
          <t>9.0</t>
        </is>
      </c>
      <c r="Q106" t="inlineStr">
        <is>
          <t>8007254081752</t>
        </is>
      </c>
    </row>
    <row r="107">
      <c r="A107" s="2">
        <f>HYPERLINK("https://edmondsonsupply.com/collections/hvac/products/nu-calgon-4300-50-rx11-flush-line-set-flushing-tool", "https://edmondsonsupply.com/collections/hvac/products/nu-calgon-4300-50-rx11-flush-line-set-flushing-tool")</f>
        <v/>
      </c>
      <c r="B107" s="2">
        <f>HYPERLINK("https://edmondsonsupply.com/products/nu-calgon-4300-50-rx11-flush-line-set-flushing-tool", "https://edmondsonsupply.com/products/nu-calgon-4300-50-rx11-flush-line-set-flushing-tool")</f>
        <v/>
      </c>
      <c r="C107" t="inlineStr">
        <is>
          <t>Nu-Calgon 4300-50 Rx11-Flush Line Set Flushing Tool</t>
        </is>
      </c>
      <c r="D107" t="inlineStr">
        <is>
          <t>Nu-Calgon 4300-11 - Rx11 Line Set Flush 2 lb. Canister</t>
        </is>
      </c>
      <c r="E107" s="2">
        <f>HYPERLINK("https://www.amazon.com/Nu-Calgon-4300-11-Rx11-Flush-Canister/dp/B007IB7NY0/ref=sr_1_4?keywords=Nu-Calgon+4300-50+Rx11-Flush+Line+Set+Flushing+Tool&amp;qid=1695173433&amp;sr=8-4", "https://www.amazon.com/Nu-Calgon-4300-11-Rx11-Flush-Canister/dp/B007IB7NY0/ref=sr_1_4?keywords=Nu-Calgon+4300-50+Rx11-Flush+Line+Set+Flushing+Tool&amp;qid=1695173433&amp;sr=8-4")</f>
        <v/>
      </c>
      <c r="F107" t="inlineStr">
        <is>
          <t>B007IB7NY0</t>
        </is>
      </c>
      <c r="G107">
        <f>_xludf.IMAGE("https://edmondsonsupply.com/cdn/shop/products/4300-50.jpg?v=1658784510")</f>
        <v/>
      </c>
      <c r="H107">
        <f>_xludf.IMAGE("https://m.media-amazon.com/images/I/71IhoPdEsHL._AC_UL320_.jpg")</f>
        <v/>
      </c>
      <c r="I107" t="inlineStr">
        <is>
          <t>13.53</t>
        </is>
      </c>
      <c r="J107" t="n">
        <v>130</v>
      </c>
      <c r="K107" s="3" t="inlineStr">
        <is>
          <t>860.83%</t>
        </is>
      </c>
      <c r="L107" t="n">
        <v>5</v>
      </c>
      <c r="M107" t="n">
        <v>1</v>
      </c>
      <c r="O107" t="inlineStr">
        <is>
          <t>InStock</t>
        </is>
      </c>
      <c r="P107" t="inlineStr">
        <is>
          <t>20.82</t>
        </is>
      </c>
      <c r="Q107" t="inlineStr">
        <is>
          <t>7760937058520</t>
        </is>
      </c>
    </row>
    <row r="108">
      <c r="A108" s="2">
        <f>HYPERLINK("https://edmondsonsupply.com/collections/hvac/products/klein-tools-69445-rare-earth-magnetic-hanger-no-strap", "https://edmondsonsupply.com/collections/hvac/products/klein-tools-69445-rare-earth-magnetic-hanger-no-strap")</f>
        <v/>
      </c>
      <c r="B108" s="2">
        <f>HYPERLINK("https://edmondsonsupply.com/products/klein-tools-69445-rare-earth-magnetic-hanger-no-strap", "https://edmondsonsupply.com/products/klein-tools-69445-rare-earth-magnetic-hanger-no-strap")</f>
        <v/>
      </c>
      <c r="C108" t="inlineStr">
        <is>
          <t>Klein Tools 69445 Rare Earth Magnetic Hanger, no Strap</t>
        </is>
      </c>
      <c r="D108" t="inlineStr">
        <is>
          <t>Klein Tools CL800 Digital Clamp Meter, Autoranging TRMS, AC/DC Volt/Current, LOZ, Continuity, Frequency, Capacitance, NCVT, Temp, More 1000V &amp; Rare-Earth Magnetic Hanger no Strap</t>
        </is>
      </c>
      <c r="E108" s="2">
        <f>HYPERLINK("https://www.amazon.com/Klein-Tools-Autoranging-Continuity-Capacitance/dp/B0BFXMP222/ref=sr_1_5?keywords=Klein+Tools+69445+Rare+Earth+Magnetic+Hanger%2C+no+Strap&amp;qid=1695173527&amp;sr=8-5", "https://www.amazon.com/Klein-Tools-Autoranging-Continuity-Capacitance/dp/B0BFXMP222/ref=sr_1_5?keywords=Klein+Tools+69445+Rare+Earth+Magnetic+Hanger%2C+no+Strap&amp;qid=1695173527&amp;sr=8-5")</f>
        <v/>
      </c>
      <c r="F108" t="inlineStr">
        <is>
          <t>B0BFXMP222</t>
        </is>
      </c>
      <c r="G108">
        <f>_xludf.IMAGE("https://edmondsonsupply.com/cdn/shop/products/69445.jpg?v=1633030859")</f>
        <v/>
      </c>
      <c r="H108">
        <f>_xludf.IMAGE("https://m.media-amazon.com/images/I/61-gHKKfiPL._AC_UL320_.jpg")</f>
        <v/>
      </c>
      <c r="I108" t="inlineStr">
        <is>
          <t>15.99</t>
        </is>
      </c>
      <c r="J108" t="n">
        <v>148.22</v>
      </c>
      <c r="K108" s="3" t="inlineStr">
        <is>
          <t>826.95%</t>
        </is>
      </c>
      <c r="L108" t="n">
        <v>4.7</v>
      </c>
      <c r="M108" t="n">
        <v>15</v>
      </c>
      <c r="O108" t="inlineStr">
        <is>
          <t>InStock</t>
        </is>
      </c>
      <c r="P108" t="inlineStr">
        <is>
          <t>22.84</t>
        </is>
      </c>
      <c r="Q108" t="inlineStr">
        <is>
          <t>6112025280685</t>
        </is>
      </c>
    </row>
    <row r="109">
      <c r="A109" s="2">
        <f>HYPERLINK("https://edmondsonsupply.com/collections/hvac/products/cambridge-3-4-pvc-liquid-tight-conduit-fitting-90-degree", "https://edmondsonsupply.com/collections/hvac/products/cambridge-3-4-pvc-liquid-tight-conduit-fitting-90-degree")</f>
        <v/>
      </c>
      <c r="B109" s="2">
        <f>HYPERLINK("https://edmondsonsupply.com/products/cambridge-3-4-pvc-liquid-tight-conduit-fitting-90-degree", "https://edmondsonsupply.com/products/cambridge-3-4-pvc-liquid-tight-conduit-fitting-90-degree")</f>
        <v/>
      </c>
      <c r="C109" t="inlineStr">
        <is>
          <t>Cambridge 3/4" PVC Liquid Tight Conduit Fitting - 90 Degree</t>
        </is>
      </c>
      <c r="D109" t="inlineStr">
        <is>
          <t>Moicstiy 3/4 Inch NPT Liquid Tight Connector 90 Degree Nonmetallic Electrical PVC Conduit Connector Fitting(6Pcs)</t>
        </is>
      </c>
      <c r="E109" s="2">
        <f>HYPERLINK("https://www.amazon.com/Moicstiy-Connector-Nonmetallic-Electrical-Flexible/dp/B0B2VDMQ8D/ref=sr_1_7?keywords=Cambridge+3%2F4%22+PVC+Liquid+Tight+Conduit+Fitting+-+90+Degree&amp;qid=1695173711&amp;sr=8-7", "https://www.amazon.com/Moicstiy-Connector-Nonmetallic-Electrical-Flexible/dp/B0B2VDMQ8D/ref=sr_1_7?keywords=Cambridge+3%2F4%22+PVC+Liquid+Tight+Conduit+Fitting+-+90+Degree&amp;qid=1695173711&amp;sr=8-7")</f>
        <v/>
      </c>
      <c r="F109" t="inlineStr">
        <is>
          <t>B0B2VDMQ8D</t>
        </is>
      </c>
      <c r="G109">
        <f>_xludf.IMAGE("https://edmondsonsupply.com/cdn/shop/files/W14657_01.jpg?v=1692278537")</f>
        <v/>
      </c>
      <c r="H109">
        <f>_xludf.IMAGE("https://m.media-amazon.com/images/I/61YzGobupRL._AC_UL320_.jpg")</f>
        <v/>
      </c>
      <c r="I109" t="inlineStr">
        <is>
          <t>1.8</t>
        </is>
      </c>
      <c r="J109" t="n">
        <v>15.79</v>
      </c>
      <c r="K109" s="3" t="inlineStr">
        <is>
          <t>777.22%</t>
        </is>
      </c>
      <c r="L109" t="n">
        <v>4</v>
      </c>
      <c r="M109" t="n">
        <v>10</v>
      </c>
      <c r="O109" t="inlineStr">
        <is>
          <t>InStock</t>
        </is>
      </c>
      <c r="P109" t="inlineStr">
        <is>
          <t>undefined</t>
        </is>
      </c>
      <c r="Q109" t="inlineStr">
        <is>
          <t>8028225175768</t>
        </is>
      </c>
    </row>
    <row r="110">
      <c r="A110" s="2">
        <f>HYPERLINK("https://edmondsonsupply.com/collections/hvac/products/klein-tools-69417-rare-earth-magnetic-meter-hanger", "https://edmondsonsupply.com/collections/hvac/products/klein-tools-69417-rare-earth-magnetic-meter-hanger")</f>
        <v/>
      </c>
      <c r="B110" s="2">
        <f>HYPERLINK("https://edmondsonsupply.com/products/klein-tools-69417-rare-earth-magnetic-meter-hanger", "https://edmondsonsupply.com/products/klein-tools-69417-rare-earth-magnetic-meter-hanger")</f>
        <v/>
      </c>
      <c r="C110" t="inlineStr">
        <is>
          <t>Klein Tools 69417 Rare Earth Magnetic Meter Hanger, with Strap</t>
        </is>
      </c>
      <c r="D110" t="inlineStr">
        <is>
          <t>Klein Tools CL700 Autoranging Digital Clamp Meter, TRMS 600Amp, AC/DC Volts, Current, LOZ, Continuity, Frequency, NCVT, Temp, More, 1000V &amp; 69417 Rare-Earth Magnetic Hanger, with Strap</t>
        </is>
      </c>
      <c r="E110" s="2">
        <f>HYPERLINK("https://www.amazon.com/Klein-Tools-Autoranging-Continuity-Rare-Earth/dp/B0BFXLZRVQ/ref=sr_1_6?keywords=Klein+Tools+69417+Rare+Earth+Magnetic+Meter+Hanger%2C+with+Strap&amp;qid=1695173681&amp;sr=8-6", "https://www.amazon.com/Klein-Tools-Autoranging-Continuity-Rare-Earth/dp/B0BFXLZRVQ/ref=sr_1_6?keywords=Klein+Tools+69417+Rare+Earth+Magnetic+Meter+Hanger%2C+with+Strap&amp;qid=1695173681&amp;sr=8-6")</f>
        <v/>
      </c>
      <c r="F110" t="inlineStr">
        <is>
          <t>B0BFXLZRVQ</t>
        </is>
      </c>
      <c r="G110">
        <f>_xludf.IMAGE("https://edmondsonsupply.com/cdn/shop/products/69417.jpg?v=1587150163")</f>
        <v/>
      </c>
      <c r="H110">
        <f>_xludf.IMAGE("https://m.media-amazon.com/images/I/512fcqciBhL._AC_UL320_.jpg")</f>
        <v/>
      </c>
      <c r="I110" t="inlineStr">
        <is>
          <t>13.99</t>
        </is>
      </c>
      <c r="J110" t="n">
        <v>105.38</v>
      </c>
      <c r="K110" s="3" t="inlineStr">
        <is>
          <t>653.25%</t>
        </is>
      </c>
      <c r="L110" t="n">
        <v>4.7</v>
      </c>
      <c r="M110" t="n">
        <v>550</v>
      </c>
      <c r="O110" t="inlineStr">
        <is>
          <t>InStock</t>
        </is>
      </c>
      <c r="P110" t="inlineStr">
        <is>
          <t>20.0</t>
        </is>
      </c>
      <c r="Q110" t="inlineStr">
        <is>
          <t>1778073731172</t>
        </is>
      </c>
    </row>
    <row r="111">
      <c r="A111" s="2">
        <f>HYPERLINK("https://edmondsonsupply.com/collections/hvac/products/klein-tools-69410-replacement-test-lead-set-right-angle", "https://edmondsonsupply.com/collections/hvac/products/klein-tools-69410-replacement-test-lead-set-right-angle")</f>
        <v/>
      </c>
      <c r="B111" s="2">
        <f>HYPERLINK("https://edmondsonsupply.com/products/klein-tools-69410-replacement-test-lead-set-right-angle", "https://edmondsonsupply.com/products/klein-tools-69410-replacement-test-lead-set-right-angle")</f>
        <v/>
      </c>
      <c r="C111" t="inlineStr">
        <is>
          <t>Klein Tools 69410 Replacement Test Lead Set, Right Angle</t>
        </is>
      </c>
      <c r="D111" t="inlineStr">
        <is>
          <t>Klein Tools CL800 Digital Clamp Meter, Autoranging TRMS, AC/DC Volt/Current, LOZ, Continuity, Frequency, Capacitance, NCVT, Temp, More 1000V &amp; Test Lead Set, Right Angle Klein Tools 69410</t>
        </is>
      </c>
      <c r="E111" s="2">
        <f>HYPERLINK("https://www.amazon.com/Klein-Tools-Autoranging-Continuity-Capacitance/dp/B0B2D3PJS9/ref=sr_1_9?keywords=Klein+Tools+69410+Replacement+Test+Lead+Set%2C+Right+Angle&amp;qid=1695173692&amp;sr=8-9", "https://www.amazon.com/Klein-Tools-Autoranging-Continuity-Capacitance/dp/B0B2D3PJS9/ref=sr_1_9?keywords=Klein+Tools+69410+Replacement+Test+Lead+Set%2C+Right+Angle&amp;qid=1695173692&amp;sr=8-9")</f>
        <v/>
      </c>
      <c r="F111" t="inlineStr">
        <is>
          <t>B0B2D3PJS9</t>
        </is>
      </c>
      <c r="G111">
        <f>_xludf.IMAGE("https://edmondsonsupply.com/cdn/shop/products/69410.jpg?v=1587143393")</f>
        <v/>
      </c>
      <c r="H111">
        <f>_xludf.IMAGE("https://m.media-amazon.com/images/I/61lou4CYiIL._AC_UY218_.jpg")</f>
        <v/>
      </c>
      <c r="I111" t="inlineStr">
        <is>
          <t>19.97</t>
        </is>
      </c>
      <c r="J111" t="n">
        <v>149.94</v>
      </c>
      <c r="K111" s="3" t="inlineStr">
        <is>
          <t>650.83%</t>
        </is>
      </c>
      <c r="L111" t="n">
        <v>4.7</v>
      </c>
      <c r="M111" t="n">
        <v>15</v>
      </c>
      <c r="O111" t="inlineStr">
        <is>
          <t>InStock</t>
        </is>
      </c>
      <c r="P111" t="inlineStr">
        <is>
          <t>27.1</t>
        </is>
      </c>
      <c r="Q111" t="inlineStr">
        <is>
          <t>4274171543652</t>
        </is>
      </c>
    </row>
    <row r="112">
      <c r="A112" s="2">
        <f>HYPERLINK("https://edmondsonsupply.com/collections/hvac/products/packard-ttmj108-motor-start-capacitor-108-130-mfd-220-250-vac", "https://edmondsonsupply.com/collections/hvac/products/packard-ttmj108-motor-start-capacitor-108-130-mfd-220-250-vac")</f>
        <v/>
      </c>
      <c r="B112" s="2">
        <f>HYPERLINK("https://edmondsonsupply.com/products/packard-ttmj108-motor-start-capacitor-108-130-mfd-220-250-vac", "https://edmondsonsupply.com/products/packard-ttmj108-motor-start-capacitor-108-130-mfd-220-250-vac")</f>
        <v/>
      </c>
      <c r="C112" t="inlineStr">
        <is>
          <t>Packard TTMJ108 Motor Start Capacitor 108-130 MFD 220-250 VAC</t>
        </is>
      </c>
      <c r="D112" t="inlineStr">
        <is>
          <t>Pooltek Start Capacitor, 108-130 MFD, 220-250 VAC</t>
        </is>
      </c>
      <c r="E112" s="2">
        <f>HYPERLINK("https://www.amazon.com/Pooltek-Start-Capacitor-108-130-220v/dp/B07D71163G/ref=sr_1_5?keywords=Packard+TTMJ108+Motor+Start+Capacitor+108-130+MFD+220-250+VAC&amp;qid=1695173723&amp;sr=8-5", "https://www.amazon.com/Pooltek-Start-Capacitor-108-130-220v/dp/B07D71163G/ref=sr_1_5?keywords=Packard+TTMJ108+Motor+Start+Capacitor+108-130+MFD+220-250+VAC&amp;qid=1695173723&amp;sr=8-5")</f>
        <v/>
      </c>
      <c r="F112" t="inlineStr">
        <is>
          <t>B07D71163G</t>
        </is>
      </c>
      <c r="G112">
        <f>_xludf.IMAGE("https://edmondsonsupply.com/cdn/shop/files/PTMJ108-2_c3537879-2bfc-401f-867d-9ee4aaa5c4bb.jpg?v=1692220228")</f>
        <v/>
      </c>
      <c r="H112">
        <f>_xludf.IMAGE("https://m.media-amazon.com/images/I/51sr2-VxrUL._AC_UY218_.jpg")</f>
        <v/>
      </c>
      <c r="I112" t="inlineStr">
        <is>
          <t>4.39</t>
        </is>
      </c>
      <c r="J112" t="n">
        <v>32.4</v>
      </c>
      <c r="K112" s="3" t="inlineStr">
        <is>
          <t>638.04%</t>
        </is>
      </c>
      <c r="L112" t="n">
        <v>5</v>
      </c>
      <c r="M112" t="n">
        <v>1</v>
      </c>
      <c r="O112" t="inlineStr">
        <is>
          <t>InStock</t>
        </is>
      </c>
      <c r="P112" t="inlineStr">
        <is>
          <t>undefined</t>
        </is>
      </c>
      <c r="Q112" t="inlineStr">
        <is>
          <t>8028091154648</t>
        </is>
      </c>
    </row>
    <row r="113">
      <c r="A113" s="2">
        <f>HYPERLINK("https://edmondsonsupply.com/collections/hvac/products/klein-tools-646-1-4-1-4-inch-nut-driver-with-6-inch-hollow-shaft", "https://edmondsonsupply.com/collections/hvac/products/klein-tools-646-1-4-1-4-inch-nut-driver-with-6-inch-hollow-shaft")</f>
        <v/>
      </c>
      <c r="B113" s="2">
        <f>HYPERLINK("https://edmondsonsupply.com/products/klein-tools-646-1-4-1-4-inch-nut-driver-with-6-inch-hollow-shaft", "https://edmondsonsupply.com/products/klein-tools-646-1-4-1-4-inch-nut-driver-with-6-inch-hollow-shaft")</f>
        <v/>
      </c>
      <c r="C113" t="inlineStr">
        <is>
          <t>Klein Tools 646-1/4 1/4-Inch Nut Driver with 6-Inch Hollow Shaft</t>
        </is>
      </c>
      <c r="D113" t="inlineStr">
        <is>
          <t>Klein Tools 647 Tool Set, Nut Drivers Sizes 3/16, 1/4, 5/16, 11/32, 3/8, 7/16, 1/2-Inch, Chrome-Plated 6-Inch Shafts, Cushion Grip, 7-Piece</t>
        </is>
      </c>
      <c r="E113" s="2">
        <f>HYPERLINK("https://www.amazon.com/Driver-6-Inch-Klein-Tools-647/dp/B0014KRVXO/ref=sr_1_10?keywords=Klein+Tools+646-1%2F4+1%2F4-Inch+Nut+Driver+with+6-Inch+Hollow+Shaft&amp;qid=1695173548&amp;sr=8-10", "https://www.amazon.com/Driver-6-Inch-Klein-Tools-647/dp/B0014KRVXO/ref=sr_1_10?keywords=Klein+Tools+646-1%2F4+1%2F4-Inch+Nut+Driver+with+6-Inch+Hollow+Shaft&amp;qid=1695173548&amp;sr=8-10")</f>
        <v/>
      </c>
      <c r="F113" t="inlineStr">
        <is>
          <t>B0014KRVXO</t>
        </is>
      </c>
      <c r="G113">
        <f>_xludf.IMAGE("https://edmondsonsupply.com/cdn/shop/products/646-1-2_08d87fa9-eac4-4869-8d3b-bb680d4b1d53.jpg?v=1587150676")</f>
        <v/>
      </c>
      <c r="H113">
        <f>_xludf.IMAGE("https://m.media-amazon.com/images/I/51usUk-EpGL._AC_UL320_.jpg")</f>
        <v/>
      </c>
      <c r="I113" t="inlineStr">
        <is>
          <t>7.99</t>
        </is>
      </c>
      <c r="J113" t="n">
        <v>57.99</v>
      </c>
      <c r="K113" s="3" t="inlineStr">
        <is>
          <t>625.78%</t>
        </is>
      </c>
      <c r="L113" t="n">
        <v>4.8</v>
      </c>
      <c r="M113" t="n">
        <v>735</v>
      </c>
      <c r="O113" t="inlineStr">
        <is>
          <t>InStock</t>
        </is>
      </c>
      <c r="P113" t="inlineStr">
        <is>
          <t>12.1</t>
        </is>
      </c>
      <c r="Q113" t="inlineStr">
        <is>
          <t>4439433740388</t>
        </is>
      </c>
    </row>
    <row r="114">
      <c r="A114" s="2">
        <f>HYPERLINK("https://edmondsonsupply.com/collections/hvac/products/klein-tools-69417-rare-earth-magnetic-meter-hanger", "https://edmondsonsupply.com/collections/hvac/products/klein-tools-69417-rare-earth-magnetic-meter-hanger")</f>
        <v/>
      </c>
      <c r="B114" s="2">
        <f>HYPERLINK("https://edmondsonsupply.com/products/klein-tools-69417-rare-earth-magnetic-meter-hanger", "https://edmondsonsupply.com/products/klein-tools-69417-rare-earth-magnetic-meter-hanger")</f>
        <v/>
      </c>
      <c r="C114" t="inlineStr">
        <is>
          <t>Klein Tools 69417 Rare Earth Magnetic Meter Hanger, with Strap</t>
        </is>
      </c>
      <c r="D114" t="inlineStr">
        <is>
          <t>Klein Tools CL600 Electrical Tester, Digital Clamp Meter has Autorange TRMS, Measures AC Current, AC/DC Volts, Resistance, NCVT, More, 1000V &amp; 69417 Rare-Earth Magnetic Hanger, with Strap</t>
        </is>
      </c>
      <c r="E114" s="2">
        <f>HYPERLINK("https://www.amazon.com/Klein-Tools-Electrical-Resistance-Rare-Earth/dp/B0BFXMTPBR/ref=sr_1_7?keywords=Klein+Tools+69417+Rare+Earth+Magnetic+Meter+Hanger%2C+with+Strap&amp;qid=1695173681&amp;sr=8-7", "https://www.amazon.com/Klein-Tools-Electrical-Resistance-Rare-Earth/dp/B0BFXMTPBR/ref=sr_1_7?keywords=Klein+Tools+69417+Rare+Earth+Magnetic+Meter+Hanger%2C+with+Strap&amp;qid=1695173681&amp;sr=8-7")</f>
        <v/>
      </c>
      <c r="F114" t="inlineStr">
        <is>
          <t>B0BFXMTPBR</t>
        </is>
      </c>
      <c r="G114">
        <f>_xludf.IMAGE("https://edmondsonsupply.com/cdn/shop/products/69417.jpg?v=1587150163")</f>
        <v/>
      </c>
      <c r="H114">
        <f>_xludf.IMAGE("https://m.media-amazon.com/images/I/51msS05sJzL._AC_UL320_.jpg")</f>
        <v/>
      </c>
      <c r="I114" t="inlineStr">
        <is>
          <t>13.99</t>
        </is>
      </c>
      <c r="J114" t="n">
        <v>93.95999999999999</v>
      </c>
      <c r="K114" s="3" t="inlineStr">
        <is>
          <t>571.62%</t>
        </is>
      </c>
      <c r="L114" t="n">
        <v>5</v>
      </c>
      <c r="M114" t="n">
        <v>2</v>
      </c>
      <c r="O114" t="inlineStr">
        <is>
          <t>InStock</t>
        </is>
      </c>
      <c r="P114" t="inlineStr">
        <is>
          <t>20.0</t>
        </is>
      </c>
      <c r="Q114" t="inlineStr">
        <is>
          <t>1778073731172</t>
        </is>
      </c>
    </row>
    <row r="115">
      <c r="A115" s="2">
        <f>HYPERLINK("https://edmondsonsupply.com/collections/hvac/products/bacharach-3015-0486-h-10-pro-refrigerant-leak-detector-replacement-sensor", "https://edmondsonsupply.com/collections/hvac/products/bacharach-3015-0486-h-10-pro-refrigerant-leak-detector-replacement-sensor")</f>
        <v/>
      </c>
      <c r="B115" s="2">
        <f>HYPERLINK("https://edmondsonsupply.com/products/bacharach-3015-0486-h-10-pro-refrigerant-leak-detector-replacement-sensor", "https://edmondsonsupply.com/products/bacharach-3015-0486-h-10-pro-refrigerant-leak-detector-replacement-sensor")</f>
        <v/>
      </c>
      <c r="C115" t="inlineStr">
        <is>
          <t>Bacharach 3015-0486 H-10 PRO Refrigerant Leak Detector Replacement Sensor</t>
        </is>
      </c>
      <c r="D115" t="inlineStr">
        <is>
          <t>Bacharach 3015-8004 H-10 Pro Refrigerant Leak Detectors</t>
        </is>
      </c>
      <c r="E115" s="2">
        <f>HYPERLINK("https://www.amazon.com/Bacharach-3015-8004-H-10-Refrigerant-Detectors/dp/B017PEZAUI/ref=sr_1_2?keywords=Bacharach+3015-0486+H-10+PRO+Refrigerant+Leak+Detector+Replacement+Sensor&amp;qid=1695173505&amp;sr=8-2", "https://www.amazon.com/Bacharach-3015-8004-H-10-Refrigerant-Detectors/dp/B017PEZAUI/ref=sr_1_2?keywords=Bacharach+3015-0486+H-10+PRO+Refrigerant+Leak+Detector+Replacement+Sensor&amp;qid=1695173505&amp;sr=8-2")</f>
        <v/>
      </c>
      <c r="F115" t="inlineStr">
        <is>
          <t>B017PEZAUI</t>
        </is>
      </c>
      <c r="G115">
        <f>_xludf.IMAGE("https://edmondsonsupply.com/cdn/shop/products/3015.png?v=1664282949")</f>
        <v/>
      </c>
      <c r="H115">
        <f>_xludf.IMAGE("https://m.media-amazon.com/images/I/81t1EHtEgPS._AC_UL320_.jpg")</f>
        <v/>
      </c>
      <c r="I115" t="inlineStr">
        <is>
          <t>146.7</t>
        </is>
      </c>
      <c r="J115" t="n">
        <v>974.99</v>
      </c>
      <c r="K115" s="3" t="inlineStr">
        <is>
          <t>564.61%</t>
        </is>
      </c>
      <c r="L115" t="n">
        <v>4</v>
      </c>
      <c r="M115" t="n">
        <v>21</v>
      </c>
      <c r="O115" t="inlineStr">
        <is>
          <t>InStock</t>
        </is>
      </c>
      <c r="P115" t="inlineStr">
        <is>
          <t>163.0</t>
        </is>
      </c>
      <c r="Q115" t="inlineStr">
        <is>
          <t>7830926622936</t>
        </is>
      </c>
    </row>
    <row r="116">
      <c r="A116" s="2">
        <f>HYPERLINK("https://edmondsonsupply.com/collections/hvac/products/kroil-ks132-original-penetrant-aerosol-13oz-can", "https://edmondsonsupply.com/collections/hvac/products/kroil-ks132-original-penetrant-aerosol-13oz-can")</f>
        <v/>
      </c>
      <c r="B116" s="2">
        <f>HYPERLINK("https://edmondsonsupply.com/products/kroil-ks132-original-penetrant-aerosol-13oz-can", "https://edmondsonsupply.com/products/kroil-ks132-original-penetrant-aerosol-13oz-can")</f>
        <v/>
      </c>
      <c r="C116" t="inlineStr">
        <is>
          <t>Kroil KS132 Original Penetrant Aerosol 13oz can</t>
        </is>
      </c>
      <c r="D116" t="inlineStr">
        <is>
          <t>Kroil Penetrant with Graphite (Aerosol Spray-13oz Can-Case of 6) | High Temperature Penetrating Lubricant for Small Gaps, Corroded Metal, Seized Parts (AZPH132C6)</t>
        </is>
      </c>
      <c r="E116" s="2">
        <f>HYPERLINK("https://www.amazon.com/Penetrant-Spray-13oz-Temperature-Penetrating-AZPH132C6/dp/B0B31ZX4SZ/ref=sr_1_7?keywords=Kroil+KS132+Original+Penetrant+Aerosol+13oz+can&amp;qid=1695173755&amp;sr=8-7", "https://www.amazon.com/Penetrant-Spray-13oz-Temperature-Penetrating-AZPH132C6/dp/B0B31ZX4SZ/ref=sr_1_7?keywords=Kroil+KS132+Original+Penetrant+Aerosol+13oz+can&amp;qid=1695173755&amp;sr=8-7")</f>
        <v/>
      </c>
      <c r="F116" t="inlineStr">
        <is>
          <t>B0B31ZX4SZ</t>
        </is>
      </c>
      <c r="G116">
        <f>_xludf.IMAGE("https://edmondsonsupply.com/cdn/shop/files/ks132.webp?v=1686779771")</f>
        <v/>
      </c>
      <c r="H116">
        <f>_xludf.IMAGE("https://m.media-amazon.com/images/I/518-tX6kD8L._AC_UY218_.jpg")</f>
        <v/>
      </c>
      <c r="I116" t="inlineStr">
        <is>
          <t>23.79</t>
        </is>
      </c>
      <c r="J116" t="n">
        <v>149.99</v>
      </c>
      <c r="K116" s="3" t="inlineStr">
        <is>
          <t>530.47%</t>
        </is>
      </c>
      <c r="L116" t="n">
        <v>5</v>
      </c>
      <c r="M116" t="n">
        <v>4</v>
      </c>
      <c r="O116" t="inlineStr">
        <is>
          <t>InStock</t>
        </is>
      </c>
      <c r="P116" t="inlineStr">
        <is>
          <t>27.4</t>
        </is>
      </c>
      <c r="Q116" t="inlineStr">
        <is>
          <t>8005750554840</t>
        </is>
      </c>
    </row>
    <row r="117">
      <c r="A117" s="2">
        <f>HYPERLINK("https://edmondsonsupply.com/collections/hvac/products/klein-tools-65200-electricians-mini-ratchet-set-5-piece", "https://edmondsonsupply.com/collections/hvac/products/klein-tools-65200-electricians-mini-ratchet-set-5-piece")</f>
        <v/>
      </c>
      <c r="B117" s="2">
        <f>HYPERLINK("https://edmondsonsupply.com/products/klein-tools-65200-electricians-mini-ratchet-set-5-piece", "https://edmondsonsupply.com/products/klein-tools-65200-electricians-mini-ratchet-set-5-piece")</f>
        <v/>
      </c>
      <c r="C117" t="inlineStr">
        <is>
          <t>Klein Tools 65200 Slim-Profile Mini Ratchet Set, 5-Piece</t>
        </is>
      </c>
      <c r="D117" t="inlineStr">
        <is>
          <t>KNIPEX Tools - 2 Piece Mini Pliers Wrench Set (9K0080121US) &amp; Klein Tools 65200 Ratchet Set, 5-Piece Mini Ratchet Set with Phillips, Slotted, and Adapter for Other Socket Sizes, For Tight Spaces</t>
        </is>
      </c>
      <c r="E117" s="2">
        <f>HYPERLINK("https://www.amazon.com/KNIPEX-Tools-9K0080121US-Ratchet-Phillips/dp/B0C9ZYJDDN/ref=sr_1_5?keywords=Klein+Tools+65200+Slim-Profile+Mini+Ratchet+Set%2C+5-Piece&amp;qid=1695173348&amp;sr=8-5", "https://www.amazon.com/KNIPEX-Tools-9K0080121US-Ratchet-Phillips/dp/B0C9ZYJDDN/ref=sr_1_5?keywords=Klein+Tools+65200+Slim-Profile+Mini+Ratchet+Set%2C+5-Piece&amp;qid=1695173348&amp;sr=8-5")</f>
        <v/>
      </c>
      <c r="F117" t="inlineStr">
        <is>
          <t>B0C9ZYJDDN</t>
        </is>
      </c>
      <c r="G117">
        <f>_xludf.IMAGE("https://edmondsonsupply.com/cdn/shop/products/65200.jpg?v=1633030630")</f>
        <v/>
      </c>
      <c r="H117">
        <f>_xludf.IMAGE("https://m.media-amazon.com/images/I/516RxJHqDiL._AC_UL320_.jpg")</f>
        <v/>
      </c>
      <c r="I117" t="inlineStr">
        <is>
          <t>15.97</t>
        </is>
      </c>
      <c r="J117" t="n">
        <v>100.02</v>
      </c>
      <c r="K117" s="3" t="inlineStr">
        <is>
          <t>526.30%</t>
        </is>
      </c>
      <c r="L117" t="n">
        <v>4.8</v>
      </c>
      <c r="M117" t="n">
        <v>1148</v>
      </c>
      <c r="O117" t="inlineStr">
        <is>
          <t>InStock</t>
        </is>
      </c>
      <c r="P117" t="inlineStr">
        <is>
          <t>20.96</t>
        </is>
      </c>
      <c r="Q117" t="inlineStr">
        <is>
          <t>5694440964264</t>
        </is>
      </c>
    </row>
    <row r="118">
      <c r="A118" s="2">
        <f>HYPERLINK("https://edmondsonsupply.com/collections/hvac/products/kroil-original-penetrant-8oz-can", "https://edmondsonsupply.com/collections/hvac/products/kroil-original-penetrant-8oz-can")</f>
        <v/>
      </c>
      <c r="B118" s="2">
        <f>HYPERLINK("https://edmondsonsupply.com/products/kroil-original-penetrant-8oz-can", "https://edmondsonsupply.com/products/kroil-original-penetrant-8oz-can")</f>
        <v/>
      </c>
      <c r="C118" t="inlineStr">
        <is>
          <t>Kroil KL081 Original Penetrant 8oz can</t>
        </is>
      </c>
      <c r="D118" t="inlineStr">
        <is>
          <t>Kroil Original Penetrating Oil (Drip-8oz Can-Case of 6) | Penetrant for Rusted Bolts, Metal, Hinges, Chains, Moving Parts | Rust, Corrosion Inhibitor (AZKL081C6)</t>
        </is>
      </c>
      <c r="E118" s="2">
        <f>HYPERLINK("https://www.amazon.com/Kroil-Penetrating-Ounce-Liquid-Pack/dp/B08ZM7PPK3/ref=sr_1_2?keywords=Kroil+KL081+Original+Penetrant+8oz+can&amp;qid=1695173765&amp;sr=8-2", "https://www.amazon.com/Kroil-Penetrating-Ounce-Liquid-Pack/dp/B08ZM7PPK3/ref=sr_1_2?keywords=Kroil+KL081+Original+Penetrant+8oz+can&amp;qid=1695173765&amp;sr=8-2")</f>
        <v/>
      </c>
      <c r="F118" t="inlineStr">
        <is>
          <t>B08ZM7PPK3</t>
        </is>
      </c>
      <c r="G118">
        <f>_xludf.IMAGE("https://edmondsonsupply.com/cdn/shop/files/KL081.webp?v=1686775465")</f>
        <v/>
      </c>
      <c r="H118">
        <f>_xludf.IMAGE("https://m.media-amazon.com/images/I/61j2exxCqWL._AC_UY218_.jpg")</f>
        <v/>
      </c>
      <c r="I118" t="inlineStr">
        <is>
          <t>16.09</t>
        </is>
      </c>
      <c r="J118" t="n">
        <v>99.98999999999999</v>
      </c>
      <c r="K118" s="3" t="inlineStr">
        <is>
          <t>521.44%</t>
        </is>
      </c>
      <c r="L118" t="n">
        <v>5</v>
      </c>
      <c r="M118" t="n">
        <v>2</v>
      </c>
      <c r="O118" t="inlineStr">
        <is>
          <t>InStock</t>
        </is>
      </c>
      <c r="P118" t="inlineStr">
        <is>
          <t>17.1</t>
        </is>
      </c>
      <c r="Q118" t="inlineStr">
        <is>
          <t>8005737971928</t>
        </is>
      </c>
    </row>
    <row r="119">
      <c r="A119" s="2">
        <f>HYPERLINK("https://edmondsonsupply.com/collections/hvac/products/klein-tools-mag2-magnetizer-demagnetizer", "https://edmondsonsupply.com/collections/hvac/products/klein-tools-mag2-magnetizer-demagnetizer")</f>
        <v/>
      </c>
      <c r="B119" s="2">
        <f>HYPERLINK("https://edmondsonsupply.com/products/klein-tools-mag2-magnetizer-demagnetizer", "https://edmondsonsupply.com/products/klein-tools-mag2-magnetizer-demagnetizer")</f>
        <v/>
      </c>
      <c r="C119" t="inlineStr">
        <is>
          <t>Klein Tools MAG2 Magnetizer / Demagnetizer</t>
        </is>
      </c>
      <c r="D119" t="inlineStr">
        <is>
          <t>Klein Tools 32288 Insulated Screwdriver, 8-in-1 Screwdriver Set &amp; MAG2 Demagnetizer/Magnetizer for Screwdriver Bits and Tips, Makes Tools Magnetic with Powerful Rare-Earth Magnet</t>
        </is>
      </c>
      <c r="E119" s="2">
        <f>HYPERLINK("https://www.amazon.com/Klein-Tools-Screwdriver-Demagnetizer-Magnetizer/dp/B0BXK8RB9N/ref=sr_1_7?keywords=Klein+Tools+MAG2+Magnetizer+%2F+Demagnetizer&amp;qid=1695173451&amp;sr=8-7", "https://www.amazon.com/Klein-Tools-Screwdriver-Demagnetizer-Magnetizer/dp/B0BXK8RB9N/ref=sr_1_7?keywords=Klein+Tools+MAG2+Magnetizer+%2F+Demagnetizer&amp;qid=1695173451&amp;sr=8-7")</f>
        <v/>
      </c>
      <c r="F119" t="inlineStr">
        <is>
          <t>B0BXK8RB9N</t>
        </is>
      </c>
      <c r="G119">
        <f>_xludf.IMAGE("https://edmondsonsupply.com/cdn/shop/products/mag2.jpg?v=1587145008")</f>
        <v/>
      </c>
      <c r="H119">
        <f>_xludf.IMAGE("https://m.media-amazon.com/images/I/51OwgO9uq9L._AC_UL320_.jpg")</f>
        <v/>
      </c>
      <c r="I119" t="inlineStr">
        <is>
          <t>9.97</t>
        </is>
      </c>
      <c r="J119" t="n">
        <v>59.96</v>
      </c>
      <c r="K119" s="3" t="inlineStr">
        <is>
          <t>501.40%</t>
        </is>
      </c>
      <c r="L119" t="n">
        <v>4.5</v>
      </c>
      <c r="M119" t="n">
        <v>11</v>
      </c>
      <c r="O119" t="inlineStr">
        <is>
          <t>InStock</t>
        </is>
      </c>
      <c r="P119" t="inlineStr">
        <is>
          <t>13.96</t>
        </is>
      </c>
      <c r="Q119" t="inlineStr">
        <is>
          <t>1706086858852</t>
        </is>
      </c>
    </row>
    <row r="120">
      <c r="A120" s="2">
        <f>HYPERLINK("https://edmondsonsupply.com/collections/hvac/products/klein-tools-69410-replacement-test-lead-set-right-angle", "https://edmondsonsupply.com/collections/hvac/products/klein-tools-69410-replacement-test-lead-set-right-angle")</f>
        <v/>
      </c>
      <c r="B120" s="2">
        <f>HYPERLINK("https://edmondsonsupply.com/products/klein-tools-69410-replacement-test-lead-set-right-angle", "https://edmondsonsupply.com/products/klein-tools-69410-replacement-test-lead-set-right-angle")</f>
        <v/>
      </c>
      <c r="C120" t="inlineStr">
        <is>
          <t>Klein Tools 69410 Replacement Test Lead Set, Right Angle</t>
        </is>
      </c>
      <c r="D120" t="inlineStr">
        <is>
          <t>Klein Tools MM700 Multimeter, Electrical Tester is Autoranging, for AC/DC, LOZ, Temp, Capacitance, Resistance, Frequency, and More, 1000V &amp; Test Lead Set, Right Angle Klein Tools 69410</t>
        </is>
      </c>
      <c r="E120" s="2">
        <f>HYPERLINK("https://www.amazon.com/Klein-Tools-Multimeter-Autoranging-Capacitance/dp/B0BD3XZ29K/ref=sr_1_10?keywords=Klein+Tools+69410+Replacement+Test+Lead+Set%2C+Right+Angle&amp;qid=1695173692&amp;sr=8-10", "https://www.amazon.com/Klein-Tools-Multimeter-Autoranging-Capacitance/dp/B0BD3XZ29K/ref=sr_1_10?keywords=Klein+Tools+69410+Replacement+Test+Lead+Set%2C+Right+Angle&amp;qid=1695173692&amp;sr=8-10")</f>
        <v/>
      </c>
      <c r="F120" t="inlineStr">
        <is>
          <t>B0BD3XZ29K</t>
        </is>
      </c>
      <c r="G120">
        <f>_xludf.IMAGE("https://edmondsonsupply.com/cdn/shop/products/69410.jpg?v=1587143393")</f>
        <v/>
      </c>
      <c r="H120">
        <f>_xludf.IMAGE("https://m.media-amazon.com/images/I/61J30bl5fxL._AC_UY218_.jpg")</f>
        <v/>
      </c>
      <c r="I120" t="inlineStr">
        <is>
          <t>19.97</t>
        </is>
      </c>
      <c r="J120" t="n">
        <v>119.94</v>
      </c>
      <c r="K120" s="3" t="inlineStr">
        <is>
          <t>500.60%</t>
        </is>
      </c>
      <c r="L120" t="n">
        <v>4.8</v>
      </c>
      <c r="M120" t="n">
        <v>5</v>
      </c>
      <c r="O120" t="inlineStr">
        <is>
          <t>InStock</t>
        </is>
      </c>
      <c r="P120" t="inlineStr">
        <is>
          <t>27.1</t>
        </is>
      </c>
      <c r="Q120" t="inlineStr">
        <is>
          <t>4274171543652</t>
        </is>
      </c>
    </row>
    <row r="121">
      <c r="A121" s="2">
        <f>HYPERLINK("https://edmondsonsupply.com/collections/hvac/products/klein-tools-69410-replacement-test-lead-set-right-angle", "https://edmondsonsupply.com/collections/hvac/products/klein-tools-69410-replacement-test-lead-set-right-angle")</f>
        <v/>
      </c>
      <c r="B121" s="2">
        <f>HYPERLINK("https://edmondsonsupply.com/products/klein-tools-69410-replacement-test-lead-set-right-angle", "https://edmondsonsupply.com/products/klein-tools-69410-replacement-test-lead-set-right-angle")</f>
        <v/>
      </c>
      <c r="C121" t="inlineStr">
        <is>
          <t>Klein Tools 69410 Replacement Test Lead Set, Right Angle</t>
        </is>
      </c>
      <c r="D121" t="inlineStr">
        <is>
          <t>Klein Tools MM720 Digital Multimeter, Auto-Ranging TRMS, Low Impedance (LOZ), 1000V AC/DC Voltage, 10A AC/DC Current, 60 MOhms Resistance,Orange/Black &amp; 69410 Replacement Test Lead Set, Right Angle</t>
        </is>
      </c>
      <c r="E121" s="2">
        <f>HYPERLINK("https://www.amazon.com/Klein-Tools-Auto-Ranging-MOhms-Resistance-Replacement/dp/B0C7QB94HG/ref=sr_1_4?keywords=Klein+Tools+69410+Replacement+Test+Lead+Set%2C+Right+Angle&amp;qid=1695173692&amp;sr=8-4", "https://www.amazon.com/Klein-Tools-Auto-Ranging-MOhms-Resistance-Replacement/dp/B0C7QB94HG/ref=sr_1_4?keywords=Klein+Tools+69410+Replacement+Test+Lead+Set%2C+Right+Angle&amp;qid=1695173692&amp;sr=8-4")</f>
        <v/>
      </c>
      <c r="F121" t="inlineStr">
        <is>
          <t>B0C7QB94HG</t>
        </is>
      </c>
      <c r="G121">
        <f>_xludf.IMAGE("https://edmondsonsupply.com/cdn/shop/products/69410.jpg?v=1587143393")</f>
        <v/>
      </c>
      <c r="H121">
        <f>_xludf.IMAGE("https://m.media-amazon.com/images/I/51iZGkiWnZL._AC_UY218_.jpg")</f>
        <v/>
      </c>
      <c r="I121" t="inlineStr">
        <is>
          <t>19.97</t>
        </is>
      </c>
      <c r="J121" t="n">
        <v>119.94</v>
      </c>
      <c r="K121" s="3" t="inlineStr">
        <is>
          <t>500.60%</t>
        </is>
      </c>
      <c r="L121" t="n">
        <v>5</v>
      </c>
      <c r="M121" t="n">
        <v>1</v>
      </c>
      <c r="O121" t="inlineStr">
        <is>
          <t>InStock</t>
        </is>
      </c>
      <c r="P121" t="inlineStr">
        <is>
          <t>27.1</t>
        </is>
      </c>
      <c r="Q121" t="inlineStr">
        <is>
          <t>4274171543652</t>
        </is>
      </c>
    </row>
    <row r="122">
      <c r="A122" s="2">
        <f>HYPERLINK("https://edmondsonsupply.com/collections/hvac/products/klein-tools-et120-combustible-gas-leak-detector", "https://edmondsonsupply.com/collections/hvac/products/klein-tools-et120-combustible-gas-leak-detector")</f>
        <v/>
      </c>
      <c r="B122" s="2">
        <f>HYPERLINK("https://edmondsonsupply.com/products/klein-tools-et120-combustible-gas-leak-detector", "https://edmondsonsupply.com/products/klein-tools-et120-combustible-gas-leak-detector")</f>
        <v/>
      </c>
      <c r="C122" t="inlineStr">
        <is>
          <t>Klein Tools ET120 Combustible Gas Leak Detector</t>
        </is>
      </c>
      <c r="D122" t="inlineStr">
        <is>
          <t>FLIR C3-X Compact Thermal Camera, Inspection Tool &amp; Klein Tools ET120 Gas Leak Detector, Combustible Gas Leak Tester with 18-Inch Gooseneck Has Range 50-10,000 ppm, Includes Pouch, Batteries</t>
        </is>
      </c>
      <c r="E122" s="2">
        <f>HYPERLINK("https://www.amazon.com/FLIR-Inspection-Combustible-Gooseneck-Batteries/dp/B09Q663FQ5/ref=sr_1_8?keywords=Klein+Tools+ET120+Combustible+Gas+Leak+Detector&amp;qid=1695173669&amp;sr=8-8", "https://www.amazon.com/FLIR-Inspection-Combustible-Gooseneck-Batteries/dp/B09Q663FQ5/ref=sr_1_8?keywords=Klein+Tools+ET120+Combustible+Gas+Leak+Detector&amp;qid=1695173669&amp;sr=8-8")</f>
        <v/>
      </c>
      <c r="F122" t="inlineStr">
        <is>
          <t>B09Q663FQ5</t>
        </is>
      </c>
      <c r="G122">
        <f>_xludf.IMAGE("https://edmondsonsupply.com/cdn/shop/products/et120.jpg?v=1587149243")</f>
        <v/>
      </c>
      <c r="H122">
        <f>_xludf.IMAGE("https://m.media-amazon.com/images/I/51hLn1JmlEL._AC_UL320_.jpg")</f>
        <v/>
      </c>
      <c r="I122" t="inlineStr">
        <is>
          <t>119.99</t>
        </is>
      </c>
      <c r="J122" t="n">
        <v>706.4299999999999</v>
      </c>
      <c r="K122" s="3" t="inlineStr">
        <is>
          <t>488.74%</t>
        </is>
      </c>
      <c r="L122" t="n">
        <v>4.5</v>
      </c>
      <c r="M122" t="n">
        <v>6</v>
      </c>
      <c r="O122" t="inlineStr">
        <is>
          <t>InStock</t>
        </is>
      </c>
      <c r="P122" t="inlineStr">
        <is>
          <t>179.32</t>
        </is>
      </c>
      <c r="Q122" t="inlineStr">
        <is>
          <t>1828453187684</t>
        </is>
      </c>
    </row>
    <row r="123">
      <c r="A123" s="2">
        <f>HYPERLINK("https://edmondsonsupply.com/collections/hvac/products/refrigeration-technologies-rt175b-viper-big-blu-brush-on-micro-leak-detector", "https://edmondsonsupply.com/collections/hvac/products/refrigeration-technologies-rt175b-viper-big-blu-brush-on-micro-leak-detector")</f>
        <v/>
      </c>
      <c r="B123" s="2">
        <f>HYPERLINK("https://edmondsonsupply.com/products/refrigeration-technologies-rt175b-viper-big-blu-brush-on-micro-leak-detector", "https://edmondsonsupply.com/products/refrigeration-technologies-rt175b-viper-big-blu-brush-on-micro-leak-detector")</f>
        <v/>
      </c>
      <c r="C123" t="inlineStr">
        <is>
          <t>Refrigeration Technologies RT175B Viper Big Blu - Brush On Micro Leak Detector</t>
        </is>
      </c>
      <c r="D123" t="inlineStr">
        <is>
          <t>Refrigeration Technologies RT400P Viper Wetrag Heat Blocking Putty Jar (1), 12 oz. &amp; RT100S Big Blu Micro Leak Detector 1 Qt</t>
        </is>
      </c>
      <c r="E123" s="2">
        <f>HYPERLINK("https://www.amazon.com/Refrigeration-Technologies-RT400P-Blocking-Detector/dp/B0CB13Q956/ref=sr_1_8?keywords=Refrigeration+Technologies+RT175B+Viper+Big+Blu+-+Brush+On+Micro+Leak+Detector&amp;qid=1695173358&amp;sr=8-8", "https://www.amazon.com/Refrigeration-Technologies-RT400P-Blocking-Detector/dp/B0CB13Q956/ref=sr_1_8?keywords=Refrigeration+Technologies+RT175B+Viper+Big+Blu+-+Brush+On+Micro+Leak+Detector&amp;qid=1695173358&amp;sr=8-8")</f>
        <v/>
      </c>
      <c r="F123" t="inlineStr">
        <is>
          <t>B0CB13Q956</t>
        </is>
      </c>
      <c r="G123">
        <f>_xludf.IMAGE("https://edmondsonsupply.com/cdn/shop/products/brush_on_blu_reflection-o17r8mukbu9smr8id6u6yq699brmo1twijfcclnbpc.jpg?v=1633030388")</f>
        <v/>
      </c>
      <c r="H123">
        <f>_xludf.IMAGE("https://m.media-amazon.com/images/I/51QyBBUyWOL._AC_UY218_.jpg")</f>
        <v/>
      </c>
      <c r="I123" t="inlineStr">
        <is>
          <t>8.39</t>
        </is>
      </c>
      <c r="J123" t="n">
        <v>49.2</v>
      </c>
      <c r="K123" s="3" t="inlineStr">
        <is>
          <t>486.41%</t>
        </is>
      </c>
      <c r="L123" t="n">
        <v>4.5</v>
      </c>
      <c r="M123" t="n">
        <v>416</v>
      </c>
      <c r="O123" t="inlineStr">
        <is>
          <t>InStock</t>
        </is>
      </c>
      <c r="P123" t="inlineStr">
        <is>
          <t>9.22</t>
        </is>
      </c>
      <c r="Q123" t="inlineStr">
        <is>
          <t>5300024967336</t>
        </is>
      </c>
    </row>
    <row r="124">
      <c r="A124" s="2">
        <f>HYPERLINK("https://edmondsonsupply.com/collections/hvac/products/icm-controls-icm286-furnace-control-board-replacement-for-goodman-pcbbf112s-b1809926s-0130f00005s", "https://edmondsonsupply.com/collections/hvac/products/icm-controls-icm286-furnace-control-board-replacement-for-goodman-pcbbf112s-b1809926s-0130f00005s")</f>
        <v/>
      </c>
      <c r="B124" s="2">
        <f>HYPERLINK("https://edmondsonsupply.com/products/icm-controls-icm286-furnace-control-board-replacement-for-goodman-pcbbf112s-b1809926s-0130f00005s", "https://edmondsonsupply.com/products/icm-controls-icm286-furnace-control-board-replacement-for-goodman-pcbbf112s-b1809926s-0130f00005s")</f>
        <v/>
      </c>
      <c r="C124" t="inlineStr">
        <is>
          <t>ICM Controls ICM2811 Furnace Control Board - Replacement for Goodman</t>
        </is>
      </c>
      <c r="D124" t="inlineStr">
        <is>
          <t>ICM Controls ICM280 Furnace Control Replacement for OEM Models Including Goodman B18099-xx Series Control Boards, Multicolor (Twо Расk)</t>
        </is>
      </c>
      <c r="E124" s="2">
        <f>HYPERLINK("https://www.amazon.com/ICM-Replacement-Including-B18099-xx-Multicolor/dp/B0893PWC76/ref=sr_1_10?keywords=ICM+Controls+ICM2811+Furnace+Control+Board+-+Replacement+for+Goodman&amp;qid=1695173453&amp;sr=8-10", "https://www.amazon.com/ICM-Replacement-Including-B18099-xx-Multicolor/dp/B0893PWC76/ref=sr_1_10?keywords=ICM+Controls+ICM2811+Furnace+Control+Board+-+Replacement+for+Goodman&amp;qid=1695173453&amp;sr=8-10")</f>
        <v/>
      </c>
      <c r="F124" t="inlineStr">
        <is>
          <t>B0893PWC76</t>
        </is>
      </c>
      <c r="G124">
        <f>_xludf.IMAGE("https://edmondsonsupply.com/cdn/shop/products/photo_3800_medium_86f45e25-a764-4839-bc84-759a6ce1c7bd.jpg?v=1659910436")</f>
        <v/>
      </c>
      <c r="H124">
        <f>_xludf.IMAGE("https://m.media-amazon.com/images/I/61JykELT0fL._AC_UL320_.jpg")</f>
        <v/>
      </c>
      <c r="I124" t="inlineStr">
        <is>
          <t>68.99</t>
        </is>
      </c>
      <c r="J124" t="n">
        <v>403.68</v>
      </c>
      <c r="K124" s="3" t="inlineStr">
        <is>
          <t>485.13%</t>
        </is>
      </c>
      <c r="L124" t="n">
        <v>4.5</v>
      </c>
      <c r="M124" t="n">
        <v>457</v>
      </c>
      <c r="O124" t="inlineStr">
        <is>
          <t>InStock</t>
        </is>
      </c>
      <c r="P124" t="inlineStr">
        <is>
          <t>93.62</t>
        </is>
      </c>
      <c r="Q124" t="inlineStr">
        <is>
          <t>4345448202340</t>
        </is>
      </c>
    </row>
    <row r="125">
      <c r="A125" s="2">
        <f>HYPERLINK("https://edmondsonsupply.com/collections/hvac/products/channellock-804", "https://edmondsonsupply.com/collections/hvac/products/channellock-804")</f>
        <v/>
      </c>
      <c r="B125" s="2">
        <f>HYPERLINK("https://edmondsonsupply.com/products/channellock-804", "https://edmondsonsupply.com/products/channellock-804")</f>
        <v/>
      </c>
      <c r="C125" t="inlineStr">
        <is>
          <t>Channellock 804 4-Inch Chrome Adjustable Wrench</t>
        </is>
      </c>
      <c r="D125" t="inlineStr">
        <is>
          <t>CHANNELLOCK® VWS-4 Chrome Adjustable Wrench Set, 4-Piece | 4, 6, 10, 12-Inch | Wide Jaw Capacity | Precise Jaw Design Grips Tight in Confined Space | Laser-Etched Measurement Scales</t>
        </is>
      </c>
      <c r="E125" s="2">
        <f>HYPERLINK("https://www.amazon.com/CHANNELLOCK-Adjustable-Capacity-Laser-Etched-Measurement/dp/B0891JNCRL/ref=sr_1_2?keywords=Channellock+804+4-Inch+Chrome+Adjustable+Wrench&amp;qid=1695173641&amp;sr=8-2", "https://www.amazon.com/CHANNELLOCK-Adjustable-Capacity-Laser-Etched-Measurement/dp/B0891JNCRL/ref=sr_1_2?keywords=Channellock+804+4-Inch+Chrome+Adjustable+Wrench&amp;qid=1695173641&amp;sr=8-2")</f>
        <v/>
      </c>
      <c r="F125" t="inlineStr">
        <is>
          <t>B0891JNCRL</t>
        </is>
      </c>
      <c r="G125">
        <f>_xludf.IMAGE("https://edmondsonsupply.com/cdn/shop/products/804-683x1024.jpg?v=1587145853")</f>
        <v/>
      </c>
      <c r="H125">
        <f>_xludf.IMAGE("https://m.media-amazon.com/images/I/51-CWTrf9CL._AC_UL320_.jpg")</f>
        <v/>
      </c>
      <c r="I125" t="inlineStr">
        <is>
          <t>16.95</t>
        </is>
      </c>
      <c r="J125" t="n">
        <v>97.88</v>
      </c>
      <c r="K125" s="3" t="inlineStr">
        <is>
          <t>477.46%</t>
        </is>
      </c>
      <c r="L125" t="n">
        <v>4.8</v>
      </c>
      <c r="M125" t="n">
        <v>10</v>
      </c>
      <c r="O125" t="inlineStr">
        <is>
          <t>InStock</t>
        </is>
      </c>
      <c r="P125" t="inlineStr">
        <is>
          <t>26.62</t>
        </is>
      </c>
      <c r="Q125" t="inlineStr">
        <is>
          <t>4094611488868</t>
        </is>
      </c>
    </row>
    <row r="126">
      <c r="A126" s="2">
        <f>HYPERLINK("https://edmondsonsupply.com/collections/hvac/products/klein-tools-ncvt-2pkit-dual-range-non-contact-voltage-tester-with-receptacle-tester", "https://edmondsonsupply.com/collections/hvac/products/klein-tools-ncvt-2pkit-dual-range-non-contact-voltage-tester-with-receptacle-tester")</f>
        <v/>
      </c>
      <c r="B126" s="2">
        <f>HYPERLINK("https://edmondsonsupply.com/products/klein-tools-ncvt-2pkit-dual-range-non-contact-voltage-tester-with-receptacle-tester", "https://edmondsonsupply.com/products/klein-tools-ncvt-2pkit-dual-range-non-contact-voltage-tester-with-receptacle-tester")</f>
        <v/>
      </c>
      <c r="C126" t="inlineStr">
        <is>
          <t>Klein Tools NCVT-2PKIT Dual Range Non-Contact Voltage Tester with Receptacle Tester</t>
        </is>
      </c>
      <c r="D126" t="inlineStr">
        <is>
          <t>Klein Tools HVNCVT-1 Dual-Range Non-Contact High-Voltage Tester, Dual-Range, Audio/Visual Indicators, Water Resistant, With Case and Battery, Black</t>
        </is>
      </c>
      <c r="E126" s="2">
        <f>HYPERLINK("https://www.amazon.com/Voltage-Tester-Klein-Tools-HVNCVT-1/dp/B015KU2EXU/ref=sr_1_8?keywords=Klein+Tools+NCVT-2PKIT+Dual+Range+Non-Contact+Voltage+Tester+with+Receptacle+Tester&amp;qid=1695173669&amp;sr=8-8", "https://www.amazon.com/Voltage-Tester-Klein-Tools-HVNCVT-1/dp/B015KU2EXU/ref=sr_1_8?keywords=Klein+Tools+NCVT-2PKIT+Dual+Range+Non-Contact+Voltage+Tester+with+Receptacle+Tester&amp;qid=1695173669&amp;sr=8-8")</f>
        <v/>
      </c>
      <c r="F126" t="inlineStr">
        <is>
          <t>B015KU2EXU</t>
        </is>
      </c>
      <c r="G126">
        <f>_xludf.IMAGE("https://edmondsonsupply.com/cdn/shop/products/ncvt2pkit.jpg?v=1633030827")</f>
        <v/>
      </c>
      <c r="H126">
        <f>_xludf.IMAGE("https://m.media-amazon.com/images/I/51vp8USEpSL._AC_UL320_.jpg")</f>
        <v/>
      </c>
      <c r="I126" t="inlineStr">
        <is>
          <t>29.99</t>
        </is>
      </c>
      <c r="J126" t="n">
        <v>168.19</v>
      </c>
      <c r="K126" s="3" t="inlineStr">
        <is>
          <t>460.82%</t>
        </is>
      </c>
      <c r="L126" t="n">
        <v>4.4</v>
      </c>
      <c r="M126" t="n">
        <v>86</v>
      </c>
      <c r="O126" t="inlineStr">
        <is>
          <t>InStock</t>
        </is>
      </c>
      <c r="P126" t="inlineStr">
        <is>
          <t>41.28</t>
        </is>
      </c>
      <c r="Q126" t="inlineStr">
        <is>
          <t>6082146238637</t>
        </is>
      </c>
    </row>
    <row r="127">
      <c r="A127" s="2">
        <f>HYPERLINK("https://edmondsonsupply.com/collections/hvac/products/klein-tools-et10-magnetic-digital-pocket-thermometer", "https://edmondsonsupply.com/collections/hvac/products/klein-tools-et10-magnetic-digital-pocket-thermometer")</f>
        <v/>
      </c>
      <c r="B127" s="2">
        <f>HYPERLINK("https://edmondsonsupply.com/products/klein-tools-et10-magnetic-digital-pocket-thermometer", "https://edmondsonsupply.com/products/klein-tools-et10-magnetic-digital-pocket-thermometer")</f>
        <v/>
      </c>
      <c r="C127" t="inlineStr">
        <is>
          <t>Klein Tools ET10 Magnetic Digital Pocket Thermometer</t>
        </is>
      </c>
      <c r="D127" t="inlineStr">
        <is>
          <t>Klein Tools IR10 Infrared Thermometer, Digital Thermometer Gun with Dual Targeting Laser, 20:1 &amp; ET10 Magnetic Digital Pocket Thermometer</t>
        </is>
      </c>
      <c r="E127" s="2">
        <f>HYPERLINK("https://www.amazon.com/Klein-Tools-Infrared-Thermometer-Targeting/dp/B0BGJ6JX2Q/ref=sr_1_7?keywords=Klein+Tools+ET10+Magnetic+Digital+Pocket+Thermometer&amp;qid=1695173549&amp;sr=8-7", "https://www.amazon.com/Klein-Tools-Infrared-Thermometer-Targeting/dp/B0BGJ6JX2Q/ref=sr_1_7?keywords=Klein+Tools+ET10+Magnetic+Digital+Pocket+Thermometer&amp;qid=1695173549&amp;sr=8-7")</f>
        <v/>
      </c>
      <c r="F127" t="inlineStr">
        <is>
          <t>B0BGJ6JX2Q</t>
        </is>
      </c>
      <c r="G127">
        <f>_xludf.IMAGE("https://edmondsonsupply.com/cdn/shop/products/et10.jpg?v=1587142916")</f>
        <v/>
      </c>
      <c r="H127">
        <f>_xludf.IMAGE("https://m.media-amazon.com/images/I/51I0Gu41RPL._AC_UY218_.jpg")</f>
        <v/>
      </c>
      <c r="I127" t="inlineStr">
        <is>
          <t>22.99</t>
        </is>
      </c>
      <c r="J127" t="n">
        <v>123.98</v>
      </c>
      <c r="K127" s="3" t="inlineStr">
        <is>
          <t>439.28%</t>
        </is>
      </c>
      <c r="L127" t="n">
        <v>5</v>
      </c>
      <c r="M127" t="n">
        <v>2</v>
      </c>
      <c r="O127" t="inlineStr">
        <is>
          <t>InStock</t>
        </is>
      </c>
      <c r="P127" t="inlineStr">
        <is>
          <t>34.08</t>
        </is>
      </c>
      <c r="Q127" t="inlineStr">
        <is>
          <t>3690025943140</t>
        </is>
      </c>
    </row>
    <row r="128">
      <c r="A128" s="2">
        <f>HYPERLINK("https://edmondsonsupply.com/collections/hvac/products/klein-tools-69417-rare-earth-magnetic-meter-hanger", "https://edmondsonsupply.com/collections/hvac/products/klein-tools-69417-rare-earth-magnetic-meter-hanger")</f>
        <v/>
      </c>
      <c r="B128" s="2">
        <f>HYPERLINK("https://edmondsonsupply.com/products/klein-tools-69417-rare-earth-magnetic-meter-hanger", "https://edmondsonsupply.com/products/klein-tools-69417-rare-earth-magnetic-meter-hanger")</f>
        <v/>
      </c>
      <c r="C128" t="inlineStr">
        <is>
          <t>Klein Tools 69417 Rare Earth Magnetic Meter Hanger, with Strap</t>
        </is>
      </c>
      <c r="D128" t="inlineStr">
        <is>
          <t>Klein Tools MM450 Multimeter, Slim Digital Meter, Auto-Ranging TRMS, 600V AC/DC Voltage, Current, Resistance, Temp, Frequency, Continuity &amp; 69417 Rare-Earth Magnetic Hanger, with Strap</t>
        </is>
      </c>
      <c r="E128" s="2">
        <f>HYPERLINK("https://www.amazon.com/Klein-Tools-Multimeter-Auto-Ranging-Resistance/dp/B0CF1LF84V/ref=sr_1_5?keywords=Klein+Tools+69417+Rare+Earth+Magnetic+Meter+Hanger%2C+with+Strap&amp;qid=1695173681&amp;sr=8-5", "https://www.amazon.com/Klein-Tools-Multimeter-Auto-Ranging-Resistance/dp/B0CF1LF84V/ref=sr_1_5?keywords=Klein+Tools+69417+Rare+Earth+Magnetic+Meter+Hanger%2C+with+Strap&amp;qid=1695173681&amp;sr=8-5")</f>
        <v/>
      </c>
      <c r="F128" t="inlineStr">
        <is>
          <t>B0CF1LF84V</t>
        </is>
      </c>
      <c r="G128">
        <f>_xludf.IMAGE("https://edmondsonsupply.com/cdn/shop/products/69417.jpg?v=1587150163")</f>
        <v/>
      </c>
      <c r="H128">
        <f>_xludf.IMAGE("https://m.media-amazon.com/images/I/51jBNo1wv+L._AC_UL320_.jpg")</f>
        <v/>
      </c>
      <c r="I128" t="inlineStr">
        <is>
          <t>13.99</t>
        </is>
      </c>
      <c r="J128" t="n">
        <v>73.29000000000001</v>
      </c>
      <c r="K128" s="3" t="inlineStr">
        <is>
          <t>423.87%</t>
        </is>
      </c>
      <c r="L128" t="n">
        <v>4.7</v>
      </c>
      <c r="M128" t="n">
        <v>3817</v>
      </c>
      <c r="O128" t="inlineStr">
        <is>
          <t>InStock</t>
        </is>
      </c>
      <c r="P128" t="inlineStr">
        <is>
          <t>20.0</t>
        </is>
      </c>
      <c r="Q128" t="inlineStr">
        <is>
          <t>1778073731172</t>
        </is>
      </c>
    </row>
    <row r="129">
      <c r="A129" s="2">
        <f>HYPERLINK("https://edmondsonsupply.com/collections/hvac/products/klein-tools-mag2-magnetizer-demagnetizer", "https://edmondsonsupply.com/collections/hvac/products/klein-tools-mag2-magnetizer-demagnetizer")</f>
        <v/>
      </c>
      <c r="B129" s="2">
        <f>HYPERLINK("https://edmondsonsupply.com/products/klein-tools-mag2-magnetizer-demagnetizer", "https://edmondsonsupply.com/products/klein-tools-mag2-magnetizer-demagnetizer")</f>
        <v/>
      </c>
      <c r="C129" t="inlineStr">
        <is>
          <t>Klein Tools MAG2 Magnetizer / Demagnetizer</t>
        </is>
      </c>
      <c r="D129" t="inlineStr">
        <is>
          <t>Klein Tools AEPJS2 Bluetooth Speaker, Wireless Portable Jobsite Speaker Plays Audio &amp; MAG2 Demagnetizer/Magnetizer for Screwdriver Bits and Tips, Makes Tools Magnetic</t>
        </is>
      </c>
      <c r="E129" s="2">
        <f>HYPERLINK("https://www.amazon.com/Klein-Tools-Demagnetizer-Magnetizer-Screwdriver/dp/B09Z918LTW/ref=sr_1_8?keywords=Klein+Tools+MAG2+Magnetizer+%2F+Demagnetizer&amp;qid=1695173451&amp;sr=8-8", "https://www.amazon.com/Klein-Tools-Demagnetizer-Magnetizer-Screwdriver/dp/B09Z918LTW/ref=sr_1_8?keywords=Klein+Tools+MAG2+Magnetizer+%2F+Demagnetizer&amp;qid=1695173451&amp;sr=8-8")</f>
        <v/>
      </c>
      <c r="F129" t="inlineStr">
        <is>
          <t>B09Z918LTW</t>
        </is>
      </c>
      <c r="G129">
        <f>_xludf.IMAGE("https://edmondsonsupply.com/cdn/shop/products/mag2.jpg?v=1587145008")</f>
        <v/>
      </c>
      <c r="H129">
        <f>_xludf.IMAGE("https://m.media-amazon.com/images/I/51W0D7+MmSL._AC_UL320_.jpg")</f>
        <v/>
      </c>
      <c r="I129" t="inlineStr">
        <is>
          <t>9.97</t>
        </is>
      </c>
      <c r="J129" t="n">
        <v>49.94</v>
      </c>
      <c r="K129" s="3" t="inlineStr">
        <is>
          <t>400.90%</t>
        </is>
      </c>
      <c r="L129" t="n">
        <v>5</v>
      </c>
      <c r="M129" t="n">
        <v>2</v>
      </c>
      <c r="O129" t="inlineStr">
        <is>
          <t>InStock</t>
        </is>
      </c>
      <c r="P129" t="inlineStr">
        <is>
          <t>13.96</t>
        </is>
      </c>
      <c r="Q129" t="inlineStr">
        <is>
          <t>1706086858852</t>
        </is>
      </c>
    </row>
    <row r="130">
      <c r="A130" s="2">
        <f>HYPERLINK("https://edmondsonsupply.com/collections/hvac/products/nu-calgon-4291-18-nu-brite-aerosol-coil-cleaner", "https://edmondsonsupply.com/collections/hvac/products/nu-calgon-4291-18-nu-brite-aerosol-coil-cleaner")</f>
        <v/>
      </c>
      <c r="B130" s="2">
        <f>HYPERLINK("https://edmondsonsupply.com/products/nu-calgon-4291-18-nu-brite-aerosol-coil-cleaner", "https://edmondsonsupply.com/products/nu-calgon-4291-18-nu-brite-aerosol-coil-cleaner")</f>
        <v/>
      </c>
      <c r="C130" t="inlineStr">
        <is>
          <t>Nu-Calgon 4291-18 Nu-Brite Aerosol Coil Cleaner</t>
        </is>
      </c>
      <c r="D130" t="inlineStr">
        <is>
          <t>Nu Calgon 4291-18 Nu Brite Aerosol (Тhrее Расk)</t>
        </is>
      </c>
      <c r="E130" s="2">
        <f>HYPERLINK("https://www.amazon.com/Nu-Calgon-4291-18-Brite-Aerosol/dp/B07TYJJDKB/ref=sr_1_1?keywords=Nu-Calgon+4291-18+Nu-Brite+Aerosol+Coil+Cleaner&amp;qid=1695173432&amp;sr=8-1", "https://www.amazon.com/Nu-Calgon-4291-18-Brite-Aerosol/dp/B07TYJJDKB/ref=sr_1_1?keywords=Nu-Calgon+4291-18+Nu-Brite+Aerosol+Coil+Cleaner&amp;qid=1695173432&amp;sr=8-1")</f>
        <v/>
      </c>
      <c r="F130" t="inlineStr">
        <is>
          <t>B07TYJJDKB</t>
        </is>
      </c>
      <c r="G130">
        <f>_xludf.IMAGE("https://edmondsonsupply.com/cdn/shop/products/4291-18.jpg?v=1658772777")</f>
        <v/>
      </c>
      <c r="H130">
        <f>_xludf.IMAGE("https://m.media-amazon.com/images/I/41Ne6MOuuYL._AC_UL320_.jpg")</f>
        <v/>
      </c>
      <c r="I130" t="inlineStr">
        <is>
          <t>11.39</t>
        </is>
      </c>
      <c r="J130" t="n">
        <v>55.95</v>
      </c>
      <c r="K130" s="3" t="inlineStr">
        <is>
          <t>391.22%</t>
        </is>
      </c>
      <c r="L130" t="n">
        <v>4.3</v>
      </c>
      <c r="M130" t="n">
        <v>34</v>
      </c>
      <c r="O130" t="inlineStr">
        <is>
          <t>InStock</t>
        </is>
      </c>
      <c r="P130" t="inlineStr">
        <is>
          <t>15.42</t>
        </is>
      </c>
      <c r="Q130" t="inlineStr">
        <is>
          <t>7760576119000</t>
        </is>
      </c>
    </row>
    <row r="131">
      <c r="A131" s="2">
        <f>HYPERLINK("https://edmondsonsupply.com/collections/hvac/products/wiha-tools-70486-6-piece-color-coded-magnetic-nut-setter-sae-set", "https://edmondsonsupply.com/collections/hvac/products/wiha-tools-70486-6-piece-color-coded-magnetic-nut-setter-sae-set")</f>
        <v/>
      </c>
      <c r="B131" s="2">
        <f>HYPERLINK("https://edmondsonsupply.com/products/wiha-tools-70486-6-piece-color-coded-magnetic-nut-setter-sae-set", "https://edmondsonsupply.com/products/wiha-tools-70486-6-piece-color-coded-magnetic-nut-setter-sae-set")</f>
        <v/>
      </c>
      <c r="C131" t="inlineStr">
        <is>
          <t>Wiha Tools 70486 6 Piece Color Coded Magnetic Nut Setter SAE Set</t>
        </is>
      </c>
      <c r="D131" t="inlineStr">
        <is>
          <t>Wiha 32095 Slotted and Phillips Insulated Screwdriver Set, 1000 Volt, 19 Piece &amp; 70486 | 6 Piece Color Coded Magnetic Nut Setter Set</t>
        </is>
      </c>
      <c r="E131" s="2">
        <f>HYPERLINK("https://www.amazon.com/Wiha-Phillips-Insulated-Screwdriver-Magnetic/dp/B0CB14SYQX/ref=sr_1_7?keywords=Wiha+Tools+70486+6+Piece+Color+Coded+Magnetic+Nut+Setter+SAE+Set&amp;qid=1695173732&amp;sr=8-7", "https://www.amazon.com/Wiha-Phillips-Insulated-Screwdriver-Magnetic/dp/B0CB14SYQX/ref=sr_1_7?keywords=Wiha+Tools+70486+6+Piece+Color+Coded+Magnetic+Nut+Setter+SAE+Set&amp;qid=1695173732&amp;sr=8-7")</f>
        <v/>
      </c>
      <c r="F131" t="inlineStr">
        <is>
          <t>B0CB14SYQX</t>
        </is>
      </c>
      <c r="G131">
        <f>_xludf.IMAGE("https://edmondsonsupply.com/cdn/shop/files/yd5nbnqyuwli1mnwhztl_1000x_327efac2-5e06-44b8-a018-f96fc21e85ad.webp?v=1690908507")</f>
        <v/>
      </c>
      <c r="H131">
        <f>_xludf.IMAGE("https://m.media-amazon.com/images/I/511D0NYOQgL._AC_UL320_.jpg")</f>
        <v/>
      </c>
      <c r="I131" t="inlineStr">
        <is>
          <t>39.98</t>
        </is>
      </c>
      <c r="J131" t="n">
        <v>192.85</v>
      </c>
      <c r="K131" s="3" t="inlineStr">
        <is>
          <t>382.37%</t>
        </is>
      </c>
      <c r="L131" t="n">
        <v>4.8</v>
      </c>
      <c r="M131" t="n">
        <v>58</v>
      </c>
      <c r="O131" t="inlineStr">
        <is>
          <t>InStock</t>
        </is>
      </c>
      <c r="P131" t="inlineStr">
        <is>
          <t>57.18</t>
        </is>
      </c>
      <c r="Q131" t="inlineStr">
        <is>
          <t>8023447011544</t>
        </is>
      </c>
    </row>
    <row r="132">
      <c r="A132" s="2">
        <f>HYPERLINK("https://edmondsonsupply.com/collections/hvac/products/refrigeration-technologies-rt175b-viper-big-blu-brush-on-micro-leak-detector", "https://edmondsonsupply.com/collections/hvac/products/refrigeration-technologies-rt175b-viper-big-blu-brush-on-micro-leak-detector")</f>
        <v/>
      </c>
      <c r="B132" s="2">
        <f>HYPERLINK("https://edmondsonsupply.com/products/refrigeration-technologies-rt175b-viper-big-blu-brush-on-micro-leak-detector", "https://edmondsonsupply.com/products/refrigeration-technologies-rt175b-viper-big-blu-brush-on-micro-leak-detector")</f>
        <v/>
      </c>
      <c r="C132" t="inlineStr">
        <is>
          <t>Refrigeration Technologies RT175B Viper Big Blu - Brush On Micro Leak Detector</t>
        </is>
      </c>
      <c r="D132" t="inlineStr">
        <is>
          <t>Refrigeration Technologies Big Blu Micro Leak Detector 1 Gal. RT100G Viper</t>
        </is>
      </c>
      <c r="E132" s="2">
        <f>HYPERLINK("https://www.amazon.com/Refrigeration-Technologies-Micro-Detector-RT100G/dp/B0BLT99ZPX/ref=sr_1_2?keywords=Refrigeration+Technologies+RT175B+Viper+Big+Blu+-+Brush+On+Micro+Leak+Detector&amp;qid=1695173358&amp;sr=8-2", "https://www.amazon.com/Refrigeration-Technologies-Micro-Detector-RT100G/dp/B0BLT99ZPX/ref=sr_1_2?keywords=Refrigeration+Technologies+RT175B+Viper+Big+Blu+-+Brush+On+Micro+Leak+Detector&amp;qid=1695173358&amp;sr=8-2")</f>
        <v/>
      </c>
      <c r="F132" t="inlineStr">
        <is>
          <t>B0BLT99ZPX</t>
        </is>
      </c>
      <c r="G132">
        <f>_xludf.IMAGE("https://edmondsonsupply.com/cdn/shop/products/brush_on_blu_reflection-o17r8mukbu9smr8id6u6yq699brmo1twijfcclnbpc.jpg?v=1633030388")</f>
        <v/>
      </c>
      <c r="H132">
        <f>_xludf.IMAGE("https://m.media-amazon.com/images/I/718lzq5vWlL._AC_UY218_.jpg")</f>
        <v/>
      </c>
      <c r="I132" t="inlineStr">
        <is>
          <t>8.39</t>
        </is>
      </c>
      <c r="J132" t="n">
        <v>39.99</v>
      </c>
      <c r="K132" s="3" t="inlineStr">
        <is>
          <t>376.64%</t>
        </is>
      </c>
      <c r="L132" t="n">
        <v>5</v>
      </c>
      <c r="M132" t="n">
        <v>1</v>
      </c>
      <c r="O132" t="inlineStr">
        <is>
          <t>InStock</t>
        </is>
      </c>
      <c r="P132" t="inlineStr">
        <is>
          <t>9.22</t>
        </is>
      </c>
      <c r="Q132" t="inlineStr">
        <is>
          <t>5300024967336</t>
        </is>
      </c>
    </row>
    <row r="133">
      <c r="A133" s="2">
        <f>HYPERLINK("https://edmondsonsupply.com/collections/hvac/products/klein-tools-69417-rare-earth-magnetic-meter-hanger", "https://edmondsonsupply.com/collections/hvac/products/klein-tools-69417-rare-earth-magnetic-meter-hanger")</f>
        <v/>
      </c>
      <c r="B133" s="2">
        <f>HYPERLINK("https://edmondsonsupply.com/products/klein-tools-69417-rare-earth-magnetic-meter-hanger", "https://edmondsonsupply.com/products/klein-tools-69417-rare-earth-magnetic-meter-hanger")</f>
        <v/>
      </c>
      <c r="C133" t="inlineStr">
        <is>
          <t>Klein Tools 69417 Rare Earth Magnetic Meter Hanger, with Strap</t>
        </is>
      </c>
      <c r="D133" t="inlineStr">
        <is>
          <t>Digital Multimeter Electrical Test Kit, Non-Contact Voltage Tester, Receptacle Tester, Carrying Case and Batteries Klein Tools MM320KIT &amp; 69417 Rare-Earth Magnetic Hanger, with Strap</t>
        </is>
      </c>
      <c r="E133" s="2">
        <f>HYPERLINK("https://www.amazon.com/Multimeter-Electrical-Non-Contact-Klein-Tools/dp/B0CF2CFS1D/ref=sr_1_4?keywords=Klein+Tools+69417+Rare+Earth+Magnetic+Meter+Hanger%2C+with+Strap&amp;qid=1695173681&amp;sr=8-4", "https://www.amazon.com/Multimeter-Electrical-Non-Contact-Klein-Tools/dp/B0CF2CFS1D/ref=sr_1_4?keywords=Klein+Tools+69417+Rare+Earth+Magnetic+Meter+Hanger%2C+with+Strap&amp;qid=1695173681&amp;sr=8-4")</f>
        <v/>
      </c>
      <c r="F133" t="inlineStr">
        <is>
          <t>B0CF2CFS1D</t>
        </is>
      </c>
      <c r="G133">
        <f>_xludf.IMAGE("https://edmondsonsupply.com/cdn/shop/products/69417.jpg?v=1587150163")</f>
        <v/>
      </c>
      <c r="H133">
        <f>_xludf.IMAGE("https://m.media-amazon.com/images/I/5182bo0BHaL._AC_UL320_.jpg")</f>
        <v/>
      </c>
      <c r="I133" t="inlineStr">
        <is>
          <t>13.99</t>
        </is>
      </c>
      <c r="J133" t="n">
        <v>66.48</v>
      </c>
      <c r="K133" s="3" t="inlineStr">
        <is>
          <t>375.20%</t>
        </is>
      </c>
      <c r="L133" t="n">
        <v>4.8</v>
      </c>
      <c r="M133" t="n">
        <v>1458</v>
      </c>
      <c r="O133" t="inlineStr">
        <is>
          <t>InStock</t>
        </is>
      </c>
      <c r="P133" t="inlineStr">
        <is>
          <t>20.0</t>
        </is>
      </c>
      <c r="Q133" t="inlineStr">
        <is>
          <t>1778073731172</t>
        </is>
      </c>
    </row>
    <row r="134">
      <c r="A134" s="2">
        <f>HYPERLINK("https://edmondsonsupply.com/collections/hvac/products/malco-tools-12f-12-inch-sheet-metal-folding-tool", "https://edmondsonsupply.com/collections/hvac/products/malco-tools-12f-12-inch-sheet-metal-folding-tool")</f>
        <v/>
      </c>
      <c r="B134" s="2">
        <f>HYPERLINK("https://edmondsonsupply.com/products/malco-tools-12f-12-inch-sheet-metal-folding-tool", "https://edmondsonsupply.com/products/malco-tools-12f-12-inch-sheet-metal-folding-tool")</f>
        <v/>
      </c>
      <c r="C134" t="inlineStr">
        <is>
          <t>Malco Tools 12F 12-Inch Sheet Metal Folding Tool</t>
        </is>
      </c>
      <c r="D134" t="inlineStr">
        <is>
          <t>Malco TS1 Turbo Shear 20 Gauge Capacity Sheet Metal Cutting Attachment &amp; 12F 12 in. Folding Tool, Multi</t>
        </is>
      </c>
      <c r="E134" s="2">
        <f>HYPERLINK("https://www.amazon.com/Malco-Capacity-Cutting-Attachment-Folding/dp/B0BD3XBZKC/ref=sr_1_3?keywords=Malco+Tools+12F+12-Inch+Sheet+Metal+Folding+Tool&amp;qid=1695173570&amp;sr=8-3", "https://www.amazon.com/Malco-Capacity-Cutting-Attachment-Folding/dp/B0BD3XBZKC/ref=sr_1_3?keywords=Malco+Tools+12F+12-Inch+Sheet+Metal+Folding+Tool&amp;qid=1695173570&amp;sr=8-3")</f>
        <v/>
      </c>
      <c r="F134" t="inlineStr">
        <is>
          <t>B0BD3XBZKC</t>
        </is>
      </c>
      <c r="G134">
        <f>_xludf.IMAGE("https://edmondsonsupply.com/cdn/shop/products/12f-big.jpg?v=1587148427")</f>
        <v/>
      </c>
      <c r="H134">
        <f>_xludf.IMAGE("https://m.media-amazon.com/images/I/51R5Crrl4LL._AC_UL320_.jpg")</f>
        <v/>
      </c>
      <c r="I134" t="inlineStr">
        <is>
          <t>16.79</t>
        </is>
      </c>
      <c r="J134" t="n">
        <v>79.67</v>
      </c>
      <c r="K134" s="3" t="inlineStr">
        <is>
          <t>374.51%</t>
        </is>
      </c>
      <c r="L134" t="n">
        <v>4.7</v>
      </c>
      <c r="M134" t="n">
        <v>2475</v>
      </c>
      <c r="O134" t="inlineStr">
        <is>
          <t>InStock</t>
        </is>
      </c>
      <c r="P134" t="inlineStr">
        <is>
          <t>18.11</t>
        </is>
      </c>
      <c r="Q134" t="inlineStr">
        <is>
          <t>4410314555492</t>
        </is>
      </c>
    </row>
    <row r="135">
      <c r="A135" s="2">
        <f>HYPERLINK("https://edmondsonsupply.com/collections/hvac/products/icm-controls-icm401-3-phase-line-voltage-monitor", "https://edmondsonsupply.com/collections/hvac/products/icm-controls-icm401-3-phase-line-voltage-monitor")</f>
        <v/>
      </c>
      <c r="B135" s="2">
        <f>HYPERLINK("https://edmondsonsupply.com/products/icm-controls-icm401-3-phase-line-voltage-monitor", "https://edmondsonsupply.com/products/icm-controls-icm401-3-phase-line-voltage-monitor")</f>
        <v/>
      </c>
      <c r="C135" t="inlineStr">
        <is>
          <t>ICM Controls ICM401 3 Phase Line Voltage Monitor</t>
        </is>
      </c>
      <c r="D135" t="inlineStr">
        <is>
          <t>ICM Controls ICM409 Three-Phase Line Voltage Monitor Offering Protection Against Phase Loss/Reversal, Unbalance and High/Low Voltage, 50/60 Hz, 190-480 VAC, Din Rail Mount</t>
        </is>
      </c>
      <c r="E135" s="2">
        <f>HYPERLINK("https://www.amazon.com/ICM-Controls-Three-Phase-Protection-Unbalance/dp/B00DGB4PQU/ref=sr_1_2?keywords=ICM+Controls+ICM401+3+Phase+Line+Voltage+Monitor&amp;qid=1695173605&amp;sr=8-2", "https://www.amazon.com/ICM-Controls-Three-Phase-Protection-Unbalance/dp/B00DGB4PQU/ref=sr_1_2?keywords=ICM+Controls+ICM401+3+Phase+Line+Voltage+Monitor&amp;qid=1695173605&amp;sr=8-2")</f>
        <v/>
      </c>
      <c r="F135" t="inlineStr">
        <is>
          <t>B00DGB4PQU</t>
        </is>
      </c>
      <c r="G135">
        <f>_xludf.IMAGE("https://edmondsonsupply.com/cdn/shop/products/photo_3653_medium_52cb7f2c-e5f0-4da1-ac53-d344fb2403c9.png?v=1665087171")</f>
        <v/>
      </c>
      <c r="H135">
        <f>_xludf.IMAGE("https://m.media-amazon.com/images/I/61og6zGDF+L._AC_UL320_.jpg")</f>
        <v/>
      </c>
      <c r="I135" t="inlineStr">
        <is>
          <t>34.79</t>
        </is>
      </c>
      <c r="J135" t="n">
        <v>164.38</v>
      </c>
      <c r="K135" s="3" t="inlineStr">
        <is>
          <t>372.49%</t>
        </is>
      </c>
      <c r="L135" t="n">
        <v>5</v>
      </c>
      <c r="M135" t="n">
        <v>2</v>
      </c>
      <c r="O135" t="inlineStr">
        <is>
          <t>InStock</t>
        </is>
      </c>
      <c r="P135" t="inlineStr">
        <is>
          <t>61.35</t>
        </is>
      </c>
      <c r="Q135" t="inlineStr">
        <is>
          <t>7842404532440</t>
        </is>
      </c>
    </row>
    <row r="136">
      <c r="A136" s="2">
        <f>HYPERLINK("https://edmondsonsupply.com/collections/hvac/products/refrigeration-technologies-rt175b-viper-big-blu-brush-on-micro-leak-detector", "https://edmondsonsupply.com/collections/hvac/products/refrigeration-technologies-rt175b-viper-big-blu-brush-on-micro-leak-detector")</f>
        <v/>
      </c>
      <c r="B136" s="2">
        <f>HYPERLINK("https://edmondsonsupply.com/products/refrigeration-technologies-rt175b-viper-big-blu-brush-on-micro-leak-detector", "https://edmondsonsupply.com/products/refrigeration-technologies-rt175b-viper-big-blu-brush-on-micro-leak-detector")</f>
        <v/>
      </c>
      <c r="C136" t="inlineStr">
        <is>
          <t>Refrigeration Technologies RT175B Viper Big Blu - Brush On Micro Leak Detector</t>
        </is>
      </c>
      <c r="D136" t="inlineStr">
        <is>
          <t>Refrigeration Technologies Big Blu Micro Leak Detector 1 Gal, Blue (RT100G)</t>
        </is>
      </c>
      <c r="E136" s="2">
        <f>HYPERLINK("https://www.amazon.com/Refrigeration-Technology-REFRIGERATION-TECHNOLOGIES-RT100G/dp/B0058E0Q0M/ref=sr_1_6?keywords=Refrigeration+Technologies+RT175B+Viper+Big+Blu+-+Brush+On+Micro+Leak+Detector&amp;qid=1695173358&amp;sr=8-6", "https://www.amazon.com/Refrigeration-Technology-REFRIGERATION-TECHNOLOGIES-RT100G/dp/B0058E0Q0M/ref=sr_1_6?keywords=Refrigeration+Technologies+RT175B+Viper+Big+Blu+-+Brush+On+Micro+Leak+Detector&amp;qid=1695173358&amp;sr=8-6")</f>
        <v/>
      </c>
      <c r="F136" t="inlineStr">
        <is>
          <t>B0058E0Q0M</t>
        </is>
      </c>
      <c r="G136">
        <f>_xludf.IMAGE("https://edmondsonsupply.com/cdn/shop/products/brush_on_blu_reflection-o17r8mukbu9smr8id6u6yq699brmo1twijfcclnbpc.jpg?v=1633030388")</f>
        <v/>
      </c>
      <c r="H136">
        <f>_xludf.IMAGE("https://m.media-amazon.com/images/I/51CD8l6IzFL._AC_UY218_.jpg")</f>
        <v/>
      </c>
      <c r="I136" t="inlineStr">
        <is>
          <t>8.39</t>
        </is>
      </c>
      <c r="J136" t="n">
        <v>38.49</v>
      </c>
      <c r="K136" s="3" t="inlineStr">
        <is>
          <t>358.76%</t>
        </is>
      </c>
      <c r="L136" t="n">
        <v>4.5</v>
      </c>
      <c r="M136" t="n">
        <v>14</v>
      </c>
      <c r="O136" t="inlineStr">
        <is>
          <t>InStock</t>
        </is>
      </c>
      <c r="P136" t="inlineStr">
        <is>
          <t>9.22</t>
        </is>
      </c>
      <c r="Q136" t="inlineStr">
        <is>
          <t>5300024967336</t>
        </is>
      </c>
    </row>
    <row r="137">
      <c r="A137" s="2">
        <f>HYPERLINK("https://edmondsonsupply.com/collections/hvac/products/kroil-ks132-original-penetrant-aerosol-13oz-can", "https://edmondsonsupply.com/collections/hvac/products/kroil-ks132-original-penetrant-aerosol-13oz-can")</f>
        <v/>
      </c>
      <c r="B137" s="2">
        <f>HYPERLINK("https://edmondsonsupply.com/products/kroil-ks132-original-penetrant-aerosol-13oz-can", "https://edmondsonsupply.com/products/kroil-ks132-original-penetrant-aerosol-13oz-can")</f>
        <v/>
      </c>
      <c r="C137" t="inlineStr">
        <is>
          <t>Kroil KS132 Original Penetrant Aerosol 13oz can</t>
        </is>
      </c>
      <c r="D137" t="inlineStr">
        <is>
          <t>Kroil Original Penetrating Oil (Aerosol Spray-13oz Can-Case of 4) | Penetrant for Rusted Bolts, Metal, Hinges, Chains, Moving Parts | Rust, Corrosion Inhibitor (AZKS132C4)</t>
        </is>
      </c>
      <c r="E137" s="2">
        <f>HYPERLINK("https://www.amazon.com/Penetrating-Spray-13oz-Penetrant-Corrosion-AZKS132C4/dp/B08ZM7198N/ref=sr_1_2?keywords=Kroil+KS132+Original+Penetrant+Aerosol+13oz+can&amp;qid=1695173755&amp;sr=8-2", "https://www.amazon.com/Penetrating-Spray-13oz-Penetrant-Corrosion-AZKS132C4/dp/B08ZM7198N/ref=sr_1_2?keywords=Kroil+KS132+Original+Penetrant+Aerosol+13oz+can&amp;qid=1695173755&amp;sr=8-2")</f>
        <v/>
      </c>
      <c r="F137" t="inlineStr">
        <is>
          <t>B08ZM7198N</t>
        </is>
      </c>
      <c r="G137">
        <f>_xludf.IMAGE("https://edmondsonsupply.com/cdn/shop/files/ks132.webp?v=1686779771")</f>
        <v/>
      </c>
      <c r="H137">
        <f>_xludf.IMAGE("https://m.media-amazon.com/images/I/61LjyRT-EEL._AC_UY218_.jpg")</f>
        <v/>
      </c>
      <c r="I137" t="inlineStr">
        <is>
          <t>23.79</t>
        </is>
      </c>
      <c r="J137" t="n">
        <v>105.99</v>
      </c>
      <c r="K137" s="3" t="inlineStr">
        <is>
          <t>345.52%</t>
        </is>
      </c>
      <c r="L137" t="n">
        <v>4.8</v>
      </c>
      <c r="M137" t="n">
        <v>24</v>
      </c>
      <c r="O137" t="inlineStr">
        <is>
          <t>InStock</t>
        </is>
      </c>
      <c r="P137" t="inlineStr">
        <is>
          <t>27.4</t>
        </is>
      </c>
      <c r="Q137" t="inlineStr">
        <is>
          <t>8005750554840</t>
        </is>
      </c>
    </row>
    <row r="138">
      <c r="A138" s="2">
        <f>HYPERLINK("https://edmondsonsupply.com/collections/hvac/products/kroil-sk102-penetrant-with-silicone-aka-silikroil-10oz-can", "https://edmondsonsupply.com/collections/hvac/products/kroil-sk102-penetrant-with-silicone-aka-silikroil-10oz-can")</f>
        <v/>
      </c>
      <c r="B138" s="2">
        <f>HYPERLINK("https://edmondsonsupply.com/products/kroil-sk102-penetrant-with-silicone-aka-silikroil-10oz-can", "https://edmondsonsupply.com/products/kroil-sk102-penetrant-with-silicone-aka-silikroil-10oz-can")</f>
        <v/>
      </c>
      <c r="C138" t="inlineStr">
        <is>
          <t>Kroil SK102 Penetrant With Silicone (AKA Silikroil) Aerosol 10oz Can</t>
        </is>
      </c>
      <c r="D138" t="inlineStr">
        <is>
          <t>Kroil Penetrating Oil with Silicone (Aerosol Spray-10oz Can-Case of 4) | Penetrant for Rusted Bolts, Metal | Lubricant for Hinges, Chains, Moving Parts (AZSK102C4)</t>
        </is>
      </c>
      <c r="E138" s="2">
        <f>HYPERLINK("https://www.amazon.com/Penetrating-Spray-10oz-Penetrant-Lubricant-AZSK102C4/dp/B08ZM6ND3L/ref=sr_1_1?keywords=Kroil+SK102+Penetrant+With+Silicone+%28AKA+Silikroil%29+Aerosol+10oz+Can&amp;qid=1695173756&amp;sr=8-1", "https://www.amazon.com/Penetrating-Spray-10oz-Penetrant-Lubricant-AZSK102C4/dp/B08ZM6ND3L/ref=sr_1_1?keywords=Kroil+SK102+Penetrant+With+Silicone+%28AKA+Silikroil%29+Aerosol+10oz+Can&amp;qid=1695173756&amp;sr=8-1")</f>
        <v/>
      </c>
      <c r="F138" t="inlineStr">
        <is>
          <t>B08ZM6ND3L</t>
        </is>
      </c>
      <c r="G138">
        <f>_xludf.IMAGE("https://edmondsonsupply.com/cdn/shop/files/SK102.webp?v=1686780967")</f>
        <v/>
      </c>
      <c r="H138">
        <f>_xludf.IMAGE("https://m.media-amazon.com/images/I/71MJwRmkqzS._AC_UY218_.jpg")</f>
        <v/>
      </c>
      <c r="I138" t="inlineStr">
        <is>
          <t>22.98</t>
        </is>
      </c>
      <c r="J138" t="n">
        <v>99.98999999999999</v>
      </c>
      <c r="K138" s="3" t="inlineStr">
        <is>
          <t>335.12%</t>
        </is>
      </c>
      <c r="L138" t="n">
        <v>4.5</v>
      </c>
      <c r="M138" t="n">
        <v>16</v>
      </c>
      <c r="O138" t="inlineStr">
        <is>
          <t>InStock</t>
        </is>
      </c>
      <c r="P138" t="inlineStr">
        <is>
          <t>24.0</t>
        </is>
      </c>
      <c r="Q138" t="inlineStr">
        <is>
          <t>8005755699416</t>
        </is>
      </c>
    </row>
    <row r="139">
      <c r="A139" s="2">
        <f>HYPERLINK("https://edmondsonsupply.com/collections/hvac/products/yellow-jacket-25002-9-flexflow%E2%84%A2-1-4-adaper-hose-with-ball-valve-yellow", "https://edmondsonsupply.com/collections/hvac/products/yellow-jacket-25002-9-flexflow%E2%84%A2-1-4-adaper-hose-with-ball-valve-yellow")</f>
        <v/>
      </c>
      <c r="B139" s="2">
        <f>HYPERLINK("https://edmondsonsupply.com/products/yellow-jacket-25002-9-flexflow%e2%84%a2-1-4-adaper-hose-with-ball-valve-yellow", "https://edmondsonsupply.com/products/yellow-jacket-25002-9-flexflow%e2%84%a2-1-4-adaper-hose-with-ball-valve-yellow")</f>
        <v/>
      </c>
      <c r="C139" t="inlineStr">
        <is>
          <t>Yellow Jacket 25002 9" FLEXFLOW™ 1/4" Adaper Hose with Ball Valve - Yellow</t>
        </is>
      </c>
      <c r="D139" t="inlineStr">
        <is>
          <t>Yellow Jacket 29985 - Plus II 1/4" Hose with Compact Ball Valve End, 60" Length</t>
        </is>
      </c>
      <c r="E139" s="2">
        <f>HYPERLINK("https://www.amazon.com/Yellow-Jacket-29985-Compact-Length/dp/B007ID1HK4/ref=sr_1_2?keywords=Yellow+Jacket+25002+9%22+FLEXFLOW%E2%84%A2+1%2F4%22+Adaper+Hose+with+Ball+Valve+-+Yellow&amp;qid=1695173563&amp;sr=8-2", "https://www.amazon.com/Yellow-Jacket-29985-Compact-Length/dp/B007ID1HK4/ref=sr_1_2?keywords=Yellow+Jacket+25002+9%22+FLEXFLOW%E2%84%A2+1%2F4%22+Adaper+Hose+with+Ball+Valve+-+Yellow&amp;qid=1695173563&amp;sr=8-2")</f>
        <v/>
      </c>
      <c r="F139" t="inlineStr">
        <is>
          <t>B007ID1HK4</t>
        </is>
      </c>
      <c r="G139">
        <f>_xludf.IMAGE("https://edmondsonsupply.com/cdn/shop/products/Yellow_Jacket_25002.jpg?v=1587150917")</f>
        <v/>
      </c>
      <c r="H139">
        <f>_xludf.IMAGE("https://m.media-amazon.com/images/I/61JYQM06zqL._AC_UL320_.jpg")</f>
        <v/>
      </c>
      <c r="I139" t="inlineStr">
        <is>
          <t>35.54</t>
        </is>
      </c>
      <c r="J139" t="n">
        <v>154</v>
      </c>
      <c r="K139" s="3" t="inlineStr">
        <is>
          <t>333.31%</t>
        </is>
      </c>
      <c r="L139" t="n">
        <v>4.7</v>
      </c>
      <c r="M139" t="n">
        <v>228</v>
      </c>
      <c r="O139" t="inlineStr">
        <is>
          <t>InStock</t>
        </is>
      </c>
      <c r="P139" t="inlineStr">
        <is>
          <t>undefined</t>
        </is>
      </c>
      <c r="Q139" t="inlineStr">
        <is>
          <t>2633213739108</t>
        </is>
      </c>
    </row>
    <row r="140">
      <c r="A140" s="2">
        <f>HYPERLINK("https://edmondsonsupply.com/collections/hvac/products/klein-tools-pnd-12-5-1-2-inch-power-nut-driver-5-inch-length", "https://edmondsonsupply.com/collections/hvac/products/klein-tools-pnd-12-5-1-2-inch-power-nut-driver-5-inch-length")</f>
        <v/>
      </c>
      <c r="B140" s="2">
        <f>HYPERLINK("https://edmondsonsupply.com/products/klein-tools-pnd-12-5-1-2-inch-power-nut-driver-5-inch-length", "https://edmondsonsupply.com/products/klein-tools-pnd-12-5-1-2-inch-power-nut-driver-5-inch-length")</f>
        <v/>
      </c>
      <c r="C140" t="inlineStr">
        <is>
          <t>Klein Tools PND-12-5 1/2-Inch Power Nut Driver 5-Inch Length</t>
        </is>
      </c>
      <c r="D140" t="inlineStr">
        <is>
          <t>Klein Tools 635-6 Tool Set, Heavy Duty Magnetic Nut Drivers SAE Sizes 1/4, 5/16, 3/8, 7/16, 1/2, and 9/16-Inch Hex, 6-Inch, 6-Piece</t>
        </is>
      </c>
      <c r="E140" s="2">
        <f>HYPERLINK("https://www.amazon.com/Heavy-Duty-Driver-6-Piece-Klein-Tools/dp/B01DKNDHGM/ref=sr_1_7?keywords=Klein+Tools+PND-12-5+1%2F2-Inch+Power+Nut+Driver+5-Inch+Length&amp;qid=1695173525&amp;sr=8-7", "https://www.amazon.com/Heavy-Duty-Driver-6-Piece-Klein-Tools/dp/B01DKNDHGM/ref=sr_1_7?keywords=Klein+Tools+PND-12-5+1%2F2-Inch+Power+Nut+Driver+5-Inch+Length&amp;qid=1695173525&amp;sr=8-7")</f>
        <v/>
      </c>
      <c r="F140" t="inlineStr">
        <is>
          <t>B01DKNDHGM</t>
        </is>
      </c>
      <c r="G140">
        <f>_xludf.IMAGE("https://edmondsonsupply.com/cdn/shop/products/pnd125.jpg?v=1633031028")</f>
        <v/>
      </c>
      <c r="H140">
        <f>_xludf.IMAGE("https://m.media-amazon.com/images/I/61eypCy1RLL._AC_UL320_.jpg")</f>
        <v/>
      </c>
      <c r="I140" t="inlineStr">
        <is>
          <t>18.99</t>
        </is>
      </c>
      <c r="J140" t="n">
        <v>79.98999999999999</v>
      </c>
      <c r="K140" s="3" t="inlineStr">
        <is>
          <t>321.22%</t>
        </is>
      </c>
      <c r="L140" t="n">
        <v>4.7</v>
      </c>
      <c r="M140" t="n">
        <v>943</v>
      </c>
      <c r="O140" t="inlineStr">
        <is>
          <t>InStock</t>
        </is>
      </c>
      <c r="P140" t="inlineStr">
        <is>
          <t>30.98</t>
        </is>
      </c>
      <c r="Q140" t="inlineStr">
        <is>
          <t>6729466445997</t>
        </is>
      </c>
    </row>
    <row r="141">
      <c r="A141" s="2">
        <f>HYPERLINK("https://edmondsonsupply.com/collections/hvac/products/klein-tools-630m-magnetic-nut-driver-set-3-inch-shafts-2-piece", "https://edmondsonsupply.com/collections/hvac/products/klein-tools-630m-magnetic-nut-driver-set-3-inch-shafts-2-piece")</f>
        <v/>
      </c>
      <c r="B141" s="2">
        <f>HYPERLINK("https://edmondsonsupply.com/products/klein-tools-630m-magnetic-nut-driver-set-3-inch-shafts-2-piece", "https://edmondsonsupply.com/products/klein-tools-630m-magnetic-nut-driver-set-3-inch-shafts-2-piece")</f>
        <v/>
      </c>
      <c r="C141" t="inlineStr">
        <is>
          <t>Klein Tools 630M Magnetic Nut Driver Set, 3-Inch Shafts, 2-Piece</t>
        </is>
      </c>
      <c r="D141" t="inlineStr">
        <is>
          <t>Klein Tools 647M Tool Set, Magnetic Nut Drivers Sizes 3/16, 1/4, 5/16, 11/32, 3/8, 7/16, 1/2-Inch, 6-Inch Hollow Shafts, 7-Piece</t>
        </is>
      </c>
      <c r="E141" s="2">
        <f>HYPERLINK("https://www.amazon.com/Klein-Tools-647M-Magnetic-7-Piece/dp/B000MKIUYQ/ref=sr_1_5?keywords=Klein+Tools+630M+Magnetic+Nut+Driver+Set%2C+3-Inch+Shafts%2C+2-Piece&amp;qid=1695173650&amp;sr=8-5", "https://www.amazon.com/Klein-Tools-647M-Magnetic-7-Piece/dp/B000MKIUYQ/ref=sr_1_5?keywords=Klein+Tools+630M+Magnetic+Nut+Driver+Set%2C+3-Inch+Shafts%2C+2-Piece&amp;qid=1695173650&amp;sr=8-5")</f>
        <v/>
      </c>
      <c r="F141" t="inlineStr">
        <is>
          <t>B000MKIUYQ</t>
        </is>
      </c>
      <c r="G141">
        <f>_xludf.IMAGE("https://edmondsonsupply.com/cdn/shop/products/630m.jpg?v=1587143237")</f>
        <v/>
      </c>
      <c r="H141">
        <f>_xludf.IMAGE("https://m.media-amazon.com/images/I/61PNUE211uL._AC_UL320_.jpg")</f>
        <v/>
      </c>
      <c r="I141" t="inlineStr">
        <is>
          <t>18.99</t>
        </is>
      </c>
      <c r="J141" t="n">
        <v>79.98999999999999</v>
      </c>
      <c r="K141" s="3" t="inlineStr">
        <is>
          <t>321.22%</t>
        </is>
      </c>
      <c r="L141" t="n">
        <v>4.8</v>
      </c>
      <c r="M141" t="n">
        <v>985</v>
      </c>
      <c r="O141" t="inlineStr">
        <is>
          <t>InStock</t>
        </is>
      </c>
      <c r="P141" t="inlineStr">
        <is>
          <t>28.78</t>
        </is>
      </c>
      <c r="Q141" t="inlineStr">
        <is>
          <t>4508216787044</t>
        </is>
      </c>
    </row>
    <row r="142">
      <c r="A142" s="2">
        <f>HYPERLINK("https://edmondsonsupply.com/collections/hvac/products/jb-industries-dvo-12-black-gold-vacuum-pump-oil", "https://edmondsonsupply.com/collections/hvac/products/jb-industries-dvo-12-black-gold-vacuum-pump-oil")</f>
        <v/>
      </c>
      <c r="B142" s="2">
        <f>HYPERLINK("https://edmondsonsupply.com/products/jb-industries-dvo-12-black-gold-vacuum-pump-oil", "https://edmondsonsupply.com/products/jb-industries-dvo-12-black-gold-vacuum-pump-oil")</f>
        <v/>
      </c>
      <c r="C142" t="inlineStr">
        <is>
          <t>JB Industries DVO-12 BLACK GOLD Vacuum Pump Oil (1 Quart)</t>
        </is>
      </c>
      <c r="D142" t="inlineStr">
        <is>
          <t>JB Industries DVO-24 Bottle of Black Gold Vacuum Pump Oil, 1 gallon - GIDDS-2463009</t>
        </is>
      </c>
      <c r="E142" s="2">
        <f>HYPERLINK("https://www.amazon.com/JB-Industries-DVO-24-Bottle-Vacuum/dp/B001UH3L8K/ref=sr_1_1?keywords=JB+Industries+DVO-12+BLACK+GOLD+Vacuum+Pump+Oil+%281+Quart%29&amp;qid=1695173454&amp;sr=8-1", "https://www.amazon.com/JB-Industries-DVO-24-Bottle-Vacuum/dp/B001UH3L8K/ref=sr_1_1?keywords=JB+Industries+DVO-12+BLACK+GOLD+Vacuum+Pump+Oil+%281+Quart%29&amp;qid=1695173454&amp;sr=8-1")</f>
        <v/>
      </c>
      <c r="F142" t="inlineStr">
        <is>
          <t>B001UH3L8K</t>
        </is>
      </c>
      <c r="G142">
        <f>_xludf.IMAGE("https://edmondsonsupply.com/cdn/shop/files/DVO-12-JB-Black-Gold-Vacuum-Pump-Oil-Quart_ccff144a-8836-43fe-b210-6b78cd839be8.webp?v=1687556840")</f>
        <v/>
      </c>
      <c r="H142">
        <f>_xludf.IMAGE("https://m.media-amazon.com/images/I/81QYb8rGB9L._AC_UL320_.jpg")</f>
        <v/>
      </c>
      <c r="I142" t="inlineStr">
        <is>
          <t>14.83</t>
        </is>
      </c>
      <c r="J142" t="n">
        <v>59.99</v>
      </c>
      <c r="K142" s="3" t="inlineStr">
        <is>
          <t>304.52%</t>
        </is>
      </c>
      <c r="L142" t="n">
        <v>4.8</v>
      </c>
      <c r="M142" t="n">
        <v>796</v>
      </c>
      <c r="O142" t="inlineStr">
        <is>
          <t>InStock</t>
        </is>
      </c>
      <c r="P142" t="inlineStr">
        <is>
          <t>17.91</t>
        </is>
      </c>
      <c r="Q142" t="inlineStr">
        <is>
          <t>8008297939160</t>
        </is>
      </c>
    </row>
    <row r="143">
      <c r="A143" s="2">
        <f>HYPERLINK("https://edmondsonsupply.com/collections/hvac/products/nu-calgon-4291-18-nu-brite-aerosol-coil-cleaner", "https://edmondsonsupply.com/collections/hvac/products/nu-calgon-4291-18-nu-brite-aerosol-coil-cleaner")</f>
        <v/>
      </c>
      <c r="B143" s="2">
        <f>HYPERLINK("https://edmondsonsupply.com/products/nu-calgon-4291-18-nu-brite-aerosol-coil-cleaner", "https://edmondsonsupply.com/products/nu-calgon-4291-18-nu-brite-aerosol-coil-cleaner")</f>
        <v/>
      </c>
      <c r="C143" t="inlineStr">
        <is>
          <t>Nu-Calgon 4291-18 Nu-Brite Aerosol Coil Cleaner</t>
        </is>
      </c>
      <c r="D143" t="inlineStr">
        <is>
          <t>Nu-Calgon 4291-08 Nu-Brite Alkaline Based Coil Cleaner 1 Gallon</t>
        </is>
      </c>
      <c r="E143" s="2">
        <f>HYPERLINK("https://www.amazon.com/Nu-Calgon-4291-08-Nu-Brite-Foaming-Cleaner/dp/B009AXXUKU/ref=sr_1_6?keywords=Nu-Calgon+4291-18+Nu-Brite+Aerosol+Coil+Cleaner&amp;qid=1695173432&amp;sr=8-6", "https://www.amazon.com/Nu-Calgon-4291-08-Nu-Brite-Foaming-Cleaner/dp/B009AXXUKU/ref=sr_1_6?keywords=Nu-Calgon+4291-18+Nu-Brite+Aerosol+Coil+Cleaner&amp;qid=1695173432&amp;sr=8-6")</f>
        <v/>
      </c>
      <c r="F143" t="inlineStr">
        <is>
          <t>B009AXXUKU</t>
        </is>
      </c>
      <c r="G143">
        <f>_xludf.IMAGE("https://edmondsonsupply.com/cdn/shop/products/4291-18.jpg?v=1658772777")</f>
        <v/>
      </c>
      <c r="H143">
        <f>_xludf.IMAGE("https://m.media-amazon.com/images/I/41Vk89VXMYL._AC_UL320_.jpg")</f>
        <v/>
      </c>
      <c r="I143" t="inlineStr">
        <is>
          <t>11.39</t>
        </is>
      </c>
      <c r="J143" t="n">
        <v>45.5</v>
      </c>
      <c r="K143" s="3" t="inlineStr">
        <is>
          <t>299.47%</t>
        </is>
      </c>
      <c r="L143" t="n">
        <v>5</v>
      </c>
      <c r="M143" t="n">
        <v>10</v>
      </c>
      <c r="O143" t="inlineStr">
        <is>
          <t>InStock</t>
        </is>
      </c>
      <c r="P143" t="inlineStr">
        <is>
          <t>15.42</t>
        </is>
      </c>
      <c r="Q143" t="inlineStr">
        <is>
          <t>7760576119000</t>
        </is>
      </c>
    </row>
    <row r="144">
      <c r="A144" s="2">
        <f>HYPERLINK("https://edmondsonsupply.com/collections/hvac/products/midwest-mwt-6716b-bulldog-aviation-snip", "https://edmondsonsupply.com/collections/hvac/products/midwest-mwt-6716b-bulldog-aviation-snip")</f>
        <v/>
      </c>
      <c r="B144" s="2">
        <f>HYPERLINK("https://edmondsonsupply.com/products/midwest-mwt-6716b-bulldog-aviation-snip", "https://edmondsonsupply.com/products/midwest-mwt-6716b-bulldog-aviation-snip")</f>
        <v/>
      </c>
      <c r="C144" t="inlineStr">
        <is>
          <t>Midwest MWT-6716B Bulldog Aviation Snip</t>
        </is>
      </c>
      <c r="D144" t="inlineStr">
        <is>
          <t>Aviation Bulldog Snips (Midwest #MWT-671B) - 9"</t>
        </is>
      </c>
      <c r="E144" s="2">
        <f>HYPERLINK("https://www.amazon.com/Wright-Tool-9P6716B-Bulldog-Aviation/dp/B00A1BP4OK/ref=sr_1_10?keywords=Midwest+MWT-6716B+Bulldog+Aviation+Snip&amp;qid=1695173478&amp;sr=8-10", "https://www.amazon.com/Wright-Tool-9P6716B-Bulldog-Aviation/dp/B00A1BP4OK/ref=sr_1_10?keywords=Midwest+MWT-6716B+Bulldog+Aviation+Snip&amp;qid=1695173478&amp;sr=8-10")</f>
        <v/>
      </c>
      <c r="F144" t="inlineStr">
        <is>
          <t>B00A1BP4OK</t>
        </is>
      </c>
      <c r="G144">
        <f>_xludf.IMAGE("https://edmondsonsupply.com/cdn/shop/products/mwt-6716b.png?v=1587151187")</f>
        <v/>
      </c>
      <c r="H144">
        <f>_xludf.IMAGE("https://m.media-amazon.com/images/I/71QEjpomi6L._AC_UL320_.jpg")</f>
        <v/>
      </c>
      <c r="I144" t="inlineStr">
        <is>
          <t>21.2</t>
        </is>
      </c>
      <c r="J144" t="n">
        <v>83</v>
      </c>
      <c r="K144" s="3" t="inlineStr">
        <is>
          <t>291.51%</t>
        </is>
      </c>
      <c r="L144" t="n">
        <v>5</v>
      </c>
      <c r="M144" t="n">
        <v>1</v>
      </c>
      <c r="O144" t="inlineStr">
        <is>
          <t>InStock</t>
        </is>
      </c>
      <c r="P144" t="inlineStr">
        <is>
          <t>31.11</t>
        </is>
      </c>
      <c r="Q144" t="inlineStr">
        <is>
          <t>3688937390180</t>
        </is>
      </c>
    </row>
    <row r="145">
      <c r="A145" s="2">
        <f>HYPERLINK("https://edmondsonsupply.com/collections/hvac/products/nu-calgon-4291-18-nu-brite-aerosol-coil-cleaner", "https://edmondsonsupply.com/collections/hvac/products/nu-calgon-4291-18-nu-brite-aerosol-coil-cleaner")</f>
        <v/>
      </c>
      <c r="B145" s="2">
        <f>HYPERLINK("https://edmondsonsupply.com/products/nu-calgon-4291-18-nu-brite-aerosol-coil-cleaner", "https://edmondsonsupply.com/products/nu-calgon-4291-18-nu-brite-aerosol-coil-cleaner")</f>
        <v/>
      </c>
      <c r="C145" t="inlineStr">
        <is>
          <t>Nu-Calgon 4291-18 Nu-Brite Aerosol Coil Cleaner</t>
        </is>
      </c>
      <c r="D145" t="inlineStr">
        <is>
          <t>Nu-Calgon 4291-08 Nu-Brite Alkaline Based Coil Cleaner 1 Gallon</t>
        </is>
      </c>
      <c r="E145" s="2">
        <f>HYPERLINK("https://www.amazon.com/Nu-Calgon-4291-08-Nu-Brite-Alkaline-Cleaner/dp/B009J5QGG4/ref=sr_1_4?keywords=Nu-Calgon+4291-18+Nu-Brite+Aerosol+Coil+Cleaner&amp;qid=1695173432&amp;sr=8-4", "https://www.amazon.com/Nu-Calgon-4291-08-Nu-Brite-Alkaline-Cleaner/dp/B009J5QGG4/ref=sr_1_4?keywords=Nu-Calgon+4291-18+Nu-Brite+Aerosol+Coil+Cleaner&amp;qid=1695173432&amp;sr=8-4")</f>
        <v/>
      </c>
      <c r="F145" t="inlineStr">
        <is>
          <t>B009J5QGG4</t>
        </is>
      </c>
      <c r="G145">
        <f>_xludf.IMAGE("https://edmondsonsupply.com/cdn/shop/products/4291-18.jpg?v=1658772777")</f>
        <v/>
      </c>
      <c r="H145">
        <f>_xludf.IMAGE("https://m.media-amazon.com/images/I/21bLtk2S+IL._AC_UL320_.jpg")</f>
        <v/>
      </c>
      <c r="I145" t="inlineStr">
        <is>
          <t>11.39</t>
        </is>
      </c>
      <c r="J145" t="n">
        <v>44.42</v>
      </c>
      <c r="K145" s="3" t="inlineStr">
        <is>
          <t>289.99%</t>
        </is>
      </c>
      <c r="L145" t="n">
        <v>4.4</v>
      </c>
      <c r="M145" t="n">
        <v>9</v>
      </c>
      <c r="O145" t="inlineStr">
        <is>
          <t>InStock</t>
        </is>
      </c>
      <c r="P145" t="inlineStr">
        <is>
          <t>15.42</t>
        </is>
      </c>
      <c r="Q145" t="inlineStr">
        <is>
          <t>7760576119000</t>
        </is>
      </c>
    </row>
    <row r="146">
      <c r="A146" s="2">
        <f>HYPERLINK("https://edmondsonsupply.com/collections/hvac/products/malco-mshc-2-inch-c-rhex-cleanable-reversible-magnetic-hex-driver-1-4-5-16", "https://edmondsonsupply.com/collections/hvac/products/malco-mshc-2-inch-c-rhex-cleanable-reversible-magnetic-hex-driver-1-4-5-16")</f>
        <v/>
      </c>
      <c r="B146" s="2">
        <f>HYPERLINK("https://edmondsonsupply.com/products/malco-mshc-2-inch-c-rhex-cleanable-reversible-magnetic-hex-driver-1-4-5-16", "https://edmondsonsupply.com/products/malco-mshc-2-inch-c-rhex-cleanable-reversible-magnetic-hex-driver-1-4-5-16")</f>
        <v/>
      </c>
      <c r="C146" t="inlineStr">
        <is>
          <t>Malco Tools MSHC 2-Inch C-Rhex Cleanable, Reversible Magnetic Hex Driver, 1/4" &amp; 5/16"</t>
        </is>
      </c>
      <c r="D146" t="inlineStr">
        <is>
          <t>Malco MSH2XLC2 C-RHEX® Building Construction Series Cleanable, Reversible Magnetic Hex Driver (1/4" &amp; 5/16")</t>
        </is>
      </c>
      <c r="E146" s="2">
        <f>HYPERLINK("https://www.amazon.com/Malco-MSH2XLC2-Construction-Cleanable-Reversible/dp/B0BX79N2BV/ref=sr_1_6?keywords=Malco+Tools+MSHC+2-Inch+C-Rhex+Cleanable%2C+Reversible+Magnetic+Hex+Driver%2C+1%2F4&amp;qid=1695173343&amp;sr=8-6", "https://www.amazon.com/Malco-MSH2XLC2-Construction-Cleanable-Reversible/dp/B0BX79N2BV/ref=sr_1_6?keywords=Malco+Tools+MSHC+2-Inch+C-Rhex+Cleanable%2C+Reversible+Magnetic+Hex+Driver%2C+1%2F4&amp;qid=1695173343&amp;sr=8-6")</f>
        <v/>
      </c>
      <c r="F146" t="inlineStr">
        <is>
          <t>B0BX79N2BV</t>
        </is>
      </c>
      <c r="G146">
        <f>_xludf.IMAGE("https://edmondsonsupply.com/cdn/shop/products/Malco-MSHC-CRHEX-Slim-Design.jpg?v=1646614493")</f>
        <v/>
      </c>
      <c r="H146">
        <f>_xludf.IMAGE("https://m.media-amazon.com/images/I/31odlSGS4kL._AC_UL320_.jpg")</f>
        <v/>
      </c>
      <c r="I146" t="inlineStr">
        <is>
          <t>5.89</t>
        </is>
      </c>
      <c r="J146" t="n">
        <v>22.86</v>
      </c>
      <c r="K146" s="3" t="inlineStr">
        <is>
          <t>288.12%</t>
        </is>
      </c>
      <c r="L146" t="n">
        <v>5</v>
      </c>
      <c r="M146" t="n">
        <v>1</v>
      </c>
      <c r="O146" t="inlineStr">
        <is>
          <t>InStock</t>
        </is>
      </c>
      <c r="P146" t="inlineStr">
        <is>
          <t>undefined</t>
        </is>
      </c>
      <c r="Q146" t="inlineStr">
        <is>
          <t>4102600753252</t>
        </is>
      </c>
    </row>
    <row r="147">
      <c r="A147" s="2">
        <f>HYPERLINK("https://edmondsonsupply.com/collections/hvac/products/midwest-mwt-6510s-straight-offset-aviation-snip", "https://edmondsonsupply.com/collections/hvac/products/midwest-mwt-6510s-straight-offset-aviation-snip")</f>
        <v/>
      </c>
      <c r="B147" s="2">
        <f>HYPERLINK("https://edmondsonsupply.com/products/midwest-mwt-6510s-straight-offset-aviation-snip", "https://edmondsonsupply.com/products/midwest-mwt-6510s-straight-offset-aviation-snip")</f>
        <v/>
      </c>
      <c r="C147" t="inlineStr">
        <is>
          <t>Midwest MWT-6510S Straight Offset Aviation Snip</t>
        </is>
      </c>
      <c r="D147" t="inlineStr">
        <is>
          <t>MIDWEST Aviation Snip - Left and Right Cut Offset Stainless Steel Cutting Shears with Forged Blade &amp; KUSH'N-POWER Comfort Grips - MWT-SS6510C</t>
        </is>
      </c>
      <c r="E147" s="2">
        <f>HYPERLINK("https://www.amazon.com/MIDWEST-Aviation-Snip-Set-KUSHN-POWER/dp/B07RC7ZBK9/ref=sr_1_6?keywords=Midwest+MWT-6510S+Straight+Offset+Aviation+Snip&amp;qid=1695173382&amp;sr=8-6", "https://www.amazon.com/MIDWEST-Aviation-Snip-Set-KUSHN-POWER/dp/B07RC7ZBK9/ref=sr_1_6?keywords=Midwest+MWT-6510S+Straight+Offset+Aviation+Snip&amp;qid=1695173382&amp;sr=8-6")</f>
        <v/>
      </c>
      <c r="F147" t="inlineStr">
        <is>
          <t>B07RC7ZBK9</t>
        </is>
      </c>
      <c r="G147">
        <f>_xludf.IMAGE("https://edmondsonsupply.com/cdn/shop/products/MWT-6510S-1.jpg?v=1587150061")</f>
        <v/>
      </c>
      <c r="H147">
        <f>_xludf.IMAGE("https://m.media-amazon.com/images/I/71438hbSyHL._AC_UL320_.jpg")</f>
        <v/>
      </c>
      <c r="I147" t="inlineStr">
        <is>
          <t>23.49</t>
        </is>
      </c>
      <c r="J147" t="n">
        <v>87.98999999999999</v>
      </c>
      <c r="K147" s="3" t="inlineStr">
        <is>
          <t>274.58%</t>
        </is>
      </c>
      <c r="L147" t="n">
        <v>4.4</v>
      </c>
      <c r="M147" t="n">
        <v>1137</v>
      </c>
      <c r="O147" t="inlineStr">
        <is>
          <t>OutOfStock</t>
        </is>
      </c>
      <c r="P147" t="inlineStr">
        <is>
          <t>33.49</t>
        </is>
      </c>
      <c r="Q147" t="inlineStr">
        <is>
          <t>4436158677092</t>
        </is>
      </c>
    </row>
    <row r="148">
      <c r="A148" s="2">
        <f>HYPERLINK("https://edmondsonsupply.com/collections/hvac/products/packard-trc40-titan-pro-run-capacitor-40-mfd-370-volt-round", "https://edmondsonsupply.com/collections/hvac/products/packard-trc40-titan-pro-run-capacitor-40-mfd-370-volt-round")</f>
        <v/>
      </c>
      <c r="B148" s="2">
        <f>HYPERLINK("https://edmondsonsupply.com/products/packard-trc40-titan-pro-run-capacitor-40-mfd-370-volt-round", "https://edmondsonsupply.com/products/packard-trc40-titan-pro-run-capacitor-40-mfd-370-volt-round")</f>
        <v/>
      </c>
      <c r="C148" t="inlineStr">
        <is>
          <t>Packard TRC40 Titan PRO Run Capacitor 40 MFD 370 Volt Round</t>
        </is>
      </c>
      <c r="D148" t="inlineStr">
        <is>
          <t>New TitanPro TRC40 HVAC Round Motor Run Capacitor. 40 MFD/UF 370 Volts</t>
        </is>
      </c>
      <c r="E148" s="2">
        <f>HYPERLINK("https://www.amazon.com/TitanPro-TRC40-Round-Motor-Capacitor/dp/B07P4LFJGV/ref=sr_1_2?keywords=Packard+TRC40+Titan+PRO+Run+Capacitor+40+MFD+370+Volt+Round&amp;qid=1695173675&amp;sr=8-2", "https://www.amazon.com/TitanPro-TRC40-Round-Motor-Capacitor/dp/B07P4LFJGV/ref=sr_1_2?keywords=Packard+TRC40+Titan+PRO+Run+Capacitor+40+MFD+370+Volt+Round&amp;qid=1695173675&amp;sr=8-2")</f>
        <v/>
      </c>
      <c r="F148" t="inlineStr">
        <is>
          <t>B07P4LFJGV</t>
        </is>
      </c>
      <c r="G148">
        <f>_xludf.IMAGE("https://edmondsonsupply.com/cdn/shop/products/tp370-2_xl_1.jpg?v=1587148259")</f>
        <v/>
      </c>
      <c r="H148">
        <f>_xludf.IMAGE("https://m.media-amazon.com/images/I/816a5n4cvjL._AC_UY218_.jpg")</f>
        <v/>
      </c>
      <c r="I148" t="inlineStr">
        <is>
          <t>4.6</t>
        </is>
      </c>
      <c r="J148" t="n">
        <v>17.03</v>
      </c>
      <c r="K148" s="3" t="inlineStr">
        <is>
          <t>270.22%</t>
        </is>
      </c>
      <c r="L148" t="n">
        <v>5</v>
      </c>
      <c r="M148" t="n">
        <v>2</v>
      </c>
      <c r="O148" t="inlineStr">
        <is>
          <t>InStock</t>
        </is>
      </c>
      <c r="P148" t="inlineStr">
        <is>
          <t>undefined</t>
        </is>
      </c>
      <c r="Q148" t="inlineStr">
        <is>
          <t>4343354654820</t>
        </is>
      </c>
    </row>
    <row r="149">
      <c r="A149" s="2">
        <f>HYPERLINK("https://edmondsonsupply.com/collections/hvac/products/packard-trc40-titan-pro-run-capacitor-40-mfd-370-volt-round", "https://edmondsonsupply.com/collections/hvac/products/packard-trc40-titan-pro-run-capacitor-40-mfd-370-volt-round")</f>
        <v/>
      </c>
      <c r="B149" s="2">
        <f>HYPERLINK("https://edmondsonsupply.com/products/packard-trc40-titan-pro-run-capacitor-40-mfd-370-volt-round", "https://edmondsonsupply.com/products/packard-trc40-titan-pro-run-capacitor-40-mfd-370-volt-round")</f>
        <v/>
      </c>
      <c r="C149" t="inlineStr">
        <is>
          <t>Packard TRC40 Titan PRO Run Capacitor 40 MFD 370 Volt Round</t>
        </is>
      </c>
      <c r="D149" t="inlineStr">
        <is>
          <t>TITAN PRO TRCFD4075 Dual Rated Motor Run Capacitor Round MFD 40/7.5 Volts 440/370</t>
        </is>
      </c>
      <c r="E149" s="2">
        <f>HYPERLINK("https://www.amazon.com/Titan-TRCFD4075-Rated-Motor-Capacitor/dp/B01IC27L72/ref=sr_1_9?keywords=Packard+TRC40+Titan+PRO+Run+Capacitor+40+MFD+370+Volt+Round&amp;qid=1695173675&amp;sr=8-9", "https://www.amazon.com/Titan-TRCFD4075-Rated-Motor-Capacitor/dp/B01IC27L72/ref=sr_1_9?keywords=Packard+TRC40+Titan+PRO+Run+Capacitor+40+MFD+370+Volt+Round&amp;qid=1695173675&amp;sr=8-9")</f>
        <v/>
      </c>
      <c r="F149" t="inlineStr">
        <is>
          <t>B01IC27L72</t>
        </is>
      </c>
      <c r="G149">
        <f>_xludf.IMAGE("https://edmondsonsupply.com/cdn/shop/products/tp370-2_xl_1.jpg?v=1587148259")</f>
        <v/>
      </c>
      <c r="H149">
        <f>_xludf.IMAGE("https://m.media-amazon.com/images/I/81gL9btPv8L._AC_UY218_.jpg")</f>
        <v/>
      </c>
      <c r="I149" t="inlineStr">
        <is>
          <t>4.6</t>
        </is>
      </c>
      <c r="J149" t="n">
        <v>16.78</v>
      </c>
      <c r="K149" s="3" t="inlineStr">
        <is>
          <t>264.78%</t>
        </is>
      </c>
      <c r="L149" t="n">
        <v>4.6</v>
      </c>
      <c r="M149" t="n">
        <v>46</v>
      </c>
      <c r="O149" t="inlineStr">
        <is>
          <t>InStock</t>
        </is>
      </c>
      <c r="P149" t="inlineStr">
        <is>
          <t>undefined</t>
        </is>
      </c>
      <c r="Q149" t="inlineStr">
        <is>
          <t>4343354654820</t>
        </is>
      </c>
    </row>
    <row r="150">
      <c r="A150" s="2">
        <f>HYPERLINK("https://edmondsonsupply.com/collections/hvac/products/packard-prmj108-motor-start-capacitor-108-130-mfd-330-volt", "https://edmondsonsupply.com/collections/hvac/products/packard-prmj108-motor-start-capacitor-108-130-mfd-330-volt")</f>
        <v/>
      </c>
      <c r="B150" s="2">
        <f>HYPERLINK("https://edmondsonsupply.com/products/packard-prmj108-motor-start-capacitor-108-130-mfd-330-volt", "https://edmondsonsupply.com/products/packard-prmj108-motor-start-capacitor-108-130-mfd-330-volt")</f>
        <v/>
      </c>
      <c r="C150" t="inlineStr">
        <is>
          <t>Packard PRMJ108 Motor Start Capacitor 108-130 MFD 330 Volt</t>
        </is>
      </c>
      <c r="D150" t="inlineStr">
        <is>
          <t>Appli Parts motor start capacitor 108-130 Mfd (microfarads) uF 330 VAC universal fit for electric motor applications 1-7/16 in Wide 3-3/8 in Height CON-108-330</t>
        </is>
      </c>
      <c r="E150" s="2">
        <f>HYPERLINK("https://www.amazon.com/capacitor-microfarads-universal-electric-applications/dp/B01FSQQ2AW/ref=sr_1_7?keywords=Packard+PRMJ108+Motor+Start+Capacitor+108-130+MFD+330+Volt&amp;qid=1695173650&amp;sr=8-7", "https://www.amazon.com/capacitor-microfarads-universal-electric-applications/dp/B01FSQQ2AW/ref=sr_1_7?keywords=Packard+PRMJ108+Motor+Start+Capacitor+108-130+MFD+330+Volt&amp;qid=1695173650&amp;sr=8-7")</f>
        <v/>
      </c>
      <c r="F150" t="inlineStr">
        <is>
          <t>B01FSQQ2AW</t>
        </is>
      </c>
      <c r="G150">
        <f>_xludf.IMAGE("https://edmondsonsupply.com/cdn/shop/products/PRMJ108-2.jpg?v=1633030309")</f>
        <v/>
      </c>
      <c r="H150">
        <f>_xludf.IMAGE("https://m.media-amazon.com/images/I/51NBTwnpEIL._AC_UY218_.jpg")</f>
        <v/>
      </c>
      <c r="I150" t="inlineStr">
        <is>
          <t>4.39</t>
        </is>
      </c>
      <c r="J150" t="n">
        <v>15.89</v>
      </c>
      <c r="K150" s="3" t="inlineStr">
        <is>
          <t>261.96%</t>
        </is>
      </c>
      <c r="L150" t="n">
        <v>4.5</v>
      </c>
      <c r="M150" t="n">
        <v>1389</v>
      </c>
      <c r="O150" t="inlineStr">
        <is>
          <t>InStock</t>
        </is>
      </c>
      <c r="P150" t="inlineStr">
        <is>
          <t>undefined</t>
        </is>
      </c>
      <c r="Q150" t="inlineStr">
        <is>
          <t>5241928319144</t>
        </is>
      </c>
    </row>
    <row r="151">
      <c r="A151" s="2">
        <f>HYPERLINK("https://edmondsonsupply.com/collections/hvac/products/packard-prmj108-motor-start-capacitor-108-130-mfd-330-volt", "https://edmondsonsupply.com/collections/hvac/products/packard-prmj108-motor-start-capacitor-108-130-mfd-330-volt")</f>
        <v/>
      </c>
      <c r="B151" s="2">
        <f>HYPERLINK("https://edmondsonsupply.com/products/packard-prmj108-motor-start-capacitor-108-130-mfd-330-volt", "https://edmondsonsupply.com/products/packard-prmj108-motor-start-capacitor-108-130-mfd-330-volt")</f>
        <v/>
      </c>
      <c r="C151" t="inlineStr">
        <is>
          <t>Packard PRMJ108 Motor Start Capacitor 108-130 MFD 330 Volt</t>
        </is>
      </c>
      <c r="D151" t="inlineStr">
        <is>
          <t>11063 - Mars OEM Replacement Motor Start Capacitor 330 Volt 108-130 MFD</t>
        </is>
      </c>
      <c r="E151" s="2">
        <f>HYPERLINK("https://www.amazon.com/11063-Replacement-Motor-Capacitor-108-130/dp/B06X9VNM1J/ref=sr_1_6?keywords=Packard+PRMJ108+Motor+Start+Capacitor+108-130+MFD+330+Volt&amp;qid=1695173650&amp;sr=8-6", "https://www.amazon.com/11063-Replacement-Motor-Capacitor-108-130/dp/B06X9VNM1J/ref=sr_1_6?keywords=Packard+PRMJ108+Motor+Start+Capacitor+108-130+MFD+330+Volt&amp;qid=1695173650&amp;sr=8-6")</f>
        <v/>
      </c>
      <c r="F151" t="inlineStr">
        <is>
          <t>B06X9VNM1J</t>
        </is>
      </c>
      <c r="G151">
        <f>_xludf.IMAGE("https://edmondsonsupply.com/cdn/shop/products/PRMJ108-2.jpg?v=1633030309")</f>
        <v/>
      </c>
      <c r="H151">
        <f>_xludf.IMAGE("https://m.media-amazon.com/images/I/41-AlfaYVML._AC_UY218_.jpg")</f>
        <v/>
      </c>
      <c r="I151" t="inlineStr">
        <is>
          <t>4.39</t>
        </is>
      </c>
      <c r="J151" t="n">
        <v>15.83</v>
      </c>
      <c r="K151" s="3" t="inlineStr">
        <is>
          <t>260.59%</t>
        </is>
      </c>
      <c r="L151" t="n">
        <v>4.4</v>
      </c>
      <c r="M151" t="n">
        <v>10</v>
      </c>
      <c r="O151" t="inlineStr">
        <is>
          <t>InStock</t>
        </is>
      </c>
      <c r="P151" t="inlineStr">
        <is>
          <t>undefined</t>
        </is>
      </c>
      <c r="Q151" t="inlineStr">
        <is>
          <t>5241928319144</t>
        </is>
      </c>
    </row>
    <row r="152">
      <c r="A152" s="2">
        <f>HYPERLINK("https://edmondsonsupply.com/collections/hvac/products/uei-dmg150-digital-micron-gauge", "https://edmondsonsupply.com/collections/hvac/products/uei-dmg150-digital-micron-gauge")</f>
        <v/>
      </c>
      <c r="B152" s="2">
        <f>HYPERLINK("https://edmondsonsupply.com/products/uei-dmg150-digital-micron-gauge", "https://edmondsonsupply.com/products/uei-dmg150-digital-micron-gauge")</f>
        <v/>
      </c>
      <c r="C152" t="inlineStr">
        <is>
          <t>UEi PDT650 Digital Folding Pocket Thermometer</t>
        </is>
      </c>
      <c r="D152" t="inlineStr">
        <is>
          <t>Aain® LX575 Digital Refrigerant Charging Weight Scale for HVAC A/C 220Lbs with LCD Display &amp; Three Measurement Unit Options &amp; UEi Test Instruments PDT650 Folding Pocket Digital Thermometer,Yellow</t>
        </is>
      </c>
      <c r="E152" s="2">
        <f>HYPERLINK("https://www.amazon.com/Refrigerant-Charging-Measurement-Instruments-Thermometer/dp/B0CF2HGH91/ref=sr_1_6?keywords=UEi+PDT650+Digital+Folding+Pocket+Thermometer&amp;qid=1695173385&amp;sr=8-6", "https://www.amazon.com/Refrigerant-Charging-Measurement-Instruments-Thermometer/dp/B0CF2HGH91/ref=sr_1_6?keywords=UEi+PDT650+Digital+Folding+Pocket+Thermometer&amp;qid=1695173385&amp;sr=8-6")</f>
        <v/>
      </c>
      <c r="F152" t="inlineStr">
        <is>
          <t>B0CF2HGH91</t>
        </is>
      </c>
      <c r="G152">
        <f>_xludf.IMAGE("https://edmondsonsupply.com/cdn/shop/products/PDT650-1.png?v=1633030101")</f>
        <v/>
      </c>
      <c r="H152">
        <f>_xludf.IMAGE("https://m.media-amazon.com/images/I/411mxyOYLQL._AC_UY218_.jpg")</f>
        <v/>
      </c>
      <c r="I152" t="inlineStr">
        <is>
          <t>19.51</t>
        </is>
      </c>
      <c r="J152" t="n">
        <v>70</v>
      </c>
      <c r="K152" s="3" t="inlineStr">
        <is>
          <t>258.79%</t>
        </is>
      </c>
      <c r="L152" t="n">
        <v>4.7</v>
      </c>
      <c r="M152" t="n">
        <v>25</v>
      </c>
      <c r="O152" t="inlineStr">
        <is>
          <t>InStock</t>
        </is>
      </c>
      <c r="P152" t="inlineStr">
        <is>
          <t>22.95</t>
        </is>
      </c>
      <c r="Q152" t="inlineStr">
        <is>
          <t>3569106649188</t>
        </is>
      </c>
    </row>
    <row r="153">
      <c r="A153" s="2">
        <f>HYPERLINK("https://edmondsonsupply.com/collections/hvac/products/klein-tools-89552-hole-cutter-for-duct-and-sheet-metal-2-to-12-inch", "https://edmondsonsupply.com/collections/hvac/products/klein-tools-89552-hole-cutter-for-duct-and-sheet-metal-2-to-12-inch")</f>
        <v/>
      </c>
      <c r="B153" s="2">
        <f>HYPERLINK("https://edmondsonsupply.com/products/klein-tools-89552-hole-cutter-for-duct-and-sheet-metal-2-to-12-inch", "https://edmondsonsupply.com/products/klein-tools-89552-hole-cutter-for-duct-and-sheet-metal-2-to-12-inch")</f>
        <v/>
      </c>
      <c r="C153" t="inlineStr">
        <is>
          <t>Klein Tools 89552 Hole Cutter for Duct and Sheet Metal, 2 to 12-Inch</t>
        </is>
      </c>
      <c r="D153" t="inlineStr">
        <is>
          <t>Malco C5A2 Impact Power Assisted Crimper &amp; Klein Tools 89552 Hole Cutter, Adjustable Cutter from 2 to 12 Inch, Cuts 24 gauge Steel and 26 gauge Stainless</t>
        </is>
      </c>
      <c r="E153" s="2">
        <f>HYPERLINK("https://www.amazon.com/Malco-Assisted-Crimper-Adjustable-Stainless/dp/B0BD3XQQX3/ref=sr_1_8?keywords=Klein+Tools+89552+Hole+Cutter+for+Duct+and+Sheet+Metal%2C+2+to+12-Inch&amp;qid=1695173674&amp;sr=8-8", "https://www.amazon.com/Malco-Assisted-Crimper-Adjustable-Stainless/dp/B0BD3XQQX3/ref=sr_1_8?keywords=Klein+Tools+89552+Hole+Cutter+for+Duct+and+Sheet+Metal%2C+2+to+12-Inch&amp;qid=1695173674&amp;sr=8-8")</f>
        <v/>
      </c>
      <c r="F153" t="inlineStr">
        <is>
          <t>B0BD3XQQX3</t>
        </is>
      </c>
      <c r="G153">
        <f>_xludf.IMAGE("https://edmondsonsupply.com/cdn/shop/products/89552.jpg?v=1587143132")</f>
        <v/>
      </c>
      <c r="H153">
        <f>_xludf.IMAGE("https://m.media-amazon.com/images/I/41TbDOXfeXL._AC_UL320_.jpg")</f>
        <v/>
      </c>
      <c r="I153" t="inlineStr">
        <is>
          <t>56.99</t>
        </is>
      </c>
      <c r="J153" t="n">
        <v>203.98</v>
      </c>
      <c r="K153" s="3" t="inlineStr">
        <is>
          <t>257.92%</t>
        </is>
      </c>
      <c r="L153" t="n">
        <v>5</v>
      </c>
      <c r="M153" t="n">
        <v>1</v>
      </c>
      <c r="O153" t="inlineStr">
        <is>
          <t>InStock</t>
        </is>
      </c>
      <c r="P153" t="inlineStr">
        <is>
          <t>83.98</t>
        </is>
      </c>
      <c r="Q153" t="inlineStr">
        <is>
          <t>4169413165156</t>
        </is>
      </c>
    </row>
    <row r="154">
      <c r="A154" s="2">
        <f>HYPERLINK("https://edmondsonsupply.com/collections/hvac/products/midwest-mwt-ss6716r-special-hardness-aviation-snip-right-cutting", "https://edmondsonsupply.com/collections/hvac/products/midwest-mwt-ss6716r-special-hardness-aviation-snip-right-cutting")</f>
        <v/>
      </c>
      <c r="B154" s="2">
        <f>HYPERLINK("https://edmondsonsupply.com/products/midwest-mwt-ss6716r-special-hardness-aviation-snip-right-cutting", "https://edmondsonsupply.com/products/midwest-mwt-ss6716r-special-hardness-aviation-snip-right-cutting")</f>
        <v/>
      </c>
      <c r="C154" t="inlineStr">
        <is>
          <t>Midwest MWT-SS6716R Special Hardness Aviation Snip - Right-Cutting</t>
        </is>
      </c>
      <c r="D154" t="inlineStr">
        <is>
          <t>MIDWEST Aviation Snip - Left and Right Cut Offset Stainless Steel Cutting Shears with Forged Blade &amp; KUSH'N-POWER Comfort Grips - MWT-SS6510C</t>
        </is>
      </c>
      <c r="E154" s="2">
        <f>HYPERLINK("https://www.amazon.com/MIDWEST-Aviation-Snip-Set-KUSHN-POWER/dp/B07RC7ZBK9/ref=sr_1_3?keywords=Midwest+MWT-SS6716R+Special+Hardness+Aviation+Snip+-+Right-Cutting&amp;qid=1695173444&amp;sr=8-3", "https://www.amazon.com/MIDWEST-Aviation-Snip-Set-KUSHN-POWER/dp/B07RC7ZBK9/ref=sr_1_3?keywords=Midwest+MWT-SS6716R+Special+Hardness+Aviation+Snip+-+Right-Cutting&amp;qid=1695173444&amp;sr=8-3")</f>
        <v/>
      </c>
      <c r="F154" t="inlineStr">
        <is>
          <t>B07RC7ZBK9</t>
        </is>
      </c>
      <c r="G154">
        <f>_xludf.IMAGE("https://edmondsonsupply.com/cdn/shop/products/MWT-SS6716R1.jpg?v=1587146219")</f>
        <v/>
      </c>
      <c r="H154">
        <f>_xludf.IMAGE("https://m.media-amazon.com/images/I/71438hbSyHL._AC_UL320_.jpg")</f>
        <v/>
      </c>
      <c r="I154" t="inlineStr">
        <is>
          <t>24.66</t>
        </is>
      </c>
      <c r="J154" t="n">
        <v>87.98999999999999</v>
      </c>
      <c r="K154" s="3" t="inlineStr">
        <is>
          <t>256.81%</t>
        </is>
      </c>
      <c r="L154" t="n">
        <v>4.4</v>
      </c>
      <c r="M154" t="n">
        <v>1137</v>
      </c>
      <c r="O154" t="inlineStr">
        <is>
          <t>InStock</t>
        </is>
      </c>
      <c r="P154" t="inlineStr">
        <is>
          <t>36.2</t>
        </is>
      </c>
      <c r="Q154" t="inlineStr">
        <is>
          <t>4508658204772</t>
        </is>
      </c>
    </row>
    <row r="155">
      <c r="A155" s="2">
        <f>HYPERLINK("https://edmondsonsupply.com/collections/hvac/products/midwest-mwt-6510r-right-offset-aviation-snip", "https://edmondsonsupply.com/collections/hvac/products/midwest-mwt-6510r-right-offset-aviation-snip")</f>
        <v/>
      </c>
      <c r="B155" s="2">
        <f>HYPERLINK("https://edmondsonsupply.com/products/midwest-mwt-6510r-right-offset-aviation-snip", "https://edmondsonsupply.com/products/midwest-mwt-6510r-right-offset-aviation-snip")</f>
        <v/>
      </c>
      <c r="C155" t="inlineStr">
        <is>
          <t>Midwest MWT-6510R Right Offset Aviation Snip</t>
        </is>
      </c>
      <c r="D155" t="inlineStr">
        <is>
          <t>MIDWEST Aviation Snip - Left and Right Cut Offset Stainless Steel Cutting Shears with Forged Blade &amp; KUSH'N-POWER Comfort Grips - MWT-SS6510C</t>
        </is>
      </c>
      <c r="E155" s="2">
        <f>HYPERLINK("https://www.amazon.com/MIDWEST-Aviation-Snip-Set-KUSHN-POWER/dp/B07RC7ZBK9/ref=sr_1_10?keywords=Midwest+MWT-6510R+Right+Offset+Aviation+Snip&amp;qid=1695173557&amp;sr=8-10", "https://www.amazon.com/MIDWEST-Aviation-Snip-Set-KUSHN-POWER/dp/B07RC7ZBK9/ref=sr_1_10?keywords=Midwest+MWT-6510R+Right+Offset+Aviation+Snip&amp;qid=1695173557&amp;sr=8-10")</f>
        <v/>
      </c>
      <c r="F155" t="inlineStr">
        <is>
          <t>B07RC7ZBK9</t>
        </is>
      </c>
      <c r="G155">
        <f>_xludf.IMAGE("https://edmondsonsupply.com/cdn/shop/products/MWT-6510R.png?v=1587144877")</f>
        <v/>
      </c>
      <c r="H155">
        <f>_xludf.IMAGE("https://m.media-amazon.com/images/I/71438hbSyHL._AC_UL320_.jpg")</f>
        <v/>
      </c>
      <c r="I155" t="inlineStr">
        <is>
          <t>24.89</t>
        </is>
      </c>
      <c r="J155" t="n">
        <v>87.98999999999999</v>
      </c>
      <c r="K155" s="3" t="inlineStr">
        <is>
          <t>253.52%</t>
        </is>
      </c>
      <c r="L155" t="n">
        <v>4.4</v>
      </c>
      <c r="M155" t="n">
        <v>1137</v>
      </c>
      <c r="O155" t="inlineStr">
        <is>
          <t>InStock</t>
        </is>
      </c>
      <c r="P155" t="inlineStr">
        <is>
          <t>33.49</t>
        </is>
      </c>
      <c r="Q155" t="inlineStr">
        <is>
          <t>4414962597988</t>
        </is>
      </c>
    </row>
    <row r="156">
      <c r="A156" s="2">
        <f>HYPERLINK("https://edmondsonsupply.com/collections/hvac/products/midwest-mwt-6900r-upright-right-cutting-aviation-snip", "https://edmondsonsupply.com/collections/hvac/products/midwest-mwt-6900r-upright-right-cutting-aviation-snip")</f>
        <v/>
      </c>
      <c r="B156" s="2">
        <f>HYPERLINK("https://edmondsonsupply.com/products/midwest-mwt-6900r-upright-right-cutting-aviation-snip", "https://edmondsonsupply.com/products/midwest-mwt-6900r-upright-right-cutting-aviation-snip")</f>
        <v/>
      </c>
      <c r="C156" t="inlineStr">
        <is>
          <t>Midwest MWT-6900R Upright Right-Cutting Aviation Snip</t>
        </is>
      </c>
      <c r="D156" t="inlineStr">
        <is>
          <t>MIDWEST Aviation Snip - Left and Right Cut Offset Stainless Steel Cutting Shears with Forged Blade &amp; KUSH'N-POWER Comfort Grips - MWT-SS6510C</t>
        </is>
      </c>
      <c r="E156" s="2">
        <f>HYPERLINK("https://www.amazon.com/MIDWEST-Aviation-Snip-Set-KUSHN-POWER/dp/B07RC7ZBK9/ref=sr_1_6?keywords=Midwest+MWT-6900R+Upright+Right-Cutting+Aviation+Snip&amp;qid=1695173458&amp;sr=8-6", "https://www.amazon.com/MIDWEST-Aviation-Snip-Set-KUSHN-POWER/dp/B07RC7ZBK9/ref=sr_1_6?keywords=Midwest+MWT-6900R+Upright+Right-Cutting+Aviation+Snip&amp;qid=1695173458&amp;sr=8-6")</f>
        <v/>
      </c>
      <c r="F156" t="inlineStr">
        <is>
          <t>B07RC7ZBK9</t>
        </is>
      </c>
      <c r="G156">
        <f>_xludf.IMAGE("https://edmondsonsupply.com/cdn/shop/products/MW-P6900R1.jpg?v=1587142622")</f>
        <v/>
      </c>
      <c r="H156">
        <f>_xludf.IMAGE("https://m.media-amazon.com/images/I/71438hbSyHL._AC_UL320_.jpg")</f>
        <v/>
      </c>
      <c r="I156" t="inlineStr">
        <is>
          <t>25.29</t>
        </is>
      </c>
      <c r="J156" t="n">
        <v>87.98999999999999</v>
      </c>
      <c r="K156" s="3" t="inlineStr">
        <is>
          <t>247.92%</t>
        </is>
      </c>
      <c r="L156" t="n">
        <v>4.4</v>
      </c>
      <c r="M156" t="n">
        <v>1137</v>
      </c>
      <c r="O156" t="inlineStr">
        <is>
          <t>InStock</t>
        </is>
      </c>
      <c r="P156" t="inlineStr">
        <is>
          <t>37.05</t>
        </is>
      </c>
      <c r="Q156" t="inlineStr">
        <is>
          <t>4509684596836</t>
        </is>
      </c>
    </row>
    <row r="157">
      <c r="A157" s="2">
        <f>HYPERLINK("https://edmondsonsupply.com/collections/hvac/products/klein-tools-et120-combustible-gas-leak-detector", "https://edmondsonsupply.com/collections/hvac/products/klein-tools-et120-combustible-gas-leak-detector")</f>
        <v/>
      </c>
      <c r="B157" s="2">
        <f>HYPERLINK("https://edmondsonsupply.com/products/klein-tools-et120-combustible-gas-leak-detector", "https://edmondsonsupply.com/products/klein-tools-et120-combustible-gas-leak-detector")</f>
        <v/>
      </c>
      <c r="C157" t="inlineStr">
        <is>
          <t>Klein Tools ET120 Combustible Gas Leak Detector</t>
        </is>
      </c>
      <c r="D157" t="inlineStr">
        <is>
          <t>Rechargeable Thermal Imager &amp; ET120 Gas Leak Detector, Combustible Gas Leak Tester with 18-Inch Gooseneck Has Range 50-10,000 ppm, Includes Pouch, Batteries</t>
        </is>
      </c>
      <c r="E157" s="2">
        <f>HYPERLINK("https://www.amazon.com/Klein-Tools-Rechargeable-Combustible-Gooseneck/dp/B09P846GLH/ref=sr_1_10?keywords=Klein+Tools+ET120+Combustible+Gas+Leak+Detector&amp;qid=1695173669&amp;sr=8-10", "https://www.amazon.com/Klein-Tools-Rechargeable-Combustible-Gooseneck/dp/B09P846GLH/ref=sr_1_10?keywords=Klein+Tools+ET120+Combustible+Gas+Leak+Detector&amp;qid=1695173669&amp;sr=8-10")</f>
        <v/>
      </c>
      <c r="F157" t="inlineStr">
        <is>
          <t>B09P846GLH</t>
        </is>
      </c>
      <c r="G157">
        <f>_xludf.IMAGE("https://edmondsonsupply.com/cdn/shop/products/et120.jpg?v=1587149243")</f>
        <v/>
      </c>
      <c r="H157">
        <f>_xludf.IMAGE("https://m.media-amazon.com/images/I/51zoXmwmUHL._AC_UL320_.jpg")</f>
        <v/>
      </c>
      <c r="I157" t="inlineStr">
        <is>
          <t>119.99</t>
        </is>
      </c>
      <c r="J157" t="n">
        <v>417.43</v>
      </c>
      <c r="K157" s="3" t="inlineStr">
        <is>
          <t>247.89%</t>
        </is>
      </c>
      <c r="L157" t="n">
        <v>4</v>
      </c>
      <c r="M157" t="n">
        <v>1</v>
      </c>
      <c r="O157" t="inlineStr">
        <is>
          <t>InStock</t>
        </is>
      </c>
      <c r="P157" t="inlineStr">
        <is>
          <t>179.32</t>
        </is>
      </c>
      <c r="Q157" t="inlineStr">
        <is>
          <t>1828453187684</t>
        </is>
      </c>
    </row>
    <row r="158">
      <c r="A158" s="2">
        <f>HYPERLINK("https://edmondsonsupply.com/collections/hvac/products/channellock-428", "https://edmondsonsupply.com/collections/hvac/products/channellock-428")</f>
        <v/>
      </c>
      <c r="B158" s="2">
        <f>HYPERLINK("https://edmondsonsupply.com/products/channellock-428", "https://edmondsonsupply.com/products/channellock-428")</f>
        <v/>
      </c>
      <c r="C158" t="inlineStr">
        <is>
          <t>Channellock 428 8-Inch Straight Jaw Tongue &amp; Groove Pliers</t>
        </is>
      </c>
      <c r="D158" t="inlineStr">
        <is>
          <t>Channellock 480 BIGAZZ Tongue and Groove Pliers | 20.25-Inch Straight Jaw Groove Joint Plier | 5.5-Inch Jaw Capacity | Laser Heat-Treated 90° Teeth| Forged High Carbon Steel | Made in USA</t>
        </is>
      </c>
      <c r="E158" s="2">
        <f>HYPERLINK("https://www.amazon.com/Channellock-480-2-Inch-Capacity-20-Inch/dp/B00004SBCX/ref=sr_1_9?keywords=Channellock+428+8-Inch+Straight+Jaw+Tongue+%26+Groove+Pliers&amp;qid=1695173687&amp;sr=8-9", "https://www.amazon.com/Channellock-480-2-Inch-Capacity-20-Inch/dp/B00004SBCX/ref=sr_1_9?keywords=Channellock+428+8-Inch+Straight+Jaw+Tongue+%26+Groove+Pliers&amp;qid=1695173687&amp;sr=8-9")</f>
        <v/>
      </c>
      <c r="F158" t="inlineStr">
        <is>
          <t>B00004SBCX</t>
        </is>
      </c>
      <c r="G158">
        <f>_xludf.IMAGE("https://edmondsonsupply.com/cdn/shop/products/428-683x1024.jpg?v=1587145854")</f>
        <v/>
      </c>
      <c r="H158">
        <f>_xludf.IMAGE("https://m.media-amazon.com/images/I/612L+6BugaL._AC_UL320_.jpg")</f>
        <v/>
      </c>
      <c r="I158" t="inlineStr">
        <is>
          <t>16.95</t>
        </is>
      </c>
      <c r="J158" t="n">
        <v>58.95</v>
      </c>
      <c r="K158" s="3" t="inlineStr">
        <is>
          <t>247.79%</t>
        </is>
      </c>
      <c r="L158" t="n">
        <v>4.8</v>
      </c>
      <c r="M158" t="n">
        <v>872</v>
      </c>
      <c r="O158" t="inlineStr">
        <is>
          <t>InStock</t>
        </is>
      </c>
      <c r="P158" t="inlineStr">
        <is>
          <t>25.06</t>
        </is>
      </c>
      <c r="Q158" t="inlineStr">
        <is>
          <t>3523408527460</t>
        </is>
      </c>
    </row>
    <row r="159">
      <c r="A159" s="2">
        <f>HYPERLINK("https://edmondsonsupply.com/collections/hvac/products/midwest-mwt-ss6716l-special-hardness-aviation-snip-left-cutting", "https://edmondsonsupply.com/collections/hvac/products/midwest-mwt-ss6716l-special-hardness-aviation-snip-left-cutting")</f>
        <v/>
      </c>
      <c r="B159" s="2">
        <f>HYPERLINK("https://edmondsonsupply.com/products/midwest-mwt-ss6716l-special-hardness-aviation-snip-left-cutting", "https://edmondsonsupply.com/products/midwest-mwt-ss6716l-special-hardness-aviation-snip-left-cutting")</f>
        <v/>
      </c>
      <c r="C159" t="inlineStr">
        <is>
          <t>Midwest MWT-SS6716L Special Hardness Aviation Snip - Left-Cutting</t>
        </is>
      </c>
      <c r="D159" t="inlineStr">
        <is>
          <t>MIDWEST Aviation Snip - Left and Right Cut Offset Stainless Steel Cutting Shears with Forged Blade &amp; KUSH'N-POWER Comfort Grips - MWT-SS6510C</t>
        </is>
      </c>
      <c r="E159" s="2">
        <f>HYPERLINK("https://www.amazon.com/MIDWEST-Aviation-Snip-Set-KUSHN-POWER/dp/B07RC7ZBK9/ref=sr_1_1?keywords=Midwest+MWT-SS6716L+Special+Hardness+Aviation+Snip+-+Left-Cutting&amp;qid=1695173419&amp;sr=8-1", "https://www.amazon.com/MIDWEST-Aviation-Snip-Set-KUSHN-POWER/dp/B07RC7ZBK9/ref=sr_1_1?keywords=Midwest+MWT-SS6716L+Special+Hardness+Aviation+Snip+-+Left-Cutting&amp;qid=1695173419&amp;sr=8-1")</f>
        <v/>
      </c>
      <c r="F159" t="inlineStr">
        <is>
          <t>B07RC7ZBK9</t>
        </is>
      </c>
      <c r="G159">
        <f>_xludf.IMAGE("https://edmondsonsupply.com/cdn/shop/products/MWT-SS6716L1.jpg?v=1587151241")</f>
        <v/>
      </c>
      <c r="H159">
        <f>_xludf.IMAGE("https://m.media-amazon.com/images/I/71438hbSyHL._AC_UL320_.jpg")</f>
        <v/>
      </c>
      <c r="I159" t="inlineStr">
        <is>
          <t>25.49</t>
        </is>
      </c>
      <c r="J159" t="n">
        <v>87.98999999999999</v>
      </c>
      <c r="K159" s="3" t="inlineStr">
        <is>
          <t>245.19%</t>
        </is>
      </c>
      <c r="L159" t="n">
        <v>4.4</v>
      </c>
      <c r="M159" t="n">
        <v>1137</v>
      </c>
      <c r="O159" t="inlineStr">
        <is>
          <t>InStock</t>
        </is>
      </c>
      <c r="P159" t="inlineStr">
        <is>
          <t>36.2</t>
        </is>
      </c>
      <c r="Q159" t="inlineStr">
        <is>
          <t>4508646277220</t>
        </is>
      </c>
    </row>
    <row r="160">
      <c r="A160" s="2">
        <f>HYPERLINK("https://edmondsonsupply.com/collections/hvac/products/midwest-mwt-6900l-upright-left-cutting-offset-aviation-snip", "https://edmondsonsupply.com/collections/hvac/products/midwest-mwt-6900l-upright-left-cutting-offset-aviation-snip")</f>
        <v/>
      </c>
      <c r="B160" s="2">
        <f>HYPERLINK("https://edmondsonsupply.com/products/midwest-mwt-6900l-upright-left-cutting-offset-aviation-snip", "https://edmondsonsupply.com/products/midwest-mwt-6900l-upright-left-cutting-offset-aviation-snip")</f>
        <v/>
      </c>
      <c r="C160" t="inlineStr">
        <is>
          <t>Midwest MWT-6900L Upright Left-Cutting Aviation Snip</t>
        </is>
      </c>
      <c r="D160" t="inlineStr">
        <is>
          <t>MIDWEST Aviation Snip - Left and Right Cut Offset Stainless Steel Cutting Shears with Forged Blade &amp; KUSH'N-POWER Comfort Grips - MWT-SS6510C</t>
        </is>
      </c>
      <c r="E160" s="2">
        <f>HYPERLINK("https://www.amazon.com/MIDWEST-Aviation-Snip-Set-KUSHN-POWER/dp/B07RC7ZBK9/ref=sr_1_5?keywords=Midwest+MWT-6900L+Upright+Left-Cutting+Aviation+Snip&amp;qid=1695173421&amp;sr=8-5", "https://www.amazon.com/MIDWEST-Aviation-Snip-Set-KUSHN-POWER/dp/B07RC7ZBK9/ref=sr_1_5?keywords=Midwest+MWT-6900L+Upright+Left-Cutting+Aviation+Snip&amp;qid=1695173421&amp;sr=8-5")</f>
        <v/>
      </c>
      <c r="F160" t="inlineStr">
        <is>
          <t>B07RC7ZBK9</t>
        </is>
      </c>
      <c r="G160">
        <f>_xludf.IMAGE("https://edmondsonsupply.com/cdn/shop/products/MWT-6900L1.jpg?v=1587146265")</f>
        <v/>
      </c>
      <c r="H160">
        <f>_xludf.IMAGE("https://m.media-amazon.com/images/I/71438hbSyHL._AC_UL320_.jpg")</f>
        <v/>
      </c>
      <c r="I160" t="inlineStr">
        <is>
          <t>25.99</t>
        </is>
      </c>
      <c r="J160" t="n">
        <v>87.98999999999999</v>
      </c>
      <c r="K160" s="3" t="inlineStr">
        <is>
          <t>238.55%</t>
        </is>
      </c>
      <c r="L160" t="n">
        <v>4.4</v>
      </c>
      <c r="M160" t="n">
        <v>1137</v>
      </c>
      <c r="O160" t="inlineStr">
        <is>
          <t>InStock</t>
        </is>
      </c>
      <c r="P160" t="inlineStr">
        <is>
          <t>37.05</t>
        </is>
      </c>
      <c r="Q160" t="inlineStr">
        <is>
          <t>4470064250980</t>
        </is>
      </c>
    </row>
    <row r="161">
      <c r="A161" s="2">
        <f>HYPERLINK("https://edmondsonsupply.com/collections/hvac/products/klein-tools-32907-7-in-1-impact-flip-socket-set-no-handle", "https://edmondsonsupply.com/collections/hvac/products/klein-tools-32907-7-in-1-impact-flip-socket-set-no-handle")</f>
        <v/>
      </c>
      <c r="B161" s="2">
        <f>HYPERLINK("https://edmondsonsupply.com/products/klein-tools-32907-7-in-1-impact-flip-socket-set-no-handle", "https://edmondsonsupply.com/products/klein-tools-32907-7-in-1-impact-flip-socket-set-no-handle")</f>
        <v/>
      </c>
      <c r="C161" t="inlineStr">
        <is>
          <t>Klein Tools 32907 7-in-1 Impact Flip Socket Set, No Handle</t>
        </is>
      </c>
      <c r="D161" t="inlineStr">
        <is>
          <t>Klein Tools 66070 Impact Socket Set, Impact Driver Flip Socket, Five Sockets with 1/4-Inch Hex and 1/2-Inch Square Socket Adapters, 7-Piece</t>
        </is>
      </c>
      <c r="E161" s="2">
        <f>HYPERLINK("https://www.amazon.com/Klein-Tools-66070-Impact-7-Piece/dp/B0BGZPWNJQ/ref=sr_1_6?keywords=Klein+Tools+32907+7-in-1+Impact+Flip+Socket+Set%2C+No+Handle&amp;qid=1695173428&amp;sr=8-6", "https://www.amazon.com/Klein-Tools-66070-Impact-7-Piece/dp/B0BGZPWNJQ/ref=sr_1_6?keywords=Klein+Tools+32907+7-in-1+Impact+Flip+Socket+Set%2C+No+Handle&amp;qid=1695173428&amp;sr=8-6")</f>
        <v/>
      </c>
      <c r="F161" t="inlineStr">
        <is>
          <t>B0BGZPWNJQ</t>
        </is>
      </c>
      <c r="G161">
        <f>_xludf.IMAGE("https://edmondsonsupply.com/cdn/shop/products/32907_b.jpg?v=1666025282")</f>
        <v/>
      </c>
      <c r="H161">
        <f>_xludf.IMAGE("https://m.media-amazon.com/images/I/519cDb-A9oL._AC_UL320_.jpg")</f>
        <v/>
      </c>
      <c r="I161" t="inlineStr">
        <is>
          <t>19.99</t>
        </is>
      </c>
      <c r="J161" t="n">
        <v>66.94</v>
      </c>
      <c r="K161" s="3" t="inlineStr">
        <is>
          <t>234.87%</t>
        </is>
      </c>
      <c r="L161" t="n">
        <v>4.8</v>
      </c>
      <c r="M161" t="n">
        <v>18</v>
      </c>
      <c r="O161" t="inlineStr">
        <is>
          <t>InStock</t>
        </is>
      </c>
      <c r="P161" t="inlineStr">
        <is>
          <t>29.18</t>
        </is>
      </c>
      <c r="Q161" t="inlineStr">
        <is>
          <t>7856653009112</t>
        </is>
      </c>
    </row>
    <row r="162">
      <c r="A162" s="2">
        <f>HYPERLINK("https://edmondsonsupply.com/collections/hvac/products/klein-tools-60164-professional-safety-glasses-full-frame-gray-lens", "https://edmondsonsupply.com/collections/hvac/products/klein-tools-60164-professional-safety-glasses-full-frame-gray-lens")</f>
        <v/>
      </c>
      <c r="B162" s="2">
        <f>HYPERLINK("https://edmondsonsupply.com/products/klein-tools-60164-professional-safety-glasses-full-frame-gray-lens", "https://edmondsonsupply.com/products/klein-tools-60164-professional-safety-glasses-full-frame-gray-lens")</f>
        <v/>
      </c>
      <c r="C162" t="inlineStr">
        <is>
          <t>Klein Tools 60164 Professional Safety Glasses, Full Frame, Gray Lens</t>
        </is>
      </c>
      <c r="D162" t="inlineStr">
        <is>
          <t>Klein Tools 80055 Safety Glasses Kit, Professional Safety Glasses with Full Frame, Gray Lens and Breakaway Lanyard, 8-Piece</t>
        </is>
      </c>
      <c r="E162" s="2">
        <f>HYPERLINK("https://www.amazon.com/Klein-80055-Glasses-Professional-Breakaway/dp/B09HR9RV4H/ref=sr_1_2?keywords=Klein+Tools+60164+Professional+Safety+Glasses%2C+Full+Frame%2C+Gray+Lens&amp;qid=1695173626&amp;sr=8-2", "https://www.amazon.com/Klein-80055-Glasses-Professional-Breakaway/dp/B09HR9RV4H/ref=sr_1_2?keywords=Klein+Tools+60164+Professional+Safety+Glasses%2C+Full+Frame%2C+Gray+Lens&amp;qid=1695173626&amp;sr=8-2")</f>
        <v/>
      </c>
      <c r="F162" t="inlineStr">
        <is>
          <t>B09HR9RV4H</t>
        </is>
      </c>
      <c r="G162">
        <f>_xludf.IMAGE("https://edmondsonsupply.com/cdn/shop/products/60164.jpg?v=1633030851")</f>
        <v/>
      </c>
      <c r="H162">
        <f>_xludf.IMAGE("https://m.media-amazon.com/images/I/61L5l7dmmiL._AC_UL320_.jpg")</f>
        <v/>
      </c>
      <c r="I162" t="inlineStr">
        <is>
          <t>14.99</t>
        </is>
      </c>
      <c r="J162" t="n">
        <v>49.99</v>
      </c>
      <c r="K162" s="3" t="inlineStr">
        <is>
          <t>233.49%</t>
        </is>
      </c>
      <c r="L162" t="n">
        <v>4.5</v>
      </c>
      <c r="M162" t="n">
        <v>13</v>
      </c>
      <c r="O162" t="inlineStr">
        <is>
          <t>InStock</t>
        </is>
      </c>
      <c r="P162" t="inlineStr">
        <is>
          <t>20.98</t>
        </is>
      </c>
      <c r="Q162" t="inlineStr">
        <is>
          <t>6103189520557</t>
        </is>
      </c>
    </row>
    <row r="163">
      <c r="A163" s="2">
        <f>HYPERLINK("https://edmondsonsupply.com/collections/hvac/products/mars-73133-3-4-in-clear-pvc-condensate-p-trap", "https://edmondsonsupply.com/collections/hvac/products/mars-73133-3-4-in-clear-pvc-condensate-p-trap")</f>
        <v/>
      </c>
      <c r="B163" s="2">
        <f>HYPERLINK("https://edmondsonsupply.com/products/mars-73133-3-4-in-clear-pvc-condensate-p-trap", "https://edmondsonsupply.com/products/mars-73133-3-4-in-clear-pvc-condensate-p-trap")</f>
        <v/>
      </c>
      <c r="C163" t="inlineStr">
        <is>
          <t>Mars 73133 3/4 in. Clear PVC Condensate P-Trap</t>
        </is>
      </c>
      <c r="D163" t="inlineStr">
        <is>
          <t>DECOAIRCON 3/4 -inch Standard Condensate Trap with Cleaning Brush, PVC U Trap for HVAC Systems, Air Conditioner, Effectively Drains Condensate.</t>
        </is>
      </c>
      <c r="E163" s="2">
        <f>HYPERLINK("https://www.amazon.com/DECOAIRCON-Condensate-Conditioner-Effectively-Condensate/dp/B0BR6J4GL6/ref=sr_1_5?keywords=Mars+73133+3%2F4+in.+Clear+PVC+Condensate+P-Trap&amp;qid=1695173395&amp;sr=8-5", "https://www.amazon.com/DECOAIRCON-Condensate-Conditioner-Effectively-Condensate/dp/B0BR6J4GL6/ref=sr_1_5?keywords=Mars+73133+3%2F4+in.+Clear+PVC+Condensate+P-Trap&amp;qid=1695173395&amp;sr=8-5")</f>
        <v/>
      </c>
      <c r="F163" t="inlineStr">
        <is>
          <t>B0BR6J4GL6</t>
        </is>
      </c>
      <c r="G163">
        <f>_xludf.IMAGE("https://edmondsonsupply.com/cdn/shop/products/73133.jpg?v=1633031096")</f>
        <v/>
      </c>
      <c r="H163">
        <f>_xludf.IMAGE("https://m.media-amazon.com/images/I/615DsAK7vzL._AC_UY218_.jpg")</f>
        <v/>
      </c>
      <c r="I163" t="inlineStr">
        <is>
          <t>4.78</t>
        </is>
      </c>
      <c r="J163" t="n">
        <v>15.88</v>
      </c>
      <c r="K163" s="3" t="inlineStr">
        <is>
          <t>232.22%</t>
        </is>
      </c>
      <c r="L163" t="n">
        <v>4.5</v>
      </c>
      <c r="M163" t="n">
        <v>33</v>
      </c>
      <c r="O163" t="inlineStr">
        <is>
          <t>OutOfStock</t>
        </is>
      </c>
      <c r="P163" t="inlineStr">
        <is>
          <t>undefined</t>
        </is>
      </c>
      <c r="Q163" t="inlineStr">
        <is>
          <t>6841029787821</t>
        </is>
      </c>
    </row>
    <row r="164">
      <c r="A164" s="2">
        <f>HYPERLINK("https://edmondsonsupply.com/collections/hvac/products/klein-tools-et05-digital-pocket-thermometer", "https://edmondsonsupply.com/collections/hvac/products/klein-tools-et05-digital-pocket-thermometer")</f>
        <v/>
      </c>
      <c r="B164" s="2">
        <f>HYPERLINK("https://edmondsonsupply.com/products/klein-tools-et05-digital-pocket-thermometer", "https://edmondsonsupply.com/products/klein-tools-et05-digital-pocket-thermometer")</f>
        <v/>
      </c>
      <c r="C164" t="inlineStr">
        <is>
          <t>Klein Tools ET05 Digital Pocket Thermometer</t>
        </is>
      </c>
      <c r="D164" t="inlineStr">
        <is>
          <t>Klein Tools IR07 Dual Infrared (IR) and Probe Pocket Size LCD Digital Thermometer</t>
        </is>
      </c>
      <c r="E164" s="2">
        <f>HYPERLINK("https://www.amazon.com/Klein-Tools-IR07-Infrared-Thermometer/dp/B07P9WM69C/ref=sr_1_5?keywords=Klein+Tools+ET05+Digital+Pocket+Thermometer&amp;qid=1695173684&amp;sr=8-5", "https://www.amazon.com/Klein-Tools-IR07-Infrared-Thermometer/dp/B07P9WM69C/ref=sr_1_5?keywords=Klein+Tools+ET05+Digital+Pocket+Thermometer&amp;qid=1695173684&amp;sr=8-5")</f>
        <v/>
      </c>
      <c r="F164" t="inlineStr">
        <is>
          <t>B07P9WM69C</t>
        </is>
      </c>
      <c r="G164">
        <f>_xludf.IMAGE("https://edmondsonsupply.com/cdn/shop/products/et05.jpg?v=1587144900")</f>
        <v/>
      </c>
      <c r="H164">
        <f>_xludf.IMAGE("https://m.media-amazon.com/images/I/51JBUtWpWuS._AC_UY218_.jpg")</f>
        <v/>
      </c>
      <c r="I164" t="inlineStr">
        <is>
          <t>15.97</t>
        </is>
      </c>
      <c r="J164" t="n">
        <v>51.97</v>
      </c>
      <c r="K164" s="3" t="inlineStr">
        <is>
          <t>225.42%</t>
        </is>
      </c>
      <c r="L164" t="n">
        <v>4.7</v>
      </c>
      <c r="M164" t="n">
        <v>779</v>
      </c>
      <c r="O164" t="inlineStr">
        <is>
          <t>InStock</t>
        </is>
      </c>
      <c r="P164" t="inlineStr">
        <is>
          <t>25.18</t>
        </is>
      </c>
      <c r="Q164" t="inlineStr">
        <is>
          <t>4300015763556</t>
        </is>
      </c>
    </row>
    <row r="165">
      <c r="A165" s="2">
        <f>HYPERLINK("https://edmondsonsupply.com/collections/hvac/products/uei-dmg150-digital-micron-gauge", "https://edmondsonsupply.com/collections/hvac/products/uei-dmg150-digital-micron-gauge")</f>
        <v/>
      </c>
      <c r="B165" s="2">
        <f>HYPERLINK("https://edmondsonsupply.com/products/uei-dmg150-digital-micron-gauge", "https://edmondsonsupply.com/products/uei-dmg150-digital-micron-gauge")</f>
        <v/>
      </c>
      <c r="C165" t="inlineStr">
        <is>
          <t>UEi PDT650 Digital Folding Pocket Thermometer</t>
        </is>
      </c>
      <c r="D165" t="inlineStr">
        <is>
          <t>Klein Tools IR1 Infrared Thermometer &amp; UEi Test Instruments PDT650 Folding Pocket Digital Thermometer,Yellow</t>
        </is>
      </c>
      <c r="E165" s="2">
        <f>HYPERLINK("https://www.amazon.com/Klein-Tools-Infrared-Thermometer-Instruments/dp/B0B56MPSBN/ref=sr_1_9?keywords=UEi+PDT650+Digital+Folding+Pocket+Thermometer&amp;qid=1695173385&amp;sr=8-9", "https://www.amazon.com/Klein-Tools-Infrared-Thermometer-Instruments/dp/B0B56MPSBN/ref=sr_1_9?keywords=UEi+PDT650+Digital+Folding+Pocket+Thermometer&amp;qid=1695173385&amp;sr=8-9")</f>
        <v/>
      </c>
      <c r="F165" t="inlineStr">
        <is>
          <t>B0B56MPSBN</t>
        </is>
      </c>
      <c r="G165">
        <f>_xludf.IMAGE("https://edmondsonsupply.com/cdn/shop/products/PDT650-1.png?v=1633030101")</f>
        <v/>
      </c>
      <c r="H165">
        <f>_xludf.IMAGE("https://m.media-amazon.com/images/I/41bPYmj9ZoL._AC_UY218_.jpg")</f>
        <v/>
      </c>
      <c r="I165" t="inlineStr">
        <is>
          <t>19.51</t>
        </is>
      </c>
      <c r="J165" t="n">
        <v>63.24</v>
      </c>
      <c r="K165" s="3" t="inlineStr">
        <is>
          <t>224.14%</t>
        </is>
      </c>
      <c r="L165" t="n">
        <v>4.7</v>
      </c>
      <c r="M165" t="n">
        <v>16</v>
      </c>
      <c r="O165" t="inlineStr">
        <is>
          <t>InStock</t>
        </is>
      </c>
      <c r="P165" t="inlineStr">
        <is>
          <t>22.95</t>
        </is>
      </c>
      <c r="Q165" t="inlineStr">
        <is>
          <t>3569106649188</t>
        </is>
      </c>
    </row>
    <row r="166">
      <c r="A166" s="2">
        <f>HYPERLINK("https://edmondsonsupply.com/collections/hvac/products/uei-dmg150-digital-micron-gauge", "https://edmondsonsupply.com/collections/hvac/products/uei-dmg150-digital-micron-gauge")</f>
        <v/>
      </c>
      <c r="B166" s="2">
        <f>HYPERLINK("https://edmondsonsupply.com/products/uei-dmg150-digital-micron-gauge", "https://edmondsonsupply.com/products/uei-dmg150-digital-micron-gauge")</f>
        <v/>
      </c>
      <c r="C166" t="inlineStr">
        <is>
          <t>UEi PDT650 Digital Folding Pocket Thermometer</t>
        </is>
      </c>
      <c r="D166" t="inlineStr">
        <is>
          <t>Supco MFD10 Digital Capacitor Tester with LED Display, 0.01 to 10000mF Range, 5% Accuracy &amp; UEi Test Instruments PDT650 Folding Pocket Digital Thermometer,Yellow</t>
        </is>
      </c>
      <c r="E166" s="2">
        <f>HYPERLINK("https://www.amazon.com/Supco-Capacitor-Accuracy-Instruments-Thermometer/dp/B0C98WZWD6/ref=sr_1_10?keywords=UEi+PDT650+Digital+Folding+Pocket+Thermometer&amp;qid=1695173385&amp;sr=8-10", "https://www.amazon.com/Supco-Capacitor-Accuracy-Instruments-Thermometer/dp/B0C98WZWD6/ref=sr_1_10?keywords=UEi+PDT650+Digital+Folding+Pocket+Thermometer&amp;qid=1695173385&amp;sr=8-10")</f>
        <v/>
      </c>
      <c r="F166" t="inlineStr">
        <is>
          <t>B0C98WZWD6</t>
        </is>
      </c>
      <c r="G166">
        <f>_xludf.IMAGE("https://edmondsonsupply.com/cdn/shop/products/PDT650-1.png?v=1633030101")</f>
        <v/>
      </c>
      <c r="H166">
        <f>_xludf.IMAGE("https://m.media-amazon.com/images/I/41Tu2TW-8BL._AC_UY218_.jpg")</f>
        <v/>
      </c>
      <c r="I166" t="inlineStr">
        <is>
          <t>19.51</t>
        </is>
      </c>
      <c r="J166" t="n">
        <v>62.95</v>
      </c>
      <c r="K166" s="3" t="inlineStr">
        <is>
          <t>222.66%</t>
        </is>
      </c>
      <c r="L166" t="n">
        <v>4.7</v>
      </c>
      <c r="M166" t="n">
        <v>665</v>
      </c>
      <c r="O166" t="inlineStr">
        <is>
          <t>InStock</t>
        </is>
      </c>
      <c r="P166" t="inlineStr">
        <is>
          <t>22.95</t>
        </is>
      </c>
      <c r="Q166" t="inlineStr">
        <is>
          <t>3569106649188</t>
        </is>
      </c>
    </row>
    <row r="167">
      <c r="A167" s="2">
        <f>HYPERLINK("https://edmondsonsupply.com/collections/hvac/products/copy-of-klein-tools-55918-tradesman-pro%E2%84%A2-modular-tool-belt", "https://edmondsonsupply.com/collections/hvac/products/copy-of-klein-tools-55918-tradesman-pro%E2%84%A2-modular-tool-belt")</f>
        <v/>
      </c>
      <c r="B167" s="2">
        <f>HYPERLINK("https://edmondsonsupply.com/products/copy-of-klein-tools-55918-tradesman-pro%e2%84%a2-modular-tool-belt", "https://edmondsonsupply.com/products/copy-of-klein-tools-55918-tradesman-pro%e2%84%a2-modular-tool-belt")</f>
        <v/>
      </c>
      <c r="C167" t="inlineStr">
        <is>
          <t>Klein Tools 55919 Tradesman Pro™ Modular Tool Belt - L</t>
        </is>
      </c>
      <c r="D167" t="inlineStr">
        <is>
          <t>Klein Tools 55428 Tradesman Pro Electrician's Padded Tool Belt and Tool Pouch Combo for Long-wear Comfort and Durability Size Large, Black</t>
        </is>
      </c>
      <c r="E167" s="2">
        <f>HYPERLINK("https://www.amazon.com/Klein-Tools-55428-Electricians-Durability/dp/B00BZXA376/ref=sr_1_3?keywords=Klein+Tools+55919+Tradesman+Pro%E2%84%A2+Modular+Tool+Belt+-+L&amp;qid=1695173658&amp;sr=8-3", "https://www.amazon.com/Klein-Tools-55428-Electricians-Durability/dp/B00BZXA376/ref=sr_1_3?keywords=Klein+Tools+55919+Tradesman+Pro%E2%84%A2+Modular+Tool+Belt+-+L&amp;qid=1695173658&amp;sr=8-3")</f>
        <v/>
      </c>
      <c r="F167" t="inlineStr">
        <is>
          <t>B00BZXA376</t>
        </is>
      </c>
      <c r="G167">
        <f>_xludf.IMAGE("https://edmondsonsupply.com/cdn/shop/products/55919_6b1c1646-91d8-4915-b7bf-b52c8c6994c7.jpg?v=1587143413")</f>
        <v/>
      </c>
      <c r="H167">
        <f>_xludf.IMAGE("https://m.media-amazon.com/images/I/61hBX21HbTL._AC_UL320_.jpg")</f>
        <v/>
      </c>
      <c r="I167" t="inlineStr">
        <is>
          <t>35.99</t>
        </is>
      </c>
      <c r="J167" t="n">
        <v>115.99</v>
      </c>
      <c r="K167" s="3" t="inlineStr">
        <is>
          <t>222.28%</t>
        </is>
      </c>
      <c r="L167" t="n">
        <v>4.3</v>
      </c>
      <c r="M167" t="n">
        <v>529</v>
      </c>
      <c r="O167" t="inlineStr">
        <is>
          <t>InStock</t>
        </is>
      </c>
      <c r="P167" t="inlineStr">
        <is>
          <t>50.58</t>
        </is>
      </c>
      <c r="Q167" t="inlineStr">
        <is>
          <t>4498961760356</t>
        </is>
      </c>
    </row>
    <row r="168">
      <c r="A168" s="2">
        <f>HYPERLINK("https://edmondsonsupply.com/collections/hvac/products/klein-tools-et10-magnetic-digital-pocket-thermometer", "https://edmondsonsupply.com/collections/hvac/products/klein-tools-et10-magnetic-digital-pocket-thermometer")</f>
        <v/>
      </c>
      <c r="B168" s="2">
        <f>HYPERLINK("https://edmondsonsupply.com/products/klein-tools-et10-magnetic-digital-pocket-thermometer", "https://edmondsonsupply.com/products/klein-tools-et10-magnetic-digital-pocket-thermometer")</f>
        <v/>
      </c>
      <c r="C168" t="inlineStr">
        <is>
          <t>Klein Tools ET10 Magnetic Digital Pocket Thermometer</t>
        </is>
      </c>
      <c r="D168" t="inlineStr">
        <is>
          <t>Klein Tools IR07 Dual Infrared (IR) and Probe Pocket Size LCD Digital Thermometer &amp; ET10 Magnetic Digital Pocket Thermometer</t>
        </is>
      </c>
      <c r="E168" s="2">
        <f>HYPERLINK("https://www.amazon.com/Klein-Tools-Infrared-Thermometer-Magnetic/dp/B0BD3SYSCZ/ref=sr_1_2?keywords=Klein+Tools+ET10+Magnetic+Digital+Pocket+Thermometer&amp;qid=1695173549&amp;sr=8-2", "https://www.amazon.com/Klein-Tools-Infrared-Thermometer-Magnetic/dp/B0BD3SYSCZ/ref=sr_1_2?keywords=Klein+Tools+ET10+Magnetic+Digital+Pocket+Thermometer&amp;qid=1695173549&amp;sr=8-2")</f>
        <v/>
      </c>
      <c r="F168" t="inlineStr">
        <is>
          <t>B0BD3SYSCZ</t>
        </is>
      </c>
      <c r="G168">
        <f>_xludf.IMAGE("https://edmondsonsupply.com/cdn/shop/products/et10.jpg?v=1587142916")</f>
        <v/>
      </c>
      <c r="H168">
        <f>_xludf.IMAGE("https://m.media-amazon.com/images/I/41ps9o9q35L._AC_UY218_.jpg")</f>
        <v/>
      </c>
      <c r="I168" t="inlineStr">
        <is>
          <t>22.99</t>
        </is>
      </c>
      <c r="J168" t="n">
        <v>73.95999999999999</v>
      </c>
      <c r="K168" s="3" t="inlineStr">
        <is>
          <t>221.71%</t>
        </is>
      </c>
      <c r="L168" t="n">
        <v>5</v>
      </c>
      <c r="M168" t="n">
        <v>2</v>
      </c>
      <c r="O168" t="inlineStr">
        <is>
          <t>InStock</t>
        </is>
      </c>
      <c r="P168" t="inlineStr">
        <is>
          <t>34.08</t>
        </is>
      </c>
      <c r="Q168" t="inlineStr">
        <is>
          <t>3690025943140</t>
        </is>
      </c>
    </row>
    <row r="169">
      <c r="A169" s="2">
        <f>HYPERLINK("https://edmondsonsupply.com/collections/hvac/products/milwaukee-48-22-2930-4-in-1-precision-multi-bit-screwdriver", "https://edmondsonsupply.com/collections/hvac/products/milwaukee-48-22-2930-4-in-1-precision-multi-bit-screwdriver")</f>
        <v/>
      </c>
      <c r="B169" s="2">
        <f>HYPERLINK("https://edmondsonsupply.com/products/milwaukee-48-22-2930-4-in-1-precision-multi-bit-screwdriver", "https://edmondsonsupply.com/products/milwaukee-48-22-2930-4-in-1-precision-multi-bit-screwdriver")</f>
        <v/>
      </c>
      <c r="C169" t="inlineStr">
        <is>
          <t>Milwaukee 48-22-2930 4-in-1 Precision Multi-Bit Screwdriver</t>
        </is>
      </c>
      <c r="D169" t="inlineStr">
        <is>
          <t>Milwaukee 11-in-1 Multi-Tip Screwdriver with Square Drive Bits and 13-in-1 Multi-Tip Cushion Grip Screwdriver Sets (48-22-2880-2761)</t>
        </is>
      </c>
      <c r="E169" s="2">
        <f>HYPERLINK("https://www.amazon.com/Milwaukee-Multi-Tip-Screwdriver-Cushion-48-22-2880-2761/dp/B0BS435YZ2/ref=sr_1_2?keywords=Milwaukee+48-22-2930+4-in-1+Precision+Multi-Bit+Screwdriver&amp;qid=1695173583&amp;sr=8-2", "https://www.amazon.com/Milwaukee-Multi-Tip-Screwdriver-Cushion-48-22-2880-2761/dp/B0BS435YZ2/ref=sr_1_2?keywords=Milwaukee+48-22-2930+4-in-1+Precision+Multi-Bit+Screwdriver&amp;qid=1695173583&amp;sr=8-2")</f>
        <v/>
      </c>
      <c r="F169" t="inlineStr">
        <is>
          <t>B0BS435YZ2</t>
        </is>
      </c>
      <c r="G169">
        <f>_xludf.IMAGE("https://edmondsonsupply.com/cdn/shop/files/48-22-2930_PrimaryImage_WEB.webp?v=1686154438")</f>
        <v/>
      </c>
      <c r="H169">
        <f>_xludf.IMAGE("https://m.media-amazon.com/images/I/6147KLqShzL._AC_UL320_.jpg")</f>
        <v/>
      </c>
      <c r="I169" t="inlineStr">
        <is>
          <t>12.97</t>
        </is>
      </c>
      <c r="J169" t="n">
        <v>40.99</v>
      </c>
      <c r="K169" s="3" t="inlineStr">
        <is>
          <t>216.04%</t>
        </is>
      </c>
      <c r="L169" t="n">
        <v>5</v>
      </c>
      <c r="M169" t="n">
        <v>4</v>
      </c>
      <c r="O169" t="inlineStr">
        <is>
          <t>InStock</t>
        </is>
      </c>
      <c r="P169" t="inlineStr">
        <is>
          <t>17.3</t>
        </is>
      </c>
      <c r="Q169" t="inlineStr">
        <is>
          <t>7970427142360</t>
        </is>
      </c>
    </row>
    <row r="170">
      <c r="A170" s="2">
        <f>HYPERLINK("https://edmondsonsupply.com/collections/hvac/products/klein-tools-646-5-16-5-16-inch-nut-driver-6-inch-hollow-shaft", "https://edmondsonsupply.com/collections/hvac/products/klein-tools-646-5-16-5-16-inch-nut-driver-6-inch-hollow-shaft")</f>
        <v/>
      </c>
      <c r="B170" s="2">
        <f>HYPERLINK("https://edmondsonsupply.com/products/klein-tools-646-5-16-5-16-inch-nut-driver-6-inch-hollow-shaft", "https://edmondsonsupply.com/products/klein-tools-646-5-16-5-16-inch-nut-driver-6-inch-hollow-shaft")</f>
        <v/>
      </c>
      <c r="C170" t="inlineStr">
        <is>
          <t>Klein Tools 646-5/16 5/16-Inch Nut Driver, 6-Inch Hollow Shaft</t>
        </is>
      </c>
      <c r="D170" t="inlineStr">
        <is>
          <t>Klein Tools 646M Tool Set, Magnetic Nut Drivers Sizes 1/4 and 5/16-Inch, 6-Inch Shafts, 2-Piece</t>
        </is>
      </c>
      <c r="E170" s="2">
        <f>HYPERLINK("https://www.amazon.com/Magnetic-16-Inch-Klein-Tools-646M/dp/B000936QV0/ref=sr_1_6?keywords=Klein+Tools+646-5%2F16+5%2F16-Inch+Nut+Driver%2C+6-Inch+Hollow+Shaft&amp;qid=1695173549&amp;sr=8-6", "https://www.amazon.com/Magnetic-16-Inch-Klein-Tools-646M/dp/B000936QV0/ref=sr_1_6?keywords=Klein+Tools+646-5%2F16+5%2F16-Inch+Nut+Driver%2C+6-Inch+Hollow+Shaft&amp;qid=1695173549&amp;sr=8-6")</f>
        <v/>
      </c>
      <c r="F170" t="inlineStr">
        <is>
          <t>B000936QV0</t>
        </is>
      </c>
      <c r="G170">
        <f>_xludf.IMAGE("https://edmondsonsupply.com/cdn/shop/products/646-1-2_e1540905-f750-4509-90c5-74ff653e4d83.jpg?v=1587145119")</f>
        <v/>
      </c>
      <c r="H170">
        <f>_xludf.IMAGE("https://m.media-amazon.com/images/I/41lkJ6KRq9L._AC_UL320_.jpg")</f>
        <v/>
      </c>
      <c r="I170" t="inlineStr">
        <is>
          <t>7.99</t>
        </is>
      </c>
      <c r="J170" t="n">
        <v>24.99</v>
      </c>
      <c r="K170" s="3" t="inlineStr">
        <is>
          <t>212.77%</t>
        </is>
      </c>
      <c r="L170" t="n">
        <v>4.8</v>
      </c>
      <c r="M170" t="n">
        <v>1654</v>
      </c>
      <c r="O170" t="inlineStr">
        <is>
          <t>InStock</t>
        </is>
      </c>
      <c r="P170" t="inlineStr">
        <is>
          <t>12.1</t>
        </is>
      </c>
      <c r="Q170" t="inlineStr">
        <is>
          <t>4395303272548</t>
        </is>
      </c>
    </row>
    <row r="171">
      <c r="A171" s="2">
        <f>HYPERLINK("https://edmondsonsupply.com/collections/hvac/products/klein-tools-646-1-4-1-4-inch-nut-driver-with-6-inch-hollow-shaft", "https://edmondsonsupply.com/collections/hvac/products/klein-tools-646-1-4-1-4-inch-nut-driver-with-6-inch-hollow-shaft")</f>
        <v/>
      </c>
      <c r="B171" s="2">
        <f>HYPERLINK("https://edmondsonsupply.com/products/klein-tools-646-1-4-1-4-inch-nut-driver-with-6-inch-hollow-shaft", "https://edmondsonsupply.com/products/klein-tools-646-1-4-1-4-inch-nut-driver-with-6-inch-hollow-shaft")</f>
        <v/>
      </c>
      <c r="C171" t="inlineStr">
        <is>
          <t>Klein Tools 646-1/4 1/4-Inch Nut Driver with 6-Inch Hollow Shaft</t>
        </is>
      </c>
      <c r="D171" t="inlineStr">
        <is>
          <t>Klein Tools 646M Tool Set, Magnetic Nut Drivers Sizes 1/4 and 5/16-Inch, 6-Inch Shafts, 2-Piece</t>
        </is>
      </c>
      <c r="E171" s="2">
        <f>HYPERLINK("https://www.amazon.com/Magnetic-16-Inch-Klein-Tools-646M/dp/B000936QV0/ref=sr_1_5?keywords=Klein+Tools+646-1%2F4+1%2F4-Inch+Nut+Driver+with+6-Inch+Hollow+Shaft&amp;qid=1695173548&amp;sr=8-5", "https://www.amazon.com/Magnetic-16-Inch-Klein-Tools-646M/dp/B000936QV0/ref=sr_1_5?keywords=Klein+Tools+646-1%2F4+1%2F4-Inch+Nut+Driver+with+6-Inch+Hollow+Shaft&amp;qid=1695173548&amp;sr=8-5")</f>
        <v/>
      </c>
      <c r="F171" t="inlineStr">
        <is>
          <t>B000936QV0</t>
        </is>
      </c>
      <c r="G171">
        <f>_xludf.IMAGE("https://edmondsonsupply.com/cdn/shop/products/646-1-2_08d87fa9-eac4-4869-8d3b-bb680d4b1d53.jpg?v=1587150676")</f>
        <v/>
      </c>
      <c r="H171">
        <f>_xludf.IMAGE("https://m.media-amazon.com/images/I/41lkJ6KRq9L._AC_UL320_.jpg")</f>
        <v/>
      </c>
      <c r="I171" t="inlineStr">
        <is>
          <t>7.99</t>
        </is>
      </c>
      <c r="J171" t="n">
        <v>24.99</v>
      </c>
      <c r="K171" s="3" t="inlineStr">
        <is>
          <t>212.77%</t>
        </is>
      </c>
      <c r="L171" t="n">
        <v>4.8</v>
      </c>
      <c r="M171" t="n">
        <v>1654</v>
      </c>
      <c r="O171" t="inlineStr">
        <is>
          <t>InStock</t>
        </is>
      </c>
      <c r="P171" t="inlineStr">
        <is>
          <t>12.1</t>
        </is>
      </c>
      <c r="Q171" t="inlineStr">
        <is>
          <t>4439433740388</t>
        </is>
      </c>
    </row>
    <row r="172">
      <c r="A172" s="2">
        <f>HYPERLINK("https://edmondsonsupply.com/collections/hvac/products/testo-0564-2552-01-552i-app-controlled-wireless-vacuum-probe", "https://edmondsonsupply.com/collections/hvac/products/testo-0564-2552-01-552i-app-controlled-wireless-vacuum-probe")</f>
        <v/>
      </c>
      <c r="B172" s="2">
        <f>HYPERLINK("https://edmondsonsupply.com/products/testo-0564-2552-01-552i-app-controlled-wireless-vacuum-probe", "https://edmondsonsupply.com/products/testo-0564-2552-01-552i-app-controlled-wireless-vacuum-probe")</f>
        <v/>
      </c>
      <c r="C172" t="inlineStr">
        <is>
          <t>Testo 0564 2552 01 552i App-Controlled Wireless Vacuum Probe</t>
        </is>
      </c>
      <c r="D172" t="inlineStr">
        <is>
          <t>Testo 550s Kit I App Operated Digital Manifold for HVAC and Refrigeration with 2 x Wired Temperature clamp Probes &amp; 552i App-Controlled Wireless Vacuum Probe I for HVAC Systems – with Bluetooth</t>
        </is>
      </c>
      <c r="E172" s="2">
        <f>HYPERLINK("https://www.amazon.com/Testo-Operated-Refrigeration-Temperature-App-Controlled/dp/B0BS2YTS4Y/ref=sr_1_6?keywords=Testo+0564+2552+01+552i+App-Controlled+Wireless+Vacuum+Probe&amp;qid=1695173617&amp;sr=8-6", "https://www.amazon.com/Testo-Operated-Refrigeration-Temperature-App-Controlled/dp/B0BS2YTS4Y/ref=sr_1_6?keywords=Testo+0564+2552+01+552i+App-Controlled+Wireless+Vacuum+Probe&amp;qid=1695173617&amp;sr=8-6")</f>
        <v/>
      </c>
      <c r="F172" t="inlineStr">
        <is>
          <t>B0BS2YTS4Y</t>
        </is>
      </c>
      <c r="G172">
        <f>_xludf.IMAGE("https://edmondsonsupply.com/cdn/shop/products/testo-552i-front_master.jpg?v=1633031193")</f>
        <v/>
      </c>
      <c r="H172">
        <f>_xludf.IMAGE("https://m.media-amazon.com/images/I/41SIoDg1SRL._AC_UY218_.jpg")</f>
        <v/>
      </c>
      <c r="I172" t="inlineStr">
        <is>
          <t>177.65</t>
        </is>
      </c>
      <c r="J172" t="n">
        <v>551.14</v>
      </c>
      <c r="K172" s="3" t="inlineStr">
        <is>
          <t>210.24%</t>
        </is>
      </c>
      <c r="L172" t="n">
        <v>5</v>
      </c>
      <c r="M172" t="n">
        <v>1</v>
      </c>
      <c r="O172" t="inlineStr">
        <is>
          <t>InStock</t>
        </is>
      </c>
      <c r="P172" t="inlineStr">
        <is>
          <t>209.0</t>
        </is>
      </c>
      <c r="Q172" t="inlineStr">
        <is>
          <t>6939345223853</t>
        </is>
      </c>
    </row>
    <row r="173">
      <c r="A173" s="2">
        <f>HYPERLINK("https://edmondsonsupply.com/collections/hvac/products/uei-dmg150-digital-micron-gauge", "https://edmondsonsupply.com/collections/hvac/products/uei-dmg150-digital-micron-gauge")</f>
        <v/>
      </c>
      <c r="B173" s="2">
        <f>HYPERLINK("https://edmondsonsupply.com/products/uei-dmg150-digital-micron-gauge", "https://edmondsonsupply.com/products/uei-dmg150-digital-micron-gauge")</f>
        <v/>
      </c>
      <c r="C173" t="inlineStr">
        <is>
          <t>UEi PDT650 Digital Folding Pocket Thermometer</t>
        </is>
      </c>
      <c r="D173" t="inlineStr">
        <is>
          <t>UEi Test Instruments PDT650 Folding Pocket Digital Thermometer (Twо Расk)</t>
        </is>
      </c>
      <c r="E173" s="2">
        <f>HYPERLINK("https://www.amazon.com/UEi-Test-Instruments-Folding-Thermometer/dp/B084274DV2/ref=sr_1_3?keywords=UEi+PDT650+Digital+Folding+Pocket+Thermometer&amp;qid=1695173385&amp;sr=8-3", "https://www.amazon.com/UEi-Test-Instruments-Folding-Thermometer/dp/B084274DV2/ref=sr_1_3?keywords=UEi+PDT650+Digital+Folding+Pocket+Thermometer&amp;qid=1695173385&amp;sr=8-3")</f>
        <v/>
      </c>
      <c r="F173" t="inlineStr">
        <is>
          <t>B084274DV2</t>
        </is>
      </c>
      <c r="G173">
        <f>_xludf.IMAGE("https://edmondsonsupply.com/cdn/shop/products/PDT650-1.png?v=1633030101")</f>
        <v/>
      </c>
      <c r="H173">
        <f>_xludf.IMAGE("https://m.media-amazon.com/images/I/314GK-mvUNL._AC_UY218_.jpg")</f>
        <v/>
      </c>
      <c r="I173" t="inlineStr">
        <is>
          <t>19.51</t>
        </is>
      </c>
      <c r="J173" t="n">
        <v>59.77</v>
      </c>
      <c r="K173" s="3" t="inlineStr">
        <is>
          <t>206.36%</t>
        </is>
      </c>
      <c r="L173" t="n">
        <v>5</v>
      </c>
      <c r="M173" t="n">
        <v>5</v>
      </c>
      <c r="O173" t="inlineStr">
        <is>
          <t>InStock</t>
        </is>
      </c>
      <c r="P173" t="inlineStr">
        <is>
          <t>22.95</t>
        </is>
      </c>
      <c r="Q173" t="inlineStr">
        <is>
          <t>3569106649188</t>
        </is>
      </c>
    </row>
    <row r="174">
      <c r="A174" s="2">
        <f>HYPERLINK("https://edmondsonsupply.com/collections/hvac/products/wiha-tools-32267-5-16-insulated-softfinish-nut-driver", "https://edmondsonsupply.com/collections/hvac/products/wiha-tools-32267-5-16-insulated-softfinish-nut-driver")</f>
        <v/>
      </c>
      <c r="B174" s="2">
        <f>HYPERLINK("https://edmondsonsupply.com/products/wiha-tools-32267-5-16-insulated-softfinish-nut-driver", "https://edmondsonsupply.com/products/wiha-tools-32267-5-16-insulated-softfinish-nut-driver")</f>
        <v/>
      </c>
      <c r="C174" t="inlineStr">
        <is>
          <t>Wiha Tools 32267 5/16" Insulated SoftFinish Nut Driver</t>
        </is>
      </c>
      <c r="D174" t="inlineStr">
        <is>
          <t>Wiha Tools - Softfinish Insulated Nut Drivers Insulated Nut Driver 9/16 X 125Mm: 817-32278 - insulated nut driver 9/16 x 125mm</t>
        </is>
      </c>
      <c r="E174" s="2">
        <f>HYPERLINK("https://www.amazon.com/Wiha-Tools-Softfinish-Insulated-817-32278/dp/B00462C2Q8/ref=sr_1_7?keywords=Wiha+Tools+32267+5%2F16%22+Insulated+SoftFinish+Nut+Driver&amp;qid=1695173722&amp;sr=8-7", "https://www.amazon.com/Wiha-Tools-Softfinish-Insulated-817-32278/dp/B00462C2Q8/ref=sr_1_7?keywords=Wiha+Tools+32267+5%2F16%22+Insulated+SoftFinish+Nut+Driver&amp;qid=1695173722&amp;sr=8-7")</f>
        <v/>
      </c>
      <c r="F174" t="inlineStr">
        <is>
          <t>B00462C2Q8</t>
        </is>
      </c>
      <c r="G174">
        <f>_xludf.IMAGE("https://edmondsonsupply.com/cdn/shop/files/rciu0sq7tzs63xknaigt_1000x_e86d418b-6e53-4045-8f98-eeef581842a3.webp?v=1690929607")</f>
        <v/>
      </c>
      <c r="H174">
        <f>_xludf.IMAGE("https://m.media-amazon.com/images/I/21iQCrsshfL._AC_UL320_.jpg")</f>
        <v/>
      </c>
      <c r="I174" t="inlineStr">
        <is>
          <t>11.92</t>
        </is>
      </c>
      <c r="J174" t="n">
        <v>35.8</v>
      </c>
      <c r="K174" s="3" t="inlineStr">
        <is>
          <t>200.34%</t>
        </is>
      </c>
      <c r="L174" t="n">
        <v>5</v>
      </c>
      <c r="M174" t="n">
        <v>2</v>
      </c>
      <c r="O174" t="inlineStr">
        <is>
          <t>InStock</t>
        </is>
      </c>
      <c r="P174" t="inlineStr">
        <is>
          <t>15.9</t>
        </is>
      </c>
      <c r="Q174" t="inlineStr">
        <is>
          <t>8023582146776</t>
        </is>
      </c>
    </row>
    <row r="175">
      <c r="A175" s="2">
        <f>HYPERLINK("https://edmondsonsupply.com/collections/hvac/products/klein-tools-et05-digital-pocket-thermometer", "https://edmondsonsupply.com/collections/hvac/products/klein-tools-et05-digital-pocket-thermometer")</f>
        <v/>
      </c>
      <c r="B175" s="2">
        <f>HYPERLINK("https://edmondsonsupply.com/products/klein-tools-et05-digital-pocket-thermometer", "https://edmondsonsupply.com/products/klein-tools-et05-digital-pocket-thermometer")</f>
        <v/>
      </c>
      <c r="C175" t="inlineStr">
        <is>
          <t>Klein Tools ET05 Digital Pocket Thermometer</t>
        </is>
      </c>
      <c r="D175" t="inlineStr">
        <is>
          <t>Klein Tools IR1 Infrared Thermometer, Digital Laser Gun is Non-Contact Thermometer with a Temperature Range -4 to 752-Degree Fahrenheit &amp; ET05 Digital Pocket Thermometer</t>
        </is>
      </c>
      <c r="E175" s="2">
        <f>HYPERLINK("https://www.amazon.com/Klein-Tools-Thermometer-Non-Contact-Temperature/dp/B0BC88SF8V/ref=sr_1_2?keywords=Klein+Tools+ET05+Digital+Pocket+Thermometer&amp;qid=1695173684&amp;sr=8-2", "https://www.amazon.com/Klein-Tools-Thermometer-Non-Contact-Temperature/dp/B0BC88SF8V/ref=sr_1_2?keywords=Klein+Tools+ET05+Digital+Pocket+Thermometer&amp;qid=1695173684&amp;sr=8-2")</f>
        <v/>
      </c>
      <c r="F175" t="inlineStr">
        <is>
          <t>B0BC88SF8V</t>
        </is>
      </c>
      <c r="G175">
        <f>_xludf.IMAGE("https://edmondsonsupply.com/cdn/shop/products/et05.jpg?v=1587144900")</f>
        <v/>
      </c>
      <c r="H175">
        <f>_xludf.IMAGE("https://m.media-amazon.com/images/I/41SkeuD-HkL._AC_UY218_.jpg")</f>
        <v/>
      </c>
      <c r="I175" t="inlineStr">
        <is>
          <t>15.97</t>
        </is>
      </c>
      <c r="J175" t="n">
        <v>47.96</v>
      </c>
      <c r="K175" s="3" t="inlineStr">
        <is>
          <t>200.31%</t>
        </is>
      </c>
      <c r="L175" t="n">
        <v>5</v>
      </c>
      <c r="M175" t="n">
        <v>4</v>
      </c>
      <c r="O175" t="inlineStr">
        <is>
          <t>InStock</t>
        </is>
      </c>
      <c r="P175" t="inlineStr">
        <is>
          <t>25.18</t>
        </is>
      </c>
      <c r="Q175" t="inlineStr">
        <is>
          <t>4300015763556</t>
        </is>
      </c>
    </row>
    <row r="176">
      <c r="A176" s="2">
        <f>HYPERLINK("https://edmondsonsupply.com/collections/hvac/products/klein-tools-mag2-magnetizer-demagnetizer", "https://edmondsonsupply.com/collections/hvac/products/klein-tools-mag2-magnetizer-demagnetizer")</f>
        <v/>
      </c>
      <c r="B176" s="2">
        <f>HYPERLINK("https://edmondsonsupply.com/products/klein-tools-mag2-magnetizer-demagnetizer", "https://edmondsonsupply.com/products/klein-tools-mag2-magnetizer-demagnetizer")</f>
        <v/>
      </c>
      <c r="C176" t="inlineStr">
        <is>
          <t>Klein Tools MAG2 Magnetizer / Demagnetizer</t>
        </is>
      </c>
      <c r="D176" t="inlineStr">
        <is>
          <t>Klein ToolsKlein Tools 55895 Magnetic Wristband &amp; MAG2 Demagnetizer/Magnetizer for Screwdriver Bits and Tips, Makes Tools Magnetic with Powerful Rare-Earth MagnetKlein Tools</t>
        </is>
      </c>
      <c r="E176" s="2">
        <f>HYPERLINK("https://www.amazon.com/Klein-Tools-Demagnetizer-Screwdriver-MagnetKlein/dp/B0BSKR7CQX/ref=sr_1_4?keywords=Klein+Tools+MAG2+Magnetizer+%2F+Demagnetizer&amp;qid=1695173451&amp;sr=8-4", "https://www.amazon.com/Klein-Tools-Demagnetizer-Screwdriver-MagnetKlein/dp/B0BSKR7CQX/ref=sr_1_4?keywords=Klein+Tools+MAG2+Magnetizer+%2F+Demagnetizer&amp;qid=1695173451&amp;sr=8-4")</f>
        <v/>
      </c>
      <c r="F176" t="inlineStr">
        <is>
          <t>B0BSKR7CQX</t>
        </is>
      </c>
      <c r="G176">
        <f>_xludf.IMAGE("https://edmondsonsupply.com/cdn/shop/products/mag2.jpg?v=1587145008")</f>
        <v/>
      </c>
      <c r="H176">
        <f>_xludf.IMAGE("https://m.media-amazon.com/images/I/415MdIpH5SL._AC_UL320_.jpg")</f>
        <v/>
      </c>
      <c r="I176" t="inlineStr">
        <is>
          <t>9.97</t>
        </is>
      </c>
      <c r="J176" t="n">
        <v>29.94</v>
      </c>
      <c r="K176" s="3" t="inlineStr">
        <is>
          <t>200.30%</t>
        </is>
      </c>
      <c r="L176" t="n">
        <v>5</v>
      </c>
      <c r="M176" t="n">
        <v>2</v>
      </c>
      <c r="O176" t="inlineStr">
        <is>
          <t>InStock</t>
        </is>
      </c>
      <c r="P176" t="inlineStr">
        <is>
          <t>13.96</t>
        </is>
      </c>
      <c r="Q176" t="inlineStr">
        <is>
          <t>1706086858852</t>
        </is>
      </c>
    </row>
    <row r="177">
      <c r="A177" s="2">
        <f>HYPERLINK("https://edmondsonsupply.com/collections/hvac/products/klein-tools-935dag-digital-angle-gauge-and-level", "https://edmondsonsupply.com/collections/hvac/products/klein-tools-935dag-digital-angle-gauge-and-level")</f>
        <v/>
      </c>
      <c r="B177" s="2">
        <f>HYPERLINK("https://edmondsonsupply.com/products/klein-tools-935dag-digital-angle-gauge-and-level", "https://edmondsonsupply.com/products/klein-tools-935dag-digital-angle-gauge-and-level")</f>
        <v/>
      </c>
      <c r="C177" t="inlineStr">
        <is>
          <t>Klein Tools 935DAG Digital Angle Gauge and Level</t>
        </is>
      </c>
      <c r="D177" t="inlineStr">
        <is>
          <t>Klein Tools 935DAGL Digital Level Angle Finder &amp; 935DAG Digital Electronic Level and Angle Gauge, Measures 0-90 and 0-180 Degree Ranges, Measures and Sets Angles</t>
        </is>
      </c>
      <c r="E177" s="2">
        <f>HYPERLINK("https://www.amazon.com/Klein-Tools-935DAGL-Electronic-Measures/dp/B0BNL46JTV/ref=sr_1_4?keywords=Klein+Tools+935DAG+Digital+Angle+Gauge+and+Level&amp;qid=1695173564&amp;sr=8-4", "https://www.amazon.com/Klein-Tools-935DAGL-Electronic-Measures/dp/B0BNL46JTV/ref=sr_1_4?keywords=Klein+Tools+935DAG+Digital+Angle+Gauge+and+Level&amp;qid=1695173564&amp;sr=8-4")</f>
        <v/>
      </c>
      <c r="F177" t="inlineStr">
        <is>
          <t>B0BNL46JTV</t>
        </is>
      </c>
      <c r="G177">
        <f>_xludf.IMAGE("https://edmondsonsupply.com/cdn/shop/products/935dag.jpg?v=1587145032")</f>
        <v/>
      </c>
      <c r="H177">
        <f>_xludf.IMAGE("https://m.media-amazon.com/images/I/518pZRTQawL._AC_UL320_.jpg")</f>
        <v/>
      </c>
      <c r="I177" t="inlineStr">
        <is>
          <t>29.97</t>
        </is>
      </c>
      <c r="J177" t="n">
        <v>89.94</v>
      </c>
      <c r="K177" s="3" t="inlineStr">
        <is>
          <t>200.10%</t>
        </is>
      </c>
      <c r="L177" t="n">
        <v>4.7</v>
      </c>
      <c r="M177" t="n">
        <v>5</v>
      </c>
      <c r="O177" t="inlineStr">
        <is>
          <t>InStock</t>
        </is>
      </c>
      <c r="P177" t="inlineStr">
        <is>
          <t>45.0</t>
        </is>
      </c>
      <c r="Q177" t="inlineStr">
        <is>
          <t>4167487094884</t>
        </is>
      </c>
    </row>
    <row r="178">
      <c r="A178" s="2">
        <f>HYPERLINK("https://edmondsonsupply.com/collections/hvac/products/klein-tools-33736ins", "https://edmondsonsupply.com/collections/hvac/products/klein-tools-33736ins")</f>
        <v/>
      </c>
      <c r="B178" s="2">
        <f>HYPERLINK("https://edmondsonsupply.com/products/klein-tools-33736ins", "https://edmondsonsupply.com/products/klein-tools-33736ins")</f>
        <v/>
      </c>
      <c r="C178" t="inlineStr">
        <is>
          <t>Klein Tools 33736INS Screwdriver Set, 1000V Slim-Tip Insulated and Magnetizer, 6-Piece</t>
        </is>
      </c>
      <c r="D178" t="inlineStr">
        <is>
          <t>Klein Tools 94130 1000V Insulated Screwdriver Tool Set &amp; 33736INS Klein Tools 33736INS Insulated Screwdriver Set, 1000V Slim-Tip Driver with Phillips, 6-Piece</t>
        </is>
      </c>
      <c r="E178" s="2">
        <f>HYPERLINK("https://www.amazon.com/Klein-Tools-Insulated-Screwdriver-33736INS/dp/B0B68LYZC5/ref=sr_1_7?keywords=Klein+Tools+33736INS+Screwdriver+Set%2C+1000V+Slim-Tip+Insulated+and+Magnetizer%2C+6-Piece&amp;qid=1695173604&amp;sr=8-7", "https://www.amazon.com/Klein-Tools-Insulated-Screwdriver-33736INS/dp/B0B68LYZC5/ref=sr_1_7?keywords=Klein+Tools+33736INS+Screwdriver+Set%2C+1000V+Slim-Tip+Insulated+and+Magnetizer%2C+6-Piece&amp;qid=1695173604&amp;sr=8-7")</f>
        <v/>
      </c>
      <c r="F178" t="inlineStr">
        <is>
          <t>B0B68LYZC5</t>
        </is>
      </c>
      <c r="G178">
        <f>_xludf.IMAGE("https://edmondsonsupply.com/cdn/shop/products/33736ins.jpg?v=1664807705")</f>
        <v/>
      </c>
      <c r="H178">
        <f>_xludf.IMAGE("https://m.media-amazon.com/images/I/51pS8BxuJGL._AC_UL320_.jpg")</f>
        <v/>
      </c>
      <c r="I178" t="inlineStr">
        <is>
          <t>49.99</t>
        </is>
      </c>
      <c r="J178" t="n">
        <v>149.98</v>
      </c>
      <c r="K178" s="3" t="inlineStr">
        <is>
          <t>200.02%</t>
        </is>
      </c>
      <c r="L178" t="n">
        <v>4.9</v>
      </c>
      <c r="M178" t="n">
        <v>11</v>
      </c>
      <c r="O178" t="inlineStr">
        <is>
          <t>InStock</t>
        </is>
      </c>
      <c r="P178" t="inlineStr">
        <is>
          <t>73.98</t>
        </is>
      </c>
      <c r="Q178" t="inlineStr">
        <is>
          <t>7837641375960</t>
        </is>
      </c>
    </row>
    <row r="179">
      <c r="A179" s="2">
        <f>HYPERLINK("https://edmondsonsupply.com/collections/hvac/products/icm-controls-icm103-delay-on-make-timer-with-1-1-023-second-time-delay-universal-18-240-vac", "https://edmondsonsupply.com/collections/hvac/products/icm-controls-icm103-delay-on-make-timer-with-1-1-023-second-time-delay-universal-18-240-vac")</f>
        <v/>
      </c>
      <c r="B179" s="2">
        <f>HYPERLINK("https://edmondsonsupply.com/products/icm-controls-icm103-delay-on-make-timer-with-1-1-023-second-time-delay-universal-18-240-vac", "https://edmondsonsupply.com/products/icm-controls-icm103-delay-on-make-timer-with-1-1-023-second-time-delay-universal-18-240-vac")</f>
        <v/>
      </c>
      <c r="C179" t="inlineStr">
        <is>
          <t>ICM Controls ICM103 Delay on Make Timer with 1-1,023 Second Time Delay, Universal 18-240 VAC</t>
        </is>
      </c>
      <c r="D179" t="inlineStr">
        <is>
          <t>ICM Controls ICM104 Delay-on-Make Timer with 10-1,000 Seconds Adjustable Time Delay and SPDT Relay Output, 18-30 VAC</t>
        </is>
      </c>
      <c r="E179" s="2">
        <f>HYPERLINK("https://www.amazon.com/ICM-Controls-ICM104-Seconds-Adjustable/dp/B00GIP4LCO/ref=sr_1_6?keywords=ICM+Controls+ICM103+Delay+on+Make+Timer+with+1-1%2C023+Second+Time+Delay%2C+Universal+18-240+VAC&amp;qid=1695173373&amp;sr=8-6", "https://www.amazon.com/ICM-Controls-ICM104-Seconds-Adjustable/dp/B00GIP4LCO/ref=sr_1_6?keywords=ICM+Controls+ICM103+Delay+on+Make+Timer+with+1-1%2C023+Second+Time+Delay%2C+Universal+18-240+VAC&amp;qid=1695173373&amp;sr=8-6")</f>
        <v/>
      </c>
      <c r="F179" t="inlineStr">
        <is>
          <t>B00GIP4LCO</t>
        </is>
      </c>
      <c r="G179">
        <f>_xludf.IMAGE("https://edmondsonsupply.com/cdn/shop/products/icm103.png?v=1587150533")</f>
        <v/>
      </c>
      <c r="H179">
        <f>_xludf.IMAGE("https://m.media-amazon.com/images/I/61RFS2vXJzL._AC_UL320_.jpg")</f>
        <v/>
      </c>
      <c r="I179" t="inlineStr">
        <is>
          <t>16.99</t>
        </is>
      </c>
      <c r="J179" t="n">
        <v>50.95</v>
      </c>
      <c r="K179" s="3" t="inlineStr">
        <is>
          <t>199.88%</t>
        </is>
      </c>
      <c r="L179" t="n">
        <v>4.7</v>
      </c>
      <c r="M179" t="n">
        <v>6</v>
      </c>
      <c r="O179" t="inlineStr">
        <is>
          <t>InStock</t>
        </is>
      </c>
      <c r="P179" t="inlineStr">
        <is>
          <t>24.02</t>
        </is>
      </c>
      <c r="Q179" t="inlineStr">
        <is>
          <t>4368343105636</t>
        </is>
      </c>
    </row>
    <row r="180">
      <c r="A180" s="2">
        <f>HYPERLINK("https://edmondsonsupply.com/collections/hvac/products/milwaukee-48-22-1500-fastback%E2%84%A2-compact-folding-utility-knife", "https://edmondsonsupply.com/collections/hvac/products/milwaukee-48-22-1500-fastback%E2%84%A2-compact-folding-utility-knife")</f>
        <v/>
      </c>
      <c r="B180" s="2">
        <f>HYPERLINK("https://edmondsonsupply.com/products/milwaukee-48-22-1500-fastback%e2%84%a2-compact-folding-utility-knife", "https://edmondsonsupply.com/products/milwaukee-48-22-1500-fastback%e2%84%a2-compact-folding-utility-knife")</f>
        <v/>
      </c>
      <c r="C180" t="inlineStr">
        <is>
          <t>Milwaukee 48-22-1500 FASTBACK™ Compact Folding Utility Knife</t>
        </is>
      </c>
      <c r="D180" t="inlineStr">
        <is>
          <t>For Milwaukee Tool 48-22-1505 Fastback™ 6In1 Folding Utility Knife</t>
        </is>
      </c>
      <c r="E180" s="2">
        <f>HYPERLINK("https://www.amazon.com/Milwaukee-48-22-1505-FastbackTM-Folding-Utility/dp/B0C69TGH9K/ref=sr_1_2?keywords=Milwaukee+48-22-1500+FASTBACK%E2%84%A2+Compact+Folding+Utility+Knife&amp;qid=1695173559&amp;sr=8-2", "https://www.amazon.com/Milwaukee-48-22-1505-FastbackTM-Folding-Utility/dp/B0C69TGH9K/ref=sr_1_2?keywords=Milwaukee+48-22-1500+FASTBACK%E2%84%A2+Compact+Folding+Utility+Knife&amp;qid=1695173559&amp;sr=8-2")</f>
        <v/>
      </c>
      <c r="F180" t="inlineStr">
        <is>
          <t>B0C69TGH9K</t>
        </is>
      </c>
      <c r="G180">
        <f>_xludf.IMAGE("https://edmondsonsupply.com/cdn/shop/products/48-22-1500_3.png?v=1587142474")</f>
        <v/>
      </c>
      <c r="H180">
        <f>_xludf.IMAGE("https://m.media-amazon.com/images/I/41ZUsUsHByL._AC_UL320_.jpg")</f>
        <v/>
      </c>
      <c r="I180" t="inlineStr">
        <is>
          <t>8.97</t>
        </is>
      </c>
      <c r="J180" t="n">
        <v>26.75</v>
      </c>
      <c r="K180" s="3" t="inlineStr">
        <is>
          <t>198.22%</t>
        </is>
      </c>
      <c r="L180" t="n">
        <v>4.7</v>
      </c>
      <c r="M180" t="n">
        <v>4</v>
      </c>
      <c r="O180" t="inlineStr">
        <is>
          <t>InStock</t>
        </is>
      </c>
      <c r="P180" t="inlineStr">
        <is>
          <t>13.0</t>
        </is>
      </c>
      <c r="Q180" t="inlineStr">
        <is>
          <t>4342633824356</t>
        </is>
      </c>
    </row>
    <row r="181">
      <c r="A181" s="2">
        <f>HYPERLINK("https://edmondsonsupply.com/collections/hvac/products/klein-tools-55580-tradesman-tumbler", "https://edmondsonsupply.com/collections/hvac/products/klein-tools-55580-tradesman-tumbler")</f>
        <v/>
      </c>
      <c r="B181" s="2">
        <f>HYPERLINK("https://edmondsonsupply.com/products/klein-tools-55580-tradesman-tumbler", "https://edmondsonsupply.com/products/klein-tools-55580-tradesman-tumbler")</f>
        <v/>
      </c>
      <c r="C181" t="inlineStr">
        <is>
          <t>Klein Tools 55580 Tradesman Tumbler</t>
        </is>
      </c>
      <c r="D181" t="inlineStr">
        <is>
          <t>Klein Tools 55600 Work Cooler, 17-Quart Lunch Box Holds 18 Cans &amp; Klein Tools 55580 Stainless Steel Tumbler with Flip-top Lid, Insulated 20 oz. Tradesman's Double Wall Vacuum Mug</t>
        </is>
      </c>
      <c r="E181" s="2">
        <f>HYPERLINK("https://www.amazon.com/Klein-Tools-Stainless-Insulated-Tradesmans/dp/B09P846GLG/ref=sr_1_3?keywords=Klein+Tools+55580+Tradesman+Tumbler&amp;qid=1695173534&amp;sr=8-3", "https://www.amazon.com/Klein-Tools-Stainless-Insulated-Tradesmans/dp/B09P846GLG/ref=sr_1_3?keywords=Klein+Tools+55580+Tradesman+Tumbler&amp;qid=1695173534&amp;sr=8-3")</f>
        <v/>
      </c>
      <c r="F181" t="inlineStr">
        <is>
          <t>B09P846GLG</t>
        </is>
      </c>
      <c r="G181">
        <f>_xludf.IMAGE("https://edmondsonsupply.com/cdn/shop/products/55580.jpg?v=1633030612")</f>
        <v/>
      </c>
      <c r="H181">
        <f>_xludf.IMAGE("https://m.media-amazon.com/images/I/51EpNPyb4WL._AC_UL320_.jpg")</f>
        <v/>
      </c>
      <c r="I181" t="inlineStr">
        <is>
          <t>29.97</t>
        </is>
      </c>
      <c r="J181" t="n">
        <v>89.33</v>
      </c>
      <c r="K181" s="3" t="inlineStr">
        <is>
          <t>198.06%</t>
        </is>
      </c>
      <c r="L181" t="n">
        <v>4.7</v>
      </c>
      <c r="M181" t="n">
        <v>33</v>
      </c>
      <c r="O181" t="inlineStr">
        <is>
          <t>InStock</t>
        </is>
      </c>
      <c r="P181" t="inlineStr">
        <is>
          <t>41.98</t>
        </is>
      </c>
      <c r="Q181" t="inlineStr">
        <is>
          <t>5647227846824</t>
        </is>
      </c>
    </row>
    <row r="182">
      <c r="A182" s="2">
        <f>HYPERLINK("https://edmondsonsupply.com/collections/hvac/products/midwest-mwt-6716b-bulldog-aviation-snip", "https://edmondsonsupply.com/collections/hvac/products/midwest-mwt-6716b-bulldog-aviation-snip")</f>
        <v/>
      </c>
      <c r="B182" s="2">
        <f>HYPERLINK("https://edmondsonsupply.com/products/midwest-mwt-6716b-bulldog-aviation-snip", "https://edmondsonsupply.com/products/midwest-mwt-6716b-bulldog-aviation-snip")</f>
        <v/>
      </c>
      <c r="C182" t="inlineStr">
        <is>
          <t>Midwest MWT-6716B Bulldog Aviation Snip</t>
        </is>
      </c>
      <c r="D182" t="inlineStr">
        <is>
          <t>Malco C5R 5-Blade Pipe Crimper &amp; MIDWEST Bulldog Aviation Tin Snip - Straight Cut Regular Tin Cutting Shears with Forged Blade &amp; KUSH'N-POWER Comfort Grips - MWT-6716B</t>
        </is>
      </c>
      <c r="E182" s="2">
        <f>HYPERLINK("https://www.amazon.com/Malco-5-Blade-Crimper-MIDWEST-Aviation/dp/B0CB11PTFT/ref=sr_1_4?keywords=Midwest+MWT-6716B+Bulldog+Aviation+Snip&amp;qid=1695173478&amp;sr=8-4", "https://www.amazon.com/Malco-5-Blade-Crimper-MIDWEST-Aviation/dp/B0CB11PTFT/ref=sr_1_4?keywords=Midwest+MWT-6716B+Bulldog+Aviation+Snip&amp;qid=1695173478&amp;sr=8-4")</f>
        <v/>
      </c>
      <c r="F182" t="inlineStr">
        <is>
          <t>B0CB11PTFT</t>
        </is>
      </c>
      <c r="G182">
        <f>_xludf.IMAGE("https://edmondsonsupply.com/cdn/shop/products/mwt-6716b.png?v=1587151187")</f>
        <v/>
      </c>
      <c r="H182">
        <f>_xludf.IMAGE("https://m.media-amazon.com/images/I/41xOJQAMAlL._AC_UL320_.jpg")</f>
        <v/>
      </c>
      <c r="I182" t="inlineStr">
        <is>
          <t>21.2</t>
        </is>
      </c>
      <c r="J182" t="n">
        <v>62.96</v>
      </c>
      <c r="K182" s="3" t="inlineStr">
        <is>
          <t>196.98%</t>
        </is>
      </c>
      <c r="L182" t="n">
        <v>4.8</v>
      </c>
      <c r="M182" t="n">
        <v>1966</v>
      </c>
      <c r="O182" t="inlineStr">
        <is>
          <t>InStock</t>
        </is>
      </c>
      <c r="P182" t="inlineStr">
        <is>
          <t>31.11</t>
        </is>
      </c>
      <c r="Q182" t="inlineStr">
        <is>
          <t>3688937390180</t>
        </is>
      </c>
    </row>
    <row r="183">
      <c r="A183" s="2">
        <f>HYPERLINK("https://edmondsonsupply.com/collections/hvac/products/klein-tools-935dag-digital-angle-gauge-and-level", "https://edmondsonsupply.com/collections/hvac/products/klein-tools-935dag-digital-angle-gauge-and-level")</f>
        <v/>
      </c>
      <c r="B183" s="2">
        <f>HYPERLINK("https://edmondsonsupply.com/products/klein-tools-935dag-digital-angle-gauge-and-level", "https://edmondsonsupply.com/products/klein-tools-935dag-digital-angle-gauge-and-level")</f>
        <v/>
      </c>
      <c r="C183" t="inlineStr">
        <is>
          <t>Klein Tools 935DAG Digital Angle Gauge and Level</t>
        </is>
      </c>
      <c r="D183" t="inlineStr">
        <is>
          <t>MICROJIG GRR-RIPPER GR-100 3D Table Saw Pushblock, Yellow &amp; Klein Tools 935DAG Digital Electronic Level and Angle Gauge, Measures 0-90 and 0-180 Degree Ranges, Measures and Sets Angles</t>
        </is>
      </c>
      <c r="E183" s="2">
        <f>HYPERLINK("https://www.amazon.com/MICROJIG-GRR-RIPPER-Pushblock-Electronic-Measures/dp/B0B2DJJT1H/ref=sr_1_9?keywords=Klein+Tools+935DAG+Digital+Angle+Gauge+and+Level&amp;qid=1695173564&amp;sr=8-9", "https://www.amazon.com/MICROJIG-GRR-RIPPER-Pushblock-Electronic-Measures/dp/B0B2DJJT1H/ref=sr_1_9?keywords=Klein+Tools+935DAG+Digital+Angle+Gauge+and+Level&amp;qid=1695173564&amp;sr=8-9")</f>
        <v/>
      </c>
      <c r="F183" t="inlineStr">
        <is>
          <t>B0B2DJJT1H</t>
        </is>
      </c>
      <c r="G183">
        <f>_xludf.IMAGE("https://edmondsonsupply.com/cdn/shop/products/935dag.jpg?v=1587145032")</f>
        <v/>
      </c>
      <c r="H183">
        <f>_xludf.IMAGE("https://m.media-amazon.com/images/I/51f66NeKfjL._AC_UL320_.jpg")</f>
        <v/>
      </c>
      <c r="I183" t="inlineStr">
        <is>
          <t>29.97</t>
        </is>
      </c>
      <c r="J183" t="n">
        <v>88.61</v>
      </c>
      <c r="K183" s="3" t="inlineStr">
        <is>
          <t>195.66%</t>
        </is>
      </c>
      <c r="L183" t="n">
        <v>4.7</v>
      </c>
      <c r="M183" t="n">
        <v>11400</v>
      </c>
      <c r="O183" t="inlineStr">
        <is>
          <t>InStock</t>
        </is>
      </c>
      <c r="P183" t="inlineStr">
        <is>
          <t>45.0</t>
        </is>
      </c>
      <c r="Q183" t="inlineStr">
        <is>
          <t>4167487094884</t>
        </is>
      </c>
    </row>
    <row r="184">
      <c r="A184" s="2">
        <f>HYPERLINK("https://edmondsonsupply.com/collections/hvac/products/nu-calgon-4289-01-4179-05", "https://edmondsonsupply.com/collections/hvac/products/nu-calgon-4289-01-4179-05")</f>
        <v/>
      </c>
      <c r="B184" s="2">
        <f>HYPERLINK("https://edmondsonsupply.com/products/nu-calgon-4289-01-4179-05", "https://edmondsonsupply.com/products/nu-calgon-4289-01-4179-05")</f>
        <v/>
      </c>
      <c r="C184" t="inlineStr">
        <is>
          <t>Nu-Calgon 4179-05 Gallo Gun Cannon</t>
        </is>
      </c>
      <c r="D184" t="inlineStr">
        <is>
          <t>Nu Calgon Gallo Gun 4179-01 CO2 Drain Opener</t>
        </is>
      </c>
      <c r="E184" s="2">
        <f>HYPERLINK("https://www.amazon.com/Nu-Calgon-Gallo-4179-01-Opener/dp/B08JCJK9L5/ref=sr_1_1?keywords=Nu-Calgon+4179-05+Gallo+Gun+Cannon&amp;qid=1695173341&amp;sr=8-1", "https://www.amazon.com/Nu-Calgon-Gallo-4179-01-Opener/dp/B08JCJK9L5/ref=sr_1_1?keywords=Nu-Calgon+4179-05+Gallo+Gun+Cannon&amp;qid=1695173341&amp;sr=8-1")</f>
        <v/>
      </c>
      <c r="F184" t="inlineStr">
        <is>
          <t>B08JCJK9L5</t>
        </is>
      </c>
      <c r="G184">
        <f>_xludf.IMAGE("https://edmondsonsupply.com/cdn/shop/files/4179-05_20220222.jpg?v=1686757087")</f>
        <v/>
      </c>
      <c r="H184">
        <f>_xludf.IMAGE("https://m.media-amazon.com/images/I/81t76eakIsL._AC_UL320_.jpg")</f>
        <v/>
      </c>
      <c r="I184" t="inlineStr">
        <is>
          <t>19.89</t>
        </is>
      </c>
      <c r="J184" t="n">
        <v>58</v>
      </c>
      <c r="K184" s="3" t="inlineStr">
        <is>
          <t>191.60%</t>
        </is>
      </c>
      <c r="L184" t="n">
        <v>4.1</v>
      </c>
      <c r="M184" t="n">
        <v>7</v>
      </c>
      <c r="O184" t="inlineStr">
        <is>
          <t>InStock</t>
        </is>
      </c>
      <c r="P184" t="inlineStr">
        <is>
          <t>28.5</t>
        </is>
      </c>
      <c r="Q184" t="inlineStr">
        <is>
          <t>8005597364440</t>
        </is>
      </c>
    </row>
    <row r="185">
      <c r="A185" s="2">
        <f>HYPERLINK("https://edmondsonsupply.com/collections/hvac/products/midwest-mwt-6510ro-right-cutting-offset-aviation-snip-blackout-series", "https://edmondsonsupply.com/collections/hvac/products/midwest-mwt-6510ro-right-cutting-offset-aviation-snip-blackout-series")</f>
        <v/>
      </c>
      <c r="B185" s="2">
        <f>HYPERLINK("https://edmondsonsupply.com/products/midwest-mwt-6510ro-right-cutting-offset-aviation-snip-blackout-series", "https://edmondsonsupply.com/products/midwest-mwt-6510ro-right-cutting-offset-aviation-snip-blackout-series")</f>
        <v/>
      </c>
      <c r="C185" t="inlineStr">
        <is>
          <t>Midwest MWT-6510RO Right-Cutting Offset Aviation Snip - Blackout Series</t>
        </is>
      </c>
      <c r="D185" t="inlineStr">
        <is>
          <t>MIDWEST Aviation Snip - Left and Right Cut Offset Stainless Steel Cutting Shears with Forged Blade &amp; KUSH'N-POWER Comfort Grips - MWT-SS6510C</t>
        </is>
      </c>
      <c r="E185" s="2">
        <f>HYPERLINK("https://www.amazon.com/MIDWEST-Aviation-Snip-Set-KUSHN-POWER/dp/B07RC7ZBK9/ref=sr_1_4?keywords=Midwest+MWT-6510RO+Right-Cutting+Offset+Aviation+Snip+-+Blackout+Series&amp;qid=1695173332&amp;sr=8-4", "https://www.amazon.com/MIDWEST-Aviation-Snip-Set-KUSHN-POWER/dp/B07RC7ZBK9/ref=sr_1_4?keywords=Midwest+MWT-6510RO+Right-Cutting+Offset+Aviation+Snip+-+Blackout+Series&amp;qid=1695173332&amp;sr=8-4")</f>
        <v/>
      </c>
      <c r="F185" t="inlineStr">
        <is>
          <t>B07RC7ZBK9</t>
        </is>
      </c>
      <c r="G185">
        <f>_xludf.IMAGE("https://edmondsonsupply.com/cdn/shop/products/6510ro.jpg?v=1587142626")</f>
        <v/>
      </c>
      <c r="H185">
        <f>_xludf.IMAGE("https://m.media-amazon.com/images/I/71438hbSyHL._AC_UL320_.jpg")</f>
        <v/>
      </c>
      <c r="I185" t="inlineStr">
        <is>
          <t>30.31</t>
        </is>
      </c>
      <c r="J185" t="n">
        <v>87.98999999999999</v>
      </c>
      <c r="K185" s="3" t="inlineStr">
        <is>
          <t>190.30%</t>
        </is>
      </c>
      <c r="L185" t="n">
        <v>4.4</v>
      </c>
      <c r="M185" t="n">
        <v>1137</v>
      </c>
      <c r="O185" t="inlineStr">
        <is>
          <t>InStock</t>
        </is>
      </c>
      <c r="P185" t="inlineStr">
        <is>
          <t>41.24</t>
        </is>
      </c>
      <c r="Q185" t="inlineStr">
        <is>
          <t>4470025027684</t>
        </is>
      </c>
    </row>
    <row r="186">
      <c r="A186" s="2">
        <f>HYPERLINK("https://edmondsonsupply.com/collections/hvac/products/klein-tools-65200-electricians-mini-ratchet-set-5-piece", "https://edmondsonsupply.com/collections/hvac/products/klein-tools-65200-electricians-mini-ratchet-set-5-piece")</f>
        <v/>
      </c>
      <c r="B186" s="2">
        <f>HYPERLINK("https://edmondsonsupply.com/products/klein-tools-65200-electricians-mini-ratchet-set-5-piece", "https://edmondsonsupply.com/products/klein-tools-65200-electricians-mini-ratchet-set-5-piece")</f>
        <v/>
      </c>
      <c r="C186" t="inlineStr">
        <is>
          <t>Klein Tools 65200 Slim-Profile Mini Ratchet Set, 5-Piece</t>
        </is>
      </c>
      <c r="D186" t="inlineStr">
        <is>
          <t>Klein Tools 32717 Precision Screwdriver Set with Case &amp; 65200 Ratchet Set, 5-Piece Mini Ratchet Set with Phillips, Slotted, and Adapter for Other Socket Sizes, For Tight Spaces</t>
        </is>
      </c>
      <c r="E186" s="2">
        <f>HYPERLINK("https://www.amazon.com/Klein-Tools-Precision-Screwdriver-Phillips/dp/B0BK4M6YR9/ref=sr_1_7?keywords=Klein+Tools+65200+Slim-Profile+Mini+Ratchet+Set%2C+5-Piece&amp;qid=1695173348&amp;sr=8-7", "https://www.amazon.com/Klein-Tools-Precision-Screwdriver-Phillips/dp/B0BK4M6YR9/ref=sr_1_7?keywords=Klein+Tools+65200+Slim-Profile+Mini+Ratchet+Set%2C+5-Piece&amp;qid=1695173348&amp;sr=8-7")</f>
        <v/>
      </c>
      <c r="F186" t="inlineStr">
        <is>
          <t>B0BK4M6YR9</t>
        </is>
      </c>
      <c r="G186">
        <f>_xludf.IMAGE("https://edmondsonsupply.com/cdn/shop/products/65200.jpg?v=1633030630")</f>
        <v/>
      </c>
      <c r="H186">
        <f>_xludf.IMAGE("https://m.media-amazon.com/images/I/51dEfrYf+TL._AC_UL320_.jpg")</f>
        <v/>
      </c>
      <c r="I186" t="inlineStr">
        <is>
          <t>15.97</t>
        </is>
      </c>
      <c r="J186" t="n">
        <v>45.93</v>
      </c>
      <c r="K186" s="3" t="inlineStr">
        <is>
          <t>187.60%</t>
        </is>
      </c>
      <c r="L186" t="n">
        <v>5</v>
      </c>
      <c r="M186" t="n">
        <v>5</v>
      </c>
      <c r="O186" t="inlineStr">
        <is>
          <t>InStock</t>
        </is>
      </c>
      <c r="P186" t="inlineStr">
        <is>
          <t>20.96</t>
        </is>
      </c>
      <c r="Q186" t="inlineStr">
        <is>
          <t>5694440964264</t>
        </is>
      </c>
    </row>
    <row r="187">
      <c r="A187" s="2">
        <f>HYPERLINK("https://edmondsonsupply.com/collections/hvac/products/midwest-mwt-6716b-bulldog-aviation-snip", "https://edmondsonsupply.com/collections/hvac/products/midwest-mwt-6716b-bulldog-aviation-snip")</f>
        <v/>
      </c>
      <c r="B187" s="2">
        <f>HYPERLINK("https://edmondsonsupply.com/products/midwest-mwt-6716b-bulldog-aviation-snip", "https://edmondsonsupply.com/products/midwest-mwt-6716b-bulldog-aviation-snip")</f>
        <v/>
      </c>
      <c r="C187" t="inlineStr">
        <is>
          <t>Midwest MWT-6716B Bulldog Aviation Snip</t>
        </is>
      </c>
      <c r="D187" t="inlineStr">
        <is>
          <t>Estwing T3-18 18 Oz Tinner's Hammer &amp; MIDWEST Bulldog Aviation Tin Snip - Straight Cut Regular Tin Cutting Shears with Forged Blade &amp; KUSH'N-POWER Comfort Grips - MWT-6716B</t>
        </is>
      </c>
      <c r="E187" s="2">
        <f>HYPERLINK("https://www.amazon.com/Estwing-Tinners-MIDWEST-Bulldog-Aviation/dp/B0BFXT2SPF/ref=sr_1_3?keywords=Midwest+MWT-6716B+Bulldog+Aviation+Snip&amp;qid=1695173478&amp;sr=8-3", "https://www.amazon.com/Estwing-Tinners-MIDWEST-Bulldog-Aviation/dp/B0BFXT2SPF/ref=sr_1_3?keywords=Midwest+MWT-6716B+Bulldog+Aviation+Snip&amp;qid=1695173478&amp;sr=8-3")</f>
        <v/>
      </c>
      <c r="F187" t="inlineStr">
        <is>
          <t>B0BFXT2SPF</t>
        </is>
      </c>
      <c r="G187">
        <f>_xludf.IMAGE("https://edmondsonsupply.com/cdn/shop/products/mwt-6716b.png?v=1587151187")</f>
        <v/>
      </c>
      <c r="H187">
        <f>_xludf.IMAGE("https://m.media-amazon.com/images/I/41uD9kRvb2L._AC_UL320_.jpg")</f>
        <v/>
      </c>
      <c r="I187" t="inlineStr">
        <is>
          <t>21.2</t>
        </is>
      </c>
      <c r="J187" t="n">
        <v>60.95</v>
      </c>
      <c r="K187" s="3" t="inlineStr">
        <is>
          <t>187.50%</t>
        </is>
      </c>
      <c r="L187" t="n">
        <v>4.8</v>
      </c>
      <c r="M187" t="n">
        <v>3089</v>
      </c>
      <c r="O187" t="inlineStr">
        <is>
          <t>InStock</t>
        </is>
      </c>
      <c r="P187" t="inlineStr">
        <is>
          <t>31.11</t>
        </is>
      </c>
      <c r="Q187" t="inlineStr">
        <is>
          <t>3688937390180</t>
        </is>
      </c>
    </row>
    <row r="188">
      <c r="A188" s="2">
        <f>HYPERLINK("https://edmondsonsupply.com/collections/hvac/products/klein-tools-646-5-16-5-16-inch-nut-driver-6-inch-hollow-shaft", "https://edmondsonsupply.com/collections/hvac/products/klein-tools-646-5-16-5-16-inch-nut-driver-6-inch-hollow-shaft")</f>
        <v/>
      </c>
      <c r="B188" s="2">
        <f>HYPERLINK("https://edmondsonsupply.com/products/klein-tools-646-5-16-5-16-inch-nut-driver-6-inch-hollow-shaft", "https://edmondsonsupply.com/products/klein-tools-646-5-16-5-16-inch-nut-driver-6-inch-hollow-shaft")</f>
        <v/>
      </c>
      <c r="C188" t="inlineStr">
        <is>
          <t>Klein Tools 646-5/16 5/16-Inch Nut Driver, 6-Inch Hollow Shaft</t>
        </is>
      </c>
      <c r="D188" t="inlineStr">
        <is>
          <t>Klein Tools 618-5/16M Nut Driver, 5/16-Inch Magnetic Tip with 18-Inch Hollow Shaft</t>
        </is>
      </c>
      <c r="E188" s="2">
        <f>HYPERLINK("https://www.amazon.com/Magnetic-Klein-Tools-618-5-16M/dp/B000TKF43E/ref=sr_1_9?keywords=Klein+Tools+646-5%2F16+5%2F16-Inch+Nut+Driver%2C+6-Inch+Hollow+Shaft&amp;qid=1695173549&amp;sr=8-9", "https://www.amazon.com/Magnetic-Klein-Tools-618-5-16M/dp/B000TKF43E/ref=sr_1_9?keywords=Klein+Tools+646-5%2F16+5%2F16-Inch+Nut+Driver%2C+6-Inch+Hollow+Shaft&amp;qid=1695173549&amp;sr=8-9")</f>
        <v/>
      </c>
      <c r="F188" t="inlineStr">
        <is>
          <t>B000TKF43E</t>
        </is>
      </c>
      <c r="G188">
        <f>_xludf.IMAGE("https://edmondsonsupply.com/cdn/shop/products/646-1-2_e1540905-f750-4509-90c5-74ff653e4d83.jpg?v=1587145119")</f>
        <v/>
      </c>
      <c r="H188">
        <f>_xludf.IMAGE("https://m.media-amazon.com/images/I/41mbuHhYFHL._AC_UL320_.jpg")</f>
        <v/>
      </c>
      <c r="I188" t="inlineStr">
        <is>
          <t>7.99</t>
        </is>
      </c>
      <c r="J188" t="n">
        <v>22.84</v>
      </c>
      <c r="K188" s="3" t="inlineStr">
        <is>
          <t>185.86%</t>
        </is>
      </c>
      <c r="L188" t="n">
        <v>4.3</v>
      </c>
      <c r="M188" t="n">
        <v>35</v>
      </c>
      <c r="O188" t="inlineStr">
        <is>
          <t>InStock</t>
        </is>
      </c>
      <c r="P188" t="inlineStr">
        <is>
          <t>12.1</t>
        </is>
      </c>
      <c r="Q188" t="inlineStr">
        <is>
          <t>4395303272548</t>
        </is>
      </c>
    </row>
    <row r="189">
      <c r="A189" s="2">
        <f>HYPERLINK("https://edmondsonsupply.com/collections/hvac/products/klein-tools-ktsb03-step-drill-bit-double-fluted-3-1-4-to-3-4-inch", "https://edmondsonsupply.com/collections/hvac/products/klein-tools-ktsb03-step-drill-bit-double-fluted-3-1-4-to-3-4-inch")</f>
        <v/>
      </c>
      <c r="B189" s="2">
        <f>HYPERLINK("https://edmondsonsupply.com/products/klein-tools-ktsb03-step-drill-bit-double-fluted-3-1-4-to-3-4-inch", "https://edmondsonsupply.com/products/klein-tools-ktsb03-step-drill-bit-double-fluted-3-1-4-to-3-4-inch")</f>
        <v/>
      </c>
      <c r="C189" t="inlineStr">
        <is>
          <t>Klein Tools KTSB03 Step Drill Bit Double Fluted #3, 1/4 to 3/4-Inch</t>
        </is>
      </c>
      <c r="D189" t="inlineStr">
        <is>
          <t>Klein Tools 25951 Electrician's Step Drill Bit Set, Spiral Double Fluted, Titanium Nitride Coating, 1/4-Inch Impact Shank, Case, 3-Piece</t>
        </is>
      </c>
      <c r="E189" s="2">
        <f>HYPERLINK("https://www.amazon.com/Klein-Tools-25951-Electricians-Titanium/dp/B0BLFRJLDX/ref=sr_1_2?keywords=Klein+Tools+KTSB03+Step+Drill+Bit+Double+Fluted&amp;qid=1695173677&amp;sr=8-2", "https://www.amazon.com/Klein-Tools-25951-Electricians-Titanium/dp/B0BLFRJLDX/ref=sr_1_2?keywords=Klein+Tools+KTSB03+Step+Drill+Bit+Double+Fluted&amp;qid=1695173677&amp;sr=8-2")</f>
        <v/>
      </c>
      <c r="F189" t="inlineStr">
        <is>
          <t>B0BLFRJLDX</t>
        </is>
      </c>
      <c r="G189">
        <f>_xludf.IMAGE("https://edmondsonsupply.com/cdn/shop/products/ktsb03.jpg?v=1666012212")</f>
        <v/>
      </c>
      <c r="H189">
        <f>_xludf.IMAGE("https://m.media-amazon.com/images/I/61dZd3WvlgL._AC_UY218_.jpg")</f>
        <v/>
      </c>
      <c r="I189" t="inlineStr">
        <is>
          <t>34.99</t>
        </is>
      </c>
      <c r="J189" t="n">
        <v>99.98999999999999</v>
      </c>
      <c r="K189" s="3" t="inlineStr">
        <is>
          <t>185.77%</t>
        </is>
      </c>
      <c r="L189" t="n">
        <v>3.8</v>
      </c>
      <c r="M189" t="n">
        <v>6</v>
      </c>
      <c r="O189" t="inlineStr">
        <is>
          <t>InStock</t>
        </is>
      </c>
      <c r="P189" t="inlineStr">
        <is>
          <t>47.68</t>
        </is>
      </c>
      <c r="Q189" t="inlineStr">
        <is>
          <t>4174339670116</t>
        </is>
      </c>
    </row>
    <row r="190">
      <c r="A190" s="2">
        <f>HYPERLINK("https://edmondsonsupply.com/collections/hvac/products/milwaukee-48-22-2930-4-in-1-precision-multi-bit-screwdriver", "https://edmondsonsupply.com/collections/hvac/products/milwaukee-48-22-2930-4-in-1-precision-multi-bit-screwdriver")</f>
        <v/>
      </c>
      <c r="B190" s="2">
        <f>HYPERLINK("https://edmondsonsupply.com/products/milwaukee-48-22-2930-4-in-1-precision-multi-bit-screwdriver", "https://edmondsonsupply.com/products/milwaukee-48-22-2930-4-in-1-precision-multi-bit-screwdriver")</f>
        <v/>
      </c>
      <c r="C190" t="inlineStr">
        <is>
          <t>Milwaukee 48-22-2930 4-in-1 Precision Multi-Bit Screwdriver</t>
        </is>
      </c>
      <c r="D190" t="inlineStr">
        <is>
          <t>48-22-2330 for Milwaukee 8-in-1 Compact Ratcheting Multi-Bit Screwdriver</t>
        </is>
      </c>
      <c r="E190" s="2">
        <f>HYPERLINK("https://www.amazon.com/48-22-2330-Milwaukee-Ratcheting-Multi-Bit-Screwdriver/dp/B0C2VXJ8ZN/ref=sr_1_1?keywords=Milwaukee+48-22-2930+4-in-1+Precision+Multi-Bit+Screwdriver&amp;qid=1695173583&amp;sr=8-1", "https://www.amazon.com/48-22-2330-Milwaukee-Ratcheting-Multi-Bit-Screwdriver/dp/B0C2VXJ8ZN/ref=sr_1_1?keywords=Milwaukee+48-22-2930+4-in-1+Precision+Multi-Bit+Screwdriver&amp;qid=1695173583&amp;sr=8-1")</f>
        <v/>
      </c>
      <c r="F190" t="inlineStr">
        <is>
          <t>B0C2VXJ8ZN</t>
        </is>
      </c>
      <c r="G190">
        <f>_xludf.IMAGE("https://edmondsonsupply.com/cdn/shop/files/48-22-2930_PrimaryImage_WEB.webp?v=1686154438")</f>
        <v/>
      </c>
      <c r="H190">
        <f>_xludf.IMAGE("https://m.media-amazon.com/images/I/51NHRcqTkvL._AC_UL320_.jpg")</f>
        <v/>
      </c>
      <c r="I190" t="inlineStr">
        <is>
          <t>12.97</t>
        </is>
      </c>
      <c r="J190" t="n">
        <v>36.62</v>
      </c>
      <c r="K190" s="3" t="inlineStr">
        <is>
          <t>182.34%</t>
        </is>
      </c>
      <c r="L190" t="n">
        <v>5</v>
      </c>
      <c r="M190" t="n">
        <v>1</v>
      </c>
      <c r="O190" t="inlineStr">
        <is>
          <t>InStock</t>
        </is>
      </c>
      <c r="P190" t="inlineStr">
        <is>
          <t>17.3</t>
        </is>
      </c>
      <c r="Q190" t="inlineStr">
        <is>
          <t>7970427142360</t>
        </is>
      </c>
    </row>
    <row r="191">
      <c r="A191" s="2">
        <f>HYPERLINK("https://edmondsonsupply.com/collections/hvac/products/klein-tools-3005cr-ratcheting-crimper-10-22-awg", "https://edmondsonsupply.com/collections/hvac/products/klein-tools-3005cr-ratcheting-crimper-10-22-awg")</f>
        <v/>
      </c>
      <c r="B191" s="2">
        <f>HYPERLINK("https://edmondsonsupply.com/products/klein-tools-3005cr-ratcheting-crimper-10-22-awg", "https://edmondsonsupply.com/products/klein-tools-3005cr-ratcheting-crimper-10-22-awg")</f>
        <v/>
      </c>
      <c r="C191" t="inlineStr">
        <is>
          <t>Klein Tools 3005CR Ratcheting Crimper, 10-22 AWG - Insulated Terminals</t>
        </is>
      </c>
      <c r="D191" t="inlineStr">
        <is>
          <t>Automatic Wire Stripper 10-24 AWG &amp; Klein Tools 3005CR Wire Crimper Tool, Ratcheting Insulated Terminal Crimper for 10 to 22 AWG Wire</t>
        </is>
      </c>
      <c r="E191" s="2">
        <f>HYPERLINK("https://www.amazon.com/Automatic-Stripper-Ratcheting-Insulated-Terminal/dp/B0BM3NKTGN/ref=sr_1_2?keywords=Klein+Tools+3005CR+Ratcheting+Crimper%2C+10-22+AWG+-+Insulated+Terminals&amp;qid=1695173487&amp;sr=8-2", "https://www.amazon.com/Automatic-Stripper-Ratcheting-Insulated-Terminal/dp/B0BM3NKTGN/ref=sr_1_2?keywords=Klein+Tools+3005CR+Ratcheting+Crimper%2C+10-22+AWG+-+Insulated+Terminals&amp;qid=1695173487&amp;sr=8-2")</f>
        <v/>
      </c>
      <c r="F191" t="inlineStr">
        <is>
          <t>B0BM3NKTGN</t>
        </is>
      </c>
      <c r="G191">
        <f>_xludf.IMAGE("https://edmondsonsupply.com/cdn/shop/products/3005cr.jpg?v=1587146892")</f>
        <v/>
      </c>
      <c r="H191">
        <f>_xludf.IMAGE("https://m.media-amazon.com/images/I/41G9n+KVXLL._AC_UL320_.jpg")</f>
        <v/>
      </c>
      <c r="I191" t="inlineStr">
        <is>
          <t>29.97</t>
        </is>
      </c>
      <c r="J191" t="n">
        <v>84.48999999999999</v>
      </c>
      <c r="K191" s="3" t="inlineStr">
        <is>
          <t>181.92%</t>
        </is>
      </c>
      <c r="L191" t="n">
        <v>4.6</v>
      </c>
      <c r="M191" t="n">
        <v>1243</v>
      </c>
      <c r="O191" t="inlineStr">
        <is>
          <t>InStock</t>
        </is>
      </c>
      <c r="P191" t="inlineStr">
        <is>
          <t>42.9</t>
        </is>
      </c>
      <c r="Q191" t="inlineStr">
        <is>
          <t>3699388907620</t>
        </is>
      </c>
    </row>
    <row r="192">
      <c r="A192" s="2">
        <f>HYPERLINK("https://edmondsonsupply.com/collections/hvac/products/klein-tools-32314-14-in-1-precision-screwdriver-nut-driver", "https://edmondsonsupply.com/collections/hvac/products/klein-tools-32314-14-in-1-precision-screwdriver-nut-driver")</f>
        <v/>
      </c>
      <c r="B192" s="2">
        <f>HYPERLINK("https://edmondsonsupply.com/products/klein-tools-32314-14-in-1-precision-screwdriver-nut-driver", "https://edmondsonsupply.com/products/klein-tools-32314-14-in-1-precision-screwdriver-nut-driver")</f>
        <v/>
      </c>
      <c r="C192" t="inlineStr">
        <is>
          <t>Klein Tools 32314 14-in-1 Precision Screwdriver/ Nut Driver</t>
        </is>
      </c>
      <c r="D192" t="inlineStr">
        <is>
          <t>Klein Tools 32717 Precision Screwdriver Set &amp; 32314 Electronic Screwdriver, 14-in-1 with 8 Precision Tips, Slotted, Phillips, and Tamperproof TORX Bits, 6 Precision Nut Drivers</t>
        </is>
      </c>
      <c r="E192" s="2">
        <f>HYPERLINK("https://www.amazon.com/Klein-Tools-Screwdriver-Electronic-Tamperproof/dp/B0BF5CJP5B/ref=sr_1_4?keywords=Klein+Tools+32314+14-in-1+Precision+Screwdriver%2F+Nut+Driver&amp;qid=1695173510&amp;sr=8-4", "https://www.amazon.com/Klein-Tools-Screwdriver-Electronic-Tamperproof/dp/B0BF5CJP5B/ref=sr_1_4?keywords=Klein+Tools+32314+14-in-1+Precision+Screwdriver%2F+Nut+Driver&amp;qid=1695173510&amp;sr=8-4")</f>
        <v/>
      </c>
      <c r="F192" t="inlineStr">
        <is>
          <t>B0BF5CJP5B</t>
        </is>
      </c>
      <c r="G192">
        <f>_xludf.IMAGE("https://edmondsonsupply.com/cdn/shop/products/32314.jpg?v=1646593726")</f>
        <v/>
      </c>
      <c r="H192">
        <f>_xludf.IMAGE("https://m.media-amazon.com/images/I/51UXV8J5F1L._AC_UL320_.jpg")</f>
        <v/>
      </c>
      <c r="I192" t="inlineStr">
        <is>
          <t>15.97</t>
        </is>
      </c>
      <c r="J192" t="n">
        <v>44.94</v>
      </c>
      <c r="K192" s="3" t="inlineStr">
        <is>
          <t>181.40%</t>
        </is>
      </c>
      <c r="L192" t="n">
        <v>4.9</v>
      </c>
      <c r="M192" t="n">
        <v>9</v>
      </c>
      <c r="O192" t="inlineStr">
        <is>
          <t>InStock</t>
        </is>
      </c>
      <c r="P192" t="inlineStr">
        <is>
          <t>22.38</t>
        </is>
      </c>
      <c r="Q192" t="inlineStr">
        <is>
          <t>7626984947928</t>
        </is>
      </c>
    </row>
    <row r="193">
      <c r="A193" s="2">
        <f>HYPERLINK("https://edmondsonsupply.com/collections/hvac/products/klein-tools-32314-14-in-1-precision-screwdriver-nut-driver", "https://edmondsonsupply.com/collections/hvac/products/klein-tools-32314-14-in-1-precision-screwdriver-nut-driver")</f>
        <v/>
      </c>
      <c r="B193" s="2">
        <f>HYPERLINK("https://edmondsonsupply.com/products/klein-tools-32314-14-in-1-precision-screwdriver-nut-driver", "https://edmondsonsupply.com/products/klein-tools-32314-14-in-1-precision-screwdriver-nut-driver")</f>
        <v/>
      </c>
      <c r="C193" t="inlineStr">
        <is>
          <t>Klein Tools 32314 14-in-1 Precision Screwdriver/ Nut Driver</t>
        </is>
      </c>
      <c r="D193" t="inlineStr">
        <is>
          <t>Klein Tools 32807MAG 7-in-1 Nut Driver &amp; 32314 Electronic Screwdriver, 14-in-1 with 8 Precision Tips, Slotted, Phillips, and Tamperproof TORX Bits, 6 Precision Nut Drivers</t>
        </is>
      </c>
      <c r="E193" s="2">
        <f>HYPERLINK("https://www.amazon.com/Klein-Tools-Electronic-Screwdriver-Tamperproof/dp/B09Q66YZ6V/ref=sr_1_7?keywords=Klein+Tools+32314+14-in-1+Precision+Screwdriver%2F+Nut+Driver&amp;qid=1695173510&amp;sr=8-7", "https://www.amazon.com/Klein-Tools-Electronic-Screwdriver-Tamperproof/dp/B09Q66YZ6V/ref=sr_1_7?keywords=Klein+Tools+32314+14-in-1+Precision+Screwdriver%2F+Nut+Driver&amp;qid=1695173510&amp;sr=8-7")</f>
        <v/>
      </c>
      <c r="F193" t="inlineStr">
        <is>
          <t>B09Q66YZ6V</t>
        </is>
      </c>
      <c r="G193">
        <f>_xludf.IMAGE("https://edmondsonsupply.com/cdn/shop/products/32314.jpg?v=1646593726")</f>
        <v/>
      </c>
      <c r="H193">
        <f>_xludf.IMAGE("https://m.media-amazon.com/images/I/41HuaH+HvHL._AC_UL320_.jpg")</f>
        <v/>
      </c>
      <c r="I193" t="inlineStr">
        <is>
          <t>15.97</t>
        </is>
      </c>
      <c r="J193" t="n">
        <v>44.94</v>
      </c>
      <c r="K193" s="3" t="inlineStr">
        <is>
          <t>181.40%</t>
        </is>
      </c>
      <c r="L193" t="n">
        <v>4.7</v>
      </c>
      <c r="M193" t="n">
        <v>7</v>
      </c>
      <c r="O193" t="inlineStr">
        <is>
          <t>InStock</t>
        </is>
      </c>
      <c r="P193" t="inlineStr">
        <is>
          <t>22.38</t>
        </is>
      </c>
      <c r="Q193" t="inlineStr">
        <is>
          <t>7626984947928</t>
        </is>
      </c>
    </row>
    <row r="194">
      <c r="A194" s="2">
        <f>HYPERLINK("https://edmondsonsupply.com/collections/hvac/products/fieldpiece-sr47-wireless-refrigerant-scale", "https://edmondsonsupply.com/collections/hvac/products/fieldpiece-sr47-wireless-refrigerant-scale")</f>
        <v/>
      </c>
      <c r="B194" s="2">
        <f>HYPERLINK("https://edmondsonsupply.com/products/fieldpiece-sr47-wireless-refrigerant-scale", "https://edmondsonsupply.com/products/fieldpiece-sr47-wireless-refrigerant-scale")</f>
        <v/>
      </c>
      <c r="C194" t="inlineStr">
        <is>
          <t>Fieldpiece SR47 Wireless Refrigerant Scale</t>
        </is>
      </c>
      <c r="D194" t="inlineStr">
        <is>
          <t>Fieldpiece Wireless Refrigerant Scale Srs3</t>
        </is>
      </c>
      <c r="E194" s="2">
        <f>HYPERLINK("https://www.amazon.com/Fieldpiece-Wireless-Refrigerant-Scale-Srs3/dp/B082MQ7B8J/ref=sr_1_2?keywords=Fieldpiece+SR47+Wireless+Refrigerant+Scale&amp;qid=1695173604&amp;sr=8-2", "https://www.amazon.com/Fieldpiece-Wireless-Refrigerant-Scale-Srs3/dp/B082MQ7B8J/ref=sr_1_2?keywords=Fieldpiece+SR47+Wireless+Refrigerant+Scale&amp;qid=1695173604&amp;sr=8-2")</f>
        <v/>
      </c>
      <c r="F194" t="inlineStr">
        <is>
          <t>B082MQ7B8J</t>
        </is>
      </c>
      <c r="G194">
        <f>_xludf.IMAGE("https://edmondsonsupply.com/cdn/shop/products/SR47.png?v=1669930210")</f>
        <v/>
      </c>
      <c r="H194">
        <f>_xludf.IMAGE("https://m.media-amazon.com/images/I/31wBB3OMIXL._AC_UL320_.jpg")</f>
        <v/>
      </c>
      <c r="I194" t="inlineStr">
        <is>
          <t>357.0</t>
        </is>
      </c>
      <c r="J194" t="n">
        <v>999.99</v>
      </c>
      <c r="K194" s="3" t="inlineStr">
        <is>
          <t>180.11%</t>
        </is>
      </c>
      <c r="L194" t="n">
        <v>5</v>
      </c>
      <c r="M194" t="n">
        <v>1</v>
      </c>
      <c r="O194" t="inlineStr">
        <is>
          <t>InStock</t>
        </is>
      </c>
      <c r="P194" t="inlineStr">
        <is>
          <t>420.0</t>
        </is>
      </c>
      <c r="Q194" t="inlineStr">
        <is>
          <t>7897207701720</t>
        </is>
      </c>
    </row>
    <row r="195">
      <c r="A195" s="2">
        <f>HYPERLINK("https://edmondsonsupply.com/collections/hvac/products/klein-tools-85616-precision-screwdriver-set-torx%C2%AE-4-piece", "https://edmondsonsupply.com/collections/hvac/products/klein-tools-85616-precision-screwdriver-set-torx%C2%AE-4-piece")</f>
        <v/>
      </c>
      <c r="B195" s="2">
        <f>HYPERLINK("https://edmondsonsupply.com/products/klein-tools-85616-precision-screwdriver-set-torx%c2%ae-4-piece", "https://edmondsonsupply.com/products/klein-tools-85616-precision-screwdriver-set-torx%c2%ae-4-piece")</f>
        <v/>
      </c>
      <c r="C195" t="inlineStr">
        <is>
          <t>Klein Tools 85616 Precision Screwdriver Set, TORX® 4-Piece</t>
        </is>
      </c>
      <c r="D195" t="inlineStr">
        <is>
          <t>Klein Tools 85614 Precision Screwdriver Set, Electronics Slotted and Phillips Screwdrivers with Rotating Caps and Color-Coded Rings, 5-Piece</t>
        </is>
      </c>
      <c r="E195" s="2">
        <f>HYPERLINK("https://www.amazon.com/Klein-Tools-85614-Electronic-Screwdriver/dp/B0076RWZMQ/ref=sr_1_4?keywords=Klein+Tools+85616+Precision+Screwdriver+Set%2C+TORX%C2%AE+4-Piece&amp;qid=1695173734&amp;sr=8-4", "https://www.amazon.com/Klein-Tools-85614-Electronic-Screwdriver/dp/B0076RWZMQ/ref=sr_1_4?keywords=Klein+Tools+85616+Precision+Screwdriver+Set%2C+TORX%C2%AE+4-Piece&amp;qid=1695173734&amp;sr=8-4")</f>
        <v/>
      </c>
      <c r="F195" t="inlineStr">
        <is>
          <t>B0076RWZMQ</t>
        </is>
      </c>
      <c r="G195">
        <f>_xludf.IMAGE("https://edmondsonsupply.com/cdn/shop/files/85616_kit.jpg?v=1689873488")</f>
        <v/>
      </c>
      <c r="H195">
        <f>_xludf.IMAGE("https://m.media-amazon.com/images/I/510TMeDdIiL._AC_UL320_.jpg")</f>
        <v/>
      </c>
      <c r="I195" t="inlineStr">
        <is>
          <t>19.97</t>
        </is>
      </c>
      <c r="J195" t="n">
        <v>55.67</v>
      </c>
      <c r="K195" s="3" t="inlineStr">
        <is>
          <t>178.77%</t>
        </is>
      </c>
      <c r="L195" t="n">
        <v>4.8</v>
      </c>
      <c r="M195" t="n">
        <v>590</v>
      </c>
      <c r="O195" t="inlineStr">
        <is>
          <t>InStock</t>
        </is>
      </c>
      <c r="P195" t="inlineStr">
        <is>
          <t>27.98</t>
        </is>
      </c>
      <c r="Q195" t="inlineStr">
        <is>
          <t>8018843861208</t>
        </is>
      </c>
    </row>
    <row r="196">
      <c r="A196" s="2">
        <f>HYPERLINK("https://edmondsonsupply.com/collections/hvac/products/robertshaw-41-401-hot-surface-furnace-ignitor-amana-replacement", "https://edmondsonsupply.com/collections/hvac/products/robertshaw-41-401-hot-surface-furnace-ignitor-amana-replacement")</f>
        <v/>
      </c>
      <c r="B196" s="2">
        <f>HYPERLINK("https://edmondsonsupply.com/products/robertshaw-41-401-hot-surface-furnace-ignitor-amana-replacement", "https://edmondsonsupply.com/products/robertshaw-41-401-hot-surface-furnace-ignitor-amana-replacement")</f>
        <v/>
      </c>
      <c r="C196" t="inlineStr">
        <is>
          <t>Robertshaw 41-401 Hot Surface Furnace Ignitor, Amana Replacement</t>
        </is>
      </c>
      <c r="D196" t="inlineStr">
        <is>
          <t>Robertshaw 41-602 Hot Surface Furnace Mini-Ignitor, Amana 20165702, White Rodgers 767A-378</t>
        </is>
      </c>
      <c r="E196" s="2">
        <f>HYPERLINK("https://www.amazon.com/Robertshaw-41-602-Mini-Ignitor-20165702-767A-378/dp/B003AST41U/ref=sr_1_9?keywords=Robertshaw+41-401+Hot+Surface+Furnace+Ignitor%2C+Amana+Replacement&amp;qid=1695173532&amp;sr=8-9", "https://www.amazon.com/Robertshaw-41-602-Mini-Ignitor-20165702-767A-378/dp/B003AST41U/ref=sr_1_9?keywords=Robertshaw+41-401+Hot+Surface+Furnace+Ignitor%2C+Amana+Replacement&amp;qid=1695173532&amp;sr=8-9")</f>
        <v/>
      </c>
      <c r="F196" t="inlineStr">
        <is>
          <t>B003AST41U</t>
        </is>
      </c>
      <c r="G196">
        <f>_xludf.IMAGE("https://edmondsonsupply.com/cdn/shop/products/41-401.jpg?v=1633030866")</f>
        <v/>
      </c>
      <c r="H196">
        <f>_xludf.IMAGE("https://m.media-amazon.com/images/I/61apSaBH7NL._AC_UL320_.jpg")</f>
        <v/>
      </c>
      <c r="I196" t="inlineStr">
        <is>
          <t>17.61</t>
        </is>
      </c>
      <c r="J196" t="n">
        <v>49.05</v>
      </c>
      <c r="K196" s="3" t="inlineStr">
        <is>
          <t>178.53%</t>
        </is>
      </c>
      <c r="L196" t="n">
        <v>4.3</v>
      </c>
      <c r="M196" t="n">
        <v>26</v>
      </c>
      <c r="O196" t="inlineStr">
        <is>
          <t>InStock</t>
        </is>
      </c>
      <c r="P196" t="inlineStr">
        <is>
          <t>undefined</t>
        </is>
      </c>
      <c r="Q196" t="inlineStr">
        <is>
          <t>6126276575405</t>
        </is>
      </c>
    </row>
    <row r="197">
      <c r="A197" s="2">
        <f>HYPERLINK("https://edmondsonsupply.com/collections/hvac/products/klein-tools-646-1-4-1-4-inch-nut-driver-with-6-inch-hollow-shaft", "https://edmondsonsupply.com/collections/hvac/products/klein-tools-646-1-4-1-4-inch-nut-driver-with-6-inch-hollow-shaft")</f>
        <v/>
      </c>
      <c r="B197" s="2">
        <f>HYPERLINK("https://edmondsonsupply.com/products/klein-tools-646-1-4-1-4-inch-nut-driver-with-6-inch-hollow-shaft", "https://edmondsonsupply.com/products/klein-tools-646-1-4-1-4-inch-nut-driver-with-6-inch-hollow-shaft")</f>
        <v/>
      </c>
      <c r="C197" t="inlineStr">
        <is>
          <t>Klein Tools 646-1/4 1/4-Inch Nut Driver with 6-Inch Hollow Shaft</t>
        </is>
      </c>
      <c r="D197" t="inlineStr">
        <is>
          <t>Klein Tools 646-1/4-INS Insulated 1/4-Inch Nut Driver with 6-Inch Hollow Shaft and Cushion Grip Handle</t>
        </is>
      </c>
      <c r="E197" s="2">
        <f>HYPERLINK("https://www.amazon.com/Insulated-Klein-Tools-646-1-4-INS/dp/B000MKMH5O/ref=sr_1_2?keywords=Klein+Tools+646-1%2F4+1%2F4-Inch+Nut+Driver+with+6-Inch+Hollow+Shaft&amp;qid=1695173548&amp;sr=8-2", "https://www.amazon.com/Insulated-Klein-Tools-646-1-4-INS/dp/B000MKMH5O/ref=sr_1_2?keywords=Klein+Tools+646-1%2F4+1%2F4-Inch+Nut+Driver+with+6-Inch+Hollow+Shaft&amp;qid=1695173548&amp;sr=8-2")</f>
        <v/>
      </c>
      <c r="F197" t="inlineStr">
        <is>
          <t>B000MKMH5O</t>
        </is>
      </c>
      <c r="G197">
        <f>_xludf.IMAGE("https://edmondsonsupply.com/cdn/shop/products/646-1-2_08d87fa9-eac4-4869-8d3b-bb680d4b1d53.jpg?v=1587150676")</f>
        <v/>
      </c>
      <c r="H197">
        <f>_xludf.IMAGE("https://m.media-amazon.com/images/I/41Nr0vSgHCL._AC_UL320_.jpg")</f>
        <v/>
      </c>
      <c r="I197" t="inlineStr">
        <is>
          <t>7.99</t>
        </is>
      </c>
      <c r="J197" t="n">
        <v>22.25</v>
      </c>
      <c r="K197" s="3" t="inlineStr">
        <is>
          <t>178.47%</t>
        </is>
      </c>
      <c r="L197" t="n">
        <v>4.7</v>
      </c>
      <c r="M197" t="n">
        <v>274</v>
      </c>
      <c r="O197" t="inlineStr">
        <is>
          <t>InStock</t>
        </is>
      </c>
      <c r="P197" t="inlineStr">
        <is>
          <t>12.1</t>
        </is>
      </c>
      <c r="Q197" t="inlineStr">
        <is>
          <t>4439433740388</t>
        </is>
      </c>
    </row>
    <row r="198">
      <c r="A198" s="2">
        <f>HYPERLINK("https://edmondsonsupply.com/collections/hvac/products/midwest-mwt-ss6510r-special-hardness-offset-aviation-snip-right-cutting", "https://edmondsonsupply.com/collections/hvac/products/midwest-mwt-ss6510r-special-hardness-offset-aviation-snip-right-cutting")</f>
        <v/>
      </c>
      <c r="B198" s="2">
        <f>HYPERLINK("https://edmondsonsupply.com/products/midwest-mwt-ss6510r-special-hardness-offset-aviation-snip-right-cutting", "https://edmondsonsupply.com/products/midwest-mwt-ss6510r-special-hardness-offset-aviation-snip-right-cutting")</f>
        <v/>
      </c>
      <c r="C198" t="inlineStr">
        <is>
          <t>Midwest MWT-SS6510R Special Hardness Offset Aviation Snip - Right-Cutting</t>
        </is>
      </c>
      <c r="D198" t="inlineStr">
        <is>
          <t>MIDWEST Aviation Snip - Left and Right Cut Offset Stainless Steel Cutting Shears with Forged Blade &amp; KUSH'N-POWER Comfort Grips - MWT-SS6510C</t>
        </is>
      </c>
      <c r="E198" s="2">
        <f>HYPERLINK("https://www.amazon.com/MIDWEST-Aviation-Snip-Set-KUSHN-POWER/dp/B07RC7ZBK9/ref=sr_1_3?keywords=Midwest+MWT-SS6510R+Special+Hardness+Offset+Aviation+Snip+-+Right-Cutting&amp;qid=1695173360&amp;sr=8-3", "https://www.amazon.com/MIDWEST-Aviation-Snip-Set-KUSHN-POWER/dp/B07RC7ZBK9/ref=sr_1_3?keywords=Midwest+MWT-SS6510R+Special+Hardness+Offset+Aviation+Snip+-+Right-Cutting&amp;qid=1695173360&amp;sr=8-3")</f>
        <v/>
      </c>
      <c r="F198" t="inlineStr">
        <is>
          <t>B07RC7ZBK9</t>
        </is>
      </c>
      <c r="G198">
        <f>_xludf.IMAGE("https://edmondsonsupply.com/cdn/shop/products/MWT-SSP6510R.jpg?v=1587142544")</f>
        <v/>
      </c>
      <c r="H198">
        <f>_xludf.IMAGE("https://m.media-amazon.com/images/I/71438hbSyHL._AC_UL320_.jpg")</f>
        <v/>
      </c>
      <c r="I198" t="inlineStr">
        <is>
          <t>32.15</t>
        </is>
      </c>
      <c r="J198" t="n">
        <v>87.98999999999999</v>
      </c>
      <c r="K198" s="3" t="inlineStr">
        <is>
          <t>173.69%</t>
        </is>
      </c>
      <c r="L198" t="n">
        <v>4.4</v>
      </c>
      <c r="M198" t="n">
        <v>1137</v>
      </c>
      <c r="O198" t="inlineStr">
        <is>
          <t>OutOfStock</t>
        </is>
      </c>
      <c r="P198" t="inlineStr">
        <is>
          <t>47.17</t>
        </is>
      </c>
      <c r="Q198" t="inlineStr">
        <is>
          <t>4473073107044</t>
        </is>
      </c>
    </row>
    <row r="199">
      <c r="A199" s="2">
        <f>HYPERLINK("https://edmondsonsupply.com/collections/hvac/products/fresh-aire-uv-tuvl-215p-2-year-blue-tube-replacement-uv-lamp", "https://edmondsonsupply.com/collections/hvac/products/fresh-aire-uv-tuvl-215p-2-year-blue-tube-replacement-uv-lamp")</f>
        <v/>
      </c>
      <c r="B199" s="2">
        <f>HYPERLINK("https://edmondsonsupply.com/products/fresh-aire-uv-tuvl-215p-2-year-blue-tube-replacement-uv-lamp", "https://edmondsonsupply.com/products/fresh-aire-uv-tuvl-215p-2-year-blue-tube-replacement-uv-lamp")</f>
        <v/>
      </c>
      <c r="C199" t="inlineStr">
        <is>
          <t>Fresh-Aire UV TUVL-215P, 2-Year Blue-Tube Replacement UV Lamp</t>
        </is>
      </c>
      <c r="D199" t="inlineStr">
        <is>
          <t>Fresh-Aire UV Blue-Tube UV Low Voltage (24-32V) UV System with 2 Year UV-C Lamp</t>
        </is>
      </c>
      <c r="E199" s="2">
        <f>HYPERLINK("https://www.amazon.com/Fresh-Aire-Blue-Tube-UV-Voltage-germicidal/dp/B014MNU0Z0/ref=sr_1_10?keywords=Fresh-Aire+UV+TUVL-215P%2C+2-Year+Blue-Tube+Replacement+UV+Lamp&amp;qid=1695173329&amp;sr=8-10", "https://www.amazon.com/Fresh-Aire-Blue-Tube-UV-Voltage-germicidal/dp/B014MNU0Z0/ref=sr_1_10?keywords=Fresh-Aire+UV+TUVL-215P%2C+2-Year+Blue-Tube+Replacement+UV+Lamp&amp;qid=1695173329&amp;sr=8-10")</f>
        <v/>
      </c>
      <c r="F199" t="inlineStr">
        <is>
          <t>B014MNU0Z0</t>
        </is>
      </c>
      <c r="G199">
        <f>_xludf.IMAGE("https://edmondsonsupply.com/cdn/shop/products/TUVL-215P.jpg?v=1633030216")</f>
        <v/>
      </c>
      <c r="H199">
        <f>_xludf.IMAGE("https://m.media-amazon.com/images/I/51KvZNQtFiL._AC_UL320_.jpg")</f>
        <v/>
      </c>
      <c r="I199" t="inlineStr">
        <is>
          <t>108.03</t>
        </is>
      </c>
      <c r="J199" t="n">
        <v>289.89</v>
      </c>
      <c r="K199" s="3" t="inlineStr">
        <is>
          <t>168.34%</t>
        </is>
      </c>
      <c r="L199" t="n">
        <v>4.4</v>
      </c>
      <c r="M199" t="n">
        <v>23</v>
      </c>
      <c r="O199" t="inlineStr">
        <is>
          <t>InStock</t>
        </is>
      </c>
      <c r="P199" t="inlineStr">
        <is>
          <t>undefined</t>
        </is>
      </c>
      <c r="Q199" t="inlineStr">
        <is>
          <t>4452670537828</t>
        </is>
      </c>
    </row>
    <row r="200">
      <c r="A200" s="2">
        <f>HYPERLINK("https://edmondsonsupply.com/collections/hvac/products/packard-trc35-titan-pro-run-capacitor-35-mfd-370-volt-round", "https://edmondsonsupply.com/collections/hvac/products/packard-trc35-titan-pro-run-capacitor-35-mfd-370-volt-round")</f>
        <v/>
      </c>
      <c r="B200" s="2">
        <f>HYPERLINK("https://edmondsonsupply.com/products/packard-trc35-titan-pro-run-capacitor-35-mfd-370-volt-round", "https://edmondsonsupply.com/products/packard-trc35-titan-pro-run-capacitor-35-mfd-370-volt-round")</f>
        <v/>
      </c>
      <c r="C200" t="inlineStr">
        <is>
          <t>Packard TRC35 TITAN PRO Run Capacitor 35 MFD 370 Volt, Round</t>
        </is>
      </c>
      <c r="D200" t="inlineStr">
        <is>
          <t>TitanPro TRCD3575 HVAC Round Dual Motor Run Capacitor. 35/7.5 MFD/UF 370 Volts</t>
        </is>
      </c>
      <c r="E200" s="2">
        <f>HYPERLINK("https://www.amazon.com/TitanPro-TRCD3575-Round-Motor-Capacitor/dp/B0722PL3J7/ref=sr_1_2?keywords=Packard+TRC35+TITAN+PRO+Run+Capacitor+35+MFD+370+Volt%2C+Round&amp;qid=1695173521&amp;sr=8-2", "https://www.amazon.com/TitanPro-TRCD3575-Round-Motor-Capacitor/dp/B0722PL3J7/ref=sr_1_2?keywords=Packard+TRC35+TITAN+PRO+Run+Capacitor+35+MFD+370+Volt%2C+Round&amp;qid=1695173521&amp;sr=8-2")</f>
        <v/>
      </c>
      <c r="F200" t="inlineStr">
        <is>
          <t>B0722PL3J7</t>
        </is>
      </c>
      <c r="G200">
        <f>_xludf.IMAGE("https://edmondsonsupply.com/cdn/shop/products/TRC35-2.jpg?v=1647824336")</f>
        <v/>
      </c>
      <c r="H200">
        <f>_xludf.IMAGE("https://m.media-amazon.com/images/I/710w3GOwaUL._AC_UY218_.jpg")</f>
        <v/>
      </c>
      <c r="I200" t="inlineStr">
        <is>
          <t>6.04</t>
        </is>
      </c>
      <c r="J200" t="n">
        <v>16.12</v>
      </c>
      <c r="K200" s="3" t="inlineStr">
        <is>
          <t>166.89%</t>
        </is>
      </c>
      <c r="L200" t="n">
        <v>5</v>
      </c>
      <c r="M200" t="n">
        <v>1</v>
      </c>
      <c r="O200" t="inlineStr">
        <is>
          <t>InStock</t>
        </is>
      </c>
      <c r="P200" t="inlineStr">
        <is>
          <t>undefined</t>
        </is>
      </c>
      <c r="Q200" t="inlineStr">
        <is>
          <t>7640304681176</t>
        </is>
      </c>
    </row>
    <row r="201">
      <c r="A201" s="2">
        <f>HYPERLINK("https://edmondsonsupply.com/collections/hvac/products/klein-tools-3005cr-ratcheting-crimper-10-22-awg", "https://edmondsonsupply.com/collections/hvac/products/klein-tools-3005cr-ratcheting-crimper-10-22-awg")</f>
        <v/>
      </c>
      <c r="B201" s="2">
        <f>HYPERLINK("https://edmondsonsupply.com/products/klein-tools-3005cr-ratcheting-crimper-10-22-awg", "https://edmondsonsupply.com/products/klein-tools-3005cr-ratcheting-crimper-10-22-awg")</f>
        <v/>
      </c>
      <c r="C201" t="inlineStr">
        <is>
          <t>Klein Tools 3005CR Ratcheting Crimper, 10-22 AWG - Insulated Terminals</t>
        </is>
      </c>
      <c r="D201" t="inlineStr">
        <is>
          <t>Dismantling Knife-1000V Insulated &amp; Klein Tools 3005CR Wire Crimper Tool, Ratcheting Insulated Terminal Crimper for 10 to 22 AWG Wire</t>
        </is>
      </c>
      <c r="E201" s="2">
        <f>HYPERLINK("https://www.amazon.com/Dismantling-Knife-1000V-Insulated-Ratcheting-Terminal/dp/B0BGJ84H4F/ref=sr_1_3?keywords=Klein+Tools+3005CR+Ratcheting+Crimper%2C+10-22+AWG+-+Insulated+Terminals&amp;qid=1695173487&amp;sr=8-3", "https://www.amazon.com/Dismantling-Knife-1000V-Insulated-Ratcheting-Terminal/dp/B0BGJ84H4F/ref=sr_1_3?keywords=Klein+Tools+3005CR+Ratcheting+Crimper%2C+10-22+AWG+-+Insulated+Terminals&amp;qid=1695173487&amp;sr=8-3")</f>
        <v/>
      </c>
      <c r="F201" t="inlineStr">
        <is>
          <t>B0BGJ84H4F</t>
        </is>
      </c>
      <c r="G201">
        <f>_xludf.IMAGE("https://edmondsonsupply.com/cdn/shop/products/3005cr.jpg?v=1587146892")</f>
        <v/>
      </c>
      <c r="H201">
        <f>_xludf.IMAGE("https://m.media-amazon.com/images/I/41tkLMUuJaL._AC_UL320_.jpg")</f>
        <v/>
      </c>
      <c r="I201" t="inlineStr">
        <is>
          <t>29.97</t>
        </is>
      </c>
      <c r="J201" t="n">
        <v>79.69</v>
      </c>
      <c r="K201" s="3" t="inlineStr">
        <is>
          <t>165.90%</t>
        </is>
      </c>
      <c r="L201" t="n">
        <v>4.8</v>
      </c>
      <c r="M201" t="n">
        <v>793</v>
      </c>
      <c r="O201" t="inlineStr">
        <is>
          <t>InStock</t>
        </is>
      </c>
      <c r="P201" t="inlineStr">
        <is>
          <t>42.9</t>
        </is>
      </c>
      <c r="Q201" t="inlineStr">
        <is>
          <t>3699388907620</t>
        </is>
      </c>
    </row>
    <row r="202">
      <c r="A202" s="2">
        <f>HYPERLINK("https://edmondsonsupply.com/collections/hvac/products/klein-tools-630m-magnetic-nut-driver-set-3-inch-shafts-2-piece", "https://edmondsonsupply.com/collections/hvac/products/klein-tools-630m-magnetic-nut-driver-set-3-inch-shafts-2-piece")</f>
        <v/>
      </c>
      <c r="B202" s="2">
        <f>HYPERLINK("https://edmondsonsupply.com/products/klein-tools-630m-magnetic-nut-driver-set-3-inch-shafts-2-piece", "https://edmondsonsupply.com/products/klein-tools-630m-magnetic-nut-driver-set-3-inch-shafts-2-piece")</f>
        <v/>
      </c>
      <c r="C202" t="inlineStr">
        <is>
          <t>Klein Tools 630M Magnetic Nut Driver Set, 3-Inch Shafts, 2-Piece</t>
        </is>
      </c>
      <c r="D202" t="inlineStr">
        <is>
          <t>Klein Tools 65160 Tool Set, Metric Nut Driver Set Sizes 5, 5.5, 6, 7, 8, 9, and 10 mm, 3-Inch Chrome-Plate Hollow Shafts, 7-Piece</t>
        </is>
      </c>
      <c r="E202" s="2">
        <f>HYPERLINK("https://www.amazon.com/Driver-Metric-3-Inch-7-Piece-Klein/dp/B0009ORXQQ/ref=sr_1_6?keywords=Klein+Tools+630M+Magnetic+Nut+Driver+Set%2C+3-Inch+Shafts%2C+2-Piece&amp;qid=1695173650&amp;sr=8-6", "https://www.amazon.com/Driver-Metric-3-Inch-7-Piece-Klein/dp/B0009ORXQQ/ref=sr_1_6?keywords=Klein+Tools+630M+Magnetic+Nut+Driver+Set%2C+3-Inch+Shafts%2C+2-Piece&amp;qid=1695173650&amp;sr=8-6")</f>
        <v/>
      </c>
      <c r="F202" t="inlineStr">
        <is>
          <t>B0009ORXQQ</t>
        </is>
      </c>
      <c r="G202">
        <f>_xludf.IMAGE("https://edmondsonsupply.com/cdn/shop/products/630m.jpg?v=1587143237")</f>
        <v/>
      </c>
      <c r="H202">
        <f>_xludf.IMAGE("https://m.media-amazon.com/images/I/61CnDJJyViL._AC_UL320_.jpg")</f>
        <v/>
      </c>
      <c r="I202" t="inlineStr">
        <is>
          <t>18.99</t>
        </is>
      </c>
      <c r="J202" t="n">
        <v>49.99</v>
      </c>
      <c r="K202" s="3" t="inlineStr">
        <is>
          <t>163.24%</t>
        </is>
      </c>
      <c r="L202" t="n">
        <v>4.8</v>
      </c>
      <c r="M202" t="n">
        <v>588</v>
      </c>
      <c r="O202" t="inlineStr">
        <is>
          <t>InStock</t>
        </is>
      </c>
      <c r="P202" t="inlineStr">
        <is>
          <t>28.78</t>
        </is>
      </c>
      <c r="Q202" t="inlineStr">
        <is>
          <t>4508216787044</t>
        </is>
      </c>
    </row>
    <row r="203">
      <c r="A203" s="2">
        <f>HYPERLINK("https://edmondsonsupply.com/collections/hvac/products/packard-trcfd405-titan-pro-run-capacitor-40-5-mfd-440-370-volt-round", "https://edmondsonsupply.com/collections/hvac/products/packard-trcfd405-titan-pro-run-capacitor-40-5-mfd-440-370-volt-round")</f>
        <v/>
      </c>
      <c r="B203" s="2">
        <f>HYPERLINK("https://edmondsonsupply.com/products/packard-trcfd405-titan-pro-run-capacitor-40-5-mfd-440-370-volt-round", "https://edmondsonsupply.com/products/packard-trcfd405-titan-pro-run-capacitor-40-5-mfd-440-370-volt-round")</f>
        <v/>
      </c>
      <c r="C203" t="inlineStr">
        <is>
          <t>Packard TRCFD405 Titan PRO Run Capacitor 40+5 MFD 440/370 Volt Round</t>
        </is>
      </c>
      <c r="D203" t="inlineStr">
        <is>
          <t>Titan Pro Round Motor Dual Run Capacitor, 40/5 Microfarad Rating, 370-440VAC Voltage - TRCFD405</t>
        </is>
      </c>
      <c r="E203" s="2">
        <f>HYPERLINK("https://www.amazon.com/Capacitor-Microfarad-Rating-370-440VAC-Voltage/dp/B08TT9FDLR/ref=sr_1_7?keywords=Packard+TRCFD405+Titan+PRO+Run+Capacitor+40%2B5+MFD+440%2F370+Volt+Round&amp;qid=1695173477&amp;sr=8-7", "https://www.amazon.com/Capacitor-Microfarad-Rating-370-440VAC-Voltage/dp/B08TT9FDLR/ref=sr_1_7?keywords=Packard+TRCFD405+Titan+PRO+Run+Capacitor+40%2B5+MFD+440%2F370+Volt+Round&amp;qid=1695173477&amp;sr=8-7")</f>
        <v/>
      </c>
      <c r="F203" t="inlineStr">
        <is>
          <t>B08TT9FDLR</t>
        </is>
      </c>
      <c r="G203">
        <f>_xludf.IMAGE("https://edmondsonsupply.com/cdn/shop/products/TRCFD405-2.jpg?v=1633030399")</f>
        <v/>
      </c>
      <c r="H203">
        <f>_xludf.IMAGE("https://m.media-amazon.com/images/I/61cQEVPjCNL._AC_UY218_.jpg")</f>
        <v/>
      </c>
      <c r="I203" t="inlineStr">
        <is>
          <t>8.39</t>
        </is>
      </c>
      <c r="J203" t="n">
        <v>22</v>
      </c>
      <c r="K203" s="3" t="inlineStr">
        <is>
          <t>162.22%</t>
        </is>
      </c>
      <c r="L203" t="n">
        <v>4.5</v>
      </c>
      <c r="M203" t="n">
        <v>8</v>
      </c>
      <c r="O203" t="inlineStr">
        <is>
          <t>OutOfStock</t>
        </is>
      </c>
      <c r="P203" t="inlineStr">
        <is>
          <t>undefined</t>
        </is>
      </c>
      <c r="Q203" t="inlineStr">
        <is>
          <t>5302386950312</t>
        </is>
      </c>
    </row>
    <row r="204">
      <c r="A204" s="2">
        <f>HYPERLINK("https://edmondsonsupply.com/collections/hvac/products/malco-mshlc-2-5-8-c-rhex-cleanable-reversible-magnetic-hex-driver-1-4-5-16", "https://edmondsonsupply.com/collections/hvac/products/malco-mshlc-2-5-8-c-rhex-cleanable-reversible-magnetic-hex-driver-1-4-5-16")</f>
        <v/>
      </c>
      <c r="B204" s="2">
        <f>HYPERLINK("https://edmondsonsupply.com/products/malco-mshlc-2-5-8-c-rhex-cleanable-reversible-magnetic-hex-driver-1-4-5-16", "https://edmondsonsupply.com/products/malco-mshlc-2-5-8-c-rhex-cleanable-reversible-magnetic-hex-driver-1-4-5-16")</f>
        <v/>
      </c>
      <c r="C204" t="inlineStr">
        <is>
          <t>Malco Tools MSHLC 2-5/8" C-Rhex Cleanable, Reversible Magnetic Hex Driver, 1/4" &amp; 5/16"</t>
        </is>
      </c>
      <c r="D204" t="inlineStr">
        <is>
          <t>Malco MSH2XLC2 C-RHEX® Building Construction Series Cleanable, Reversible Magnetic Hex Driver (1/4" &amp; 5/16")</t>
        </is>
      </c>
      <c r="E204" s="2">
        <f>HYPERLINK("https://www.amazon.com/Malco-MSH2XLC2-Construction-Cleanable-Reversible/dp/B0BX79N2BV/ref=sr_1_4?keywords=Malco+Tools+MSHLC+2-5%2F8%22+C-Rhex+Cleanable%2C+Reversible+Magnetic+Hex+Driver%2C+1%2F4%22+%26+5%2F16%22&amp;qid=1695173386&amp;sr=8-4", "https://www.amazon.com/Malco-MSH2XLC2-Construction-Cleanable-Reversible/dp/B0BX79N2BV/ref=sr_1_4?keywords=Malco+Tools+MSHLC+2-5%2F8%22+C-Rhex+Cleanable%2C+Reversible+Magnetic+Hex+Driver%2C+1%2F4%22+%26+5%2F16%22&amp;qid=1695173386&amp;sr=8-4")</f>
        <v/>
      </c>
      <c r="F204" t="inlineStr">
        <is>
          <t>B0BX79N2BV</t>
        </is>
      </c>
      <c r="G204">
        <f>_xludf.IMAGE("https://edmondsonsupply.com/cdn/shop/products/Malco-MSHLC-CRHEX-Slim-Design.jpg?v=1654737733")</f>
        <v/>
      </c>
      <c r="H204">
        <f>_xludf.IMAGE("https://m.media-amazon.com/images/I/31odlSGS4kL._AC_UL320_.jpg")</f>
        <v/>
      </c>
      <c r="I204" t="inlineStr">
        <is>
          <t>8.76</t>
        </is>
      </c>
      <c r="J204" t="n">
        <v>22.86</v>
      </c>
      <c r="K204" s="3" t="inlineStr">
        <is>
          <t>160.96%</t>
        </is>
      </c>
      <c r="L204" t="n">
        <v>5</v>
      </c>
      <c r="M204" t="n">
        <v>1</v>
      </c>
      <c r="O204" t="inlineStr">
        <is>
          <t>InStock</t>
        </is>
      </c>
      <c r="P204" t="inlineStr">
        <is>
          <t>9.45</t>
        </is>
      </c>
      <c r="Q204" t="inlineStr">
        <is>
          <t>4102686015588</t>
        </is>
      </c>
    </row>
    <row r="205">
      <c r="A205" s="2">
        <f>HYPERLINK("https://edmondsonsupply.com/collections/hvac/products/malco-tools-lp7r-eagle-grip-7-straight-jaw-locking-pliers", "https://edmondsonsupply.com/collections/hvac/products/malco-tools-lp7r-eagle-grip-7-straight-jaw-locking-pliers")</f>
        <v/>
      </c>
      <c r="B205" s="2">
        <f>HYPERLINK("https://edmondsonsupply.com/products/malco-tools-lp7r-eagle-grip-7-straight-jaw-locking-pliers", "https://edmondsonsupply.com/products/malco-tools-lp7r-eagle-grip-7-straight-jaw-locking-pliers")</f>
        <v/>
      </c>
      <c r="C205" t="inlineStr">
        <is>
          <t>Malco Tools LP7R Eagle Grip 7″ Straight Jaw Locking Pliers</t>
        </is>
      </c>
      <c r="D205" t="inlineStr">
        <is>
          <t>Eagle Grip LP10R Locking Tool, 10" Straight Jaw &amp; Grip by Malco LP7R 7 in. Straight Jaw Locking Pliers &amp; Grip by Malco LP7WC 7 in. Curved Jaw Locking Pliers with Wire Cutter</t>
        </is>
      </c>
      <c r="E205" s="2">
        <f>HYPERLINK("https://www.amazon.com/Locking-Straight-Malco-Pliers-Curved/dp/B0CC7MTMSQ/ref=sr_1_2?keywords=Malco+Tools+LP7R+Eagle+Grip+7%E2%80%B3+Straight+Jaw+Locking+Pliers&amp;qid=1695173432&amp;sr=8-2", "https://www.amazon.com/Locking-Straight-Malco-Pliers-Curved/dp/B0CC7MTMSQ/ref=sr_1_2?keywords=Malco+Tools+LP7R+Eagle+Grip+7%E2%80%B3+Straight+Jaw+Locking+Pliers&amp;qid=1695173432&amp;sr=8-2")</f>
        <v/>
      </c>
      <c r="F205" t="inlineStr">
        <is>
          <t>B0CC7MTMSQ</t>
        </is>
      </c>
      <c r="G205">
        <f>_xludf.IMAGE("https://edmondsonsupply.com/cdn/shop/products/LP7R-eagle-grip-locking-pliers-in-hand.jpg?v=1657291391")</f>
        <v/>
      </c>
      <c r="H205">
        <f>_xludf.IMAGE("https://m.media-amazon.com/images/I/51hCE5iB5fL._AC_UL320_.jpg")</f>
        <v/>
      </c>
      <c r="I205" t="inlineStr">
        <is>
          <t>49.99</t>
        </is>
      </c>
      <c r="J205" t="n">
        <v>130.01</v>
      </c>
      <c r="K205" s="3" t="inlineStr">
        <is>
          <t>160.07%</t>
        </is>
      </c>
      <c r="L205" t="n">
        <v>5</v>
      </c>
      <c r="M205" t="n">
        <v>189</v>
      </c>
      <c r="O205" t="inlineStr">
        <is>
          <t>InStock</t>
        </is>
      </c>
      <c r="P205" t="inlineStr">
        <is>
          <t>54.67</t>
        </is>
      </c>
      <c r="Q205" t="inlineStr">
        <is>
          <t>7742222270680</t>
        </is>
      </c>
    </row>
    <row r="206">
      <c r="A206" s="2">
        <f>HYPERLINK("https://edmondsonsupply.com/collections/hvac/products/yellow-jacket-yjii-vacuum-pump-5-cfm-93266", "https://edmondsonsupply.com/collections/hvac/products/yellow-jacket-yjii-vacuum-pump-5-cfm-93266")</f>
        <v/>
      </c>
      <c r="B206" s="2">
        <f>HYPERLINK("https://edmondsonsupply.com/products/yellow-jacket-yjii-vacuum-pump-5-cfm-93266", "https://edmondsonsupply.com/products/yellow-jacket-yjii-vacuum-pump-5-cfm-93266")</f>
        <v/>
      </c>
      <c r="C206" t="inlineStr">
        <is>
          <t>Yellow Jacket 93266 YJII™ 5 CFM Vacuum Pump</t>
        </is>
      </c>
      <c r="D206" t="inlineStr">
        <is>
          <t>Yellow Jacket 93780 SuperEvac Plus II 1/2 hp 8 CFM Vacuum Pump, 115VAC</t>
        </is>
      </c>
      <c r="E206" s="2">
        <f>HYPERLINK("https://www.amazon.com/Yellow-Jacket-SuperEvac-Vacuum-115VAC/dp/B095XK6GVG/ref=sr_1_2?keywords=Yellow+Jacket+93266+YJII%E2%84%A2+5+CFM+Vacuum+Pump&amp;qid=1695173391&amp;sr=8-2", "https://www.amazon.com/Yellow-Jacket-SuperEvac-Vacuum-115VAC/dp/B095XK6GVG/ref=sr_1_2?keywords=Yellow+Jacket+93266+YJII%E2%84%A2+5+CFM+Vacuum+Pump&amp;qid=1695173391&amp;sr=8-2")</f>
        <v/>
      </c>
      <c r="F206" t="inlineStr">
        <is>
          <t>B095XK6GVG</t>
        </is>
      </c>
      <c r="G206">
        <f>_xludf.IMAGE("https://edmondsonsupply.com/cdn/shop/products/93266-YJII-Vacuum-Pump-484x416.jpg?v=1605058989")</f>
        <v/>
      </c>
      <c r="H206">
        <f>_xludf.IMAGE("https://m.media-amazon.com/images/I/510W-CASg+L._AC_UL320_.jpg")</f>
        <v/>
      </c>
      <c r="I206" t="inlineStr">
        <is>
          <t>322.56</t>
        </is>
      </c>
      <c r="J206" t="n">
        <v>830</v>
      </c>
      <c r="K206" s="3" t="inlineStr">
        <is>
          <t>157.32%</t>
        </is>
      </c>
      <c r="L206" t="n">
        <v>4.7</v>
      </c>
      <c r="M206" t="n">
        <v>4</v>
      </c>
      <c r="O206" t="inlineStr">
        <is>
          <t>InStock</t>
        </is>
      </c>
      <c r="P206" t="inlineStr">
        <is>
          <t>undefined</t>
        </is>
      </c>
      <c r="Q206" t="inlineStr">
        <is>
          <t>3599841165412</t>
        </is>
      </c>
    </row>
    <row r="207">
      <c r="A207" s="2">
        <f>HYPERLINK("https://edmondsonsupply.com/collections/hvac/products/midwest-mwt-ss6716r-special-hardness-aviation-snip-right-cutting", "https://edmondsonsupply.com/collections/hvac/products/midwest-mwt-ss6716r-special-hardness-aviation-snip-right-cutting")</f>
        <v/>
      </c>
      <c r="B207" s="2">
        <f>HYPERLINK("https://edmondsonsupply.com/products/midwest-mwt-ss6716r-special-hardness-aviation-snip-right-cutting", "https://edmondsonsupply.com/products/midwest-mwt-ss6716r-special-hardness-aviation-snip-right-cutting")</f>
        <v/>
      </c>
      <c r="C207" t="inlineStr">
        <is>
          <t>Midwest MWT-SS6716R Special Hardness Aviation Snip - Right-Cutting</t>
        </is>
      </c>
      <c r="D207" t="inlineStr">
        <is>
          <t>Midwest Tools and Cutlery MWT-SS6510R Snips Forged Blade Special Hardness Offset Right Aviation Snip, Cuts Stainless Steel</t>
        </is>
      </c>
      <c r="E207" s="2">
        <f>HYPERLINK("https://www.amazon.com/Midwest-Tools-Cutlery-MWT-SS6510R-Stainless/dp/B01J7IOB64/ref=sr_1_1?keywords=Midwest+MWT-SS6716R+Special+Hardness+Aviation+Snip+-+Right-Cutting&amp;qid=1695173444&amp;sr=8-1", "https://www.amazon.com/Midwest-Tools-Cutlery-MWT-SS6510R-Stainless/dp/B01J7IOB64/ref=sr_1_1?keywords=Midwest+MWT-SS6716R+Special+Hardness+Aviation+Snip+-+Right-Cutting&amp;qid=1695173444&amp;sr=8-1")</f>
        <v/>
      </c>
      <c r="F207" t="inlineStr">
        <is>
          <t>B01J7IOB64</t>
        </is>
      </c>
      <c r="G207">
        <f>_xludf.IMAGE("https://edmondsonsupply.com/cdn/shop/products/MWT-SS6716R1.jpg?v=1587146219")</f>
        <v/>
      </c>
      <c r="H207">
        <f>_xludf.IMAGE("https://m.media-amazon.com/images/I/61rvvPEnRIL._AC_UL320_.jpg")</f>
        <v/>
      </c>
      <c r="I207" t="inlineStr">
        <is>
          <t>24.66</t>
        </is>
      </c>
      <c r="J207" t="n">
        <v>63.44</v>
      </c>
      <c r="K207" s="3" t="inlineStr">
        <is>
          <t>157.26%</t>
        </is>
      </c>
      <c r="L207" t="n">
        <v>4.4</v>
      </c>
      <c r="M207" t="n">
        <v>28</v>
      </c>
      <c r="O207" t="inlineStr">
        <is>
          <t>InStock</t>
        </is>
      </c>
      <c r="P207" t="inlineStr">
        <is>
          <t>36.2</t>
        </is>
      </c>
      <c r="Q207" t="inlineStr">
        <is>
          <t>4508658204772</t>
        </is>
      </c>
    </row>
    <row r="208">
      <c r="A208" s="2">
        <f>HYPERLINK("https://edmondsonsupply.com/collections/hvac/products/klein-tools-et120-combustible-gas-leak-detector", "https://edmondsonsupply.com/collections/hvac/products/klein-tools-et120-combustible-gas-leak-detector")</f>
        <v/>
      </c>
      <c r="B208" s="2">
        <f>HYPERLINK("https://edmondsonsupply.com/products/klein-tools-et120-combustible-gas-leak-detector", "https://edmondsonsupply.com/products/klein-tools-et120-combustible-gas-leak-detector")</f>
        <v/>
      </c>
      <c r="C208" t="inlineStr">
        <is>
          <t>Klein Tools ET120 Combustible Gas Leak Detector</t>
        </is>
      </c>
      <c r="D208" t="inlineStr">
        <is>
          <t>RIDGID 36163 Model Micro CD-100 Combustible Gas Detector, Gas Leak Detector &amp; Klein Tools ET120 Gas Leak Detector, Combustible Gas Leak Tester</t>
        </is>
      </c>
      <c r="E208" s="2">
        <f>HYPERLINK("https://www.amazon.com/RIDGID-CD-100-Combustible-Detector-Tester/dp/B0BNL9BF1T/ref=sr_1_2?keywords=Klein+Tools+ET120+Combustible+Gas+Leak+Detector&amp;qid=1695173669&amp;sr=8-2", "https://www.amazon.com/RIDGID-CD-100-Combustible-Detector-Tester/dp/B0BNL9BF1T/ref=sr_1_2?keywords=Klein+Tools+ET120+Combustible+Gas+Leak+Detector&amp;qid=1695173669&amp;sr=8-2")</f>
        <v/>
      </c>
      <c r="F208" t="inlineStr">
        <is>
          <t>B0BNL9BF1T</t>
        </is>
      </c>
      <c r="G208">
        <f>_xludf.IMAGE("https://edmondsonsupply.com/cdn/shop/products/et120.jpg?v=1587149243")</f>
        <v/>
      </c>
      <c r="H208">
        <f>_xludf.IMAGE("https://m.media-amazon.com/images/I/41nf-no3bpL._AC_UL320_.jpg")</f>
        <v/>
      </c>
      <c r="I208" t="inlineStr">
        <is>
          <t>119.99</t>
        </is>
      </c>
      <c r="J208" t="n">
        <v>306.68</v>
      </c>
      <c r="K208" s="3" t="inlineStr">
        <is>
          <t>155.59%</t>
        </is>
      </c>
      <c r="L208" t="n">
        <v>4.5</v>
      </c>
      <c r="M208" t="n">
        <v>756</v>
      </c>
      <c r="O208" t="inlineStr">
        <is>
          <t>InStock</t>
        </is>
      </c>
      <c r="P208" t="inlineStr">
        <is>
          <t>179.32</t>
        </is>
      </c>
      <c r="Q208" t="inlineStr">
        <is>
          <t>1828453187684</t>
        </is>
      </c>
    </row>
    <row r="209">
      <c r="A209" s="2">
        <f>HYPERLINK("https://edmondsonsupply.com/collections/hvac/products/midwest-mwt-6510r-right-offset-aviation-snip", "https://edmondsonsupply.com/collections/hvac/products/midwest-mwt-6510r-right-offset-aviation-snip")</f>
        <v/>
      </c>
      <c r="B209" s="2">
        <f>HYPERLINK("https://edmondsonsupply.com/products/midwest-mwt-6510r-right-offset-aviation-snip", "https://edmondsonsupply.com/products/midwest-mwt-6510r-right-offset-aviation-snip")</f>
        <v/>
      </c>
      <c r="C209" t="inlineStr">
        <is>
          <t>Midwest MWT-6510R Right Offset Aviation Snip</t>
        </is>
      </c>
      <c r="D209" t="inlineStr">
        <is>
          <t>Midwest Tools and Cutlery MWT-SS6510R Snips Forged Blade Special Hardness Offset Right Aviation Snip, Cuts Stainless Steel</t>
        </is>
      </c>
      <c r="E209" s="2">
        <f>HYPERLINK("https://www.amazon.com/Midwest-Tools-Cutlery-MWT-SS6510R-Stainless/dp/B01J7IOB64/ref=sr_1_2?keywords=Midwest+MWT-6510R+Right+Offset+Aviation+Snip&amp;qid=1695173557&amp;sr=8-2", "https://www.amazon.com/Midwest-Tools-Cutlery-MWT-SS6510R-Stainless/dp/B01J7IOB64/ref=sr_1_2?keywords=Midwest+MWT-6510R+Right+Offset+Aviation+Snip&amp;qid=1695173557&amp;sr=8-2")</f>
        <v/>
      </c>
      <c r="F209" t="inlineStr">
        <is>
          <t>B01J7IOB64</t>
        </is>
      </c>
      <c r="G209">
        <f>_xludf.IMAGE("https://edmondsonsupply.com/cdn/shop/products/MWT-6510R.png?v=1587144877")</f>
        <v/>
      </c>
      <c r="H209">
        <f>_xludf.IMAGE("https://m.media-amazon.com/images/I/61rvvPEnRIL._AC_UL320_.jpg")</f>
        <v/>
      </c>
      <c r="I209" t="inlineStr">
        <is>
          <t>24.89</t>
        </is>
      </c>
      <c r="J209" t="n">
        <v>63.44</v>
      </c>
      <c r="K209" s="3" t="inlineStr">
        <is>
          <t>154.88%</t>
        </is>
      </c>
      <c r="L209" t="n">
        <v>4.4</v>
      </c>
      <c r="M209" t="n">
        <v>28</v>
      </c>
      <c r="O209" t="inlineStr">
        <is>
          <t>InStock</t>
        </is>
      </c>
      <c r="P209" t="inlineStr">
        <is>
          <t>33.49</t>
        </is>
      </c>
      <c r="Q209" t="inlineStr">
        <is>
          <t>4414962597988</t>
        </is>
      </c>
    </row>
    <row r="210">
      <c r="A210" s="2">
        <f>HYPERLINK("https://edmondsonsupply.com/collections/hvac/products/klein-tools-65064-2-in-1-hex-head-screwdriver-1-4-5-16", "https://edmondsonsupply.com/collections/hvac/products/klein-tools-65064-2-in-1-hex-head-screwdriver-1-4-5-16")</f>
        <v/>
      </c>
      <c r="B210" s="2">
        <f>HYPERLINK("https://edmondsonsupply.com/products/klein-tools-65064-2-in-1-hex-head-screwdriver-1-4-5-16", "https://edmondsonsupply.com/products/klein-tools-65064-2-in-1-hex-head-screwdriver-1-4-5-16")</f>
        <v/>
      </c>
      <c r="C210" t="inlineStr">
        <is>
          <t>Klein Tools 65064 2-in-1 Nut Driver, Hex Head, 1/4-Inch and 5/16-Inch</t>
        </is>
      </c>
      <c r="D210" t="inlineStr">
        <is>
          <t>Klein Tools 646M Tool Set, Magnetic Nut Drivers Sizes 1/4 and 5/16-Inch, 6-Inch Shafts, 2-Piece &amp; 65064 Hex Head 2-in-1 Nut Driver, 1/4-Inch and 5/16-Inch</t>
        </is>
      </c>
      <c r="E210" s="2">
        <f>HYPERLINK("https://www.amazon.com/Klein-Tools-Magnetic-Drivers-16-Inch/dp/B0BGPTVP3Z/ref=sr_1_4?keywords=Klein+Tools+65064+2-in-1+Nut+Driver%2C+Hex+Head%2C+1%2F4-Inch+and+5%2F16-Inch&amp;qid=1695173568&amp;sr=8-4", "https://www.amazon.com/Klein-Tools-Magnetic-Drivers-16-Inch/dp/B0BGPTVP3Z/ref=sr_1_4?keywords=Klein+Tools+65064+2-in-1+Nut+Driver%2C+Hex+Head%2C+1%2F4-Inch+and+5%2F16-Inch&amp;qid=1695173568&amp;sr=8-4")</f>
        <v/>
      </c>
      <c r="F210" t="inlineStr">
        <is>
          <t>B0BGPTVP3Z</t>
        </is>
      </c>
      <c r="G210">
        <f>_xludf.IMAGE("https://edmondsonsupply.com/cdn/shop/products/65064.jpg?v=1587147719")</f>
        <v/>
      </c>
      <c r="H210">
        <f>_xludf.IMAGE("https://m.media-amazon.com/images/I/41iqeifLYLL._AC_UL320_.jpg")</f>
        <v/>
      </c>
      <c r="I210" t="inlineStr">
        <is>
          <t>15.97</t>
        </is>
      </c>
      <c r="J210" t="n">
        <v>40.26</v>
      </c>
      <c r="K210" s="3" t="inlineStr">
        <is>
          <t>152.10%</t>
        </is>
      </c>
      <c r="L210" t="n">
        <v>5</v>
      </c>
      <c r="M210" t="n">
        <v>1</v>
      </c>
      <c r="O210" t="inlineStr">
        <is>
          <t>InStock</t>
        </is>
      </c>
      <c r="P210" t="inlineStr">
        <is>
          <t>23.36</t>
        </is>
      </c>
      <c r="Q210" t="inlineStr">
        <is>
          <t>1707342889060</t>
        </is>
      </c>
    </row>
    <row r="211">
      <c r="A211" s="2">
        <f>HYPERLINK("https://edmondsonsupply.com/collections/hvac/products/midwest-mwt-6510s-straight-offset-aviation-snip", "https://edmondsonsupply.com/collections/hvac/products/midwest-mwt-6510s-straight-offset-aviation-snip")</f>
        <v/>
      </c>
      <c r="B211" s="2">
        <f>HYPERLINK("https://edmondsonsupply.com/products/midwest-mwt-6510s-straight-offset-aviation-snip", "https://edmondsonsupply.com/products/midwest-mwt-6510s-straight-offset-aviation-snip")</f>
        <v/>
      </c>
      <c r="C211" t="inlineStr">
        <is>
          <t>Midwest MWT-6510S Straight Offset Aviation Snip</t>
        </is>
      </c>
      <c r="D211" t="inlineStr">
        <is>
          <t>MIDWEST Blackout Series Aviation Snip - Left Cut Offset Tin Cutting Shears with Forged Blade &amp; KUSH'N-POWER Comfort Grips - MWT-6510LO</t>
        </is>
      </c>
      <c r="E211" s="2">
        <f>HYPERLINK("https://www.amazon.com/MIDWEST-Blackout-Aviation-Snip-KUSHN-POWER/dp/B00TJQL91U/ref=sr_1_10?keywords=Midwest+MWT-6510S+Straight+Offset+Aviation+Snip&amp;qid=1695173382&amp;sr=8-10", "https://www.amazon.com/MIDWEST-Blackout-Aviation-Snip-KUSHN-POWER/dp/B00TJQL91U/ref=sr_1_10?keywords=Midwest+MWT-6510S+Straight+Offset+Aviation+Snip&amp;qid=1695173382&amp;sr=8-10")</f>
        <v/>
      </c>
      <c r="F211" t="inlineStr">
        <is>
          <t>B00TJQL91U</t>
        </is>
      </c>
      <c r="G211">
        <f>_xludf.IMAGE("https://edmondsonsupply.com/cdn/shop/products/MWT-6510S-1.jpg?v=1587150061")</f>
        <v/>
      </c>
      <c r="H211">
        <f>_xludf.IMAGE("https://m.media-amazon.com/images/I/51OW3TahYsL._AC_UL320_.jpg")</f>
        <v/>
      </c>
      <c r="I211" t="inlineStr">
        <is>
          <t>23.49</t>
        </is>
      </c>
      <c r="J211" t="n">
        <v>58.88</v>
      </c>
      <c r="K211" s="3" t="inlineStr">
        <is>
          <t>150.66%</t>
        </is>
      </c>
      <c r="L211" t="n">
        <v>4.7</v>
      </c>
      <c r="M211" t="n">
        <v>1400</v>
      </c>
      <c r="O211" t="inlineStr">
        <is>
          <t>OutOfStock</t>
        </is>
      </c>
      <c r="P211" t="inlineStr">
        <is>
          <t>33.49</t>
        </is>
      </c>
      <c r="Q211" t="inlineStr">
        <is>
          <t>4436158677092</t>
        </is>
      </c>
    </row>
    <row r="212">
      <c r="A212" s="2">
        <f>HYPERLINK("https://edmondsonsupply.com/collections/hvac/products/klein-tools-32907-7-in-1-impact-flip-socket-set-no-handle", "https://edmondsonsupply.com/collections/hvac/products/klein-tools-32907-7-in-1-impact-flip-socket-set-no-handle")</f>
        <v/>
      </c>
      <c r="B212" s="2">
        <f>HYPERLINK("https://edmondsonsupply.com/products/klein-tools-32907-7-in-1-impact-flip-socket-set-no-handle", "https://edmondsonsupply.com/products/klein-tools-32907-7-in-1-impact-flip-socket-set-no-handle")</f>
        <v/>
      </c>
      <c r="C212" t="inlineStr">
        <is>
          <t>Klein Tools 32907 7-in-1 Impact Flip Socket Set, No Handle</t>
        </is>
      </c>
      <c r="D212" t="inlineStr">
        <is>
          <t>Klein Tools 66070 Impact Socket Set, Impact Driver Flip Socket, Five Sockets with 1/4-Inch Hex and 1/2-Inch Square Socket Adapters, 7-Piece</t>
        </is>
      </c>
      <c r="E212" s="2">
        <f>HYPERLINK("https://www.amazon.com/Klein-Tools-66070-Sockets-Adapters/dp/B0B33XLXD1/ref=sr_1_10?keywords=Klein+Tools+32907+7-in-1+Impact+Flip+Socket+Set%2C+No+Handle&amp;qid=1695173428&amp;sr=8-10", "https://www.amazon.com/Klein-Tools-66070-Sockets-Adapters/dp/B0B33XLXD1/ref=sr_1_10?keywords=Klein+Tools+32907+7-in-1+Impact+Flip+Socket+Set%2C+No+Handle&amp;qid=1695173428&amp;sr=8-10")</f>
        <v/>
      </c>
      <c r="F212" t="inlineStr">
        <is>
          <t>B0B33XLXD1</t>
        </is>
      </c>
      <c r="G212">
        <f>_xludf.IMAGE("https://edmondsonsupply.com/cdn/shop/products/32907_b.jpg?v=1666025282")</f>
        <v/>
      </c>
      <c r="H212">
        <f>_xludf.IMAGE("https://m.media-amazon.com/images/I/71D23SffznL._AC_UL320_.jpg")</f>
        <v/>
      </c>
      <c r="I212" t="inlineStr">
        <is>
          <t>19.99</t>
        </is>
      </c>
      <c r="J212" t="n">
        <v>49.97</v>
      </c>
      <c r="K212" s="3" t="inlineStr">
        <is>
          <t>149.97%</t>
        </is>
      </c>
      <c r="L212" t="n">
        <v>4.8</v>
      </c>
      <c r="M212" t="n">
        <v>1158</v>
      </c>
      <c r="O212" t="inlineStr">
        <is>
          <t>InStock</t>
        </is>
      </c>
      <c r="P212" t="inlineStr">
        <is>
          <t>29.18</t>
        </is>
      </c>
      <c r="Q212" t="inlineStr">
        <is>
          <t>7856653009112</t>
        </is>
      </c>
    </row>
    <row r="213">
      <c r="A213" s="2">
        <f>HYPERLINK("https://edmondsonsupply.com/collections/hvac/products/midwest-mwt-ss6716l-special-hardness-aviation-snip-left-cutting", "https://edmondsonsupply.com/collections/hvac/products/midwest-mwt-ss6716l-special-hardness-aviation-snip-left-cutting")</f>
        <v/>
      </c>
      <c r="B213" s="2">
        <f>HYPERLINK("https://edmondsonsupply.com/products/midwest-mwt-ss6716l-special-hardness-aviation-snip-left-cutting", "https://edmondsonsupply.com/products/midwest-mwt-ss6716l-special-hardness-aviation-snip-left-cutting")</f>
        <v/>
      </c>
      <c r="C213" t="inlineStr">
        <is>
          <t>Midwest MWT-SS6716L Special Hardness Aviation Snip - Left-Cutting</t>
        </is>
      </c>
      <c r="D213" t="inlineStr">
        <is>
          <t>Midwest Tools and Cutlery MWT-SS6510R Snips Forged Blade Special Hardness Offset Right Aviation Snip, Cuts Stainless Steel</t>
        </is>
      </c>
      <c r="E213" s="2">
        <f>HYPERLINK("https://www.amazon.com/Midwest-Tools-Cutlery-MWT-SS6510R-Stainless/dp/B01J7IOB64/ref=sr_1_3?keywords=Midwest+MWT-SS6716L+Special+Hardness+Aviation+Snip+-+Left-Cutting&amp;qid=1695173419&amp;sr=8-3", "https://www.amazon.com/Midwest-Tools-Cutlery-MWT-SS6510R-Stainless/dp/B01J7IOB64/ref=sr_1_3?keywords=Midwest+MWT-SS6716L+Special+Hardness+Aviation+Snip+-+Left-Cutting&amp;qid=1695173419&amp;sr=8-3")</f>
        <v/>
      </c>
      <c r="F213" t="inlineStr">
        <is>
          <t>B01J7IOB64</t>
        </is>
      </c>
      <c r="G213">
        <f>_xludf.IMAGE("https://edmondsonsupply.com/cdn/shop/products/MWT-SS6716L1.jpg?v=1587151241")</f>
        <v/>
      </c>
      <c r="H213">
        <f>_xludf.IMAGE("https://m.media-amazon.com/images/I/61rvvPEnRIL._AC_UL320_.jpg")</f>
        <v/>
      </c>
      <c r="I213" t="inlineStr">
        <is>
          <t>25.49</t>
        </is>
      </c>
      <c r="J213" t="n">
        <v>63.44</v>
      </c>
      <c r="K213" s="3" t="inlineStr">
        <is>
          <t>148.88%</t>
        </is>
      </c>
      <c r="L213" t="n">
        <v>4.4</v>
      </c>
      <c r="M213" t="n">
        <v>28</v>
      </c>
      <c r="O213" t="inlineStr">
        <is>
          <t>InStock</t>
        </is>
      </c>
      <c r="P213" t="inlineStr">
        <is>
          <t>36.2</t>
        </is>
      </c>
      <c r="Q213" t="inlineStr">
        <is>
          <t>4508646277220</t>
        </is>
      </c>
    </row>
    <row r="214">
      <c r="A214" s="2">
        <f>HYPERLINK("https://edmondsonsupply.com/collections/hvac/products/klein-tools-32314-14-in-1-precision-screwdriver-nut-driver", "https://edmondsonsupply.com/collections/hvac/products/klein-tools-32314-14-in-1-precision-screwdriver-nut-driver")</f>
        <v/>
      </c>
      <c r="B214" s="2">
        <f>HYPERLINK("https://edmondsonsupply.com/products/klein-tools-32314-14-in-1-precision-screwdriver-nut-driver", "https://edmondsonsupply.com/products/klein-tools-32314-14-in-1-precision-screwdriver-nut-driver")</f>
        <v/>
      </c>
      <c r="C214" t="inlineStr">
        <is>
          <t>Klein Tools 32314 14-in-1 Precision Screwdriver/ Nut Driver</t>
        </is>
      </c>
      <c r="D214" t="inlineStr">
        <is>
          <t>Screwdriver, 14-in-1 Adjustable Screwdriver with Flip Socket, HVAC Nut Drivers and Bits &amp; Klein Tools 32314 Electronic Screwdriver, 14-in-1 with 8 Precision Tips, Slotted, 6 Precision Nut Drivers</t>
        </is>
      </c>
      <c r="E214" s="2">
        <f>HYPERLINK("https://www.amazon.com/Screwdriver-Adjustable-Klein-Tools-Electronic/dp/B0BM34Q1QR/ref=sr_1_6?keywords=Klein+Tools+32314+14-in-1+Precision+Screwdriver%2F+Nut+Driver&amp;qid=1695173510&amp;sr=8-6", "https://www.amazon.com/Screwdriver-Adjustable-Klein-Tools-Electronic/dp/B0BM34Q1QR/ref=sr_1_6?keywords=Klein+Tools+32314+14-in-1+Precision+Screwdriver%2F+Nut+Driver&amp;qid=1695173510&amp;sr=8-6")</f>
        <v/>
      </c>
      <c r="F214" t="inlineStr">
        <is>
          <t>B0BM34Q1QR</t>
        </is>
      </c>
      <c r="G214">
        <f>_xludf.IMAGE("https://edmondsonsupply.com/cdn/shop/products/32314.jpg?v=1646593726")</f>
        <v/>
      </c>
      <c r="H214">
        <f>_xludf.IMAGE("https://m.media-amazon.com/images/I/41C5e4ThtpL._AC_UL320_.jpg")</f>
        <v/>
      </c>
      <c r="I214" t="inlineStr">
        <is>
          <t>15.97</t>
        </is>
      </c>
      <c r="J214" t="n">
        <v>39.74</v>
      </c>
      <c r="K214" s="3" t="inlineStr">
        <is>
          <t>148.84%</t>
        </is>
      </c>
      <c r="L214" t="n">
        <v>5</v>
      </c>
      <c r="M214" t="n">
        <v>1</v>
      </c>
      <c r="O214" t="inlineStr">
        <is>
          <t>InStock</t>
        </is>
      </c>
      <c r="P214" t="inlineStr">
        <is>
          <t>22.38</t>
        </is>
      </c>
      <c r="Q214" t="inlineStr">
        <is>
          <t>7626984947928</t>
        </is>
      </c>
    </row>
    <row r="215">
      <c r="A215" s="2">
        <f>HYPERLINK("https://edmondsonsupply.com/collections/hvac/products/imperial-tc-1050-imp%C2%AE-mini-tube-cutter-1-8-5-8-o-d", "https://edmondsonsupply.com/collections/hvac/products/imperial-tc-1050-imp%C2%AE-mini-tube-cutter-1-8-5-8-o-d")</f>
        <v/>
      </c>
      <c r="B215" s="2">
        <f>HYPERLINK("https://edmondsonsupply.com/products/imperial-tc-1050-imp%c2%ae-mini-tube-cutter-1-8-5-8-o-d", "https://edmondsonsupply.com/products/imperial-tc-1050-imp%c2%ae-mini-tube-cutter-1-8-5-8-o-d")</f>
        <v/>
      </c>
      <c r="C215" t="inlineStr">
        <is>
          <t>Imperial TC-1050 IMP® Mini Tube Cutter 1/8" - 5/8" O.D.</t>
        </is>
      </c>
      <c r="D215" t="inlineStr">
        <is>
          <t>Imperial Tool TC2050SP IMP Mini Tube Cutter for 3/16" to 7/8" O.D. Tubing</t>
        </is>
      </c>
      <c r="E215" s="2">
        <f>HYPERLINK("https://www.amazon.com/Imperial-Tool-TC2050SP-Cutter-Tubing/dp/B087YYZR8B/ref=sr_1_6?keywords=Imperial+TC-1050+IMP%C2%AE+Mini+Tube+Cutter+1%2F8%22+-+5%2F8%22+O.D.&amp;qid=1695173452&amp;sr=8-6", "https://www.amazon.com/Imperial-Tool-TC2050SP-Cutter-Tubing/dp/B087YYZR8B/ref=sr_1_6?keywords=Imperial+TC-1050+IMP%C2%AE+Mini+Tube+Cutter+1%2F8%22+-+5%2F8%22+O.D.&amp;qid=1695173452&amp;sr=8-6")</f>
        <v/>
      </c>
      <c r="F215" t="inlineStr">
        <is>
          <t>B087YYZR8B</t>
        </is>
      </c>
      <c r="G215">
        <f>_xludf.IMAGE("https://edmondsonsupply.com/cdn/shop/products/imperial-pipe-tube-cutters-tc1050-64_1000.jpg?v=1587144076")</f>
        <v/>
      </c>
      <c r="H215">
        <f>_xludf.IMAGE("https://m.media-amazon.com/images/I/61nt0ejVFxL._AC_UL320_.jpg")</f>
        <v/>
      </c>
      <c r="I215" t="inlineStr">
        <is>
          <t>18.99</t>
        </is>
      </c>
      <c r="J215" t="n">
        <v>47.1</v>
      </c>
      <c r="K215" s="3" t="inlineStr">
        <is>
          <t>148.03%</t>
        </is>
      </c>
      <c r="L215" t="n">
        <v>5</v>
      </c>
      <c r="M215" t="n">
        <v>2</v>
      </c>
      <c r="O215" t="inlineStr">
        <is>
          <t>InStock</t>
        </is>
      </c>
      <c r="P215" t="inlineStr">
        <is>
          <t>undefined</t>
        </is>
      </c>
      <c r="Q215" t="inlineStr">
        <is>
          <t>3679475138660</t>
        </is>
      </c>
    </row>
    <row r="216">
      <c r="A216" s="2">
        <f>HYPERLINK("https://edmondsonsupply.com/collections/hvac/products/klein-tools-32304-14-in-1-hvac-adjustable-length-impact-screwdriver-with-flip-socket", "https://edmondsonsupply.com/collections/hvac/products/klein-tools-32304-14-in-1-hvac-adjustable-length-impact-screwdriver-with-flip-socket")</f>
        <v/>
      </c>
      <c r="B216" s="2">
        <f>HYPERLINK("https://edmondsonsupply.com/products/klein-tools-32304-14-in-1-hvac-adjustable-length-impact-screwdriver-with-flip-socket", "https://edmondsonsupply.com/products/klein-tools-32304-14-in-1-hvac-adjustable-length-impact-screwdriver-with-flip-socket")</f>
        <v/>
      </c>
      <c r="C216" t="inlineStr">
        <is>
          <t>Klein Tools 32304 14-in-1 HVAC Adjustable-Length Impact Screwdriver with Flip Socket</t>
        </is>
      </c>
      <c r="D216" t="inlineStr">
        <is>
          <t>Klein Tools 32304 Screwdriver, 14-in-1 Adjustable Screwdriver &amp; Impact Driver, 7-in-1 Impact Flip Socket Set &amp; Multi-bit Stubby Screwdriver, Impact Rated 8-in-1 Adjustable Magnetic Tool</t>
        </is>
      </c>
      <c r="E216" s="2">
        <f>HYPERLINK("https://www.amazon.com/Klein-Tools-Screwdriver-Adjustable-Multi-bit/dp/B0C9994NG7/ref=sr_1_5?keywords=Klein+Tools+32304+14-in-1+HVAC+Adjustable-Length+Impact+Screwdriver+with+Flip+Socket&amp;qid=1695173459&amp;sr=8-5", "https://www.amazon.com/Klein-Tools-Screwdriver-Adjustable-Multi-bit/dp/B0C9994NG7/ref=sr_1_5?keywords=Klein+Tools+32304+14-in-1+HVAC+Adjustable-Length+Impact+Screwdriver+with+Flip+Socket&amp;qid=1695173459&amp;sr=8-5")</f>
        <v/>
      </c>
      <c r="F216" t="inlineStr">
        <is>
          <t>B0C9994NG7</t>
        </is>
      </c>
      <c r="G216">
        <f>_xludf.IMAGE("https://edmondsonsupply.com/cdn/shop/products/32304.jpg?v=1666019479")</f>
        <v/>
      </c>
      <c r="H216">
        <f>_xludf.IMAGE("https://m.media-amazon.com/images/I/51++VSv2MoL._AC_UL320_.jpg")</f>
        <v/>
      </c>
      <c r="I216" t="inlineStr">
        <is>
          <t>24.97</t>
        </is>
      </c>
      <c r="J216" t="n">
        <v>61.73</v>
      </c>
      <c r="K216" s="3" t="inlineStr">
        <is>
          <t>147.22%</t>
        </is>
      </c>
      <c r="L216" t="n">
        <v>5</v>
      </c>
      <c r="M216" t="n">
        <v>1</v>
      </c>
      <c r="O216" t="inlineStr">
        <is>
          <t>InStock</t>
        </is>
      </c>
      <c r="P216" t="inlineStr">
        <is>
          <t>34.98</t>
        </is>
      </c>
      <c r="Q216" t="inlineStr">
        <is>
          <t>7856604578008</t>
        </is>
      </c>
    </row>
    <row r="217">
      <c r="A217" s="2">
        <f>HYPERLINK("https://edmondsonsupply.com/collections/hvac/products/uniweld-type17-1-oxyacetylene-welding-brazing-tip", "https://edmondsonsupply.com/collections/hvac/products/uniweld-type17-1-oxyacetylene-welding-brazing-tip")</f>
        <v/>
      </c>
      <c r="B217" s="2">
        <f>HYPERLINK("https://edmondsonsupply.com/products/uniweld-type17-1-oxyacetylene-welding-brazing-tip", "https://edmondsonsupply.com/products/uniweld-type17-1-oxyacetylene-welding-brazing-tip")</f>
        <v/>
      </c>
      <c r="C217" t="inlineStr">
        <is>
          <t>Uniweld Type17-1 Oxyacetylene Welding &amp; Brazing Tip</t>
        </is>
      </c>
      <c r="D217" t="inlineStr">
        <is>
          <t>Uniweld TYPE17-15 Rosebud Brazing &amp; Heating Tip #15</t>
        </is>
      </c>
      <c r="E217" s="2">
        <f>HYPERLINK("https://www.amazon.com/Uniweld-Type17-15-Rosebud-Heating-Tip/dp/B00FI1J1V0/ref=sr_1_2?keywords=uniweld+type17-1+oxy+acetylene+welding&amp;qid=1695173638&amp;sr=8-2", "https://www.amazon.com/Uniweld-Type17-15-Rosebud-Heating-Tip/dp/B00FI1J1V0/ref=sr_1_2?keywords=uniweld+type17-1+oxy+acetylene+welding&amp;qid=1695173638&amp;sr=8-2")</f>
        <v/>
      </c>
      <c r="F217" t="inlineStr">
        <is>
          <t>B00FI1J1V0</t>
        </is>
      </c>
      <c r="G217">
        <f>_xludf.IMAGE("https://edmondsonsupply.com/cdn/shop/products/type17-1.jpg?v=1633030476")</f>
        <v/>
      </c>
      <c r="H217">
        <f>_xludf.IMAGE("https://m.media-amazon.com/images/I/51L7GasrP9L._AC_UL320_.jpg")</f>
        <v/>
      </c>
      <c r="I217" t="inlineStr">
        <is>
          <t>29.79</t>
        </is>
      </c>
      <c r="J217" t="n">
        <v>73.29000000000001</v>
      </c>
      <c r="K217" s="3" t="inlineStr">
        <is>
          <t>146.02%</t>
        </is>
      </c>
      <c r="L217" t="n">
        <v>4.3</v>
      </c>
      <c r="M217" t="n">
        <v>98</v>
      </c>
      <c r="O217" t="inlineStr">
        <is>
          <t>InStock</t>
        </is>
      </c>
      <c r="P217" t="inlineStr">
        <is>
          <t>37.78</t>
        </is>
      </c>
      <c r="Q217" t="inlineStr">
        <is>
          <t>5365601042600</t>
        </is>
      </c>
    </row>
    <row r="218">
      <c r="A218" s="2">
        <f>HYPERLINK("https://edmondsonsupply.com/collections/hvac/products/supco-spp5-solid-state-relay-hard-start-capacitor-starter-pow-r-pak", "https://edmondsonsupply.com/collections/hvac/products/supco-spp5-solid-state-relay-hard-start-capacitor-starter-pow-r-pak")</f>
        <v/>
      </c>
      <c r="B218" s="2">
        <f>HYPERLINK("https://edmondsonsupply.com/products/supco-spp5-solid-state-relay-hard-start-capacitor-starter-pow-r-pak", "https://edmondsonsupply.com/products/supco-spp5-solid-state-relay-hard-start-capacitor-starter-pow-r-pak")</f>
        <v/>
      </c>
      <c r="C218" t="inlineStr">
        <is>
          <t>Supco SPP5 Solid State Relay &amp; Hard Start Capacitor Starter POW-R-PAK</t>
        </is>
      </c>
      <c r="D218" t="inlineStr">
        <is>
          <t>SPP5 Supco Solid State HVAC HS5 Relay &amp; Hard Start Capacitor Pow-R-Pak</t>
        </is>
      </c>
      <c r="E218" s="2">
        <f>HYPERLINK("https://www.amazon.com/Supco-Solid-State-Capacitor-Pow-R-Pak/dp/B01MF4CCJJ/ref=sr_1_2?keywords=Supco+SPP5+Solid+State+Relay&amp;qid=1695173679&amp;sr=8-2", "https://www.amazon.com/Supco-Solid-State-Capacitor-Pow-R-Pak/dp/B01MF4CCJJ/ref=sr_1_2?keywords=Supco+SPP5+Solid+State+Relay&amp;qid=1695173679&amp;sr=8-2")</f>
        <v/>
      </c>
      <c r="F218" t="inlineStr">
        <is>
          <t>B01MF4CCJJ</t>
        </is>
      </c>
      <c r="G218">
        <f>_xludf.IMAGE("https://edmondsonsupply.com/cdn/shop/products/SPP5.jpg?v=1587144645")</f>
        <v/>
      </c>
      <c r="H218">
        <f>_xludf.IMAGE("https://m.media-amazon.com/images/I/31Vnbq8fm9L._AC_UY218_.jpg")</f>
        <v/>
      </c>
      <c r="I218" t="inlineStr">
        <is>
          <t>9.95</t>
        </is>
      </c>
      <c r="J218" t="n">
        <v>24.38</v>
      </c>
      <c r="K218" s="3" t="inlineStr">
        <is>
          <t>145.03%</t>
        </is>
      </c>
      <c r="L218" t="n">
        <v>4.7</v>
      </c>
      <c r="M218" t="n">
        <v>2</v>
      </c>
      <c r="O218" t="inlineStr">
        <is>
          <t>InStock</t>
        </is>
      </c>
      <c r="P218" t="inlineStr">
        <is>
          <t>undefined</t>
        </is>
      </c>
      <c r="Q218" t="inlineStr">
        <is>
          <t>3564190171236</t>
        </is>
      </c>
    </row>
    <row r="219">
      <c r="A219" s="2">
        <f>HYPERLINK("https://edmondsonsupply.com/collections/hvac/products/packard-pmj708-motor-start-capacitor-708-850-mfd-110-125-vac", "https://edmondsonsupply.com/collections/hvac/products/packard-pmj708-motor-start-capacitor-708-850-mfd-110-125-vac")</f>
        <v/>
      </c>
      <c r="B219" s="2">
        <f>HYPERLINK("https://edmondsonsupply.com/products/packard-pmj708-motor-start-capacitor-708-850-mfd-110-125-vac", "https://edmondsonsupply.com/products/packard-pmj708-motor-start-capacitor-708-850-mfd-110-125-vac")</f>
        <v/>
      </c>
      <c r="C219" t="inlineStr">
        <is>
          <t>Packard PMJ708 Motor Start Capacitor 708-850 MFD 110-125 VAC</t>
        </is>
      </c>
      <c r="D219" t="inlineStr">
        <is>
          <t>USA Motor Start Capacitor 708-850 uF MFD 110 125 VAC Replaces 11028 11928 PMJ708 PMJ708A</t>
        </is>
      </c>
      <c r="E219" s="2">
        <f>HYPERLINK("https://www.amazon.com/Capacitor-708-850-Replaces-PMJ708-PMJ708A/dp/B07M5HQLFY/ref=sr_1_2?keywords=Packard+PMJ708+Motor+Start+Capacitor+708-850+MFD+110-125+VAC&amp;qid=1695173647&amp;sr=8-2", "https://www.amazon.com/Capacitor-708-850-Replaces-PMJ708-PMJ708A/dp/B07M5HQLFY/ref=sr_1_2?keywords=Packard+PMJ708+Motor+Start+Capacitor+708-850+MFD+110-125+VAC&amp;qid=1695173647&amp;sr=8-2")</f>
        <v/>
      </c>
      <c r="F219" t="inlineStr">
        <is>
          <t>B07M5HQLFY</t>
        </is>
      </c>
      <c r="G219">
        <f>_xludf.IMAGE("https://edmondsonsupply.com/cdn/shop/products/PMJ708-2.jpg?v=1633030334")</f>
        <v/>
      </c>
      <c r="H219">
        <f>_xludf.IMAGE("https://m.media-amazon.com/images/I/41Br07uBitL._AC_UY218_.jpg")</f>
        <v/>
      </c>
      <c r="I219" t="inlineStr">
        <is>
          <t>6.76</t>
        </is>
      </c>
      <c r="J219" t="n">
        <v>16.55</v>
      </c>
      <c r="K219" s="3" t="inlineStr">
        <is>
          <t>144.82%</t>
        </is>
      </c>
      <c r="L219" t="n">
        <v>5</v>
      </c>
      <c r="M219" t="n">
        <v>2</v>
      </c>
      <c r="O219" t="inlineStr">
        <is>
          <t>InStock</t>
        </is>
      </c>
      <c r="P219" t="inlineStr">
        <is>
          <t>undefined</t>
        </is>
      </c>
      <c r="Q219" t="inlineStr">
        <is>
          <t>5271970021544</t>
        </is>
      </c>
    </row>
    <row r="220">
      <c r="A220" s="2">
        <f>HYPERLINK("https://edmondsonsupply.com/collections/hvac/products/icm-controls-icm286-furnace-control-board-replacement-for-goodman-pcbbf112s-b1809926s-0130f00005s", "https://edmondsonsupply.com/collections/hvac/products/icm-controls-icm286-furnace-control-board-replacement-for-goodman-pcbbf112s-b1809926s-0130f00005s")</f>
        <v/>
      </c>
      <c r="B220" s="2">
        <f>HYPERLINK("https://edmondsonsupply.com/products/icm-controls-icm286-furnace-control-board-replacement-for-goodman-pcbbf112s-b1809926s-0130f00005s", "https://edmondsonsupply.com/products/icm-controls-icm286-furnace-control-board-replacement-for-goodman-pcbbf112s-b1809926s-0130f00005s")</f>
        <v/>
      </c>
      <c r="C220" t="inlineStr">
        <is>
          <t>ICM Controls ICM2811 Furnace Control Board - Replacement for Goodman</t>
        </is>
      </c>
      <c r="D220" t="inlineStr">
        <is>
          <t>B18099-04-Goodman ICM Replacement Furnace Control Board</t>
        </is>
      </c>
      <c r="E220" s="2">
        <f>HYPERLINK("https://www.amazon.com/B18099-04-Goodman-ICM-Replacement-Furnace-Control/dp/B00G036QKO/ref=sr_1_2?keywords=ICM+Controls+ICM2811+Furnace+Control+Board+-+Replacement+for+Goodman&amp;qid=1695173453&amp;sr=8-2", "https://www.amazon.com/B18099-04-Goodman-ICM-Replacement-Furnace-Control/dp/B00G036QKO/ref=sr_1_2?keywords=ICM+Controls+ICM2811+Furnace+Control+Board+-+Replacement+for+Goodman&amp;qid=1695173453&amp;sr=8-2")</f>
        <v/>
      </c>
      <c r="F220" t="inlineStr">
        <is>
          <t>B00G036QKO</t>
        </is>
      </c>
      <c r="G220">
        <f>_xludf.IMAGE("https://edmondsonsupply.com/cdn/shop/products/photo_3800_medium_86f45e25-a764-4839-bc84-759a6ce1c7bd.jpg?v=1659910436")</f>
        <v/>
      </c>
      <c r="H220">
        <f>_xludf.IMAGE("https://m.media-amazon.com/images/I/612tjJ9d1OL._AC_UL320_.jpg")</f>
        <v/>
      </c>
      <c r="I220" t="inlineStr">
        <is>
          <t>68.99</t>
        </is>
      </c>
      <c r="J220" t="n">
        <v>166.45</v>
      </c>
      <c r="K220" s="3" t="inlineStr">
        <is>
          <t>141.27%</t>
        </is>
      </c>
      <c r="L220" t="n">
        <v>5</v>
      </c>
      <c r="M220" t="n">
        <v>1</v>
      </c>
      <c r="O220" t="inlineStr">
        <is>
          <t>InStock</t>
        </is>
      </c>
      <c r="P220" t="inlineStr">
        <is>
          <t>93.62</t>
        </is>
      </c>
      <c r="Q220" t="inlineStr">
        <is>
          <t>4345448202340</t>
        </is>
      </c>
    </row>
    <row r="221">
      <c r="A221" s="2">
        <f>HYPERLINK("https://edmondsonsupply.com/collections/hvac/products/robertshaw-1751-013-add-on-pressure-regulator-kit-lp-gas", "https://edmondsonsupply.com/collections/hvac/products/robertshaw-1751-013-add-on-pressure-regulator-kit-lp-gas")</f>
        <v/>
      </c>
      <c r="B221" s="2">
        <f>HYPERLINK("https://edmondsonsupply.com/products/robertshaw-1751-013-add-on-pressure-regulator-kit-lp-gas", "https://edmondsonsupply.com/products/robertshaw-1751-013-add-on-pressure-regulator-kit-lp-gas")</f>
        <v/>
      </c>
      <c r="C221" t="inlineStr">
        <is>
          <t>Robertshaw 1751-013 Add-On Pressure Regulator Kit, LP Gas</t>
        </is>
      </c>
      <c r="D221" t="inlineStr">
        <is>
          <t>LP Gas Converstion Pressure Regulator Kit Replaces Robertshaw 1751-013 HVAC Part</t>
        </is>
      </c>
      <c r="E221" s="2">
        <f>HYPERLINK("https://www.amazon.com/Converstion-Pressure-Regulator-Robertshaw-HVAC/dp/B07KJQN5QM/ref=sr_1_1?keywords=Robertshaw+1751-013+Add-On+Pressure+Regulator+Kit%2C+LP+Gas&amp;qid=1695173534&amp;sr=8-1", "https://www.amazon.com/Converstion-Pressure-Regulator-Robertshaw-HVAC/dp/B07KJQN5QM/ref=sr_1_1?keywords=Robertshaw+1751-013+Add-On+Pressure+Regulator+Kit%2C+LP+Gas&amp;qid=1695173534&amp;sr=8-1")</f>
        <v/>
      </c>
      <c r="F221" t="inlineStr">
        <is>
          <t>B07KJQN5QM</t>
        </is>
      </c>
      <c r="G221">
        <f>_xludf.IMAGE("https://edmondsonsupply.com/cdn/shop/products/1751-013smaller.jpg?v=1633030771")</f>
        <v/>
      </c>
      <c r="H221">
        <f>_xludf.IMAGE("https://m.media-amazon.com/images/I/51lR399Z+4L._AC_UY218_.jpg")</f>
        <v/>
      </c>
      <c r="I221" t="inlineStr">
        <is>
          <t>26.21</t>
        </is>
      </c>
      <c r="J221" t="n">
        <v>63.12</v>
      </c>
      <c r="K221" s="3" t="inlineStr">
        <is>
          <t>140.82%</t>
        </is>
      </c>
      <c r="L221" t="n">
        <v>4.5</v>
      </c>
      <c r="M221" t="n">
        <v>2</v>
      </c>
      <c r="O221" t="inlineStr">
        <is>
          <t>InStock</t>
        </is>
      </c>
      <c r="P221" t="inlineStr">
        <is>
          <t>undefined</t>
        </is>
      </c>
      <c r="Q221" t="inlineStr">
        <is>
          <t>5945285247144</t>
        </is>
      </c>
    </row>
    <row r="222">
      <c r="A222" s="2">
        <f>HYPERLINK("https://edmondsonsupply.com/collections/hvac/products/robertshaw-ldk-110000-070-reversing-valve-solenoid-coil-24v", "https://edmondsonsupply.com/collections/hvac/products/robertshaw-ldk-110000-070-reversing-valve-solenoid-coil-24v")</f>
        <v/>
      </c>
      <c r="B222" s="2">
        <f>HYPERLINK("https://edmondsonsupply.com/products/robertshaw-ldk-110000-070-reversing-valve-solenoid-coil-24v", "https://edmondsonsupply.com/products/robertshaw-ldk-110000-070-reversing-valve-solenoid-coil-24v")</f>
        <v/>
      </c>
      <c r="C222" t="inlineStr">
        <is>
          <t>Ranco LDK-110000-070 Reversing Valve Solenoid Coil, 24V</t>
        </is>
      </c>
      <c r="D222" t="inlineStr">
        <is>
          <t>Replacement for Ranco LDK-110000-070 Solenoid Coil 24 VAC for Heat Pump Reversing Valves</t>
        </is>
      </c>
      <c r="E222" s="2">
        <f>HYPERLINK("https://www.amazon.com/Replacement-LDK-110000-070-Solenoid-Reversing-Valves/dp/B09Y4BS2XC/ref=sr_1_2?keywords=Ranco+LDK-110000-070+Reversing+Valve+Solenoid+Coil%2C+24V&amp;qid=1695173546&amp;sr=8-2", "https://www.amazon.com/Replacement-LDK-110000-070-Solenoid-Reversing-Valves/dp/B09Y4BS2XC/ref=sr_1_2?keywords=Ranco+LDK-110000-070+Reversing+Valve+Solenoid+Coil%2C+24V&amp;qid=1695173546&amp;sr=8-2")</f>
        <v/>
      </c>
      <c r="F222" t="inlineStr">
        <is>
          <t>B09Y4BS2XC</t>
        </is>
      </c>
      <c r="G222">
        <f>_xludf.IMAGE("https://edmondsonsupply.com/cdn/shop/products/LDK-110000-070.jpg?v=1633030794")</f>
        <v/>
      </c>
      <c r="H222">
        <f>_xludf.IMAGE("https://m.media-amazon.com/images/I/61WExo8YLUL._AC_UY218_.jpg")</f>
        <v/>
      </c>
      <c r="I222" t="inlineStr">
        <is>
          <t>22.79</t>
        </is>
      </c>
      <c r="J222" t="n">
        <v>54.74</v>
      </c>
      <c r="K222" s="3" t="inlineStr">
        <is>
          <t>140.19%</t>
        </is>
      </c>
      <c r="L222" t="n">
        <v>5</v>
      </c>
      <c r="M222" t="n">
        <v>1</v>
      </c>
      <c r="O222" t="inlineStr">
        <is>
          <t>InStock</t>
        </is>
      </c>
      <c r="P222" t="inlineStr">
        <is>
          <t>77.06</t>
        </is>
      </c>
      <c r="Q222" t="inlineStr">
        <is>
          <t>5994116907176</t>
        </is>
      </c>
    </row>
    <row r="223">
      <c r="A223" s="2">
        <f>HYPERLINK("https://edmondsonsupply.com/collections/hvac/products/icm-controls-icm289-furnace-control-board-replacement-for-lennox", "https://edmondsonsupply.com/collections/hvac/products/icm-controls-icm289-furnace-control-board-replacement-for-lennox")</f>
        <v/>
      </c>
      <c r="B223" s="2">
        <f>HYPERLINK("https://edmondsonsupply.com/products/icm-controls-icm289-furnace-control-board-replacement-for-lennox", "https://edmondsonsupply.com/products/icm-controls-icm289-furnace-control-board-replacement-for-lennox")</f>
        <v/>
      </c>
      <c r="C223" t="inlineStr">
        <is>
          <t>ICM Controls ICM289 Furnace Control Board - Replacement for Lennox</t>
        </is>
      </c>
      <c r="D223" t="inlineStr">
        <is>
          <t>18G9101-Lennox ICM Replacement Furnace Control Board</t>
        </is>
      </c>
      <c r="E223" s="2">
        <f>HYPERLINK("https://www.amazon.com/18G9101-Lennox-ICM-Replacement-Furnace-Control/dp/B00G03B9BK/ref=sr_1_8?keywords=ICM+Controls+ICM289+Furnace+Control+Board+-+Replacement+for+Lennox&amp;qid=1695173465&amp;sr=8-8", "https://www.amazon.com/18G9101-Lennox-ICM-Replacement-Furnace-Control/dp/B00G03B9BK/ref=sr_1_8?keywords=ICM+Controls+ICM289+Furnace+Control+Board+-+Replacement+for+Lennox&amp;qid=1695173465&amp;sr=8-8")</f>
        <v/>
      </c>
      <c r="F223" t="inlineStr">
        <is>
          <t>B00G03B9BK</t>
        </is>
      </c>
      <c r="G223">
        <f>_xludf.IMAGE("https://edmondsonsupply.com/cdn/shop/products/photo_3601_medium_abc82be0-5d13-465a-9be5-04a6748e2d27.png?v=1656728911")</f>
        <v/>
      </c>
      <c r="H223">
        <f>_xludf.IMAGE("https://m.media-amazon.com/images/I/51a6vZwTLyL._AC_UL320_.jpg")</f>
        <v/>
      </c>
      <c r="I223" t="inlineStr">
        <is>
          <t>134.99</t>
        </is>
      </c>
      <c r="J223" t="n">
        <v>321.95</v>
      </c>
      <c r="K223" s="3" t="inlineStr">
        <is>
          <t>138.50%</t>
        </is>
      </c>
      <c r="L223" t="n">
        <v>5</v>
      </c>
      <c r="M223" t="n">
        <v>1</v>
      </c>
      <c r="O223" t="inlineStr">
        <is>
          <t>OutOfStock</t>
        </is>
      </c>
      <c r="P223" t="inlineStr">
        <is>
          <t>198.98</t>
        </is>
      </c>
      <c r="Q223" t="inlineStr">
        <is>
          <t>7735114432728</t>
        </is>
      </c>
    </row>
    <row r="224">
      <c r="A224" s="2">
        <f>HYPERLINK("https://edmondsonsupply.com/collections/hvac/products/packard-pmj708-motor-start-capacitor-708-850-mfd-110-125-vac", "https://edmondsonsupply.com/collections/hvac/products/packard-pmj708-motor-start-capacitor-708-850-mfd-110-125-vac")</f>
        <v/>
      </c>
      <c r="B224" s="2">
        <f>HYPERLINK("https://edmondsonsupply.com/products/packard-pmj708-motor-start-capacitor-708-850-mfd-110-125-vac", "https://edmondsonsupply.com/products/packard-pmj708-motor-start-capacitor-708-850-mfd-110-125-vac")</f>
        <v/>
      </c>
      <c r="C224" t="inlineStr">
        <is>
          <t>Packard PMJ708 Motor Start Capacitor 708-850 MFD 110-125 VAC</t>
        </is>
      </c>
      <c r="D224" t="inlineStr">
        <is>
          <t>Canamax 708-850 MFD uf 50/60 Hz 110-125 VAC Volts Round Start Capacitor - Replacement for AC Motor Run or Fan Start and Cool or Heat Pump Air Conditioner - Replaces 11028 11928 PMJ708 PMJ708A</t>
        </is>
      </c>
      <c r="E224" s="2">
        <f>HYPERLINK("https://www.amazon.com/Canamax-708-850-110-125-Volts-Capacitor/dp/B0BTHN9D35/ref=sr_1_1?keywords=Packard+PMJ708+Motor+Start+Capacitor+708-850+MFD+110-125+VAC&amp;qid=1695173647&amp;sr=8-1", "https://www.amazon.com/Canamax-708-850-110-125-Volts-Capacitor/dp/B0BTHN9D35/ref=sr_1_1?keywords=Packard+PMJ708+Motor+Start+Capacitor+708-850+MFD+110-125+VAC&amp;qid=1695173647&amp;sr=8-1")</f>
        <v/>
      </c>
      <c r="F224" t="inlineStr">
        <is>
          <t>B0BTHN9D35</t>
        </is>
      </c>
      <c r="G224">
        <f>_xludf.IMAGE("https://edmondsonsupply.com/cdn/shop/products/PMJ708-2.jpg?v=1633030334")</f>
        <v/>
      </c>
      <c r="H224">
        <f>_xludf.IMAGE("https://m.media-amazon.com/images/I/71elYzLuOpL._AC_UY218_.jpg")</f>
        <v/>
      </c>
      <c r="I224" t="inlineStr">
        <is>
          <t>6.76</t>
        </is>
      </c>
      <c r="J224" t="n">
        <v>15.99</v>
      </c>
      <c r="K224" s="3" t="inlineStr">
        <is>
          <t>136.54%</t>
        </is>
      </c>
      <c r="L224" t="n">
        <v>5</v>
      </c>
      <c r="M224" t="n">
        <v>2</v>
      </c>
      <c r="O224" t="inlineStr">
        <is>
          <t>InStock</t>
        </is>
      </c>
      <c r="P224" t="inlineStr">
        <is>
          <t>undefined</t>
        </is>
      </c>
      <c r="Q224" t="inlineStr">
        <is>
          <t>5271970021544</t>
        </is>
      </c>
    </row>
    <row r="225">
      <c r="A225" s="2">
        <f>HYPERLINK("https://edmondsonsupply.com/collections/hvac/products/midwest-mwt-6716s-straight-aviation-snip-blackout-series", "https://edmondsonsupply.com/collections/hvac/products/midwest-mwt-6716s-straight-aviation-snip-blackout-series")</f>
        <v/>
      </c>
      <c r="B225" s="2">
        <f>HYPERLINK("https://edmondsonsupply.com/products/midwest-mwt-6716s-straight-aviation-snip-blackout-series", "https://edmondsonsupply.com/products/midwest-mwt-6716s-straight-aviation-snip-blackout-series")</f>
        <v/>
      </c>
      <c r="C225" t="inlineStr">
        <is>
          <t>Midwest MWT-6716SO Straight Aviation Snip - Blackout Series</t>
        </is>
      </c>
      <c r="D225" t="inlineStr">
        <is>
          <t>MIDWEST Blackout Series Aviation Snip - Left Cut Offset Tin Cutting Shears with Forged Blade &amp; KUSH'N-POWER Comfort Grips - MWT-6510LO</t>
        </is>
      </c>
      <c r="E225" s="2">
        <f>HYPERLINK("https://www.amazon.com/MIDWEST-Blackout-Aviation-Snip-KUSHN-POWER/dp/B00TJQL91U/ref=sr_1_2?keywords=Midwest+MWT-6716SO+Straight+Aviation+Snip+-+Blackout+Series&amp;qid=1695173637&amp;sr=8-2", "https://www.amazon.com/MIDWEST-Blackout-Aviation-Snip-KUSHN-POWER/dp/B00TJQL91U/ref=sr_1_2?keywords=Midwest+MWT-6716SO+Straight+Aviation+Snip+-+Blackout+Series&amp;qid=1695173637&amp;sr=8-2")</f>
        <v/>
      </c>
      <c r="F225" t="inlineStr">
        <is>
          <t>B00TJQL91U</t>
        </is>
      </c>
      <c r="G225">
        <f>_xludf.IMAGE("https://edmondsonsupply.com/cdn/shop/products/mwt-6716so.jpg?v=1633030747")</f>
        <v/>
      </c>
      <c r="H225">
        <f>_xludf.IMAGE("https://m.media-amazon.com/images/I/51OW3TahYsL._AC_UL320_.jpg")</f>
        <v/>
      </c>
      <c r="I225" t="inlineStr">
        <is>
          <t>24.98</t>
        </is>
      </c>
      <c r="J225" t="n">
        <v>58.88</v>
      </c>
      <c r="K225" s="3" t="inlineStr">
        <is>
          <t>135.71%</t>
        </is>
      </c>
      <c r="L225" t="n">
        <v>4.7</v>
      </c>
      <c r="M225" t="n">
        <v>1400</v>
      </c>
      <c r="O225" t="inlineStr">
        <is>
          <t>InStock</t>
        </is>
      </c>
      <c r="P225" t="inlineStr">
        <is>
          <t>36.65</t>
        </is>
      </c>
      <c r="Q225" t="inlineStr">
        <is>
          <t>5889374322856</t>
        </is>
      </c>
    </row>
    <row r="226">
      <c r="A226" s="2">
        <f>HYPERLINK("https://edmondsonsupply.com/collections/hvac/products/packard-c230b-contactor-2-pole-30-amps-120-coil-voltage", "https://edmondsonsupply.com/collections/hvac/products/packard-c230b-contactor-2-pole-30-amps-120-coil-voltage")</f>
        <v/>
      </c>
      <c r="B226" s="2">
        <f>HYPERLINK("https://edmondsonsupply.com/products/packard-c230b-contactor-2-pole-30-amps-120-coil-voltage", "https://edmondsonsupply.com/products/packard-c230b-contactor-2-pole-30-amps-120-coil-voltage")</f>
        <v/>
      </c>
      <c r="C226" t="inlineStr">
        <is>
          <t>Packard C230B Contactor 2 Pole 30 AMPS 120 Coil Voltage</t>
        </is>
      </c>
      <c r="D226" t="inlineStr">
        <is>
          <t>Furnas 45EG20AF - Replaced by Eaton/Cutler Hammer C25BNB230A Contactor, 2-Pole, 30 Amp, 120 VAC Coil Voltage</t>
        </is>
      </c>
      <c r="E226" s="2">
        <f>HYPERLINK("https://www.amazon.com/Furnas-45EG20AF-Replaced-C25BNB230A-Contactor/dp/B07GSD7WRV/ref=sr_1_3?keywords=Packard+C230B+Contactor+2+Pole+30+AMPS+120+Coil+Voltage&amp;qid=1695173673&amp;sr=8-3", "https://www.amazon.com/Furnas-45EG20AF-Replaced-C25BNB230A-Contactor/dp/B07GSD7WRV/ref=sr_1_3?keywords=Packard+C230B+Contactor+2+Pole+30+AMPS+120+Coil+Voltage&amp;qid=1695173673&amp;sr=8-3")</f>
        <v/>
      </c>
      <c r="F226" t="inlineStr">
        <is>
          <t>B07GSD7WRV</t>
        </is>
      </c>
      <c r="G226">
        <f>_xludf.IMAGE("https://edmondsonsupply.com/cdn/shop/products/C230B-1.jpg?v=1587142333")</f>
        <v/>
      </c>
      <c r="H226">
        <f>_xludf.IMAGE("https://m.media-amazon.com/images/I/41mfO5g+QfL._AC_UY218_.jpg")</f>
        <v/>
      </c>
      <c r="I226" t="inlineStr">
        <is>
          <t>10.82</t>
        </is>
      </c>
      <c r="J226" t="n">
        <v>25.5</v>
      </c>
      <c r="K226" s="3" t="inlineStr">
        <is>
          <t>135.67%</t>
        </is>
      </c>
      <c r="L226" t="n">
        <v>5</v>
      </c>
      <c r="M226" t="n">
        <v>2</v>
      </c>
      <c r="O226" t="inlineStr">
        <is>
          <t>InStock</t>
        </is>
      </c>
      <c r="P226" t="inlineStr">
        <is>
          <t>undefined</t>
        </is>
      </c>
      <c r="Q226" t="inlineStr">
        <is>
          <t>4367983673444</t>
        </is>
      </c>
    </row>
    <row r="227">
      <c r="A227" s="2">
        <f>HYPERLINK("https://edmondsonsupply.com/collections/hvac/products/spin-tools-s1014-swaging-1-4-drill-bit", "https://edmondsonsupply.com/collections/hvac/products/spin-tools-s1014-swaging-1-4-drill-bit")</f>
        <v/>
      </c>
      <c r="B227" s="2">
        <f>HYPERLINK("https://edmondsonsupply.com/products/spin-tools-s1014-swaging-1-4-drill-bit", "https://edmondsonsupply.com/products/spin-tools-s1014-swaging-1-4-drill-bit")</f>
        <v/>
      </c>
      <c r="C227" t="inlineStr">
        <is>
          <t>SPIN Tools S1014 Swaging Individual 1/4" Drill Bit</t>
        </is>
      </c>
      <c r="D227" t="inlineStr">
        <is>
          <t>Spin S1014 Swaging Tool, 1/4-Inch, Individual Hex Drill Bit</t>
        </is>
      </c>
      <c r="E227" s="2">
        <f>HYPERLINK("https://www.amazon.com/SPIN-S1014-Drill-Swaging-Tool/dp/B093CFYFS2/ref=sr_1_4?keywords=SPIN+Tools+S1014+Swaging+Individual+1%2F4%22+Drill+Bit&amp;qid=1695173476&amp;sr=8-4", "https://www.amazon.com/SPIN-S1014-Drill-Swaging-Tool/dp/B093CFYFS2/ref=sr_1_4?keywords=SPIN+Tools+S1014+Swaging+Individual+1%2F4%22+Drill+Bit&amp;qid=1695173476&amp;sr=8-4")</f>
        <v/>
      </c>
      <c r="F227" t="inlineStr">
        <is>
          <t>B093CFYFS2</t>
        </is>
      </c>
      <c r="G227">
        <f>_xludf.IMAGE("https://edmondsonsupply.com/cdn/shop/products/S1014-2.jpg?v=1633030315")</f>
        <v/>
      </c>
      <c r="H227">
        <f>_xludf.IMAGE("https://m.media-amazon.com/images/I/31u2LFsXhsS._AC_UL320_.jpg")</f>
        <v/>
      </c>
      <c r="I227" t="inlineStr">
        <is>
          <t>26.45</t>
        </is>
      </c>
      <c r="J227" t="n">
        <v>62.3</v>
      </c>
      <c r="K227" s="3" t="inlineStr">
        <is>
          <t>135.54%</t>
        </is>
      </c>
      <c r="L227" t="n">
        <v>5</v>
      </c>
      <c r="M227" t="n">
        <v>1</v>
      </c>
      <c r="O227" t="inlineStr">
        <is>
          <t>OutOfStock</t>
        </is>
      </c>
      <c r="P227" t="inlineStr">
        <is>
          <t>30.0</t>
        </is>
      </c>
      <c r="Q227" t="inlineStr">
        <is>
          <t>5242852114600</t>
        </is>
      </c>
    </row>
    <row r="228">
      <c r="A228" s="2">
        <f>HYPERLINK("https://edmondsonsupply.com/collections/hvac/products/klein-tools-69410-replacement-test-lead-set-right-angle", "https://edmondsonsupply.com/collections/hvac/products/klein-tools-69410-replacement-test-lead-set-right-angle")</f>
        <v/>
      </c>
      <c r="B228" s="2">
        <f>HYPERLINK("https://edmondsonsupply.com/products/klein-tools-69410-replacement-test-lead-set-right-angle", "https://edmondsonsupply.com/products/klein-tools-69410-replacement-test-lead-set-right-angle")</f>
        <v/>
      </c>
      <c r="C228" t="inlineStr">
        <is>
          <t>Klein Tools 69410 Replacement Test Lead Set, Right Angle</t>
        </is>
      </c>
      <c r="D228" t="inlineStr">
        <is>
          <t>Klein Tools MM450 Multimeter, Slim Digital Meter, Auto-Ranging TRMS, 600V AC/DC Voltage, Current, Resistance, Temp, Frequency, Continuity &amp; 69410 Replacement Test Lead Set, Right Angle</t>
        </is>
      </c>
      <c r="E228" s="2">
        <f>HYPERLINK("https://www.amazon.com/Klein-Tools-Multimeter-Auto-Ranging-Replacement/dp/B0CF1HLRLZ/ref=sr_1_3?keywords=Klein+Tools+69410+Replacement+Test+Lead+Set%2C+Right+Angle&amp;qid=1695173692&amp;sr=8-3", "https://www.amazon.com/Klein-Tools-Multimeter-Auto-Ranging-Replacement/dp/B0CF1HLRLZ/ref=sr_1_3?keywords=Klein+Tools+69410+Replacement+Test+Lead+Set%2C+Right+Angle&amp;qid=1695173692&amp;sr=8-3")</f>
        <v/>
      </c>
      <c r="F228" t="inlineStr">
        <is>
          <t>B0CF1HLRLZ</t>
        </is>
      </c>
      <c r="G228">
        <f>_xludf.IMAGE("https://edmondsonsupply.com/cdn/shop/products/69410.jpg?v=1587143393")</f>
        <v/>
      </c>
      <c r="H228">
        <f>_xludf.IMAGE("https://m.media-amazon.com/images/I/511gqqz-o+L._AC_UY218_.jpg")</f>
        <v/>
      </c>
      <c r="I228" t="inlineStr">
        <is>
          <t>19.97</t>
        </is>
      </c>
      <c r="J228" t="n">
        <v>46.9</v>
      </c>
      <c r="K228" s="3" t="inlineStr">
        <is>
          <t>134.85%</t>
        </is>
      </c>
      <c r="L228" t="n">
        <v>4.7</v>
      </c>
      <c r="M228" t="n">
        <v>3817</v>
      </c>
      <c r="O228" t="inlineStr">
        <is>
          <t>InStock</t>
        </is>
      </c>
      <c r="P228" t="inlineStr">
        <is>
          <t>27.1</t>
        </is>
      </c>
      <c r="Q228" t="inlineStr">
        <is>
          <t>4274171543652</t>
        </is>
      </c>
    </row>
    <row r="229">
      <c r="A229" s="2">
        <f>HYPERLINK("https://edmondsonsupply.com/collections/hvac/products/klein-tools-32314-14-in-1-precision-screwdriver-nut-driver", "https://edmondsonsupply.com/collections/hvac/products/klein-tools-32314-14-in-1-precision-screwdriver-nut-driver")</f>
        <v/>
      </c>
      <c r="B229" s="2">
        <f>HYPERLINK("https://edmondsonsupply.com/products/klein-tools-32314-14-in-1-precision-screwdriver-nut-driver", "https://edmondsonsupply.com/products/klein-tools-32314-14-in-1-precision-screwdriver-nut-driver")</f>
        <v/>
      </c>
      <c r="C229" t="inlineStr">
        <is>
          <t>Klein Tools 32314 14-in-1 Precision Screwdriver/ Nut Driver</t>
        </is>
      </c>
      <c r="D229" t="inlineStr">
        <is>
          <t>Klein Tools 32305 Multi-bit Ratcheting Screwdriver &amp; 32314 Electronic Screwdriver, 14-in-1 with 8 Precision Tips, Slotted, Phillips, and Tamperproof TORX Bits, 6 Precision Nut Drivers</t>
        </is>
      </c>
      <c r="E229" s="2">
        <f>HYPERLINK("https://www.amazon.com/Klein-Tools-Ratcheting-Screwdriver-Tamperproof/dp/B09Y88M7X7/ref=sr_1_5?keywords=Klein+Tools+32314+14-in-1+Precision+Screwdriver%2F+Nut+Driver&amp;qid=1695173510&amp;sr=8-5", "https://www.amazon.com/Klein-Tools-Ratcheting-Screwdriver-Tamperproof/dp/B09Y88M7X7/ref=sr_1_5?keywords=Klein+Tools+32314+14-in-1+Precision+Screwdriver%2F+Nut+Driver&amp;qid=1695173510&amp;sr=8-5")</f>
        <v/>
      </c>
      <c r="F229" t="inlineStr">
        <is>
          <t>B09Y88M7X7</t>
        </is>
      </c>
      <c r="G229">
        <f>_xludf.IMAGE("https://edmondsonsupply.com/cdn/shop/products/32314.jpg?v=1646593726")</f>
        <v/>
      </c>
      <c r="H229">
        <f>_xludf.IMAGE("https://m.media-amazon.com/images/I/41GYmy8nNDL._AC_UL320_.jpg")</f>
        <v/>
      </c>
      <c r="I229" t="inlineStr">
        <is>
          <t>15.97</t>
        </is>
      </c>
      <c r="J229" t="n">
        <v>36.94</v>
      </c>
      <c r="K229" s="3" t="inlineStr">
        <is>
          <t>131.31%</t>
        </is>
      </c>
      <c r="L229" t="n">
        <v>4.7</v>
      </c>
      <c r="M229" t="n">
        <v>22</v>
      </c>
      <c r="O229" t="inlineStr">
        <is>
          <t>InStock</t>
        </is>
      </c>
      <c r="P229" t="inlineStr">
        <is>
          <t>22.38</t>
        </is>
      </c>
      <c r="Q229" t="inlineStr">
        <is>
          <t>7626984947928</t>
        </is>
      </c>
    </row>
    <row r="230">
      <c r="A230" s="2">
        <f>HYPERLINK("https://edmondsonsupply.com/collections/hvac/products/midwest-mwt-ss6716l-special-hardness-aviation-snip-left-cutting", "https://edmondsonsupply.com/collections/hvac/products/midwest-mwt-ss6716l-special-hardness-aviation-snip-left-cutting")</f>
        <v/>
      </c>
      <c r="B230" s="2">
        <f>HYPERLINK("https://edmondsonsupply.com/products/midwest-mwt-ss6716l-special-hardness-aviation-snip-left-cutting", "https://edmondsonsupply.com/products/midwest-mwt-ss6716l-special-hardness-aviation-snip-left-cutting")</f>
        <v/>
      </c>
      <c r="C230" t="inlineStr">
        <is>
          <t>Midwest MWT-SS6716L Special Hardness Aviation Snip - Left-Cutting</t>
        </is>
      </c>
      <c r="D230" t="inlineStr">
        <is>
          <t>MIDWEST Blackout Series Aviation Snip - Left Cut Offset Tin Cutting Shears with Forged Blade &amp; KUSH'N-POWER Comfort Grips - MWT-6510LO</t>
        </is>
      </c>
      <c r="E230" s="2">
        <f>HYPERLINK("https://www.amazon.com/MIDWEST-Blackout-Aviation-Snip-KUSHN-POWER/dp/B00TJQL91U/ref=sr_1_5?keywords=Midwest+MWT-SS6716L+Special+Hardness+Aviation+Snip+-+Left-Cutting&amp;qid=1695173419&amp;sr=8-5", "https://www.amazon.com/MIDWEST-Blackout-Aviation-Snip-KUSHN-POWER/dp/B00TJQL91U/ref=sr_1_5?keywords=Midwest+MWT-SS6716L+Special+Hardness+Aviation+Snip+-+Left-Cutting&amp;qid=1695173419&amp;sr=8-5")</f>
        <v/>
      </c>
      <c r="F230" t="inlineStr">
        <is>
          <t>B00TJQL91U</t>
        </is>
      </c>
      <c r="G230">
        <f>_xludf.IMAGE("https://edmondsonsupply.com/cdn/shop/products/MWT-SS6716L1.jpg?v=1587151241")</f>
        <v/>
      </c>
      <c r="H230">
        <f>_xludf.IMAGE("https://m.media-amazon.com/images/I/51OW3TahYsL._AC_UL320_.jpg")</f>
        <v/>
      </c>
      <c r="I230" t="inlineStr">
        <is>
          <t>25.49</t>
        </is>
      </c>
      <c r="J230" t="n">
        <v>58.88</v>
      </c>
      <c r="K230" s="3" t="inlineStr">
        <is>
          <t>130.99%</t>
        </is>
      </c>
      <c r="L230" t="n">
        <v>4.7</v>
      </c>
      <c r="M230" t="n">
        <v>1400</v>
      </c>
      <c r="O230" t="inlineStr">
        <is>
          <t>InStock</t>
        </is>
      </c>
      <c r="P230" t="inlineStr">
        <is>
          <t>36.2</t>
        </is>
      </c>
      <c r="Q230" t="inlineStr">
        <is>
          <t>4508646277220</t>
        </is>
      </c>
    </row>
    <row r="231">
      <c r="A231" s="2">
        <f>HYPERLINK("https://edmondsonsupply.com/collections/hvac/products/klein-tools-94130-1000v-insulated-tool-kit-5-piece", "https://edmondsonsupply.com/collections/hvac/products/klein-tools-94130-1000v-insulated-tool-kit-5-piece")</f>
        <v/>
      </c>
      <c r="B231" s="2">
        <f>HYPERLINK("https://edmondsonsupply.com/products/klein-tools-94130-1000v-insulated-tool-kit-5-piece", "https://edmondsonsupply.com/products/klein-tools-94130-1000v-insulated-tool-kit-5-piece")</f>
        <v/>
      </c>
      <c r="C231" t="inlineStr">
        <is>
          <t>Klein Tools 94130 1000V Insulated Tool Kit, 5-Piece</t>
        </is>
      </c>
      <c r="D231" t="inlineStr">
        <is>
          <t>Klein Tools 33524 Tool Kit, 1000V Insulated Nut Driver Set, Sizes 3/16, 1/4, 5/16, 11/32, 3/8,7/16,1/2,9/16,5/8-Inch, with Case, 9-Piece</t>
        </is>
      </c>
      <c r="E231" s="2">
        <f>HYPERLINK("https://www.amazon.com/Insulated-9-Piece-Klein-Tools-33524/dp/B000MKIR9E/ref=sr_1_1?keywords=Klein+Tools+94130+1000V+Insulated+Tool+Kit%2C+5-Piece&amp;qid=1695173544&amp;sr=8-1", "https://www.amazon.com/Insulated-9-Piece-Klein-Tools-33524/dp/B000MKIR9E/ref=sr_1_1?keywords=Klein+Tools+94130+1000V+Insulated+Tool+Kit%2C+5-Piece&amp;qid=1695173544&amp;sr=8-1")</f>
        <v/>
      </c>
      <c r="F231" t="inlineStr">
        <is>
          <t>B000MKIR9E</t>
        </is>
      </c>
      <c r="G231">
        <f>_xludf.IMAGE("https://edmondsonsupply.com/cdn/shop/products/94130.jpg?v=1633030386")</f>
        <v/>
      </c>
      <c r="H231">
        <f>_xludf.IMAGE("https://m.media-amazon.com/images/I/71+Db525CfL._AC_UL320_.jpg")</f>
        <v/>
      </c>
      <c r="I231" t="inlineStr">
        <is>
          <t>99.99</t>
        </is>
      </c>
      <c r="J231" t="n">
        <v>229.49</v>
      </c>
      <c r="K231" s="3" t="inlineStr">
        <is>
          <t>129.51%</t>
        </is>
      </c>
      <c r="L231" t="n">
        <v>4.4</v>
      </c>
      <c r="M231" t="n">
        <v>26</v>
      </c>
      <c r="O231" t="inlineStr">
        <is>
          <t>InStock</t>
        </is>
      </c>
      <c r="P231" t="inlineStr">
        <is>
          <t>149.98</t>
        </is>
      </c>
      <c r="Q231" t="inlineStr">
        <is>
          <t>5299145146536</t>
        </is>
      </c>
    </row>
    <row r="232">
      <c r="A232" s="2">
        <f>HYPERLINK("https://edmondsonsupply.com/collections/hvac/products/packard-prmj145a-motor-start-capacitor-145-174-mfd", "https://edmondsonsupply.com/collections/hvac/products/packard-prmj145a-motor-start-capacitor-145-174-mfd")</f>
        <v/>
      </c>
      <c r="B232" s="2">
        <f>HYPERLINK("https://edmondsonsupply.com/products/packard-prmj145a-motor-start-capacitor-145-174-mfd", "https://edmondsonsupply.com/products/packard-prmj145a-motor-start-capacitor-145-174-mfd")</f>
        <v/>
      </c>
      <c r="C232" t="inlineStr">
        <is>
          <t>Packard PRMJ145A Motor Start Capacitor 145-174 MFD</t>
        </is>
      </c>
      <c r="D232" t="inlineStr">
        <is>
          <t>Motor Start Capacitor, 110-125 Volt, 145-174 Mfd</t>
        </is>
      </c>
      <c r="E232" s="2">
        <f>HYPERLINK("https://www.amazon.com/Motor-Start-Capacitor-110-125-145-174/dp/B01MR4WQRM/ref=sr_1_4?keywords=Packard+PRMJ145A+Motor+Start+Capacitor+145-174+MFD&amp;qid=1695173645&amp;sr=8-4", "https://www.amazon.com/Motor-Start-Capacitor-110-125-145-174/dp/B01MR4WQRM/ref=sr_1_4?keywords=Packard+PRMJ145A+Motor+Start+Capacitor+145-174+MFD&amp;qid=1695173645&amp;sr=8-4")</f>
        <v/>
      </c>
      <c r="F232" t="inlineStr">
        <is>
          <t>B01MR4WQRM</t>
        </is>
      </c>
      <c r="G232">
        <f>_xludf.IMAGE("https://edmondsonsupply.com/cdn/shop/products/PRMJ145A-2.jpg?v=1633030335")</f>
        <v/>
      </c>
      <c r="H232">
        <f>_xludf.IMAGE("https://m.media-amazon.com/images/I/21-n9CuvX0L._AC_UY218_.jpg")</f>
        <v/>
      </c>
      <c r="I232" t="inlineStr">
        <is>
          <t>7.51</t>
        </is>
      </c>
      <c r="J232" t="n">
        <v>17.18</v>
      </c>
      <c r="K232" s="3" t="inlineStr">
        <is>
          <t>128.76%</t>
        </is>
      </c>
      <c r="L232" t="n">
        <v>3.9</v>
      </c>
      <c r="M232" t="n">
        <v>2</v>
      </c>
      <c r="O232" t="inlineStr">
        <is>
          <t>InStock</t>
        </is>
      </c>
      <c r="P232" t="inlineStr">
        <is>
          <t>undefined</t>
        </is>
      </c>
      <c r="Q232" t="inlineStr">
        <is>
          <t>5272211062952</t>
        </is>
      </c>
    </row>
    <row r="233">
      <c r="A233" s="2">
        <f>HYPERLINK("https://edmondsonsupply.com/collections/hvac/products/packard-pmj708-motor-start-capacitor-708-850-mfd-110-125-vac", "https://edmondsonsupply.com/collections/hvac/products/packard-pmj708-motor-start-capacitor-708-850-mfd-110-125-vac")</f>
        <v/>
      </c>
      <c r="B233" s="2">
        <f>HYPERLINK("https://edmondsonsupply.com/products/packard-pmj708-motor-start-capacitor-708-850-mfd-110-125-vac", "https://edmondsonsupply.com/products/packard-pmj708-motor-start-capacitor-708-850-mfd-110-125-vac")</f>
        <v/>
      </c>
      <c r="C233" t="inlineStr">
        <is>
          <t>Packard PMJ708 Motor Start Capacitor 708-850 MFD 110-125 VAC</t>
        </is>
      </c>
      <c r="D233" t="inlineStr">
        <is>
          <t>TEMCo 708-850 uf/MFD 110-125 VAC Volts Round Start Capacitor 50/60 Hz AC Electric - Lot -1</t>
        </is>
      </c>
      <c r="E233" s="2">
        <f>HYPERLINK("https://www.amazon.com/TEMCo-Capacitor-SC0044-708-850-110-125-Electric/dp/B00EQHE9TQ/ref=sr_1_10?keywords=Packard+PMJ708+Motor+Start+Capacitor+708-850+MFD+110-125+VAC&amp;qid=1695173647&amp;sr=8-10", "https://www.amazon.com/TEMCo-Capacitor-SC0044-708-850-110-125-Electric/dp/B00EQHE9TQ/ref=sr_1_10?keywords=Packard+PMJ708+Motor+Start+Capacitor+708-850+MFD+110-125+VAC&amp;qid=1695173647&amp;sr=8-10")</f>
        <v/>
      </c>
      <c r="F233" t="inlineStr">
        <is>
          <t>B00EQHE9TQ</t>
        </is>
      </c>
      <c r="G233">
        <f>_xludf.IMAGE("https://edmondsonsupply.com/cdn/shop/products/PMJ708-2.jpg?v=1633030334")</f>
        <v/>
      </c>
      <c r="H233">
        <f>_xludf.IMAGE("https://m.media-amazon.com/images/I/61TNzfABxwL._AC_UY218_.jpg")</f>
        <v/>
      </c>
      <c r="I233" t="inlineStr">
        <is>
          <t>6.76</t>
        </is>
      </c>
      <c r="J233" t="n">
        <v>15.45</v>
      </c>
      <c r="K233" s="3" t="inlineStr">
        <is>
          <t>128.55%</t>
        </is>
      </c>
      <c r="L233" t="n">
        <v>4.1</v>
      </c>
      <c r="M233" t="n">
        <v>34</v>
      </c>
      <c r="O233" t="inlineStr">
        <is>
          <t>InStock</t>
        </is>
      </c>
      <c r="P233" t="inlineStr">
        <is>
          <t>undefined</t>
        </is>
      </c>
      <c r="Q233" t="inlineStr">
        <is>
          <t>5271970021544</t>
        </is>
      </c>
    </row>
    <row r="234">
      <c r="A234" s="2">
        <f>HYPERLINK("https://edmondsonsupply.com/collections/hvac/products/icm-controls-icm102f-delay-on-make-timer-with-03-10-minute-adjustable-time-delay-universal-18-240-vac-6-wire-leads", "https://edmondsonsupply.com/collections/hvac/products/icm-controls-icm102f-delay-on-make-timer-with-03-10-minute-adjustable-time-delay-universal-18-240-vac-6-wire-leads")</f>
        <v/>
      </c>
      <c r="B234" s="2">
        <f>HYPERLINK("https://edmondsonsupply.com/products/icm-controls-icm102f-delay-on-make-timer-with-03-10-minute-adjustable-time-delay-universal-18-240-vac-6-wire-leads", "https://edmondsonsupply.com/products/icm-controls-icm102f-delay-on-make-timer-with-03-10-minute-adjustable-time-delay-universal-18-240-vac-6-wire-leads")</f>
        <v/>
      </c>
      <c r="C234" t="inlineStr">
        <is>
          <t>ICM Controls ICM102F Delay on Make Timer with .03-10 Minute Adjustable Time Delay, Universal 18-240 VAC, 6" Wire Leads</t>
        </is>
      </c>
      <c r="D234" t="inlineStr">
        <is>
          <t>ICM Controls ICM105 Delay-on-Make Timer with 0.03-10 Minute Adjustable Delay, Universal 18-240 VAC</t>
        </is>
      </c>
      <c r="E234" s="2">
        <f>HYPERLINK("https://www.amazon.com/ICM-Controls-ICM105-Adjustable-Universal/dp/B00441XZXK/ref=sr_1_1?keywords=ICM+Controls+ICM102F+Delay+on+Make+Timer+with+.03-10+Minute+Adjustable+Time+Delay%2C+Universal+18-240+VAC%2C+6%22+Wire+Leads&amp;qid=1695173355&amp;sr=8-1", "https://www.amazon.com/ICM-Controls-ICM105-Adjustable-Universal/dp/B00441XZXK/ref=sr_1_1?keywords=ICM+Controls+ICM102F+Delay+on+Make+Timer+with+.03-10+Minute+Adjustable+Time+Delay%2C+Universal+18-240+VAC%2C+6%22+Wire+Leads&amp;qid=1695173355&amp;sr=8-1")</f>
        <v/>
      </c>
      <c r="F234" t="inlineStr">
        <is>
          <t>B00441XZXK</t>
        </is>
      </c>
      <c r="G234">
        <f>_xludf.IMAGE("https://edmondsonsupply.com/cdn/shop/products/photo_3545_medium_d329bffe-3d22-4bac-b354-b39ca1a8ae18.png?v=1633030882")</f>
        <v/>
      </c>
      <c r="H234">
        <f>_xludf.IMAGE("https://m.media-amazon.com/images/I/61Fd+ZYvG1L._AC_UL320_.jpg")</f>
        <v/>
      </c>
      <c r="I234" t="inlineStr">
        <is>
          <t>14.99</t>
        </is>
      </c>
      <c r="J234" t="n">
        <v>34.25</v>
      </c>
      <c r="K234" s="3" t="inlineStr">
        <is>
          <t>128.49%</t>
        </is>
      </c>
      <c r="L234" t="n">
        <v>4.3</v>
      </c>
      <c r="M234" t="n">
        <v>4</v>
      </c>
      <c r="O234" t="inlineStr">
        <is>
          <t>InStock</t>
        </is>
      </c>
      <c r="P234" t="inlineStr">
        <is>
          <t>19.53</t>
        </is>
      </c>
      <c r="Q234" t="inlineStr">
        <is>
          <t>6183498743981</t>
        </is>
      </c>
    </row>
    <row r="235">
      <c r="A235" s="2">
        <f>HYPERLINK("https://edmondsonsupply.com/collections/hvac/products/icm-controls-icm102-delay-on-make-timer-with-03-10-minute-adjustable-time-delay-universal-18-240-vac", "https://edmondsonsupply.com/collections/hvac/products/icm-controls-icm102-delay-on-make-timer-with-03-10-minute-adjustable-time-delay-universal-18-240-vac")</f>
        <v/>
      </c>
      <c r="B235" s="2">
        <f>HYPERLINK("https://edmondsonsupply.com/products/icm-controls-icm102-delay-on-make-timer-with-03-10-minute-adjustable-time-delay-universal-18-240-vac", "https://edmondsonsupply.com/products/icm-controls-icm102-delay-on-make-timer-with-03-10-minute-adjustable-time-delay-universal-18-240-vac")</f>
        <v/>
      </c>
      <c r="C235" t="inlineStr">
        <is>
          <t>ICM Controls ICM102 Delay on Make Timer with .03-10 Minute Adjustable Time Delay, Universal 18-240 VAC</t>
        </is>
      </c>
      <c r="D235" t="inlineStr">
        <is>
          <t>ICM Controls ICM105 Delay-on-Make Timer with 0.03-10 Minute Adjustable Delay, Universal 18-240 VAC</t>
        </is>
      </c>
      <c r="E235" s="2">
        <f>HYPERLINK("https://www.amazon.com/ICM-Controls-ICM105-Adjustable-Universal/dp/B00441XZXK/ref=sr_1_1?keywords=ICM+Controls+ICM102+Delay+on+Make+Timer+with+.03-10+Minute+Adjustable+Time+Delay%2C+Universal+18-240+VAC&amp;qid=1695173329&amp;sr=8-1", "https://www.amazon.com/ICM-Controls-ICM105-Adjustable-Universal/dp/B00441XZXK/ref=sr_1_1?keywords=ICM+Controls+ICM102+Delay+on+Make+Timer+with+.03-10+Minute+Adjustable+Time+Delay%2C+Universal+18-240+VAC&amp;qid=1695173329&amp;sr=8-1")</f>
        <v/>
      </c>
      <c r="F235" t="inlineStr">
        <is>
          <t>B00441XZXK</t>
        </is>
      </c>
      <c r="G235">
        <f>_xludf.IMAGE("https://edmondsonsupply.com/cdn/shop/products/icm102.jpg?v=1623528226")</f>
        <v/>
      </c>
      <c r="H235">
        <f>_xludf.IMAGE("https://m.media-amazon.com/images/I/61Fd+ZYvG1L._AC_UL320_.jpg")</f>
        <v/>
      </c>
      <c r="I235" t="inlineStr">
        <is>
          <t>14.99</t>
        </is>
      </c>
      <c r="J235" t="n">
        <v>34.25</v>
      </c>
      <c r="K235" s="3" t="inlineStr">
        <is>
          <t>128.49%</t>
        </is>
      </c>
      <c r="L235" t="n">
        <v>4.3</v>
      </c>
      <c r="M235" t="n">
        <v>4</v>
      </c>
      <c r="O235" t="inlineStr">
        <is>
          <t>InStock</t>
        </is>
      </c>
      <c r="P235" t="inlineStr">
        <is>
          <t>19.46</t>
        </is>
      </c>
      <c r="Q235" t="inlineStr">
        <is>
          <t>4259030663268</t>
        </is>
      </c>
    </row>
    <row r="236">
      <c r="A236" s="2">
        <f>HYPERLINK("https://edmondsonsupply.com/collections/hvac/products/klein-tools-85073ins-screwdriver-set-1000v-insulated-3-piece", "https://edmondsonsupply.com/collections/hvac/products/klein-tools-85073ins-screwdriver-set-1000v-insulated-3-piece")</f>
        <v/>
      </c>
      <c r="B236" s="2">
        <f>HYPERLINK("https://edmondsonsupply.com/products/klein-tools-85073ins-screwdriver-set-1000v-insulated-3-piece", "https://edmondsonsupply.com/products/klein-tools-85073ins-screwdriver-set-1000v-insulated-3-piece")</f>
        <v/>
      </c>
      <c r="C236" t="inlineStr">
        <is>
          <t>Klein Tools 85073INS Screwdriver Set, 1000V Insulated, 3-Piece</t>
        </is>
      </c>
      <c r="D236" t="inlineStr">
        <is>
          <t>Klein Tools 33736INS Insulated Screwdriver Set, 1000V Slim-Tip Driver with Phillips, Cabinet and Square Bits and a Magnetizer, 6-Piece</t>
        </is>
      </c>
      <c r="E236" s="2">
        <f>HYPERLINK("https://www.amazon.com/Klein-Tools-33736INS-Screwdriver-Magnetizer/dp/B09GPZPMTD/ref=sr_1_4?keywords=Klein+Tools+85073INS+Screwdriver+Set%2C+1000V+Insulated%2C+3-Piece&amp;qid=1695173458&amp;sr=8-4", "https://www.amazon.com/Klein-Tools-33736INS-Screwdriver-Magnetizer/dp/B09GPZPMTD/ref=sr_1_4?keywords=Klein+Tools+85073INS+Screwdriver+Set%2C+1000V+Insulated%2C+3-Piece&amp;qid=1695173458&amp;sr=8-4")</f>
        <v/>
      </c>
      <c r="F236" t="inlineStr">
        <is>
          <t>B09GPZPMTD</t>
        </is>
      </c>
      <c r="G236">
        <f>_xludf.IMAGE("https://edmondsonsupply.com/cdn/shop/products/85073ins.jpg?v=1664890503")</f>
        <v/>
      </c>
      <c r="H236">
        <f>_xludf.IMAGE("https://m.media-amazon.com/images/I/51W2DUA3c7L._AC_UL320_.jpg")</f>
        <v/>
      </c>
      <c r="I236" t="inlineStr">
        <is>
          <t>21.97</t>
        </is>
      </c>
      <c r="J236" t="n">
        <v>49.99</v>
      </c>
      <c r="K236" s="3" t="inlineStr">
        <is>
          <t>127.54%</t>
        </is>
      </c>
      <c r="L236" t="n">
        <v>4.8</v>
      </c>
      <c r="M236" t="n">
        <v>419</v>
      </c>
      <c r="O236" t="inlineStr">
        <is>
          <t>InStock</t>
        </is>
      </c>
      <c r="P236" t="inlineStr">
        <is>
          <t>32.98</t>
        </is>
      </c>
      <c r="Q236" t="inlineStr">
        <is>
          <t>7839219613912</t>
        </is>
      </c>
    </row>
    <row r="237">
      <c r="A237" s="2">
        <f>HYPERLINK("https://edmondsonsupply.com/collections/hvac/products/white-rodgers-90-340-switching-fan-relay-dpdt-24v", "https://edmondsonsupply.com/collections/hvac/products/white-rodgers-90-340-switching-fan-relay-dpdt-24v")</f>
        <v/>
      </c>
      <c r="B237" s="2">
        <f>HYPERLINK("https://edmondsonsupply.com/products/white-rodgers-90-340-switching-fan-relay-dpdt-24v", "https://edmondsonsupply.com/products/white-rodgers-90-340-switching-fan-relay-dpdt-24v")</f>
        <v/>
      </c>
      <c r="C237" t="inlineStr">
        <is>
          <t>White Rodgers 90-340 Switching Fan Relay, DPDT, 24V</t>
        </is>
      </c>
      <c r="D237" t="inlineStr">
        <is>
          <t>JARD Replacement Blower Fan Relay - Replaces White Rodgers 90-340 Relay, DPDT 24V Coil</t>
        </is>
      </c>
      <c r="E237" s="2">
        <f>HYPERLINK("https://www.amazon.com/JARD-Replacement-Blower-Fan-Relay/dp/B07NF4JCKN/ref=sr_1_2?keywords=White+Rodgers+90-340+Switching+Fan+Relay%2C+DPDT%2C+24V&amp;qid=1695173476&amp;sr=8-2", "https://www.amazon.com/JARD-Replacement-Blower-Fan-Relay/dp/B07NF4JCKN/ref=sr_1_2?keywords=White+Rodgers+90-340+Switching+Fan+Relay%2C+DPDT%2C+24V&amp;qid=1695173476&amp;sr=8-2")</f>
        <v/>
      </c>
      <c r="F237" t="inlineStr">
        <is>
          <t>B07NF4JCKN</t>
        </is>
      </c>
      <c r="G237">
        <f>_xludf.IMAGE("https://edmondsonsupply.com/cdn/shop/products/90-340-r01-c22.jpg?v=1633030880")</f>
        <v/>
      </c>
      <c r="H237">
        <f>_xludf.IMAGE("https://m.media-amazon.com/images/I/513Ebmh7nWL._AC_UY218_.jpg")</f>
        <v/>
      </c>
      <c r="I237" t="inlineStr">
        <is>
          <t>8.78</t>
        </is>
      </c>
      <c r="J237" t="n">
        <v>19.95</v>
      </c>
      <c r="K237" s="3" t="inlineStr">
        <is>
          <t>127.22%</t>
        </is>
      </c>
      <c r="L237" t="n">
        <v>5</v>
      </c>
      <c r="M237" t="n">
        <v>2</v>
      </c>
      <c r="O237" t="inlineStr">
        <is>
          <t>InStock</t>
        </is>
      </c>
      <c r="P237" t="inlineStr">
        <is>
          <t>21.63</t>
        </is>
      </c>
      <c r="Q237" t="inlineStr">
        <is>
          <t>6155057627309</t>
        </is>
      </c>
    </row>
    <row r="238">
      <c r="A238" s="2">
        <f>HYPERLINK("https://edmondsonsupply.com/collections/hvac/products/inficon-d-tek-3", "https://edmondsonsupply.com/collections/hvac/products/inficon-d-tek-3")</f>
        <v/>
      </c>
      <c r="B238" s="2">
        <f>HYPERLINK("https://edmondsonsupply.com/products/inficon-d-tek-3", "https://edmondsonsupply.com/products/inficon-d-tek-3")</f>
        <v/>
      </c>
      <c r="C238" t="inlineStr">
        <is>
          <t>Inficon D-TEK® 3 Refrigerant Leak Detector</t>
        </is>
      </c>
      <c r="D238" t="inlineStr">
        <is>
          <t>Inficon AST 300 PPM Refrigerant Leak Detector with PPM Display (Model: AST300PPM)</t>
        </is>
      </c>
      <c r="E238" s="2">
        <f>HYPERLINK("https://www.amazon.com/Inficon-Refrigerant-Detector-Display-Model/dp/B08YLGQDZ5/ref=sr_1_4?keywords=Inficon+D-TEK%C2%AE+3+Refrigerant+Leak+Detector&amp;qid=1695173442&amp;sr=8-4", "https://www.amazon.com/Inficon-Refrigerant-Detector-Display-Model/dp/B08YLGQDZ5/ref=sr_1_4?keywords=Inficon+D-TEK%C2%AE+3+Refrigerant+Leak+Detector&amp;qid=1695173442&amp;sr=8-4")</f>
        <v/>
      </c>
      <c r="F238" t="inlineStr">
        <is>
          <t>B08YLGQDZ5</t>
        </is>
      </c>
      <c r="G238">
        <f>_xludf.IMAGE("https://edmondsonsupply.com/cdn/shop/products/dtek3.png?v=1633030772")</f>
        <v/>
      </c>
      <c r="H238">
        <f>_xludf.IMAGE("https://m.media-amazon.com/images/I/61sAy87NU1L._AC_UL320_.jpg")</f>
        <v/>
      </c>
      <c r="I238" t="inlineStr">
        <is>
          <t>516.99</t>
        </is>
      </c>
      <c r="J238" t="n">
        <v>1172.76</v>
      </c>
      <c r="K238" s="3" t="inlineStr">
        <is>
          <t>126.84%</t>
        </is>
      </c>
      <c r="L238" t="n">
        <v>5</v>
      </c>
      <c r="M238" t="n">
        <v>2</v>
      </c>
      <c r="O238" t="inlineStr">
        <is>
          <t>InStock</t>
        </is>
      </c>
      <c r="P238" t="inlineStr">
        <is>
          <t>645.0</t>
        </is>
      </c>
      <c r="Q238" t="inlineStr">
        <is>
          <t>5950406623400</t>
        </is>
      </c>
    </row>
    <row r="239">
      <c r="A239" s="2">
        <f>HYPERLINK("https://edmondsonsupply.com/collections/hvac/products/midwest-mwt-6900l-upright-left-cutting-offset-aviation-snip", "https://edmondsonsupply.com/collections/hvac/products/midwest-mwt-6900l-upright-left-cutting-offset-aviation-snip")</f>
        <v/>
      </c>
      <c r="B239" s="2">
        <f>HYPERLINK("https://edmondsonsupply.com/products/midwest-mwt-6900l-upright-left-cutting-offset-aviation-snip", "https://edmondsonsupply.com/products/midwest-mwt-6900l-upright-left-cutting-offset-aviation-snip")</f>
        <v/>
      </c>
      <c r="C239" t="inlineStr">
        <is>
          <t>Midwest MWT-6900L Upright Left-Cutting Aviation Snip</t>
        </is>
      </c>
      <c r="D239" t="inlineStr">
        <is>
          <t>MIDWEST Blackout Series Aviation Snip - Left Cut Offset Tin Cutting Shears with Forged Blade &amp; KUSH'N-POWER Comfort Grips - MWT-6510LO</t>
        </is>
      </c>
      <c r="E239" s="2">
        <f>HYPERLINK("https://www.amazon.com/MIDWEST-Blackout-Aviation-Snip-KUSHN-POWER/dp/B00TJQL91U/ref=sr_1_6?keywords=Midwest+MWT-6900L+Upright+Left-Cutting+Aviation+Snip&amp;qid=1695173421&amp;sr=8-6", "https://www.amazon.com/MIDWEST-Blackout-Aviation-Snip-KUSHN-POWER/dp/B00TJQL91U/ref=sr_1_6?keywords=Midwest+MWT-6900L+Upright+Left-Cutting+Aviation+Snip&amp;qid=1695173421&amp;sr=8-6")</f>
        <v/>
      </c>
      <c r="F239" t="inlineStr">
        <is>
          <t>B00TJQL91U</t>
        </is>
      </c>
      <c r="G239">
        <f>_xludf.IMAGE("https://edmondsonsupply.com/cdn/shop/products/MWT-6900L1.jpg?v=1587146265")</f>
        <v/>
      </c>
      <c r="H239">
        <f>_xludf.IMAGE("https://m.media-amazon.com/images/I/51OW3TahYsL._AC_UL320_.jpg")</f>
        <v/>
      </c>
      <c r="I239" t="inlineStr">
        <is>
          <t>25.99</t>
        </is>
      </c>
      <c r="J239" t="n">
        <v>58.88</v>
      </c>
      <c r="K239" s="3" t="inlineStr">
        <is>
          <t>126.55%</t>
        </is>
      </c>
      <c r="L239" t="n">
        <v>4.7</v>
      </c>
      <c r="M239" t="n">
        <v>1400</v>
      </c>
      <c r="O239" t="inlineStr">
        <is>
          <t>InStock</t>
        </is>
      </c>
      <c r="P239" t="inlineStr">
        <is>
          <t>37.05</t>
        </is>
      </c>
      <c r="Q239" t="inlineStr">
        <is>
          <t>4470064250980</t>
        </is>
      </c>
    </row>
    <row r="240">
      <c r="A240" s="2">
        <f>HYPERLINK("https://edmondsonsupply.com/collections/hvac/products/midwest-mwt-6510l-left-offset-aviation-snip", "https://edmondsonsupply.com/collections/hvac/products/midwest-mwt-6510l-left-offset-aviation-snip")</f>
        <v/>
      </c>
      <c r="B240" s="2">
        <f>HYPERLINK("https://edmondsonsupply.com/products/midwest-mwt-6510l-left-offset-aviation-snip", "https://edmondsonsupply.com/products/midwest-mwt-6510l-left-offset-aviation-snip")</f>
        <v/>
      </c>
      <c r="C240" t="inlineStr">
        <is>
          <t>Midwest MWT-6510L Left Offset Aviation Snip</t>
        </is>
      </c>
      <c r="D240" t="inlineStr">
        <is>
          <t>MIDWEST Blackout Series Aviation Snip - Left Cut Offset Tin Cutting Shears with Forged Blade &amp; KUSH'N-POWER Comfort Grips - MWT-6510LO</t>
        </is>
      </c>
      <c r="E240" s="2">
        <f>HYPERLINK("https://www.amazon.com/MIDWEST-Blackout-Aviation-Snip-KUSHN-POWER/dp/B00TJQL91U/ref=sr_1_8?keywords=Midwest+MWT-6510L+Left+Offset+Aviation+Snip&amp;qid=1695173407&amp;sr=8-8", "https://www.amazon.com/MIDWEST-Blackout-Aviation-Snip-KUSHN-POWER/dp/B00TJQL91U/ref=sr_1_8?keywords=Midwest+MWT-6510L+Left+Offset+Aviation+Snip&amp;qid=1695173407&amp;sr=8-8")</f>
        <v/>
      </c>
      <c r="F240" t="inlineStr">
        <is>
          <t>B00TJQL91U</t>
        </is>
      </c>
      <c r="G240">
        <f>_xludf.IMAGE("https://edmondsonsupply.com/cdn/shop/products/mwt-6510l.png?v=1587142880")</f>
        <v/>
      </c>
      <c r="H240">
        <f>_xludf.IMAGE("https://m.media-amazon.com/images/I/51OW3TahYsL._AC_UL320_.jpg")</f>
        <v/>
      </c>
      <c r="I240" t="inlineStr">
        <is>
          <t>25.99</t>
        </is>
      </c>
      <c r="J240" t="n">
        <v>58.88</v>
      </c>
      <c r="K240" s="3" t="inlineStr">
        <is>
          <t>126.55%</t>
        </is>
      </c>
      <c r="L240" t="n">
        <v>4.7</v>
      </c>
      <c r="M240" t="n">
        <v>1400</v>
      </c>
      <c r="O240" t="inlineStr">
        <is>
          <t>InStock</t>
        </is>
      </c>
      <c r="P240" t="inlineStr">
        <is>
          <t>33.49</t>
        </is>
      </c>
      <c r="Q240" t="inlineStr">
        <is>
          <t>3688846917732</t>
        </is>
      </c>
    </row>
    <row r="241">
      <c r="A241" s="2">
        <f>HYPERLINK("https://edmondsonsupply.com/collections/hvac/products/klein-tools-et10-magnetic-digital-pocket-thermometer", "https://edmondsonsupply.com/collections/hvac/products/klein-tools-et10-magnetic-digital-pocket-thermometer")</f>
        <v/>
      </c>
      <c r="B241" s="2">
        <f>HYPERLINK("https://edmondsonsupply.com/products/klein-tools-et10-magnetic-digital-pocket-thermometer", "https://edmondsonsupply.com/products/klein-tools-et10-magnetic-digital-pocket-thermometer")</f>
        <v/>
      </c>
      <c r="C241" t="inlineStr">
        <is>
          <t>Klein Tools ET10 Magnetic Digital Pocket Thermometer</t>
        </is>
      </c>
      <c r="D241" t="inlineStr">
        <is>
          <t>Klein Tools IR07 Dual Infrared (IR) and Probe Pocket Size LCD Digital Thermometer</t>
        </is>
      </c>
      <c r="E241" s="2">
        <f>HYPERLINK("https://www.amazon.com/Klein-Tools-IR07-Infrared-Thermometer/dp/B07P9WM69C/ref=sr_1_5?keywords=Klein+Tools+ET10+Magnetic+Digital+Pocket+Thermometer&amp;qid=1695173549&amp;sr=8-5", "https://www.amazon.com/Klein-Tools-IR07-Infrared-Thermometer/dp/B07P9WM69C/ref=sr_1_5?keywords=Klein+Tools+ET10+Magnetic+Digital+Pocket+Thermometer&amp;qid=1695173549&amp;sr=8-5")</f>
        <v/>
      </c>
      <c r="F241" t="inlineStr">
        <is>
          <t>B07P9WM69C</t>
        </is>
      </c>
      <c r="G241">
        <f>_xludf.IMAGE("https://edmondsonsupply.com/cdn/shop/products/et10.jpg?v=1587142916")</f>
        <v/>
      </c>
      <c r="H241">
        <f>_xludf.IMAGE("https://m.media-amazon.com/images/I/51JBUtWpWuS._AC_UY218_.jpg")</f>
        <v/>
      </c>
      <c r="I241" t="inlineStr">
        <is>
          <t>22.99</t>
        </is>
      </c>
      <c r="J241" t="n">
        <v>51.97</v>
      </c>
      <c r="K241" s="3" t="inlineStr">
        <is>
          <t>126.05%</t>
        </is>
      </c>
      <c r="L241" t="n">
        <v>4.7</v>
      </c>
      <c r="M241" t="n">
        <v>779</v>
      </c>
      <c r="O241" t="inlineStr">
        <is>
          <t>InStock</t>
        </is>
      </c>
      <c r="P241" t="inlineStr">
        <is>
          <t>34.08</t>
        </is>
      </c>
      <c r="Q241" t="inlineStr">
        <is>
          <t>3690025943140</t>
        </is>
      </c>
    </row>
    <row r="242">
      <c r="A242" s="2">
        <f>HYPERLINK("https://edmondsonsupply.com/collections/hvac/products/klein-tools-11046-wire-stripper-cutter-16-26-awg-stranded", "https://edmondsonsupply.com/collections/hvac/products/klein-tools-11046-wire-stripper-cutter-16-26-awg-stranded")</f>
        <v/>
      </c>
      <c r="B242" s="2">
        <f>HYPERLINK("https://edmondsonsupply.com/products/klein-tools-11046-wire-stripper-cutter-16-26-awg-stranded", "https://edmondsonsupply.com/products/klein-tools-11046-wire-stripper-cutter-16-26-awg-stranded")</f>
        <v/>
      </c>
      <c r="C242" t="inlineStr">
        <is>
          <t>Klein Tools 11046 Wire Stripper/Cutter 16-26 AWG Stranded</t>
        </is>
      </c>
      <c r="D242" t="inlineStr">
        <is>
          <t>Klein Tools 11046 Wire Stripper/Cutter 16-26 AWG Stranded &amp; 11055 Wire Cutter and Wire Stripper, Stranded Wire Cutter, Solid Wire Cutter, Cuts Copper Wire</t>
        </is>
      </c>
      <c r="E242" s="2">
        <f>HYPERLINK("https://www.amazon.com/Klein-Tools-Stripper-Cutter-Stranded/dp/B0BNL42TPG/ref=sr_1_6?keywords=Klein+Tools+11046+Wire+Stripper%2FCutter+16-26+AWG+Stranded&amp;qid=1695173662&amp;sr=8-6", "https://www.amazon.com/Klein-Tools-Stripper-Cutter-Stranded/dp/B0BNL42TPG/ref=sr_1_6?keywords=Klein+Tools+11046+Wire+Stripper%2FCutter+16-26+AWG+Stranded&amp;qid=1695173662&amp;sr=8-6")</f>
        <v/>
      </c>
      <c r="F242" t="inlineStr">
        <is>
          <t>B0BNL42TPG</t>
        </is>
      </c>
      <c r="G242">
        <f>_xludf.IMAGE("https://edmondsonsupply.com/cdn/shop/products/11046.jpg?v=1587147965")</f>
        <v/>
      </c>
      <c r="H242">
        <f>_xludf.IMAGE("https://m.media-amazon.com/images/I/41Mnz0ZqGoL._AC_UL320_.jpg")</f>
        <v/>
      </c>
      <c r="I242" t="inlineStr">
        <is>
          <t>15.97</t>
        </is>
      </c>
      <c r="J242" t="n">
        <v>35.96</v>
      </c>
      <c r="K242" s="3" t="inlineStr">
        <is>
          <t>125.17%</t>
        </is>
      </c>
      <c r="L242" t="n">
        <v>4.7</v>
      </c>
      <c r="M242" t="n">
        <v>4</v>
      </c>
      <c r="O242" t="inlineStr">
        <is>
          <t>InStock</t>
        </is>
      </c>
      <c r="P242" t="inlineStr">
        <is>
          <t>23.56</t>
        </is>
      </c>
      <c r="Q242" t="inlineStr">
        <is>
          <t>3688603910244</t>
        </is>
      </c>
    </row>
    <row r="243">
      <c r="A243" s="2">
        <f>HYPERLINK("https://edmondsonsupply.com/collections/hvac/products/klein-tools-65200-electricians-mini-ratchet-set-5-piece", "https://edmondsonsupply.com/collections/hvac/products/klein-tools-65200-electricians-mini-ratchet-set-5-piece")</f>
        <v/>
      </c>
      <c r="B243" s="2">
        <f>HYPERLINK("https://edmondsonsupply.com/products/klein-tools-65200-electricians-mini-ratchet-set-5-piece", "https://edmondsonsupply.com/products/klein-tools-65200-electricians-mini-ratchet-set-5-piece")</f>
        <v/>
      </c>
      <c r="C243" t="inlineStr">
        <is>
          <t>Klein Tools 65200 Slim-Profile Mini Ratchet Set, 5-Piece</t>
        </is>
      </c>
      <c r="D243" t="inlineStr">
        <is>
          <t>Klein Tools 65200 Ratchet Set, 5-Piece Mini Ratchet Set &amp; 7-in-1 Impact Flip Socket Set, 6 Hex Driver Sizes plus a 1/4-Inch Bit Holder 32907</t>
        </is>
      </c>
      <c r="E243" s="2">
        <f>HYPERLINK("https://www.amazon.com/Klein-Tools-Ratchet-5-Piece-Impact/dp/B0BNL31N8K/ref=sr_1_2?keywords=Klein+Tools+65200+Slim-Profile+Mini+Ratchet+Set%2C+5-Piece&amp;qid=1695173348&amp;sr=8-2", "https://www.amazon.com/Klein-Tools-Ratchet-5-Piece-Impact/dp/B0BNL31N8K/ref=sr_1_2?keywords=Klein+Tools+65200+Slim-Profile+Mini+Ratchet+Set%2C+5-Piece&amp;qid=1695173348&amp;sr=8-2")</f>
        <v/>
      </c>
      <c r="F243" t="inlineStr">
        <is>
          <t>B0BNL31N8K</t>
        </is>
      </c>
      <c r="G243">
        <f>_xludf.IMAGE("https://edmondsonsupply.com/cdn/shop/products/65200.jpg?v=1633030630")</f>
        <v/>
      </c>
      <c r="H243">
        <f>_xludf.IMAGE("https://m.media-amazon.com/images/I/41JD1cfUw6L._AC_UL320_.jpg")</f>
        <v/>
      </c>
      <c r="I243" t="inlineStr">
        <is>
          <t>15.97</t>
        </is>
      </c>
      <c r="J243" t="n">
        <v>35.95</v>
      </c>
      <c r="K243" s="3" t="inlineStr">
        <is>
          <t>125.11%</t>
        </is>
      </c>
      <c r="L243" t="n">
        <v>4.9</v>
      </c>
      <c r="M243" t="n">
        <v>10</v>
      </c>
      <c r="O243" t="inlineStr">
        <is>
          <t>InStock</t>
        </is>
      </c>
      <c r="P243" t="inlineStr">
        <is>
          <t>20.96</t>
        </is>
      </c>
      <c r="Q243" t="inlineStr">
        <is>
          <t>5694440964264</t>
        </is>
      </c>
    </row>
    <row r="244">
      <c r="A244" s="2">
        <f>HYPERLINK("https://edmondsonsupply.com/collections/hvac/products/klein-tools-32314-14-in-1-precision-screwdriver-nut-driver", "https://edmondsonsupply.com/collections/hvac/products/klein-tools-32314-14-in-1-precision-screwdriver-nut-driver")</f>
        <v/>
      </c>
      <c r="B244" s="2">
        <f>HYPERLINK("https://edmondsonsupply.com/products/klein-tools-32314-14-in-1-precision-screwdriver-nut-driver", "https://edmondsonsupply.com/products/klein-tools-32314-14-in-1-precision-screwdriver-nut-driver")</f>
        <v/>
      </c>
      <c r="C244" t="inlineStr">
        <is>
          <t>Klein Tools 32314 14-in-1 Precision Screwdriver/ Nut Driver</t>
        </is>
      </c>
      <c r="D244" t="inlineStr">
        <is>
          <t>Klein Tools 32500MAG Magnetic Multi-Bit Screwdriver/Nut Driver &amp; 32314 Electronic Screwdriver, 14-in-1 with 8 Precision Tips, Slotted, Phillips, and Tamperproof TORX Bits, 6 Precision Nut Drivers</t>
        </is>
      </c>
      <c r="E244" s="2">
        <f>HYPERLINK("https://www.amazon.com/Klein-Tools-Screwdriver-Electronic-Tamperproof/dp/B0BC81C7SH/ref=sr_1_2?keywords=Klein+Tools+32314+14-in-1+Precision+Screwdriver%2F+Nut+Driver&amp;qid=1695173510&amp;sr=8-2", "https://www.amazon.com/Klein-Tools-Screwdriver-Electronic-Tamperproof/dp/B0BC81C7SH/ref=sr_1_2?keywords=Klein+Tools+32314+14-in-1+Precision+Screwdriver%2F+Nut+Driver&amp;qid=1695173510&amp;sr=8-2")</f>
        <v/>
      </c>
      <c r="F244" t="inlineStr">
        <is>
          <t>B0BC81C7SH</t>
        </is>
      </c>
      <c r="G244">
        <f>_xludf.IMAGE("https://edmondsonsupply.com/cdn/shop/products/32314.jpg?v=1646593726")</f>
        <v/>
      </c>
      <c r="H244">
        <f>_xludf.IMAGE("https://m.media-amazon.com/images/I/412Eu5ze4AL._AC_UL320_.jpg")</f>
        <v/>
      </c>
      <c r="I244" t="inlineStr">
        <is>
          <t>15.97</t>
        </is>
      </c>
      <c r="J244" t="n">
        <v>35.94</v>
      </c>
      <c r="K244" s="3" t="inlineStr">
        <is>
          <t>125.05%</t>
        </is>
      </c>
      <c r="L244" t="n">
        <v>5</v>
      </c>
      <c r="M244" t="n">
        <v>2</v>
      </c>
      <c r="O244" t="inlineStr">
        <is>
          <t>InStock</t>
        </is>
      </c>
      <c r="P244" t="inlineStr">
        <is>
          <t>22.38</t>
        </is>
      </c>
      <c r="Q244" t="inlineStr">
        <is>
          <t>7626984947928</t>
        </is>
      </c>
    </row>
    <row r="245">
      <c r="A245" s="2">
        <f>HYPERLINK("https://edmondsonsupply.com/collections/hvac/products/klein-tools-11053-klein-kurve%C2%AE-wire-stripper-cutter", "https://edmondsonsupply.com/collections/hvac/products/klein-tools-11053-klein-kurve%C2%AE-wire-stripper-cutter")</f>
        <v/>
      </c>
      <c r="B245" s="2">
        <f>HYPERLINK("https://edmondsonsupply.com/products/klein-tools-11053-klein-kurve%c2%ae-wire-stripper-cutter", "https://edmondsonsupply.com/products/klein-tools-11053-klein-kurve%c2%ae-wire-stripper-cutter")</f>
        <v/>
      </c>
      <c r="C245" t="inlineStr">
        <is>
          <t>Klein Tools 11053 Klein-Kurve® Wire Stripper/Cutter</t>
        </is>
      </c>
      <c r="D245" t="inlineStr">
        <is>
          <t>Klein Tools 11055-INS Insulated Klein-Kurve Wire Stripper/Cutter, Orange</t>
        </is>
      </c>
      <c r="E245" s="2">
        <f>HYPERLINK("https://www.amazon.com/Insulated-Klein-Kurve-Klein-Tools-11055-INS/dp/B000MKIPPU/ref=sr_1_3?keywords=Klein+Tools+11053+Klein-Kurve%C2%AE+Wire+Stripper%2FCutter&amp;qid=1695173476&amp;sr=8-3", "https://www.amazon.com/Insulated-Klein-Kurve-Klein-Tools-11055-INS/dp/B000MKIPPU/ref=sr_1_3?keywords=Klein+Tools+11053+Klein-Kurve%C2%AE+Wire+Stripper%2FCutter&amp;qid=1695173476&amp;sr=8-3")</f>
        <v/>
      </c>
      <c r="F245" t="inlineStr">
        <is>
          <t>B000MKIPPU</t>
        </is>
      </c>
      <c r="G245">
        <f>_xludf.IMAGE("https://edmondsonsupply.com/cdn/shop/products/11053.jpg?v=1633030511")</f>
        <v/>
      </c>
      <c r="H245">
        <f>_xludf.IMAGE("https://m.media-amazon.com/images/I/51U7ZuALPYL._AC_UL320_.jpg")</f>
        <v/>
      </c>
      <c r="I245" t="inlineStr">
        <is>
          <t>20.97</t>
        </is>
      </c>
      <c r="J245" t="n">
        <v>47.07</v>
      </c>
      <c r="K245" s="3" t="inlineStr">
        <is>
          <t>124.46%</t>
        </is>
      </c>
      <c r="L245" t="n">
        <v>4.1</v>
      </c>
      <c r="M245" t="n">
        <v>17</v>
      </c>
      <c r="O245" t="inlineStr">
        <is>
          <t>InStock</t>
        </is>
      </c>
      <c r="P245" t="inlineStr">
        <is>
          <t>31.76</t>
        </is>
      </c>
      <c r="Q245" t="inlineStr">
        <is>
          <t>5387171299496</t>
        </is>
      </c>
    </row>
    <row r="246">
      <c r="A246" s="2">
        <f>HYPERLINK("https://edmondsonsupply.com/collections/hvac/products/packard-titan-pro-trcd355-run-capacitor-35-5-mfd-370-volt-round", "https://edmondsonsupply.com/collections/hvac/products/packard-titan-pro-trcd355-run-capacitor-35-5-mfd-370-volt-round")</f>
        <v/>
      </c>
      <c r="B246" s="2">
        <f>HYPERLINK("https://edmondsonsupply.com/products/packard-titan-pro-trcd355-run-capacitor-35-5-mfd-370-volt-round", "https://edmondsonsupply.com/products/packard-titan-pro-trcd355-run-capacitor-35-5-mfd-370-volt-round")</f>
        <v/>
      </c>
      <c r="C246" t="inlineStr">
        <is>
          <t>Packard Titan PRO TRCD355 Run Capacitor 35+5 MFD 370 Volt Round</t>
        </is>
      </c>
      <c r="D246" t="inlineStr">
        <is>
          <t>Titan TRCD355 Dual Rated Motor Run Capacitor Round MFD 35/5 Volts 440/370</t>
        </is>
      </c>
      <c r="E246" s="2">
        <f>HYPERLINK("https://www.amazon.com/Titan-TRCD355-Rated-Motor-Capacitor/dp/B01HQH22HS/ref=sr_1_4?keywords=Packard+Titan+PRO+TRCD355+Run+Capacitor+35+5+MFD+370+Volt+Round&amp;qid=1695173450&amp;sr=8-4", "https://www.amazon.com/Titan-TRCD355-Rated-Motor-Capacitor/dp/B01HQH22HS/ref=sr_1_4?keywords=Packard+Titan+PRO+TRCD355+Run+Capacitor+35+5+MFD+370+Volt+Round&amp;qid=1695173450&amp;sr=8-4")</f>
        <v/>
      </c>
      <c r="F246" t="inlineStr">
        <is>
          <t>B01HQH22HS</t>
        </is>
      </c>
      <c r="G246">
        <f>_xludf.IMAGE("https://edmondsonsupply.com/cdn/shop/products/TRCD355-2.jpg?v=1633030395")</f>
        <v/>
      </c>
      <c r="H246">
        <f>_xludf.IMAGE("https://m.media-amazon.com/images/I/31bSurdbasL._AC_UY218_.jpg")</f>
        <v/>
      </c>
      <c r="I246" t="inlineStr">
        <is>
          <t>8.53</t>
        </is>
      </c>
      <c r="J246" t="n">
        <v>19.08</v>
      </c>
      <c r="K246" s="3" t="inlineStr">
        <is>
          <t>123.68%</t>
        </is>
      </c>
      <c r="L246" t="n">
        <v>4.6</v>
      </c>
      <c r="M246" t="n">
        <v>4</v>
      </c>
      <c r="O246" t="inlineStr">
        <is>
          <t>InStock</t>
        </is>
      </c>
      <c r="P246" t="inlineStr">
        <is>
          <t>undefined</t>
        </is>
      </c>
      <c r="Q246" t="inlineStr">
        <is>
          <t>5302188998824</t>
        </is>
      </c>
    </row>
    <row r="247">
      <c r="A247" s="2">
        <f>HYPERLINK("https://edmondsonsupply.com/collections/hvac/products/klein-tools-jth68m-8pc-6-metric-journeyman-t-handle-set-with-stand", "https://edmondsonsupply.com/collections/hvac/products/klein-tools-jth68m-8pc-6-metric-journeyman-t-handle-set-with-stand")</f>
        <v/>
      </c>
      <c r="B247" s="2">
        <f>HYPERLINK("https://edmondsonsupply.com/products/klein-tools-jth68m-8pc-6-metric-journeyman-t-handle-set-with-stand", "https://edmondsonsupply.com/products/klein-tools-jth68m-8pc-6-metric-journeyman-t-handle-set-with-stand")</f>
        <v/>
      </c>
      <c r="C247" t="inlineStr">
        <is>
          <t>Klein Tools JTH68M Hex Key Set, Metric, Journeyman™ T-Handle, 6-Inch with Stand, 8-Piece</t>
        </is>
      </c>
      <c r="D247" t="inlineStr">
        <is>
          <t>Klein Tools JTH68MB Hex Kit Set, Metric Ball End T-Handle Hex Key Allen Wrench Set with 6-Inch Blades, Stand Included, 8-Piece</t>
        </is>
      </c>
      <c r="E247" s="2">
        <f>HYPERLINK("https://www.amazon.com/T-Handle-8-Piece-Klein-Tools-JTH68MB/dp/B004DB8GSK/ref=sr_1_2?keywords=Klein+Tools+JTH68M+Hex+Key+Set%2C+Metric%2C+Journeyman%E2%84%A2+T-Handle%2C+6-Inch+with+Stand%2C+8-Piece&amp;qid=1695173400&amp;sr=8-2", "https://www.amazon.com/T-Handle-8-Piece-Klein-Tools-JTH68MB/dp/B004DB8GSK/ref=sr_1_2?keywords=Klein+Tools+JTH68M+Hex+Key+Set%2C+Metric%2C+Journeyman%E2%84%A2+T-Handle%2C+6-Inch+with+Stand%2C+8-Piece&amp;qid=1695173400&amp;sr=8-2")</f>
        <v/>
      </c>
      <c r="F247" t="inlineStr">
        <is>
          <t>B004DB8GSK</t>
        </is>
      </c>
      <c r="G247">
        <f>_xludf.IMAGE("https://edmondsonsupply.com/cdn/shop/products/jth68m.jpg?v=1587148489")</f>
        <v/>
      </c>
      <c r="H247">
        <f>_xludf.IMAGE("https://m.media-amazon.com/images/I/61XP-1Qh3UL._AC_UL320_.jpg")</f>
        <v/>
      </c>
      <c r="I247" t="inlineStr">
        <is>
          <t>39.99</t>
        </is>
      </c>
      <c r="J247" t="n">
        <v>88.87</v>
      </c>
      <c r="K247" s="3" t="inlineStr">
        <is>
          <t>122.23%</t>
        </is>
      </c>
      <c r="L247" t="n">
        <v>4.6</v>
      </c>
      <c r="M247" t="n">
        <v>426</v>
      </c>
      <c r="O247" t="inlineStr">
        <is>
          <t>InStock</t>
        </is>
      </c>
      <c r="P247" t="inlineStr">
        <is>
          <t>60.58</t>
        </is>
      </c>
      <c r="Q247" t="inlineStr">
        <is>
          <t>2766259650660</t>
        </is>
      </c>
    </row>
    <row r="248">
      <c r="A248" s="2">
        <f>HYPERLINK("https://edmondsonsupply.com/collections/hvac/products/midwest-mwt-6510lo-left-cutting-offset-aviation-snip-blackout-series", "https://edmondsonsupply.com/collections/hvac/products/midwest-mwt-6510lo-left-cutting-offset-aviation-snip-blackout-series")</f>
        <v/>
      </c>
      <c r="B248" s="2">
        <f>HYPERLINK("https://edmondsonsupply.com/products/midwest-mwt-6510lo-left-cutting-offset-aviation-snip-blackout-series", "https://edmondsonsupply.com/products/midwest-mwt-6510lo-left-cutting-offset-aviation-snip-blackout-series")</f>
        <v/>
      </c>
      <c r="C248" t="inlineStr">
        <is>
          <t>Midwest MWT-6510LO Left-Cutting Offset Aviation Snip - Blackout Series</t>
        </is>
      </c>
      <c r="D248" t="inlineStr">
        <is>
          <t>MIDWEST Aviation Snip - Left and Right Cut Offset Stainless Steel Cutting Shears with Forged Blade &amp; KUSH'N-POWER Comfort Grips - MWT-SS6510C</t>
        </is>
      </c>
      <c r="E248" s="2">
        <f>HYPERLINK("https://www.amazon.com/MIDWEST-Aviation-Snip-Set-KUSHN-POWER/dp/B07RC7ZBK9/ref=sr_1_3?keywords=Midwest+MWT-6510LO+Left-Cutting+Offset+Aviation+Snip+-+Blackout+Series&amp;qid=1695173331&amp;sr=8-3", "https://www.amazon.com/MIDWEST-Aviation-Snip-Set-KUSHN-POWER/dp/B07RC7ZBK9/ref=sr_1_3?keywords=Midwest+MWT-6510LO+Left-Cutting+Offset+Aviation+Snip+-+Blackout+Series&amp;qid=1695173331&amp;sr=8-3")</f>
        <v/>
      </c>
      <c r="F248" t="inlineStr">
        <is>
          <t>B07RC7ZBK9</t>
        </is>
      </c>
      <c r="G248">
        <f>_xludf.IMAGE("https://edmondsonsupply.com/cdn/shop/products/mwt-6510lo.jpg?v=1587147580")</f>
        <v/>
      </c>
      <c r="H248">
        <f>_xludf.IMAGE("https://m.media-amazon.com/images/I/71438hbSyHL._AC_UL320_.jpg")</f>
        <v/>
      </c>
      <c r="I248" t="inlineStr">
        <is>
          <t>39.85</t>
        </is>
      </c>
      <c r="J248" t="n">
        <v>87.98999999999999</v>
      </c>
      <c r="K248" s="3" t="inlineStr">
        <is>
          <t>120.80%</t>
        </is>
      </c>
      <c r="L248" t="n">
        <v>4.4</v>
      </c>
      <c r="M248" t="n">
        <v>1137</v>
      </c>
      <c r="O248" t="inlineStr">
        <is>
          <t>OutOfStock</t>
        </is>
      </c>
      <c r="P248" t="inlineStr">
        <is>
          <t>39.85</t>
        </is>
      </c>
      <c r="Q248" t="inlineStr">
        <is>
          <t>4508644606052</t>
        </is>
      </c>
    </row>
    <row r="249">
      <c r="A249" s="2">
        <f>HYPERLINK("https://edmondsonsupply.com/collections/hvac/products/klein-tools-32304-14-in-1-hvac-adjustable-length-impact-screwdriver-with-flip-socket", "https://edmondsonsupply.com/collections/hvac/products/klein-tools-32304-14-in-1-hvac-adjustable-length-impact-screwdriver-with-flip-socket")</f>
        <v/>
      </c>
      <c r="B249" s="2">
        <f>HYPERLINK("https://edmondsonsupply.com/products/klein-tools-32304-14-in-1-hvac-adjustable-length-impact-screwdriver-with-flip-socket", "https://edmondsonsupply.com/products/klein-tools-32304-14-in-1-hvac-adjustable-length-impact-screwdriver-with-flip-socket")</f>
        <v/>
      </c>
      <c r="C249" t="inlineStr">
        <is>
          <t>Klein Tools 32304 14-in-1 HVAC Adjustable-Length Impact Screwdriver with Flip Socket</t>
        </is>
      </c>
      <c r="D249" t="inlineStr">
        <is>
          <t>Screwdriver, 14-in-1 Adjustable Screwdriver with Flip Socket, HVAC Nut Drivers and Bits, Impact Rated Klein Tools 32304 &amp; UEi Test Instruments PDT650 Folding Pocket Digital Thermometer,Yellow</t>
        </is>
      </c>
      <c r="E249" s="2">
        <f>HYPERLINK("https://www.amazon.com/Screwdriver-Klein-Tools-Instruments-Thermometer/dp/B0B68FP3YG/ref=sr_1_2?keywords=Klein+Tools+32304+14-in-1+HVAC+Adjustable-Length+Impact+Screwdriver+with+Flip+Socket&amp;qid=1695173459&amp;sr=8-2", "https://www.amazon.com/Screwdriver-Klein-Tools-Instruments-Thermometer/dp/B0B68FP3YG/ref=sr_1_2?keywords=Klein+Tools+32304+14-in-1+HVAC+Adjustable-Length+Impact+Screwdriver+with+Flip+Socket&amp;qid=1695173459&amp;sr=8-2")</f>
        <v/>
      </c>
      <c r="F249" t="inlineStr">
        <is>
          <t>B0B68FP3YG</t>
        </is>
      </c>
      <c r="G249">
        <f>_xludf.IMAGE("https://edmondsonsupply.com/cdn/shop/products/32304.jpg?v=1666019479")</f>
        <v/>
      </c>
      <c r="H249">
        <f>_xludf.IMAGE("https://m.media-amazon.com/images/I/41yTQwoccbL._AC_UL320_.jpg")</f>
        <v/>
      </c>
      <c r="I249" t="inlineStr">
        <is>
          <t>24.97</t>
        </is>
      </c>
      <c r="J249" t="n">
        <v>55.02</v>
      </c>
      <c r="K249" s="3" t="inlineStr">
        <is>
          <t>120.34%</t>
        </is>
      </c>
      <c r="L249" t="n">
        <v>4.5</v>
      </c>
      <c r="M249" t="n">
        <v>39</v>
      </c>
      <c r="O249" t="inlineStr">
        <is>
          <t>InStock</t>
        </is>
      </c>
      <c r="P249" t="inlineStr">
        <is>
          <t>34.98</t>
        </is>
      </c>
      <c r="Q249" t="inlineStr">
        <is>
          <t>7856604578008</t>
        </is>
      </c>
    </row>
    <row r="250">
      <c r="A250" s="2">
        <f>HYPERLINK("https://edmondsonsupply.com/collections/hvac/products/klein-tools-32907-7-in-1-impact-flip-socket-set-no-handle", "https://edmondsonsupply.com/collections/hvac/products/klein-tools-32907-7-in-1-impact-flip-socket-set-no-handle")</f>
        <v/>
      </c>
      <c r="B250" s="2">
        <f>HYPERLINK("https://edmondsonsupply.com/products/klein-tools-32907-7-in-1-impact-flip-socket-set-no-handle", "https://edmondsonsupply.com/products/klein-tools-32907-7-in-1-impact-flip-socket-set-no-handle")</f>
        <v/>
      </c>
      <c r="C250" t="inlineStr">
        <is>
          <t>Klein Tools 32907 7-in-1 Impact Flip Socket Set, No Handle</t>
        </is>
      </c>
      <c r="D250" t="inlineStr">
        <is>
          <t>LENOX Tools Jab Saw, Folding (20997TFHS618636) &amp; Impact Driver, 7-in-1 Impact Flip Socket Set, 6 Hex Driver Sizes plus a 1/4-Inch Bit Holder Klein Tools 32907</t>
        </is>
      </c>
      <c r="E250" s="2">
        <f>HYPERLINK("https://www.amazon.com/Folding-20997TFHS618636-Impact-Driver-Socket/dp/B0CF2HPH97/ref=sr_1_9?keywords=Klein+Tools+32907+7-in-1+Impact+Flip+Socket+Set%2C+No+Handle&amp;qid=1695173428&amp;sr=8-9", "https://www.amazon.com/Folding-20997TFHS618636-Impact-Driver-Socket/dp/B0CF2HPH97/ref=sr_1_9?keywords=Klein+Tools+32907+7-in-1+Impact+Flip+Socket+Set%2C+No+Handle&amp;qid=1695173428&amp;sr=8-9")</f>
        <v/>
      </c>
      <c r="F250" t="inlineStr">
        <is>
          <t>B0CF2HPH97</t>
        </is>
      </c>
      <c r="G250">
        <f>_xludf.IMAGE("https://edmondsonsupply.com/cdn/shop/products/32907_b.jpg?v=1666025282")</f>
        <v/>
      </c>
      <c r="H250">
        <f>_xludf.IMAGE("https://m.media-amazon.com/images/I/51ARCE+JBfL._AC_UL320_.jpg")</f>
        <v/>
      </c>
      <c r="I250" t="inlineStr">
        <is>
          <t>19.99</t>
        </is>
      </c>
      <c r="J250" t="n">
        <v>43.98</v>
      </c>
      <c r="K250" s="3" t="inlineStr">
        <is>
          <t>120.01%</t>
        </is>
      </c>
      <c r="L250" t="n">
        <v>4.5</v>
      </c>
      <c r="M250" t="n">
        <v>777</v>
      </c>
      <c r="O250" t="inlineStr">
        <is>
          <t>InStock</t>
        </is>
      </c>
      <c r="P250" t="inlineStr">
        <is>
          <t>29.18</t>
        </is>
      </c>
      <c r="Q250" t="inlineStr">
        <is>
          <t>7856653009112</t>
        </is>
      </c>
    </row>
    <row r="251">
      <c r="A251" s="2">
        <f>HYPERLINK("https://edmondsonsupply.com/collections/hvac/products/fluke-62-max-mini-infrared-thermometer", "https://edmondsonsupply.com/collections/hvac/products/fluke-62-max-mini-infrared-thermometer")</f>
        <v/>
      </c>
      <c r="B251" s="2">
        <f>HYPERLINK("https://edmondsonsupply.com/products/fluke-62-max-mini-infrared-thermometer", "https://edmondsonsupply.com/products/fluke-62-max-mini-infrared-thermometer")</f>
        <v/>
      </c>
      <c r="C251" t="inlineStr">
        <is>
          <t>Fluke 62 MAX Mini Infrared Thermometer</t>
        </is>
      </c>
      <c r="D251" t="inlineStr">
        <is>
          <t>FLUKE FLUKE-62 MAX+ INFRARED THERMOMETER, -30C to +650C / -22F to +1202F</t>
        </is>
      </c>
      <c r="E251" s="2">
        <f>HYPERLINK("https://www.amazon.com/FLUKE-FLUKE-62-INFRARED-THERMOMETER-1202F/dp/B00BX8RMAY/ref=sr_1_7?keywords=Fluke+62+MAX+Mini+Infrared+Thermometer&amp;qid=1695173532&amp;sr=8-7", "https://www.amazon.com/FLUKE-FLUKE-62-INFRARED-THERMOMETER-1202F/dp/B00BX8RMAY/ref=sr_1_7?keywords=Fluke+62+MAX+Mini+Infrared+Thermometer&amp;qid=1695173532&amp;sr=8-7")</f>
        <v/>
      </c>
      <c r="F251" t="inlineStr">
        <is>
          <t>B00BX8RMAY</t>
        </is>
      </c>
      <c r="G251">
        <f>_xludf.IMAGE("https://edmondsonsupply.com/cdn/shop/products/62max.jpg?v=1633030769")</f>
        <v/>
      </c>
      <c r="H251">
        <f>_xludf.IMAGE("https://m.media-amazon.com/images/I/51OF-Dz5VLL._AC_UY218_.jpg")</f>
        <v/>
      </c>
      <c r="I251" t="inlineStr">
        <is>
          <t>122.99</t>
        </is>
      </c>
      <c r="J251" t="n">
        <v>269.99</v>
      </c>
      <c r="K251" s="3" t="inlineStr">
        <is>
          <t>119.52%</t>
        </is>
      </c>
      <c r="L251" t="n">
        <v>5</v>
      </c>
      <c r="M251" t="n">
        <v>3</v>
      </c>
      <c r="O251" t="inlineStr">
        <is>
          <t>OutOfStock</t>
        </is>
      </c>
      <c r="P251" t="inlineStr">
        <is>
          <t>134.99</t>
        </is>
      </c>
      <c r="Q251" t="inlineStr">
        <is>
          <t>5931906334888</t>
        </is>
      </c>
    </row>
    <row r="252">
      <c r="A252" s="2">
        <f>HYPERLINK("https://edmondsonsupply.com/collections/hvac/products/klein-tools-32304-14-in-1-hvac-adjustable-length-impact-screwdriver-with-flip-socket", "https://edmondsonsupply.com/collections/hvac/products/klein-tools-32304-14-in-1-hvac-adjustable-length-impact-screwdriver-with-flip-socket")</f>
        <v/>
      </c>
      <c r="B252" s="2">
        <f>HYPERLINK("https://edmondsonsupply.com/products/klein-tools-32304-14-in-1-hvac-adjustable-length-impact-screwdriver-with-flip-socket", "https://edmondsonsupply.com/products/klein-tools-32304-14-in-1-hvac-adjustable-length-impact-screwdriver-with-flip-socket")</f>
        <v/>
      </c>
      <c r="C252" t="inlineStr">
        <is>
          <t>Klein Tools 32304 14-in-1 HVAC Adjustable-Length Impact Screwdriver with Flip Socket</t>
        </is>
      </c>
      <c r="D252" t="inlineStr">
        <is>
          <t>Klein Tools 32717 Precision Screwdriver Set &amp; 14-in-1 Adjustable Screwdriver with Flip Socket, HVAC Nut Drivers and Bits, Impact Rated Klein Tools 32304</t>
        </is>
      </c>
      <c r="E252" s="2">
        <f>HYPERLINK("https://www.amazon.com/Klein-Tools-Precision-Screwdriver-Adjustable/dp/B0BRM3HJY8/ref=sr_1_7?keywords=Klein+Tools+32304+14-in-1+HVAC+Adjustable-Length+Impact+Screwdriver+with+Flip+Socket&amp;qid=1695173459&amp;sr=8-7", "https://www.amazon.com/Klein-Tools-Precision-Screwdriver-Adjustable/dp/B0BRM3HJY8/ref=sr_1_7?keywords=Klein+Tools+32304+14-in-1+HVAC+Adjustable-Length+Impact+Screwdriver+with+Flip+Socket&amp;qid=1695173459&amp;sr=8-7")</f>
        <v/>
      </c>
      <c r="F252" t="inlineStr">
        <is>
          <t>B0BRM3HJY8</t>
        </is>
      </c>
      <c r="G252">
        <f>_xludf.IMAGE("https://edmondsonsupply.com/cdn/shop/products/32304.jpg?v=1666019479")</f>
        <v/>
      </c>
      <c r="H252">
        <f>_xludf.IMAGE("https://m.media-amazon.com/images/I/513WrxifIfL._AC_UL320_.jpg")</f>
        <v/>
      </c>
      <c r="I252" t="inlineStr">
        <is>
          <t>24.97</t>
        </is>
      </c>
      <c r="J252" t="n">
        <v>54.74</v>
      </c>
      <c r="K252" s="3" t="inlineStr">
        <is>
          <t>119.22%</t>
        </is>
      </c>
      <c r="L252" t="n">
        <v>4.9</v>
      </c>
      <c r="M252" t="n">
        <v>9</v>
      </c>
      <c r="O252" t="inlineStr">
        <is>
          <t>InStock</t>
        </is>
      </c>
      <c r="P252" t="inlineStr">
        <is>
          <t>34.98</t>
        </is>
      </c>
      <c r="Q252" t="inlineStr">
        <is>
          <t>7856604578008</t>
        </is>
      </c>
    </row>
    <row r="253">
      <c r="A253" s="2">
        <f>HYPERLINK("https://edmondsonsupply.com/collections/hvac/products/greenlee-gsb01-1-2-step-bit-1", "https://edmondsonsupply.com/collections/hvac/products/greenlee-gsb01-1-2-step-bit-1")</f>
        <v/>
      </c>
      <c r="B253" s="2">
        <f>HYPERLINK("https://edmondsonsupply.com/products/greenlee-gsb01-1-2-step-bit-1", "https://edmondsonsupply.com/products/greenlee-gsb01-1-2-step-bit-1")</f>
        <v/>
      </c>
      <c r="C253" t="inlineStr">
        <is>
          <t>Greenlee GSB01 1/2" Step Bit (#1)</t>
        </is>
      </c>
      <c r="D253" t="inlineStr">
        <is>
          <t>Greenlee GSB09 1-1/8" Step Bit (#9) Metal Cutter with Patented Split-Step Design, 1-1/8" Metal Cutting Tool for 1/2" Drill Chucks</t>
        </is>
      </c>
      <c r="E253" s="2">
        <f>HYPERLINK("https://www.amazon.com/Greenlee-Patented-Split-Step-Design-Cutting/dp/B08TVGF4MS/ref=sr_1_5?keywords=Greenlee+GSB01+1%2F2%22+Step+Bit+%28%231%29&amp;qid=1695173747&amp;sr=8-5", "https://www.amazon.com/Greenlee-Patented-Split-Step-Design-Cutting/dp/B08TVGF4MS/ref=sr_1_5?keywords=Greenlee+GSB01+1%2F2%22+Step+Bit+%28%231%29&amp;qid=1695173747&amp;sr=8-5")</f>
        <v/>
      </c>
      <c r="F253" t="inlineStr">
        <is>
          <t>B08TVGF4MS</t>
        </is>
      </c>
      <c r="G253">
        <f>_xludf.IMAGE("https://edmondsonsupply.com/cdn/shop/files/GSB01_CAT1_72dpi_1.jpg?v=1687790366")</f>
        <v/>
      </c>
      <c r="H253">
        <f>_xludf.IMAGE("https://m.media-amazon.com/images/I/41J5YEXJLpL._AC_UY218_.jpg")</f>
        <v/>
      </c>
      <c r="I253" t="inlineStr">
        <is>
          <t>31.22</t>
        </is>
      </c>
      <c r="J253" t="n">
        <v>68.43000000000001</v>
      </c>
      <c r="K253" s="3" t="inlineStr">
        <is>
          <t>119.19%</t>
        </is>
      </c>
      <c r="L253" t="n">
        <v>3.8</v>
      </c>
      <c r="M253" t="n">
        <v>5</v>
      </c>
      <c r="O253" t="inlineStr">
        <is>
          <t>InStock</t>
        </is>
      </c>
      <c r="P253" t="inlineStr">
        <is>
          <t>undefined</t>
        </is>
      </c>
      <c r="Q253" t="inlineStr">
        <is>
          <t>8009320628440</t>
        </is>
      </c>
    </row>
    <row r="254">
      <c r="A254" s="2">
        <f>HYPERLINK("https://edmondsonsupply.com/collections/hvac/products/icm-controls-icm203-delay-on-break-timer-with-03-10-minute-adjustable-time-delay-universal-18-240-vac", "https://edmondsonsupply.com/collections/hvac/products/icm-controls-icm203-delay-on-break-timer-with-03-10-minute-adjustable-time-delay-universal-18-240-vac")</f>
        <v/>
      </c>
      <c r="B254" s="2">
        <f>HYPERLINK("https://edmondsonsupply.com/products/icm-controls-icm203-delay-on-break-timer-with-03-10-minute-adjustable-time-delay-universal-18-240-vac", "https://edmondsonsupply.com/products/icm-controls-icm203-delay-on-break-timer-with-03-10-minute-adjustable-time-delay-universal-18-240-vac")</f>
        <v/>
      </c>
      <c r="C254" t="inlineStr">
        <is>
          <t>ICM Controls ICM203 Delay on Break Timer with .03-10 Minute Adjustable Time Delay, Universal 18-240 VAC</t>
        </is>
      </c>
      <c r="D254" t="inlineStr">
        <is>
          <t>ICM Controls ICM105 Delay-on-Make Timer with 0.03-10 Minute Adjustable Delay, Universal 18-240 VAC</t>
        </is>
      </c>
      <c r="E254" s="2">
        <f>HYPERLINK("https://www.amazon.com/ICM-Controls-ICM105-Adjustable-Universal/dp/B00441XZXK/ref=sr_1_1?keywords=ICM+Controls+ICM203+Delay+on+Break+Timer+with+.03-10+Minute+Adjustable+Time+Delay%2C+Universal+18-240+VAC&amp;qid=1695173465&amp;sr=8-1", "https://www.amazon.com/ICM-Controls-ICM105-Adjustable-Universal/dp/B00441XZXK/ref=sr_1_1?keywords=ICM+Controls+ICM203+Delay+on+Break+Timer+with+.03-10+Minute+Adjustable+Time+Delay%2C+Universal+18-240+VAC&amp;qid=1695173465&amp;sr=8-1")</f>
        <v/>
      </c>
      <c r="F254" t="inlineStr">
        <is>
          <t>B00441XZXK</t>
        </is>
      </c>
      <c r="G254">
        <f>_xludf.IMAGE("https://edmondsonsupply.com/cdn/shop/products/icm203.jpg?v=1587148866")</f>
        <v/>
      </c>
      <c r="H254">
        <f>_xludf.IMAGE("https://m.media-amazon.com/images/I/61Fd+ZYvG1L._AC_UL320_.jpg")</f>
        <v/>
      </c>
      <c r="I254" t="inlineStr">
        <is>
          <t>15.7</t>
        </is>
      </c>
      <c r="J254" t="n">
        <v>34.25</v>
      </c>
      <c r="K254" s="3" t="inlineStr">
        <is>
          <t>118.15%</t>
        </is>
      </c>
      <c r="L254" t="n">
        <v>4.3</v>
      </c>
      <c r="M254" t="n">
        <v>4</v>
      </c>
      <c r="O254" t="inlineStr">
        <is>
          <t>InStock</t>
        </is>
      </c>
      <c r="P254" t="inlineStr">
        <is>
          <t>18.92</t>
        </is>
      </c>
      <c r="Q254" t="inlineStr">
        <is>
          <t>4169307979876</t>
        </is>
      </c>
    </row>
    <row r="255">
      <c r="A255" s="2">
        <f>HYPERLINK("https://edmondsonsupply.com/collections/hvac/products/supco-shp450250-high-pressure-control-switch-450-250-psi", "https://edmondsonsupply.com/collections/hvac/products/supco-shp450250-high-pressure-control-switch-450-250-psi")</f>
        <v/>
      </c>
      <c r="B255" s="2">
        <f>HYPERLINK("https://edmondsonsupply.com/products/supco-shp450250-high-pressure-control-switch-450-250-psi", "https://edmondsonsupply.com/products/supco-shp450250-high-pressure-control-switch-450-250-psi")</f>
        <v/>
      </c>
      <c r="C255" t="inlineStr">
        <is>
          <t>Supco SHP450250 High Pressure Control Switch, 450-250 PSI</t>
        </is>
      </c>
      <c r="D255" t="inlineStr">
        <is>
          <t>Supco SHP450250 High Pressure Control Switch 450-250 PSI</t>
        </is>
      </c>
      <c r="E255" s="2">
        <f>HYPERLINK("https://www.amazon.com/SHP450250-Pressure-Control-Switch-450-250/dp/B09L595N9W/ref=sr_1_1?keywords=Supco+SHP450250+High+Pressure+Control+Switch%2C+450-250+PSI&amp;qid=1695173381&amp;sr=8-1", "https://www.amazon.com/SHP450250-Pressure-Control-Switch-450-250/dp/B09L595N9W/ref=sr_1_1?keywords=Supco+SHP450250+High+Pressure+Control+Switch%2C+450-250+PSI&amp;qid=1695173381&amp;sr=8-1")</f>
        <v/>
      </c>
      <c r="F255" t="inlineStr">
        <is>
          <t>B09L595N9W</t>
        </is>
      </c>
      <c r="G255">
        <f>_xludf.IMAGE("https://edmondsonsupply.com/cdn/shop/products/SHP450250-2.jpg?v=1674514320")</f>
        <v/>
      </c>
      <c r="H255">
        <f>_xludf.IMAGE("https://m.media-amazon.com/images/I/51ByxhLHfuL._AC_UY218_.jpg")</f>
        <v/>
      </c>
      <c r="I255" t="inlineStr">
        <is>
          <t>11.99</t>
        </is>
      </c>
      <c r="J255" t="n">
        <v>25.99</v>
      </c>
      <c r="K255" s="3" t="inlineStr">
        <is>
          <t>116.76%</t>
        </is>
      </c>
      <c r="L255" t="n">
        <v>5</v>
      </c>
      <c r="M255" t="n">
        <v>1</v>
      </c>
      <c r="O255" t="inlineStr">
        <is>
          <t>InStock</t>
        </is>
      </c>
      <c r="P255" t="inlineStr">
        <is>
          <t>undefined</t>
        </is>
      </c>
      <c r="Q255" t="inlineStr">
        <is>
          <t>3564174245988</t>
        </is>
      </c>
    </row>
    <row r="256">
      <c r="A256" s="2">
        <f>HYPERLINK("https://edmondsonsupply.com/collections/hvac/products/packard-c140a-contactor-1-pole-40-amps-24-coil-voltage", "https://edmondsonsupply.com/collections/hvac/products/packard-c140a-contactor-1-pole-40-amps-24-coil-voltage")</f>
        <v/>
      </c>
      <c r="B256" s="2">
        <f>HYPERLINK("https://edmondsonsupply.com/products/packard-c140a-contactor-1-pole-40-amps-24-coil-voltage", "https://edmondsonsupply.com/products/packard-c140a-contactor-1-pole-40-amps-24-coil-voltage")</f>
        <v/>
      </c>
      <c r="C256" t="inlineStr">
        <is>
          <t>Packard C140A Contactor 1 Pole 40 AMPS 24 Coil Voltage</t>
        </is>
      </c>
      <c r="D256" t="inlineStr">
        <is>
          <t>Ducane - 40 Amp 1 Pole 24v Coil Replacement Contactor C140A</t>
        </is>
      </c>
      <c r="E256" s="2">
        <f>HYPERLINK("https://www.amazon.com/Ducane-Packard-Replacement-Contactor-C140A/dp/B00S8IZ44I/ref=sr_1_8?keywords=Packard+C140A+Contactor+1+Pole+40+AMPS+24+Coil+Voltage&amp;qid=1695173362&amp;sr=8-8", "https://www.amazon.com/Ducane-Packard-Replacement-Contactor-C140A/dp/B00S8IZ44I/ref=sr_1_8?keywords=Packard+C140A+Contactor+1+Pole+40+AMPS+24+Coil+Voltage&amp;qid=1695173362&amp;sr=8-8")</f>
        <v/>
      </c>
      <c r="F256" t="inlineStr">
        <is>
          <t>B00S8IZ44I</t>
        </is>
      </c>
      <c r="G256">
        <f>_xludf.IMAGE("https://edmondsonsupply.com/cdn/shop/products/C140A-1.jpg?v=1587147314")</f>
        <v/>
      </c>
      <c r="H256">
        <f>_xludf.IMAGE("https://m.media-amazon.com/images/I/51q4ngffe+L._AC_UY218_.jpg")</f>
        <v/>
      </c>
      <c r="I256" t="inlineStr">
        <is>
          <t>9.98</t>
        </is>
      </c>
      <c r="J256" t="n">
        <v>21.61</v>
      </c>
      <c r="K256" s="3" t="inlineStr">
        <is>
          <t>116.53%</t>
        </is>
      </c>
      <c r="L256" t="n">
        <v>4.7</v>
      </c>
      <c r="M256" t="n">
        <v>2</v>
      </c>
      <c r="O256" t="inlineStr">
        <is>
          <t>InStock</t>
        </is>
      </c>
      <c r="P256" t="inlineStr">
        <is>
          <t>undefined</t>
        </is>
      </c>
      <c r="Q256" t="inlineStr">
        <is>
          <t>4359080607844</t>
        </is>
      </c>
    </row>
    <row r="257">
      <c r="A257" s="2">
        <f>HYPERLINK("https://edmondsonsupply.com/collections/hvac/products/packard-trcfd305-titan-pro-run-capacitor-30-5-mfd-440-370-volt-round", "https://edmondsonsupply.com/collections/hvac/products/packard-trcfd305-titan-pro-run-capacitor-30-5-mfd-440-370-volt-round")</f>
        <v/>
      </c>
      <c r="B257" s="2">
        <f>HYPERLINK("https://edmondsonsupply.com/products/packard-trcfd305-titan-pro-run-capacitor-30-5-mfd-440-370-volt-round", "https://edmondsonsupply.com/products/packard-trcfd305-titan-pro-run-capacitor-30-5-mfd-440-370-volt-round")</f>
        <v/>
      </c>
      <c r="C257" t="inlineStr">
        <is>
          <t>Packard TRCFD305 Titan PRO Run Capacitor 30+5 MFD 440/370 Volt, Round</t>
        </is>
      </c>
      <c r="D257" t="inlineStr">
        <is>
          <t>Titan Pro Round Motor Dual Run Capacitor, 30/5 Microfarad Rating, 370-440VAC Voltage - TRCFD305</t>
        </is>
      </c>
      <c r="E257" s="2">
        <f>HYPERLINK("https://www.amazon.com/Capacitor-Microfarad-Rating-370-440VAC-Voltage/dp/B08TTPB9QZ/ref=sr_1_3?keywords=Packard+TRCFD305+Titan+PRO+Run+Capacitor+30+5+MFD+440%2F370+Volt%2C+Round&amp;qid=1695173481&amp;sr=8-3", "https://www.amazon.com/Capacitor-Microfarad-Rating-370-440VAC-Voltage/dp/B08TTPB9QZ/ref=sr_1_3?keywords=Packard+TRCFD305+Titan+PRO+Run+Capacitor+30+5+MFD+440%2F370+Volt%2C+Round&amp;qid=1695173481&amp;sr=8-3")</f>
        <v/>
      </c>
      <c r="F257" t="inlineStr">
        <is>
          <t>B08TTPB9QZ</t>
        </is>
      </c>
      <c r="G257">
        <f>_xludf.IMAGE("https://edmondsonsupply.com/cdn/shop/products/TRCFD305-2.jpg?v=1587144425")</f>
        <v/>
      </c>
      <c r="H257">
        <f>_xludf.IMAGE("https://m.media-amazon.com/images/I/61rN-CX2SUL._AC_UY218_.jpg")</f>
        <v/>
      </c>
      <c r="I257" t="inlineStr">
        <is>
          <t>7.29</t>
        </is>
      </c>
      <c r="J257" t="n">
        <v>15.69</v>
      </c>
      <c r="K257" s="3" t="inlineStr">
        <is>
          <t>115.23%</t>
        </is>
      </c>
      <c r="L257" t="n">
        <v>5</v>
      </c>
      <c r="M257" t="n">
        <v>4</v>
      </c>
      <c r="O257" t="inlineStr">
        <is>
          <t>OutOfStock</t>
        </is>
      </c>
      <c r="P257" t="inlineStr">
        <is>
          <t>undefined</t>
        </is>
      </c>
      <c r="Q257" t="inlineStr">
        <is>
          <t>4339324911716</t>
        </is>
      </c>
    </row>
    <row r="258">
      <c r="A258" s="2">
        <f>HYPERLINK("https://edmondsonsupply.com/collections/hvac/products/klein-tools-69417-rare-earth-magnetic-meter-hanger", "https://edmondsonsupply.com/collections/hvac/products/klein-tools-69417-rare-earth-magnetic-meter-hanger")</f>
        <v/>
      </c>
      <c r="B258" s="2">
        <f>HYPERLINK("https://edmondsonsupply.com/products/klein-tools-69417-rare-earth-magnetic-meter-hanger", "https://edmondsonsupply.com/products/klein-tools-69417-rare-earth-magnetic-meter-hanger")</f>
        <v/>
      </c>
      <c r="C258" t="inlineStr">
        <is>
          <t>Klein Tools 69417 Rare Earth Magnetic Meter Hanger, with Strap</t>
        </is>
      </c>
      <c r="D258" t="inlineStr">
        <is>
          <t>Klein Tools 69417 Rare-Earth Magnetic Hanger, with Strap &amp; 69401 Multimeter Carrying Case</t>
        </is>
      </c>
      <c r="E258" s="2">
        <f>HYPERLINK("https://www.amazon.com/Klein-Tools-Rare-Earth-Magnetic-Multimeter/dp/B0BGJ66GX4/ref=sr_1_2?keywords=Klein+Tools+69417+Rare+Earth+Magnetic+Meter+Hanger%2C+with+Strap&amp;qid=1695173681&amp;sr=8-2", "https://www.amazon.com/Klein-Tools-Rare-Earth-Magnetic-Multimeter/dp/B0BGJ66GX4/ref=sr_1_2?keywords=Klein+Tools+69417+Rare+Earth+Magnetic+Meter+Hanger%2C+with+Strap&amp;qid=1695173681&amp;sr=8-2")</f>
        <v/>
      </c>
      <c r="F258" t="inlineStr">
        <is>
          <t>B0BGJ66GX4</t>
        </is>
      </c>
      <c r="G258">
        <f>_xludf.IMAGE("https://edmondsonsupply.com/cdn/shop/products/69417.jpg?v=1587150163")</f>
        <v/>
      </c>
      <c r="H258">
        <f>_xludf.IMAGE("https://m.media-amazon.com/images/I/51Em03gaEVL._AC_UL320_.jpg")</f>
        <v/>
      </c>
      <c r="I258" t="inlineStr">
        <is>
          <t>13.99</t>
        </is>
      </c>
      <c r="J258" t="n">
        <v>29.99</v>
      </c>
      <c r="K258" s="3" t="inlineStr">
        <is>
          <t>114.37%</t>
        </is>
      </c>
      <c r="L258" t="n">
        <v>5</v>
      </c>
      <c r="M258" t="n">
        <v>2</v>
      </c>
      <c r="O258" t="inlineStr">
        <is>
          <t>InStock</t>
        </is>
      </c>
      <c r="P258" t="inlineStr">
        <is>
          <t>20.0</t>
        </is>
      </c>
      <c r="Q258" t="inlineStr">
        <is>
          <t>1778073731172</t>
        </is>
      </c>
    </row>
    <row r="259">
      <c r="A259" s="2">
        <f>HYPERLINK("https://edmondsonsupply.com/collections/hvac/products/rectorseal-66733-nokink-3-8-x-3-flexible-refrigerant-line-connector", "https://edmondsonsupply.com/collections/hvac/products/rectorseal-66733-nokink-3-8-x-3-flexible-refrigerant-line-connector")</f>
        <v/>
      </c>
      <c r="B259" s="2">
        <f>HYPERLINK("https://edmondsonsupply.com/products/rectorseal-66733-nokink-3-8-x-3-flexible-refrigerant-line-connector", "https://edmondsonsupply.com/products/rectorseal-66733-nokink-3-8-x-3-flexible-refrigerant-line-connector")</f>
        <v/>
      </c>
      <c r="C259" t="inlineStr">
        <is>
          <t>RectorSeal 66733 NoKink 3/8" x 3' Flexible Refrigerant Line Connector</t>
        </is>
      </c>
      <c r="D259" t="inlineStr">
        <is>
          <t>Rectorseal 68235 NoKink Flexible Refrigerant Line Connector, 5/8" x 72"</t>
        </is>
      </c>
      <c r="E259" s="2">
        <f>HYPERLINK("https://www.amazon.com/Rectorseal-68235-Flexible-Refrigerant-Connector/dp/B01ALRVLTA/ref=sr_1_1?keywords=RectorSeal+66733+NoKink+3%2F8%22+x+3%27+Flexible+Refrigerant+Line+Connector&amp;qid=1695173351&amp;sr=8-1", "https://www.amazon.com/Rectorseal-68235-Flexible-Refrigerant-Connector/dp/B01ALRVLTA/ref=sr_1_1?keywords=RectorSeal+66733+NoKink+3%2F8%22+x+3%27+Flexible+Refrigerant+Line+Connector&amp;qid=1695173351&amp;sr=8-1")</f>
        <v/>
      </c>
      <c r="F259" t="inlineStr">
        <is>
          <t>B01ALRVLTA</t>
        </is>
      </c>
      <c r="G259">
        <f>_xludf.IMAGE("https://edmondsonsupply.com/cdn/shop/products/66733-1.jpg?v=1632264229")</f>
        <v/>
      </c>
      <c r="H259">
        <f>_xludf.IMAGE("https://m.media-amazon.com/images/I/51pjB6ZOm9L._AC_UL320_.jpg")</f>
        <v/>
      </c>
      <c r="I259" t="inlineStr">
        <is>
          <t>62.99</t>
        </is>
      </c>
      <c r="J259" t="n">
        <v>133.67</v>
      </c>
      <c r="K259" s="3" t="inlineStr">
        <is>
          <t>112.21%</t>
        </is>
      </c>
      <c r="L259" t="n">
        <v>4</v>
      </c>
      <c r="M259" t="n">
        <v>5</v>
      </c>
      <c r="O259" t="inlineStr">
        <is>
          <t>InStock</t>
        </is>
      </c>
      <c r="P259" t="inlineStr">
        <is>
          <t>undefined</t>
        </is>
      </c>
      <c r="Q259" t="inlineStr">
        <is>
          <t>6957674758317</t>
        </is>
      </c>
    </row>
    <row r="260">
      <c r="A260" s="2">
        <f>HYPERLINK("https://edmondsonsupply.com/collections/hvac/products/packard-trcfd305-titan-pro-run-capacitor-30-5-mfd-440-370-volt-round", "https://edmondsonsupply.com/collections/hvac/products/packard-trcfd305-titan-pro-run-capacitor-30-5-mfd-440-370-volt-round")</f>
        <v/>
      </c>
      <c r="B260" s="2">
        <f>HYPERLINK("https://edmondsonsupply.com/products/packard-trcfd305-titan-pro-run-capacitor-30-5-mfd-440-370-volt-round", "https://edmondsonsupply.com/products/packard-trcfd305-titan-pro-run-capacitor-30-5-mfd-440-370-volt-round")</f>
        <v/>
      </c>
      <c r="C260" t="inlineStr">
        <is>
          <t>Packard TRCFD305 Titan PRO Run Capacitor 30+5 MFD 440/370 Volt, Round</t>
        </is>
      </c>
      <c r="D260" t="inlineStr">
        <is>
          <t>TitanPro TRCFD305 HVAC Round Dual Motor Run Capacitor 30/5 MFD/UF440/370 Volts</t>
        </is>
      </c>
      <c r="E260" s="2">
        <f>HYPERLINK("https://www.amazon.com/TitanPro-TRCFD305-Round-Motor-Capacitor/dp/B06XHDG9PZ/ref=sr_1_1?keywords=Packard+TRCFD305+Titan+PRO+Run+Capacitor+30+5+MFD+440%2F370+Volt%2C+Round&amp;qid=1695173481&amp;sr=8-1", "https://www.amazon.com/TitanPro-TRCFD305-Round-Motor-Capacitor/dp/B06XHDG9PZ/ref=sr_1_1?keywords=Packard+TRCFD305+Titan+PRO+Run+Capacitor+30+5+MFD+440%2F370+Volt%2C+Round&amp;qid=1695173481&amp;sr=8-1")</f>
        <v/>
      </c>
      <c r="F260" t="inlineStr">
        <is>
          <t>B06XHDG9PZ</t>
        </is>
      </c>
      <c r="G260">
        <f>_xludf.IMAGE("https://edmondsonsupply.com/cdn/shop/products/TRCFD305-2.jpg?v=1587144425")</f>
        <v/>
      </c>
      <c r="H260">
        <f>_xludf.IMAGE("https://m.media-amazon.com/images/I/61szuZnZP1L._AC_UY218_.jpg")</f>
        <v/>
      </c>
      <c r="I260" t="inlineStr">
        <is>
          <t>7.29</t>
        </is>
      </c>
      <c r="J260" t="n">
        <v>15.41</v>
      </c>
      <c r="K260" s="3" t="inlineStr">
        <is>
          <t>111.39%</t>
        </is>
      </c>
      <c r="L260" t="n">
        <v>4.7</v>
      </c>
      <c r="M260" t="n">
        <v>3</v>
      </c>
      <c r="O260" t="inlineStr">
        <is>
          <t>OutOfStock</t>
        </is>
      </c>
      <c r="P260" t="inlineStr">
        <is>
          <t>undefined</t>
        </is>
      </c>
      <c r="Q260" t="inlineStr">
        <is>
          <t>4339324911716</t>
        </is>
      </c>
    </row>
    <row r="261">
      <c r="A261" s="2">
        <f>HYPERLINK("https://edmondsonsupply.com/collections/hvac/products/klein-tools-32907-7-in-1-impact-flip-socket-set-no-handle", "https://edmondsonsupply.com/collections/hvac/products/klein-tools-32907-7-in-1-impact-flip-socket-set-no-handle")</f>
        <v/>
      </c>
      <c r="B261" s="2">
        <f>HYPERLINK("https://edmondsonsupply.com/products/klein-tools-32907-7-in-1-impact-flip-socket-set-no-handle", "https://edmondsonsupply.com/products/klein-tools-32907-7-in-1-impact-flip-socket-set-no-handle")</f>
        <v/>
      </c>
      <c r="C261" t="inlineStr">
        <is>
          <t>Klein Tools 32907 7-in-1 Impact Flip Socket Set, No Handle</t>
        </is>
      </c>
      <c r="D261" t="inlineStr">
        <is>
          <t>Klein Tools 80027 Screwdriver Set, 11-in-1 Multi-bit Screwdriver, 6-in-1 Stubby Screwdriver &amp; Impact Driver, 7-in-1 Impact Flip Socket Set, 6 Hex Driver Sizes plus a 1/4-Inch Bit Holder 32907</t>
        </is>
      </c>
      <c r="E261" s="2">
        <f>HYPERLINK("https://www.amazon.com/Klein-Tools-Screwdriver-Multi-bit-Stubby/dp/B0CF2F1JXG/ref=sr_1_3?keywords=Klein+Tools+32907+7-in-1+Impact+Flip+Socket+Set%2C+No+Handle&amp;qid=1695173428&amp;sr=8-3", "https://www.amazon.com/Klein-Tools-Screwdriver-Multi-bit-Stubby/dp/B0CF2F1JXG/ref=sr_1_3?keywords=Klein+Tools+32907+7-in-1+Impact+Flip+Socket+Set%2C+No+Handle&amp;qid=1695173428&amp;sr=8-3")</f>
        <v/>
      </c>
      <c r="F261" t="inlineStr">
        <is>
          <t>B0CF2F1JXG</t>
        </is>
      </c>
      <c r="G261">
        <f>_xludf.IMAGE("https://edmondsonsupply.com/cdn/shop/products/32907_b.jpg?v=1666025282")</f>
        <v/>
      </c>
      <c r="H261">
        <f>_xludf.IMAGE("https://m.media-amazon.com/images/I/41r3ulT1BkL._AC_UL320_.jpg")</f>
        <v/>
      </c>
      <c r="I261" t="inlineStr">
        <is>
          <t>19.99</t>
        </is>
      </c>
      <c r="J261" t="n">
        <v>41.98</v>
      </c>
      <c r="K261" s="3" t="inlineStr">
        <is>
          <t>110.01%</t>
        </is>
      </c>
      <c r="L261" t="n">
        <v>4.8</v>
      </c>
      <c r="M261" t="n">
        <v>13277</v>
      </c>
      <c r="O261" t="inlineStr">
        <is>
          <t>InStock</t>
        </is>
      </c>
      <c r="P261" t="inlineStr">
        <is>
          <t>29.18</t>
        </is>
      </c>
      <c r="Q261" t="inlineStr">
        <is>
          <t>7856653009112</t>
        </is>
      </c>
    </row>
    <row r="262">
      <c r="A262" s="2">
        <f>HYPERLINK("https://edmondsonsupply.com/collections/hvac/products/greenlee-gsb06-1-2-step-bit-6", "https://edmondsonsupply.com/collections/hvac/products/greenlee-gsb06-1-2-step-bit-6")</f>
        <v/>
      </c>
      <c r="B262" s="2">
        <f>HYPERLINK("https://edmondsonsupply.com/products/greenlee-gsb06-1-2-step-bit-6", "https://edmondsonsupply.com/products/greenlee-gsb06-1-2-step-bit-6")</f>
        <v/>
      </c>
      <c r="C262" t="inlineStr">
        <is>
          <t>Greenlee GSB06 1/2" Step Bit (#6)</t>
        </is>
      </c>
      <c r="D262" t="inlineStr">
        <is>
          <t>Greenlee GSB09 1-1/8" Step Bit (#9) Metal Cutter with Patented Split-Step Design, 1-1/8" Metal Cutting Tool for 1/2" Drill Chucks</t>
        </is>
      </c>
      <c r="E262" s="2">
        <f>HYPERLINK("https://www.amazon.com/Greenlee-Patented-Split-Step-Design-Cutting/dp/B08TVGF4MS/ref=sr_1_6?keywords=Greenlee+GSB06+1%2F2%22+Step+Bit+%28%236%29&amp;qid=1695173600&amp;sr=8-6", "https://www.amazon.com/Greenlee-Patented-Split-Step-Design-Cutting/dp/B08TVGF4MS/ref=sr_1_6?keywords=Greenlee+GSB06+1%2F2%22+Step+Bit+%28%236%29&amp;qid=1695173600&amp;sr=8-6")</f>
        <v/>
      </c>
      <c r="F262" t="inlineStr">
        <is>
          <t>B08TVGF4MS</t>
        </is>
      </c>
      <c r="G262">
        <f>_xludf.IMAGE("https://edmondsonsupply.com/cdn/shop/files/GSB06_CAT1_72dpi.jpg?v=1687788659")</f>
        <v/>
      </c>
      <c r="H262">
        <f>_xludf.IMAGE("https://m.media-amazon.com/images/I/41J5YEXJLpL._AC_UY218_.jpg")</f>
        <v/>
      </c>
      <c r="I262" t="inlineStr">
        <is>
          <t>32.89</t>
        </is>
      </c>
      <c r="J262" t="n">
        <v>68.43000000000001</v>
      </c>
      <c r="K262" s="3" t="inlineStr">
        <is>
          <t>108.06%</t>
        </is>
      </c>
      <c r="L262" t="n">
        <v>3.8</v>
      </c>
      <c r="M262" t="n">
        <v>5</v>
      </c>
      <c r="O262" t="inlineStr">
        <is>
          <t>InStock</t>
        </is>
      </c>
      <c r="P262" t="inlineStr">
        <is>
          <t>33.55</t>
        </is>
      </c>
      <c r="Q262" t="inlineStr">
        <is>
          <t>8009318367448</t>
        </is>
      </c>
    </row>
    <row r="263">
      <c r="A263" s="2">
        <f>HYPERLINK("https://edmondsonsupply.com/collections/hvac/products/klein-tools-65200-electricians-mini-ratchet-set-5-piece", "https://edmondsonsupply.com/collections/hvac/products/klein-tools-65200-electricians-mini-ratchet-set-5-piece")</f>
        <v/>
      </c>
      <c r="B263" s="2">
        <f>HYPERLINK("https://edmondsonsupply.com/products/klein-tools-65200-electricians-mini-ratchet-set-5-piece", "https://edmondsonsupply.com/products/klein-tools-65200-electricians-mini-ratchet-set-5-piece")</f>
        <v/>
      </c>
      <c r="C263" t="inlineStr">
        <is>
          <t>Klein Tools 65200 Slim-Profile Mini Ratchet Set, 5-Piece</t>
        </is>
      </c>
      <c r="D263" t="inlineStr">
        <is>
          <t>Klein Tools 65200 Ratchet Set, 5-Piece Mini Ratchet Set &amp; 32308 Multi-bit Stubby Screwdriver, Impact Rated 8-in-1 Adjustable Magnetic Tool with Phillips, Slotted, Square and Nut Driver</t>
        </is>
      </c>
      <c r="E263" s="2">
        <f>HYPERLINK("https://www.amazon.com/Klein-Tools-Multi-bit-Screwdriver-Adjustable/dp/B0BCT97D2B/ref=sr_1_3?keywords=Klein+Tools+65200+Slim-Profile+Mini+Ratchet+Set%2C+5-Piece&amp;qid=1695173348&amp;sr=8-3", "https://www.amazon.com/Klein-Tools-Multi-bit-Screwdriver-Adjustable/dp/B0BCT97D2B/ref=sr_1_3?keywords=Klein+Tools+65200+Slim-Profile+Mini+Ratchet+Set%2C+5-Piece&amp;qid=1695173348&amp;sr=8-3")</f>
        <v/>
      </c>
      <c r="F263" t="inlineStr">
        <is>
          <t>B0BCT97D2B</t>
        </is>
      </c>
      <c r="G263">
        <f>_xludf.IMAGE("https://edmondsonsupply.com/cdn/shop/products/65200.jpg?v=1633030630")</f>
        <v/>
      </c>
      <c r="H263">
        <f>_xludf.IMAGE("https://m.media-amazon.com/images/I/51FhukkqNXL._AC_UL320_.jpg")</f>
        <v/>
      </c>
      <c r="I263" t="inlineStr">
        <is>
          <t>15.97</t>
        </is>
      </c>
      <c r="J263" t="n">
        <v>32.93</v>
      </c>
      <c r="K263" s="3" t="inlineStr">
        <is>
          <t>106.20%</t>
        </is>
      </c>
      <c r="L263" t="n">
        <v>5</v>
      </c>
      <c r="M263" t="n">
        <v>7</v>
      </c>
      <c r="O263" t="inlineStr">
        <is>
          <t>InStock</t>
        </is>
      </c>
      <c r="P263" t="inlineStr">
        <is>
          <t>20.96</t>
        </is>
      </c>
      <c r="Q263" t="inlineStr">
        <is>
          <t>5694440964264</t>
        </is>
      </c>
    </row>
    <row r="264">
      <c r="A264" s="2">
        <f>HYPERLINK("https://edmondsonsupply.com/collections/hvac/products/rectorseal-97089-safe-t-switch-ss3", "https://edmondsonsupply.com/collections/hvac/products/rectorseal-97089-safe-t-switch-ss3")</f>
        <v/>
      </c>
      <c r="B264" s="2">
        <f>HYPERLINK("https://edmondsonsupply.com/products/rectorseal-97089-safe-t-switch-ss3", "https://edmondsonsupply.com/products/rectorseal-97089-safe-t-switch-ss3")</f>
        <v/>
      </c>
      <c r="C264" t="inlineStr">
        <is>
          <t>RectorSeal 97089 Safe-T-Switch SS3</t>
        </is>
      </c>
      <c r="D264" t="inlineStr">
        <is>
          <t>Rectorseal 97089 SS3 3RD Generation Safe-T-Switch</t>
        </is>
      </c>
      <c r="E264" s="2">
        <f>HYPERLINK("https://www.amazon.com/Rectorseal-97089-SS3-Generation-Safe-T-Switch/dp/B09QQS4DF5/ref=sr_1_1?keywords=RectorSeal+97089+Safe-T-Switch+SS3&amp;qid=1695173721&amp;sr=8-1", "https://www.amazon.com/Rectorseal-97089-SS3-Generation-Safe-T-Switch/dp/B09QQS4DF5/ref=sr_1_1?keywords=RectorSeal+97089+Safe-T-Switch+SS3&amp;qid=1695173721&amp;sr=8-1")</f>
        <v/>
      </c>
      <c r="F264" t="inlineStr">
        <is>
          <t>B09QQS4DF5</t>
        </is>
      </c>
      <c r="G264">
        <f>_xludf.IMAGE("https://edmondsonsupply.com/cdn/shop/files/97089-ss3-safe-t-switch-image-img.webp?v=1690986443")</f>
        <v/>
      </c>
      <c r="H264">
        <f>_xludf.IMAGE("https://m.media-amazon.com/images/I/31Vm-8kRflL._AC_UY218_.jpg")</f>
        <v/>
      </c>
      <c r="I264" t="inlineStr">
        <is>
          <t>14.09</t>
        </is>
      </c>
      <c r="J264" t="n">
        <v>28.95</v>
      </c>
      <c r="K264" s="3" t="inlineStr">
        <is>
          <t>105.46%</t>
        </is>
      </c>
      <c r="L264" t="n">
        <v>5</v>
      </c>
      <c r="M264" t="n">
        <v>1</v>
      </c>
      <c r="O264" t="inlineStr">
        <is>
          <t>InStock</t>
        </is>
      </c>
      <c r="P264" t="inlineStr">
        <is>
          <t>17.85</t>
        </is>
      </c>
      <c r="Q264" t="inlineStr">
        <is>
          <t>8023711973592</t>
        </is>
      </c>
    </row>
    <row r="265">
      <c r="A265" s="2">
        <f>HYPERLINK("https://edmondsonsupply.com/collections/hvac/products/icm-controls-icm286-furnace-control-board-replacement-for-goodman-pcbbf112s-b1809926s-0130f00005s", "https://edmondsonsupply.com/collections/hvac/products/icm-controls-icm286-furnace-control-board-replacement-for-goodman-pcbbf112s-b1809926s-0130f00005s")</f>
        <v/>
      </c>
      <c r="B265" s="2">
        <f>HYPERLINK("https://edmondsonsupply.com/products/icm-controls-icm286-furnace-control-board-replacement-for-goodman-pcbbf112s-b1809926s-0130f00005s", "https://edmondsonsupply.com/products/icm-controls-icm286-furnace-control-board-replacement-for-goodman-pcbbf112s-b1809926s-0130f00005s")</f>
        <v/>
      </c>
      <c r="C265" t="inlineStr">
        <is>
          <t>ICM Controls ICM2811 Furnace Control Board - Replacement for Goodman</t>
        </is>
      </c>
      <c r="D265" t="inlineStr">
        <is>
          <t>Upgraded Replacement for Goodman Furnace Control Circuit Board B18099-06</t>
        </is>
      </c>
      <c r="E265" s="2">
        <f>HYPERLINK("https://www.amazon.com/Upgraded-Replacement-Goodman-Furnace-B18099-06/dp/B016AQSGBC/ref=sr_1_4?keywords=ICM+Controls+ICM2811+Furnace+Control+Board+-+Replacement+for+Goodman&amp;qid=1695173453&amp;sr=8-4", "https://www.amazon.com/Upgraded-Replacement-Goodman-Furnace-B18099-06/dp/B016AQSGBC/ref=sr_1_4?keywords=ICM+Controls+ICM2811+Furnace+Control+Board+-+Replacement+for+Goodman&amp;qid=1695173453&amp;sr=8-4")</f>
        <v/>
      </c>
      <c r="F265" t="inlineStr">
        <is>
          <t>B016AQSGBC</t>
        </is>
      </c>
      <c r="G265">
        <f>_xludf.IMAGE("https://edmondsonsupply.com/cdn/shop/products/photo_3800_medium_86f45e25-a764-4839-bc84-759a6ce1c7bd.jpg?v=1659910436")</f>
        <v/>
      </c>
      <c r="H265">
        <f>_xludf.IMAGE("https://m.media-amazon.com/images/I/61OL0G07mUL._AC_UL320_.jpg")</f>
        <v/>
      </c>
      <c r="I265" t="inlineStr">
        <is>
          <t>68.99</t>
        </is>
      </c>
      <c r="J265" t="n">
        <v>140.93</v>
      </c>
      <c r="K265" s="3" t="inlineStr">
        <is>
          <t>104.28%</t>
        </is>
      </c>
      <c r="L265" t="n">
        <v>5</v>
      </c>
      <c r="M265" t="n">
        <v>7</v>
      </c>
      <c r="O265" t="inlineStr">
        <is>
          <t>InStock</t>
        </is>
      </c>
      <c r="P265" t="inlineStr">
        <is>
          <t>93.62</t>
        </is>
      </c>
      <c r="Q265" t="inlineStr">
        <is>
          <t>4345448202340</t>
        </is>
      </c>
    </row>
    <row r="266">
      <c r="A266" s="2">
        <f>HYPERLINK("https://edmondsonsupply.com/collections/hvac/products/klein-tools-605-6-1-4-inch-cabinet-tip-screwdriver-heavy-duty-6-inch", "https://edmondsonsupply.com/collections/hvac/products/klein-tools-605-6-1-4-inch-cabinet-tip-screwdriver-heavy-duty-6-inch")</f>
        <v/>
      </c>
      <c r="B266" s="2">
        <f>HYPERLINK("https://edmondsonsupply.com/products/klein-tools-605-6-1-4-inch-cabinet-tip-screwdriver-heavy-duty-6-inch", "https://edmondsonsupply.com/products/klein-tools-605-6-1-4-inch-cabinet-tip-screwdriver-heavy-duty-6-inch")</f>
        <v/>
      </c>
      <c r="C266" t="inlineStr">
        <is>
          <t>Klein Tools 605-6 1/4-Inch Cabinet Tip Screwdriver, Heavy Duty, 6-Inch</t>
        </is>
      </c>
      <c r="D266" t="inlineStr">
        <is>
          <t>Klein Tools 603-4 Screwdriver, 2 Phillips Tip with Cushion Grip Handle, Precision Machined Electrician Screwdriver, 8-Inch &amp; 605-6 1/4-Inch Cabinet Tip Screwdriver, Heavy Duty, 6-Inch</t>
        </is>
      </c>
      <c r="E266" s="2">
        <f>HYPERLINK("https://www.amazon.com/Klein-Tools-Screwdriver-Precision-Electrician/dp/B0BR23NNNH/ref=sr_1_2?keywords=Klein+Tools+605-6+1%2F4-Inch+Cabinet+Tip+Screwdriver%2C+Heavy+Duty%2C+6-Inch&amp;qid=1695173547&amp;sr=8-2", "https://www.amazon.com/Klein-Tools-Screwdriver-Precision-Electrician/dp/B0BR23NNNH/ref=sr_1_2?keywords=Klein+Tools+605-6+1%2F4-Inch+Cabinet+Tip+Screwdriver%2C+Heavy+Duty%2C+6-Inch&amp;qid=1695173547&amp;sr=8-2")</f>
        <v/>
      </c>
      <c r="F266" t="inlineStr">
        <is>
          <t>B0BR23NNNH</t>
        </is>
      </c>
      <c r="G266">
        <f>_xludf.IMAGE("https://edmondsonsupply.com/cdn/shop/products/605-6.jpg?v=1587149759")</f>
        <v/>
      </c>
      <c r="H266">
        <f>_xludf.IMAGE("https://m.media-amazon.com/images/I/316TumgEKzL._AC_UL320_.jpg")</f>
        <v/>
      </c>
      <c r="I266" t="inlineStr">
        <is>
          <t>9.49</t>
        </is>
      </c>
      <c r="J266" t="n">
        <v>19.38</v>
      </c>
      <c r="K266" s="3" t="inlineStr">
        <is>
          <t>104.21%</t>
        </is>
      </c>
      <c r="L266" t="n">
        <v>5</v>
      </c>
      <c r="M266" t="n">
        <v>3</v>
      </c>
      <c r="O266" t="inlineStr">
        <is>
          <t>InStock</t>
        </is>
      </c>
      <c r="P266" t="inlineStr">
        <is>
          <t>14.38</t>
        </is>
      </c>
      <c r="Q266" t="inlineStr">
        <is>
          <t>4512371310692</t>
        </is>
      </c>
    </row>
    <row r="267">
      <c r="A267" s="2">
        <f>HYPERLINK("https://edmondsonsupply.com/collections/hvac/products/freud-99-240-2-drawer-lock-bit", "https://edmondsonsupply.com/collections/hvac/products/freud-99-240-2-drawer-lock-bit")</f>
        <v/>
      </c>
      <c r="B267" s="2">
        <f>HYPERLINK("https://edmondsonsupply.com/products/freud-99-240-2-drawer-lock-bit", "https://edmondsonsupply.com/products/freud-99-240-2-drawer-lock-bit")</f>
        <v/>
      </c>
      <c r="C267" t="inlineStr">
        <is>
          <t>Freud 99-240 2" Drawer Lock Bit</t>
        </is>
      </c>
      <c r="D267" t="inlineStr">
        <is>
          <t>Freud 99-035: 2-11/64" (Dia.) Lock Miter Bit with 1/2" Shank</t>
        </is>
      </c>
      <c r="E267" s="2">
        <f>HYPERLINK("https://www.amazon.com/Freud-2-11-Miter-Shank-99-035/dp/B0002TUDLU/ref=sr_1_3?keywords=Freud+99-240+2%22+Drawer+Lock+Bit&amp;qid=1695173757&amp;sr=8-3", "https://www.amazon.com/Freud-2-11-Miter-Shank-99-035/dp/B0002TUDLU/ref=sr_1_3?keywords=Freud+99-240+2%22+Drawer+Lock+Bit&amp;qid=1695173757&amp;sr=8-3")</f>
        <v/>
      </c>
      <c r="F267" t="inlineStr">
        <is>
          <t>B0002TUDLU</t>
        </is>
      </c>
      <c r="G267">
        <f>_xludf.IMAGE("https://edmondsonsupply.com/cdn/shop/files/2-dia-drawer-lock-bit.webp?v=1687359925")</f>
        <v/>
      </c>
      <c r="H267">
        <f>_xludf.IMAGE("https://m.media-amazon.com/images/I/71TanKAl+QL._AC_UL320_.jpg")</f>
        <v/>
      </c>
      <c r="I267" t="inlineStr">
        <is>
          <t>36.98</t>
        </is>
      </c>
      <c r="J267" t="n">
        <v>75</v>
      </c>
      <c r="K267" s="3" t="inlineStr">
        <is>
          <t>102.81%</t>
        </is>
      </c>
      <c r="L267" t="n">
        <v>4.3</v>
      </c>
      <c r="M267" t="n">
        <v>57</v>
      </c>
      <c r="O267" t="inlineStr">
        <is>
          <t>InStock</t>
        </is>
      </c>
      <c r="P267" t="inlineStr">
        <is>
          <t>63.21</t>
        </is>
      </c>
      <c r="Q267" t="inlineStr">
        <is>
          <t>8007803601112</t>
        </is>
      </c>
    </row>
    <row r="268">
      <c r="A268" s="2">
        <f>HYPERLINK("https://edmondsonsupply.com/collections/hvac/products/packard-trcfd405-titan-pro-run-capacitor-40-5-mfd-440-370-volt-round", "https://edmondsonsupply.com/collections/hvac/products/packard-trcfd405-titan-pro-run-capacitor-40-5-mfd-440-370-volt-round")</f>
        <v/>
      </c>
      <c r="B268" s="2">
        <f>HYPERLINK("https://edmondsonsupply.com/products/packard-trcfd405-titan-pro-run-capacitor-40-5-mfd-440-370-volt-round", "https://edmondsonsupply.com/products/packard-trcfd405-titan-pro-run-capacitor-40-5-mfd-440-370-volt-round")</f>
        <v/>
      </c>
      <c r="C268" t="inlineStr">
        <is>
          <t>Packard TRCFD405 Titan PRO Run Capacitor 40+5 MFD 440/370 Volt Round</t>
        </is>
      </c>
      <c r="D268" t="inlineStr">
        <is>
          <t>TitanPro TRCFD405 HVAC Round Dual Motor Run Capacitor. 40/5 MFD/UF 440/370 Volts</t>
        </is>
      </c>
      <c r="E268" s="2">
        <f>HYPERLINK("https://www.amazon.com/TitanPro-TRCFD405-Round-Motor-Capacitor/dp/B01EZ6JWEE/ref=sr_1_1?keywords=Packard+TRCFD405+Titan+PRO+Run+Capacitor+40%2B5+MFD+440%2F370+Volt+Round&amp;qid=1695173477&amp;sr=8-1", "https://www.amazon.com/TitanPro-TRCFD405-Round-Motor-Capacitor/dp/B01EZ6JWEE/ref=sr_1_1?keywords=Packard+TRCFD405+Titan+PRO+Run+Capacitor+40%2B5+MFD+440%2F370+Volt+Round&amp;qid=1695173477&amp;sr=8-1")</f>
        <v/>
      </c>
      <c r="F268" t="inlineStr">
        <is>
          <t>B01EZ6JWEE</t>
        </is>
      </c>
      <c r="G268">
        <f>_xludf.IMAGE("https://edmondsonsupply.com/cdn/shop/products/TRCFD405-2.jpg?v=1633030399")</f>
        <v/>
      </c>
      <c r="H268">
        <f>_xludf.IMAGE("https://m.media-amazon.com/images/I/51cHjuUfHWL._AC_UY218_.jpg")</f>
        <v/>
      </c>
      <c r="I268" t="inlineStr">
        <is>
          <t>8.39</t>
        </is>
      </c>
      <c r="J268" t="n">
        <v>16.99</v>
      </c>
      <c r="K268" s="3" t="inlineStr">
        <is>
          <t>102.50%</t>
        </is>
      </c>
      <c r="L268" t="n">
        <v>4.8</v>
      </c>
      <c r="M268" t="n">
        <v>7</v>
      </c>
      <c r="O268" t="inlineStr">
        <is>
          <t>OutOfStock</t>
        </is>
      </c>
      <c r="P268" t="inlineStr">
        <is>
          <t>undefined</t>
        </is>
      </c>
      <c r="Q268" t="inlineStr">
        <is>
          <t>5302386950312</t>
        </is>
      </c>
    </row>
    <row r="269">
      <c r="A269" s="2">
        <f>HYPERLINK("https://edmondsonsupply.com/collections/hvac/products/icm-controls-icm103-delay-on-make-timer-with-1-1-023-second-time-delay-universal-18-240-vac", "https://edmondsonsupply.com/collections/hvac/products/icm-controls-icm103-delay-on-make-timer-with-1-1-023-second-time-delay-universal-18-240-vac")</f>
        <v/>
      </c>
      <c r="B269" s="2">
        <f>HYPERLINK("https://edmondsonsupply.com/products/icm-controls-icm103-delay-on-make-timer-with-1-1-023-second-time-delay-universal-18-240-vac", "https://edmondsonsupply.com/products/icm-controls-icm103-delay-on-make-timer-with-1-1-023-second-time-delay-universal-18-240-vac")</f>
        <v/>
      </c>
      <c r="C269" t="inlineStr">
        <is>
          <t>ICM Controls ICM103 Delay on Make Timer with 1-1,023 Second Time Delay, Universal 18-240 VAC</t>
        </is>
      </c>
      <c r="D269" t="inlineStr">
        <is>
          <t>ICM Controls ICM105 Delay-on-Make Timer with 0.03-10 Minute Adjustable Delay, Universal 18-240 VAC</t>
        </is>
      </c>
      <c r="E269" s="2">
        <f>HYPERLINK("https://www.amazon.com/ICM-Controls-ICM105-Adjustable-Universal/dp/B00441XZXK/ref=sr_1_1?keywords=ICM+Controls+ICM103+Delay+on+Make+Timer+with+1-1%2C023+Second+Time+Delay%2C+Universal+18-240+VAC&amp;qid=1695173373&amp;sr=8-1", "https://www.amazon.com/ICM-Controls-ICM105-Adjustable-Universal/dp/B00441XZXK/ref=sr_1_1?keywords=ICM+Controls+ICM103+Delay+on+Make+Timer+with+1-1%2C023+Second+Time+Delay%2C+Universal+18-240+VAC&amp;qid=1695173373&amp;sr=8-1")</f>
        <v/>
      </c>
      <c r="F269" t="inlineStr">
        <is>
          <t>B00441XZXK</t>
        </is>
      </c>
      <c r="G269">
        <f>_xludf.IMAGE("https://edmondsonsupply.com/cdn/shop/products/icm103.png?v=1587150533")</f>
        <v/>
      </c>
      <c r="H269">
        <f>_xludf.IMAGE("https://m.media-amazon.com/images/I/61Fd+ZYvG1L._AC_UL320_.jpg")</f>
        <v/>
      </c>
      <c r="I269" t="inlineStr">
        <is>
          <t>16.99</t>
        </is>
      </c>
      <c r="J269" t="n">
        <v>34.25</v>
      </c>
      <c r="K269" s="3" t="inlineStr">
        <is>
          <t>101.59%</t>
        </is>
      </c>
      <c r="L269" t="n">
        <v>4.3</v>
      </c>
      <c r="M269" t="n">
        <v>4</v>
      </c>
      <c r="O269" t="inlineStr">
        <is>
          <t>InStock</t>
        </is>
      </c>
      <c r="P269" t="inlineStr">
        <is>
          <t>24.02</t>
        </is>
      </c>
      <c r="Q269" t="inlineStr">
        <is>
          <t>4368343105636</t>
        </is>
      </c>
    </row>
    <row r="270">
      <c r="A270" s="2">
        <f>HYPERLINK("https://edmondsonsupply.com/collections/hvac/products/packard-trcfd3575-titan-pro-run-capacitor-35-7-5-mfd-440-370-volt-round", "https://edmondsonsupply.com/collections/hvac/products/packard-trcfd3575-titan-pro-run-capacitor-35-7-5-mfd-440-370-volt-round")</f>
        <v/>
      </c>
      <c r="B270" s="2">
        <f>HYPERLINK("https://edmondsonsupply.com/products/packard-trcfd3575-titan-pro-run-capacitor-35-7-5-mfd-440-370-volt-round", "https://edmondsonsupply.com/products/packard-trcfd3575-titan-pro-run-capacitor-35-7-5-mfd-440-370-volt-round")</f>
        <v/>
      </c>
      <c r="C270" t="inlineStr">
        <is>
          <t>Packard TRCFD3575 Titan PRO Run Capacitor 35+7.5 MFD 440/370 Volt Round</t>
        </is>
      </c>
      <c r="D270" t="inlineStr">
        <is>
          <t>Titan Pro Round Motor Dual Run Capacitor, 35/7.5 Microfarad Rating, 370-440VAC Voltage - TRCFD3575</t>
        </is>
      </c>
      <c r="E270" s="2">
        <f>HYPERLINK("https://www.amazon.com/Capacitor-Microfarad-Rating-370-440VAC-Voltage/dp/B08TTFTD3M/ref=sr_1_1?keywords=Packard+TRCFD3575+Titan+PRO+Run+Capacitor+35+7.5+MFD+440%2F370+Volt+Round&amp;qid=1695173473&amp;sr=8-1", "https://www.amazon.com/Capacitor-Microfarad-Rating-370-440VAC-Voltage/dp/B08TTFTD3M/ref=sr_1_1?keywords=Packard+TRCFD3575+Titan+PRO+Run+Capacitor+35+7.5+MFD+440%2F370+Volt+Round&amp;qid=1695173473&amp;sr=8-1")</f>
        <v/>
      </c>
      <c r="F270" t="inlineStr">
        <is>
          <t>B08TTFTD3M</t>
        </is>
      </c>
      <c r="G270">
        <f>_xludf.IMAGE("https://edmondsonsupply.com/cdn/shop/products/trcfd-2_xl_1.jpg?v=1633030977")</f>
        <v/>
      </c>
      <c r="H270">
        <f>_xludf.IMAGE("https://m.media-amazon.com/images/I/61rN-CX2SUL._AC_UY218_.jpg")</f>
        <v/>
      </c>
      <c r="I270" t="inlineStr">
        <is>
          <t>8.73</t>
        </is>
      </c>
      <c r="J270" t="n">
        <v>17.58</v>
      </c>
      <c r="K270" s="3" t="inlineStr">
        <is>
          <t>101.37%</t>
        </is>
      </c>
      <c r="L270" t="n">
        <v>5</v>
      </c>
      <c r="M270" t="n">
        <v>1</v>
      </c>
      <c r="O270" t="inlineStr">
        <is>
          <t>InStock</t>
        </is>
      </c>
      <c r="P270" t="inlineStr">
        <is>
          <t>undefined</t>
        </is>
      </c>
      <c r="Q270" t="inlineStr">
        <is>
          <t>6649855475885</t>
        </is>
      </c>
    </row>
    <row r="271">
      <c r="A271" s="2">
        <f>HYPERLINK("https://edmondsonsupply.com/collections/hvac/products/packard-prmj270-motor-start-capacitor-270-324-mfd-330-vac", "https://edmondsonsupply.com/collections/hvac/products/packard-prmj270-motor-start-capacitor-270-324-mfd-330-vac")</f>
        <v/>
      </c>
      <c r="B271" s="2">
        <f>HYPERLINK("https://edmondsonsupply.com/products/packard-prmj270-motor-start-capacitor-270-324-mfd-330-vac", "https://edmondsonsupply.com/products/packard-prmj270-motor-start-capacitor-270-324-mfd-330-vac")</f>
        <v/>
      </c>
      <c r="C271" t="inlineStr">
        <is>
          <t>Packard PRMJ270 Motor Start Capacitor 270-324 MFD 330 VAC</t>
        </is>
      </c>
      <c r="D271" t="inlineStr">
        <is>
          <t>Motor Start Capacitor 270-324 uf MFD 330 Volt VAC MARS2 11970</t>
        </is>
      </c>
      <c r="E271" s="2">
        <f>HYPERLINK("https://www.amazon.com/Motor-Start-Capacitor-270-324-MARS2/dp/B00C0VYISW/ref=sr_1_4?keywords=Packard+PRMJ270+Motor+Start+Capacitor+270-324+MFD+330+VAC&amp;qid=1695173486&amp;sr=8-4", "https://www.amazon.com/Motor-Start-Capacitor-270-324-MARS2/dp/B00C0VYISW/ref=sr_1_4?keywords=Packard+PRMJ270+Motor+Start+Capacitor+270-324+MFD+330+VAC&amp;qid=1695173486&amp;sr=8-4")</f>
        <v/>
      </c>
      <c r="F271" t="inlineStr">
        <is>
          <t>B00C0VYISW</t>
        </is>
      </c>
      <c r="G271">
        <f>_xludf.IMAGE("https://edmondsonsupply.com/cdn/shop/products/PRMJ270-2.jpg?v=1633030164")</f>
        <v/>
      </c>
      <c r="H271">
        <f>_xludf.IMAGE("https://m.media-amazon.com/images/I/41iN-8gLZyL._AC_UY218_.jpg")</f>
        <v/>
      </c>
      <c r="I271" t="inlineStr">
        <is>
          <t>10.37</t>
        </is>
      </c>
      <c r="J271" t="n">
        <v>20.84</v>
      </c>
      <c r="K271" s="3" t="inlineStr">
        <is>
          <t>100.96%</t>
        </is>
      </c>
      <c r="L271" t="n">
        <v>4.1</v>
      </c>
      <c r="M271" t="n">
        <v>10</v>
      </c>
      <c r="O271" t="inlineStr">
        <is>
          <t>InStock</t>
        </is>
      </c>
      <c r="P271" t="inlineStr">
        <is>
          <t>undefined</t>
        </is>
      </c>
      <c r="Q271" t="inlineStr">
        <is>
          <t>4298743185508</t>
        </is>
      </c>
    </row>
    <row r="272">
      <c r="A272" s="2">
        <f>HYPERLINK("https://edmondsonsupply.com/collections/hvac/products/packard-prmj189-motor-start-capacitor-189-227-mfd-330-vac", "https://edmondsonsupply.com/collections/hvac/products/packard-prmj189-motor-start-capacitor-189-227-mfd-330-vac")</f>
        <v/>
      </c>
      <c r="B272" s="2">
        <f>HYPERLINK("https://edmondsonsupply.com/products/packard-prmj189-motor-start-capacitor-189-227-mfd-330-vac", "https://edmondsonsupply.com/products/packard-prmj189-motor-start-capacitor-189-227-mfd-330-vac")</f>
        <v/>
      </c>
      <c r="C272" t="inlineStr">
        <is>
          <t>Packard PRMJ189 Motor Start Capacitor 189-227 MFD 330 VAC</t>
        </is>
      </c>
      <c r="D272" t="inlineStr">
        <is>
          <t>Appli Parts motor start capacitor 189-227 Mfd (microfarads) uF 330 VAC universal fit for electric motor applications 1-3/4 in Wide 3-3/8 in Height CON-189-330</t>
        </is>
      </c>
      <c r="E272" s="2">
        <f>HYPERLINK("https://www.amazon.com/capacitor-microfarads-universal-electric-applications/dp/B01FSQQ5OA/ref=sr_1_7?keywords=Packard+PRMJ189+Motor+Start+Capacitor+189-227+MFD+330+VAC&amp;qid=1695173678&amp;sr=8-7", "https://www.amazon.com/capacitor-microfarads-universal-electric-applications/dp/B01FSQQ5OA/ref=sr_1_7?keywords=Packard+PRMJ189+Motor+Start+Capacitor+189-227+MFD+330+VAC&amp;qid=1695173678&amp;sr=8-7")</f>
        <v/>
      </c>
      <c r="F272" t="inlineStr">
        <is>
          <t>B01FSQQ5OA</t>
        </is>
      </c>
      <c r="G272">
        <f>_xludf.IMAGE("https://edmondsonsupply.com/cdn/shop/products/PRMJ189-2.jpg?v=1663378512")</f>
        <v/>
      </c>
      <c r="H272">
        <f>_xludf.IMAGE("https://m.media-amazon.com/images/I/51e+dZ5ciRL._AC_UY218_.jpg")</f>
        <v/>
      </c>
      <c r="I272" t="inlineStr">
        <is>
          <t>8.59</t>
        </is>
      </c>
      <c r="J272" t="n">
        <v>17.2</v>
      </c>
      <c r="K272" s="3" t="inlineStr">
        <is>
          <t>100.23%</t>
        </is>
      </c>
      <c r="L272" t="n">
        <v>4.5</v>
      </c>
      <c r="M272" t="n">
        <v>1389</v>
      </c>
      <c r="O272" t="inlineStr">
        <is>
          <t>InStock</t>
        </is>
      </c>
      <c r="P272" t="inlineStr">
        <is>
          <t>undefined</t>
        </is>
      </c>
      <c r="Q272" t="inlineStr">
        <is>
          <t>4298778378340</t>
        </is>
      </c>
    </row>
    <row r="273">
      <c r="A273" s="2">
        <f>HYPERLINK("https://edmondsonsupply.com/collections/hvac/products/packard-trcfd3575-titan-pro-run-capacitor-35-7-5-mfd-440-370-volt-round", "https://edmondsonsupply.com/collections/hvac/products/packard-trcfd3575-titan-pro-run-capacitor-35-7-5-mfd-440-370-volt-round")</f>
        <v/>
      </c>
      <c r="B273" s="2">
        <f>HYPERLINK("https://edmondsonsupply.com/products/packard-trcfd3575-titan-pro-run-capacitor-35-7-5-mfd-440-370-volt-round", "https://edmondsonsupply.com/products/packard-trcfd3575-titan-pro-run-capacitor-35-7-5-mfd-440-370-volt-round")</f>
        <v/>
      </c>
      <c r="C273" t="inlineStr">
        <is>
          <t>Packard TRCFD3575 Titan PRO Run Capacitor 35+7.5 MFD 440/370 Volt Round</t>
        </is>
      </c>
      <c r="D273" t="inlineStr">
        <is>
          <t>Titan TRCFD3575 Dual Rated Motor Run Capacitor Round MFD 35/7.5 Volts 440/370</t>
        </is>
      </c>
      <c r="E273" s="2">
        <f>HYPERLINK("https://www.amazon.com/Titan-TRCFD3575-Rated-Motor-Capacitor/dp/B01IC2PSSG/ref=sr_1_4?keywords=Packard+TRCFD3575+Titan+PRO+Run+Capacitor+35+7.5+MFD+440%2F370+Volt+Round&amp;qid=1695173473&amp;sr=8-4", "https://www.amazon.com/Titan-TRCFD3575-Rated-Motor-Capacitor/dp/B01IC2PSSG/ref=sr_1_4?keywords=Packard+TRCFD3575+Titan+PRO+Run+Capacitor+35+7.5+MFD+440%2F370+Volt+Round&amp;qid=1695173473&amp;sr=8-4")</f>
        <v/>
      </c>
      <c r="F273" t="inlineStr">
        <is>
          <t>B01IC2PSSG</t>
        </is>
      </c>
      <c r="G273">
        <f>_xludf.IMAGE("https://edmondsonsupply.com/cdn/shop/products/trcfd-2_xl_1.jpg?v=1633030977")</f>
        <v/>
      </c>
      <c r="H273">
        <f>_xludf.IMAGE("https://m.media-amazon.com/images/I/91WrzKuKIsL._AC_UY218_.jpg")</f>
        <v/>
      </c>
      <c r="I273" t="inlineStr">
        <is>
          <t>8.73</t>
        </is>
      </c>
      <c r="J273" t="n">
        <v>17.48</v>
      </c>
      <c r="K273" s="3" t="inlineStr">
        <is>
          <t>100.23%</t>
        </is>
      </c>
      <c r="L273" t="n">
        <v>5</v>
      </c>
      <c r="M273" t="n">
        <v>2</v>
      </c>
      <c r="O273" t="inlineStr">
        <is>
          <t>InStock</t>
        </is>
      </c>
      <c r="P273" t="inlineStr">
        <is>
          <t>undefined</t>
        </is>
      </c>
      <c r="Q273" t="inlineStr">
        <is>
          <t>6649855475885</t>
        </is>
      </c>
    </row>
    <row r="274">
      <c r="A274" s="2">
        <f>HYPERLINK("https://edmondsonsupply.com/collections/hvac/products/robertshaw-rs8110-digital-non-programmable-thermostat-single-stage-1-heat-1-cool", "https://edmondsonsupply.com/collections/hvac/products/robertshaw-rs8110-digital-non-programmable-thermostat-single-stage-1-heat-1-cool")</f>
        <v/>
      </c>
      <c r="B274" s="2">
        <f>HYPERLINK("https://edmondsonsupply.com/products/robertshaw-rs8110-digital-non-programmable-thermostat-single-stage-1-heat-1-cool", "https://edmondsonsupply.com/products/robertshaw-rs8110-digital-non-programmable-thermostat-single-stage-1-heat-1-cool")</f>
        <v/>
      </c>
      <c r="C274" t="inlineStr">
        <is>
          <t>Robertshaw RS8110 Digital Non-Programmable Thermostat, Single Stage - 1 Heat/1 Cool</t>
        </is>
      </c>
      <c r="D274" t="inlineStr">
        <is>
          <t>Robertshaw RS9110T Pro Series 5-1-1 Programmable Touchscreen Thermostat, Single-Stage, 1 Heat, 1Cool White</t>
        </is>
      </c>
      <c r="E274" s="2">
        <f>HYPERLINK("https://www.amazon.com/Robertshaw-RS9110T-Programmable-Touchscreen-Single-Stage/dp/B0BM23W9SN/ref=sr_1_10?keywords=Robertshaw+RS8110+Digital+Non-Programmable+Thermostat%2C+Single+Stage+-+1+Heat%2F1+Cool&amp;qid=1695173434&amp;sr=8-10", "https://www.amazon.com/Robertshaw-RS9110T-Programmable-Touchscreen-Single-Stage/dp/B0BM23W9SN/ref=sr_1_10?keywords=Robertshaw+RS8110+Digital+Non-Programmable+Thermostat%2C+Single+Stage+-+1+Heat%2F1+Cool&amp;qid=1695173434&amp;sr=8-10")</f>
        <v/>
      </c>
      <c r="F274" t="inlineStr">
        <is>
          <t>B0BM23W9SN</t>
        </is>
      </c>
      <c r="G274">
        <f>_xludf.IMAGE("https://edmondsonsupply.com/cdn/shop/products/RS8110.jpg?v=1633031027")</f>
        <v/>
      </c>
      <c r="H274">
        <f>_xludf.IMAGE("https://m.media-amazon.com/images/I/71+5NMHAlPL._AC_UL320_.jpg")</f>
        <v/>
      </c>
      <c r="I274" t="inlineStr">
        <is>
          <t>32.96</t>
        </is>
      </c>
      <c r="J274" t="n">
        <v>65.95999999999999</v>
      </c>
      <c r="K274" s="3" t="inlineStr">
        <is>
          <t>100.12%</t>
        </is>
      </c>
      <c r="L274" t="n">
        <v>5</v>
      </c>
      <c r="M274" t="n">
        <v>1</v>
      </c>
      <c r="O274" t="inlineStr">
        <is>
          <t>InStock</t>
        </is>
      </c>
      <c r="P274" t="inlineStr">
        <is>
          <t>61.37</t>
        </is>
      </c>
      <c r="Q274" t="inlineStr">
        <is>
          <t>6728860827821</t>
        </is>
      </c>
    </row>
    <row r="275">
      <c r="A275" s="2">
        <f>HYPERLINK("https://edmondsonsupply.com/collections/hvac/products/klein-tools-srs56038-polymer-fish-rod-set-glow-in-the-dark", "https://edmondsonsupply.com/collections/hvac/products/klein-tools-srs56038-polymer-fish-rod-set-glow-in-the-dark")</f>
        <v/>
      </c>
      <c r="B275" s="2">
        <f>HYPERLINK("https://edmondsonsupply.com/products/klein-tools-srs56038-polymer-fish-rod-set-glow-in-the-dark", "https://edmondsonsupply.com/products/klein-tools-srs56038-polymer-fish-rod-set-glow-in-the-dark")</f>
        <v/>
      </c>
      <c r="C275" t="inlineStr">
        <is>
          <t>Klein Tools SRS56038 Polymer Fish Rod Set Glow-in-The-Dark</t>
        </is>
      </c>
      <c r="D275" t="inlineStr">
        <is>
          <t>Klein Tools 50660 Glow In The Dark Fish Tape, Fiberglass with Nylon Tip and Stainless-Steel Connector for Fish Rod Attachments, 40-Foot</t>
        </is>
      </c>
      <c r="E275" s="2">
        <f>HYPERLINK("https://www.amazon.com/Klein-Tools-50660-Stainless-Steel-Attachments/dp/B0BVJXRH9J/ref=sr_1_3?keywords=Klein+Tools+SRS56038+Polymer+Fish+Rod+Set+Glow-in-The-Dark&amp;qid=1695173635&amp;sr=8-3", "https://www.amazon.com/Klein-Tools-50660-Stainless-Steel-Attachments/dp/B0BVJXRH9J/ref=sr_1_3?keywords=Klein+Tools+SRS56038+Polymer+Fish+Rod+Set+Glow-in-The-Dark&amp;qid=1695173635&amp;sr=8-3")</f>
        <v/>
      </c>
      <c r="F275" t="inlineStr">
        <is>
          <t>B0BVJXRH9J</t>
        </is>
      </c>
      <c r="G275">
        <f>_xludf.IMAGE("https://edmondsonsupply.com/cdn/shop/products/srs56038.jpg?v=1633030781")</f>
        <v/>
      </c>
      <c r="H275">
        <f>_xludf.IMAGE("https://m.media-amazon.com/images/I/61TfZQjceGL._AC_UL320_.jpg")</f>
        <v/>
      </c>
      <c r="I275" t="inlineStr">
        <is>
          <t>29.97</t>
        </is>
      </c>
      <c r="J275" t="n">
        <v>59.97</v>
      </c>
      <c r="K275" s="3" t="inlineStr">
        <is>
          <t>100.10%</t>
        </is>
      </c>
      <c r="L275" t="n">
        <v>4.1</v>
      </c>
      <c r="M275" t="n">
        <v>6</v>
      </c>
      <c r="O275" t="inlineStr">
        <is>
          <t>InStock</t>
        </is>
      </c>
      <c r="P275" t="inlineStr">
        <is>
          <t>40.0</t>
        </is>
      </c>
      <c r="Q275" t="inlineStr">
        <is>
          <t>5966785478824</t>
        </is>
      </c>
    </row>
    <row r="276">
      <c r="A276" s="2">
        <f>HYPERLINK("https://edmondsonsupply.com/collections/hvac/products/klein-tools-60164-professional-safety-glasses-full-frame-gray-lens", "https://edmondsonsupply.com/collections/hvac/products/klein-tools-60164-professional-safety-glasses-full-frame-gray-lens")</f>
        <v/>
      </c>
      <c r="B276" s="2">
        <f>HYPERLINK("https://edmondsonsupply.com/products/klein-tools-60164-professional-safety-glasses-full-frame-gray-lens", "https://edmondsonsupply.com/products/klein-tools-60164-professional-safety-glasses-full-frame-gray-lens")</f>
        <v/>
      </c>
      <c r="C276" t="inlineStr">
        <is>
          <t>Klein Tools 60164 Professional Safety Glasses, Full Frame, Gray Lens</t>
        </is>
      </c>
      <c r="D276" t="inlineStr">
        <is>
          <t>Klein Tools 60539 Safety Glasses, Professional PPE Protective Eyewear, Full Frame, Scratch Resistant and Anti-Fog, Polarized Lens</t>
        </is>
      </c>
      <c r="E276" s="2">
        <f>HYPERLINK("https://www.amazon.com/Klein-Tools-60539-Professional-Protective/dp/B0BLQ6F4MQ/ref=sr_1_7?keywords=Klein+Tools+60164+Professional+Safety+Glasses%2C+Full+Frame%2C+Gray+Lens&amp;qid=1695173626&amp;sr=8-7", "https://www.amazon.com/Klein-Tools-60539-Professional-Protective/dp/B0BLQ6F4MQ/ref=sr_1_7?keywords=Klein+Tools+60164+Professional+Safety+Glasses%2C+Full+Frame%2C+Gray+Lens&amp;qid=1695173626&amp;sr=8-7")</f>
        <v/>
      </c>
      <c r="F276" t="inlineStr">
        <is>
          <t>B0BLQ6F4MQ</t>
        </is>
      </c>
      <c r="G276">
        <f>_xludf.IMAGE("https://edmondsonsupply.com/cdn/shop/products/60164.jpg?v=1633030851")</f>
        <v/>
      </c>
      <c r="H276">
        <f>_xludf.IMAGE("https://m.media-amazon.com/images/I/41z93jotzdL._AC_UL320_.jpg")</f>
        <v/>
      </c>
      <c r="I276" t="inlineStr">
        <is>
          <t>14.99</t>
        </is>
      </c>
      <c r="J276" t="n">
        <v>29.99</v>
      </c>
      <c r="K276" s="3" t="inlineStr">
        <is>
          <t>100.07%</t>
        </is>
      </c>
      <c r="L276" t="n">
        <v>4.4</v>
      </c>
      <c r="M276" t="n">
        <v>11</v>
      </c>
      <c r="O276" t="inlineStr">
        <is>
          <t>InStock</t>
        </is>
      </c>
      <c r="P276" t="inlineStr">
        <is>
          <t>20.98</t>
        </is>
      </c>
      <c r="Q276" t="inlineStr">
        <is>
          <t>6103189520557</t>
        </is>
      </c>
    </row>
    <row r="277">
      <c r="A277" s="2">
        <f>HYPERLINK("https://edmondsonsupply.com/collections/hvac/products/channellock-432", "https://edmondsonsupply.com/collections/hvac/products/channellock-432")</f>
        <v/>
      </c>
      <c r="B277" s="2">
        <f>HYPERLINK("https://edmondsonsupply.com/products/channellock-432", "https://edmondsonsupply.com/products/channellock-432")</f>
        <v/>
      </c>
      <c r="C277" t="inlineStr">
        <is>
          <t>Channellock 440 12" Straight Jaw Tongue &amp; Groove Pliers</t>
        </is>
      </c>
      <c r="D277" t="inlineStr">
        <is>
          <t>Channellock 440 Tongue and Groove Pliers | 12-Inch Straight Jaw Groove Joint Plier with Comfort Grips| Made in USA, Black, Blue, Silver &amp; 442 Tongue and Groove Pliers, 12 In, Black, Blue, Silver</t>
        </is>
      </c>
      <c r="E277" s="2">
        <f>HYPERLINK("https://www.amazon.com/Channellock-Tongue-12-Inch-Straight-Comfort/dp/B0BFXP68V9/ref=sr_1_5?keywords=Channellock+440+12%22+Straight+Jaw+Tongue+%26+Groove+Pliers&amp;qid=1695173686&amp;sr=8-5", "https://www.amazon.com/Channellock-Tongue-12-Inch-Straight-Comfort/dp/B0BFXP68V9/ref=sr_1_5?keywords=Channellock+440+12%22+Straight+Jaw+Tongue+%26+Groove+Pliers&amp;qid=1695173686&amp;sr=8-5")</f>
        <v/>
      </c>
      <c r="F277" t="inlineStr">
        <is>
          <t>B0BFXP68V9</t>
        </is>
      </c>
      <c r="G277">
        <f>_xludf.IMAGE("https://edmondsonsupply.com/cdn/shop/products/440-546x1024.jpg?v=1587148892")</f>
        <v/>
      </c>
      <c r="H277">
        <f>_xludf.IMAGE("https://m.media-amazon.com/images/I/41d-z+Tl0SL._AC_UL320_.jpg")</f>
        <v/>
      </c>
      <c r="I277" t="inlineStr">
        <is>
          <t>21.95</t>
        </is>
      </c>
      <c r="J277" t="n">
        <v>43.9</v>
      </c>
      <c r="K277" s="3" t="inlineStr">
        <is>
          <t>100.00%</t>
        </is>
      </c>
      <c r="L277" t="n">
        <v>5</v>
      </c>
      <c r="M277" t="n">
        <v>2</v>
      </c>
      <c r="O277" t="inlineStr">
        <is>
          <t>InStock</t>
        </is>
      </c>
      <c r="P277" t="inlineStr">
        <is>
          <t>29.82</t>
        </is>
      </c>
      <c r="Q277" t="inlineStr">
        <is>
          <t>3553495908452</t>
        </is>
      </c>
    </row>
    <row r="278">
      <c r="A278" s="2">
        <f>HYPERLINK("https://edmondsonsupply.com/collections/hvac/products/klein-tools-94130-1000v-insulated-tool-kit-5-piece", "https://edmondsonsupply.com/collections/hvac/products/klein-tools-94130-1000v-insulated-tool-kit-5-piece")</f>
        <v/>
      </c>
      <c r="B278" s="2">
        <f>HYPERLINK("https://edmondsonsupply.com/products/klein-tools-94130-1000v-insulated-tool-kit-5-piece", "https://edmondsonsupply.com/products/klein-tools-94130-1000v-insulated-tool-kit-5-piece")</f>
        <v/>
      </c>
      <c r="C278" t="inlineStr">
        <is>
          <t>Klein Tools 94130 1000V Insulated Tool Kit, 5-Piece</t>
        </is>
      </c>
      <c r="D278" t="inlineStr">
        <is>
          <t>Klein Tools 80021 Tool Set, Screwdriver and Nut Driver Tool Kit, 16-Piece &amp; 94130 1000V Insulated Screwdriver Tool Set with #2 Phillips and 1/4-Inch Cabinet Slim Tips, 2 Pliers and Wire Stripper</t>
        </is>
      </c>
      <c r="E278" s="2">
        <f>HYPERLINK("https://www.amazon.com/Klein-Tools-Screwdriver-16-Piece-Insulated/dp/B0BD4188RR/ref=sr_1_5?keywords=Klein+Tools+94130+1000V+Insulated+Tool+Kit%2C+5-Piece&amp;qid=1695173544&amp;sr=8-5", "https://www.amazon.com/Klein-Tools-Screwdriver-16-Piece-Insulated/dp/B0BD4188RR/ref=sr_1_5?keywords=Klein+Tools+94130+1000V+Insulated+Tool+Kit%2C+5-Piece&amp;qid=1695173544&amp;sr=8-5")</f>
        <v/>
      </c>
      <c r="F278" t="inlineStr">
        <is>
          <t>B0BD4188RR</t>
        </is>
      </c>
      <c r="G278">
        <f>_xludf.IMAGE("https://edmondsonsupply.com/cdn/shop/products/94130.jpg?v=1633030386")</f>
        <v/>
      </c>
      <c r="H278">
        <f>_xludf.IMAGE("https://m.media-amazon.com/images/I/51KtSSZfJ+L._AC_UL320_.jpg")</f>
        <v/>
      </c>
      <c r="I278" t="inlineStr">
        <is>
          <t>99.99</t>
        </is>
      </c>
      <c r="J278" t="n">
        <v>199.98</v>
      </c>
      <c r="K278" s="3" t="inlineStr">
        <is>
          <t>100.00%</t>
        </is>
      </c>
      <c r="L278" t="n">
        <v>5</v>
      </c>
      <c r="M278" t="n">
        <v>1</v>
      </c>
      <c r="O278" t="inlineStr">
        <is>
          <t>InStock</t>
        </is>
      </c>
      <c r="P278" t="inlineStr">
        <is>
          <t>149.98</t>
        </is>
      </c>
      <c r="Q278" t="inlineStr">
        <is>
          <t>5299145146536</t>
        </is>
      </c>
    </row>
    <row r="279">
      <c r="A279" s="2">
        <f>HYPERLINK("https://edmondsonsupply.com/collections/hvac/products/packard-trcfd405-titan-pro-run-capacitor-40-5-mfd-440-370-volt-round", "https://edmondsonsupply.com/collections/hvac/products/packard-trcfd405-titan-pro-run-capacitor-40-5-mfd-440-370-volt-round")</f>
        <v/>
      </c>
      <c r="B279" s="2">
        <f>HYPERLINK("https://edmondsonsupply.com/products/packard-trcfd405-titan-pro-run-capacitor-40-5-mfd-440-370-volt-round", "https://edmondsonsupply.com/products/packard-trcfd405-titan-pro-run-capacitor-40-5-mfd-440-370-volt-round")</f>
        <v/>
      </c>
      <c r="C279" t="inlineStr">
        <is>
          <t>Packard TRCFD405 Titan PRO Run Capacitor 40+5 MFD 440/370 Volt Round</t>
        </is>
      </c>
      <c r="D279" t="inlineStr">
        <is>
          <t>TITAN PRO TRCFD4075 Dual Rated Motor Run Capacitor Round MFD 40/7.5 Volts 440/370</t>
        </is>
      </c>
      <c r="E279" s="2">
        <f>HYPERLINK("https://www.amazon.com/Titan-TRCFD4075-Rated-Motor-Capacitor/dp/B01IC27L72/ref=sr_1_9?keywords=Packard+TRCFD405+Titan+PRO+Run+Capacitor+40%2B5+MFD+440%2F370+Volt+Round&amp;qid=1695173477&amp;sr=8-9", "https://www.amazon.com/Titan-TRCFD4075-Rated-Motor-Capacitor/dp/B01IC27L72/ref=sr_1_9?keywords=Packard+TRCFD405+Titan+PRO+Run+Capacitor+40%2B5+MFD+440%2F370+Volt+Round&amp;qid=1695173477&amp;sr=8-9")</f>
        <v/>
      </c>
      <c r="F279" t="inlineStr">
        <is>
          <t>B01IC27L72</t>
        </is>
      </c>
      <c r="G279">
        <f>_xludf.IMAGE("https://edmondsonsupply.com/cdn/shop/products/TRCFD405-2.jpg?v=1633030399")</f>
        <v/>
      </c>
      <c r="H279">
        <f>_xludf.IMAGE("https://m.media-amazon.com/images/I/81gL9btPv8L._AC_UY218_.jpg")</f>
        <v/>
      </c>
      <c r="I279" t="inlineStr">
        <is>
          <t>8.39</t>
        </is>
      </c>
      <c r="J279" t="n">
        <v>16.78</v>
      </c>
      <c r="K279" s="3" t="inlineStr">
        <is>
          <t>100.00%</t>
        </is>
      </c>
      <c r="L279" t="n">
        <v>4.6</v>
      </c>
      <c r="M279" t="n">
        <v>46</v>
      </c>
      <c r="O279" t="inlineStr">
        <is>
          <t>OutOfStock</t>
        </is>
      </c>
      <c r="P279" t="inlineStr">
        <is>
          <t>undefined</t>
        </is>
      </c>
      <c r="Q279" t="inlineStr">
        <is>
          <t>5302386950312</t>
        </is>
      </c>
    </row>
    <row r="280">
      <c r="A280" s="2">
        <f>HYPERLINK("https://edmondsonsupply.com/collections/hvac/products/klein-tools-32907-7-in-1-impact-flip-socket-set-no-handle", "https://edmondsonsupply.com/collections/hvac/products/klein-tools-32907-7-in-1-impact-flip-socket-set-no-handle")</f>
        <v/>
      </c>
      <c r="B280" s="2">
        <f>HYPERLINK("https://edmondsonsupply.com/products/klein-tools-32907-7-in-1-impact-flip-socket-set-no-handle", "https://edmondsonsupply.com/products/klein-tools-32907-7-in-1-impact-flip-socket-set-no-handle")</f>
        <v/>
      </c>
      <c r="C280" t="inlineStr">
        <is>
          <t>Klein Tools 32907 7-in-1 Impact Flip Socket Set, No Handle</t>
        </is>
      </c>
      <c r="D280" t="inlineStr">
        <is>
          <t>Wiha 70487 6 Piece Color Coded Magnetic Nut Setter Metric Set &amp; Impact Driver, 7-in-1 Impact Flip Socket Set, 6 Hex Driver Sizes Plus a 1/4-Inch Bit Holder Klein Tools 32907</t>
        </is>
      </c>
      <c r="E280" s="2">
        <f>HYPERLINK("https://www.amazon.com/Wiha-Magnetic-Setter-Metric-Impact/dp/B0C3BBFJC3/ref=sr_1_1?keywords=Klein+Tools+32907+7-in-1+Impact+Flip+Socket+Set%2C+No+Handle&amp;qid=1695173428&amp;sr=8-1", "https://www.amazon.com/Wiha-Magnetic-Setter-Metric-Impact/dp/B0C3BBFJC3/ref=sr_1_1?keywords=Klein+Tools+32907+7-in-1+Impact+Flip+Socket+Set%2C+No+Handle&amp;qid=1695173428&amp;sr=8-1")</f>
        <v/>
      </c>
      <c r="F280" t="inlineStr">
        <is>
          <t>B0C3BBFJC3</t>
        </is>
      </c>
      <c r="G280">
        <f>_xludf.IMAGE("https://edmondsonsupply.com/cdn/shop/products/32907_b.jpg?v=1666025282")</f>
        <v/>
      </c>
      <c r="H280">
        <f>_xludf.IMAGE("https://m.media-amazon.com/images/I/41L9R5NZDWL._AC_UL320_.jpg")</f>
        <v/>
      </c>
      <c r="I280" t="inlineStr">
        <is>
          <t>19.99</t>
        </is>
      </c>
      <c r="J280" t="n">
        <v>39.98</v>
      </c>
      <c r="K280" s="3" t="inlineStr">
        <is>
          <t>100.00%</t>
        </is>
      </c>
      <c r="L280" t="n">
        <v>4.6</v>
      </c>
      <c r="M280" t="n">
        <v>143</v>
      </c>
      <c r="O280" t="inlineStr">
        <is>
          <t>InStock</t>
        </is>
      </c>
      <c r="P280" t="inlineStr">
        <is>
          <t>29.18</t>
        </is>
      </c>
      <c r="Q280" t="inlineStr">
        <is>
          <t>7856653009112</t>
        </is>
      </c>
    </row>
    <row r="281">
      <c r="A281" s="2">
        <f>HYPERLINK("https://edmondsonsupply.com/collections/hvac/products/nu-calgon-4900-40-iwave-v-vortex-air-ionization-system", "https://edmondsonsupply.com/collections/hvac/products/nu-calgon-4900-40-iwave-v-vortex-air-ionization-system")</f>
        <v/>
      </c>
      <c r="B281" s="2">
        <f>HYPERLINK("https://edmondsonsupply.com/products/nu-calgon-4900-40-iwave-v-vortex-air-ionization-system", "https://edmondsonsupply.com/products/nu-calgon-4900-40-iwave-v-vortex-air-ionization-system")</f>
        <v/>
      </c>
      <c r="C281" t="inlineStr">
        <is>
          <t>Nu-Calgon 4900-40 iWave-V Vortex Air Ionization System</t>
        </is>
      </c>
      <c r="D281" t="inlineStr">
        <is>
          <t>Nu-Calgon 4900-20 - iWave-R Self-Cleaning Bi-Polar Ionization ION Generator for 6 Tons, 2400 CFM, 24-260 VAC (1)</t>
        </is>
      </c>
      <c r="E281" s="2">
        <f>HYPERLINK("https://www.amazon.com/Nu-Calgon-4900-20-Self-Cleaning-Ionization-Generator/dp/B07YYN1QRW/ref=sr_1_1?keywords=Nu-Calgon+4900-40+iWave-V+Vortex+Air+Ionization+System&amp;qid=1695173581&amp;sr=8-1", "https://www.amazon.com/Nu-Calgon-4900-20-Self-Cleaning-Ionization-Generator/dp/B07YYN1QRW/ref=sr_1_1?keywords=Nu-Calgon+4900-40+iWave-V+Vortex+Air+Ionization+System&amp;qid=1695173581&amp;sr=8-1")</f>
        <v/>
      </c>
      <c r="F281" t="inlineStr">
        <is>
          <t>B07YYN1QRW</t>
        </is>
      </c>
      <c r="G281">
        <f>_xludf.IMAGE("https://edmondsonsupply.com/cdn/shop/files/4900-40.jpg?v=1687445226")</f>
        <v/>
      </c>
      <c r="H281">
        <f>_xludf.IMAGE("https://m.media-amazon.com/images/I/41bYOWAF1uL._AC_UY218_.jpg")</f>
        <v/>
      </c>
      <c r="I281" t="inlineStr">
        <is>
          <t>185.99</t>
        </is>
      </c>
      <c r="J281" t="n">
        <v>368.95</v>
      </c>
      <c r="K281" s="3" t="inlineStr">
        <is>
          <t>98.37%</t>
        </is>
      </c>
      <c r="L281" t="n">
        <v>4.5</v>
      </c>
      <c r="M281" t="n">
        <v>368</v>
      </c>
      <c r="O281" t="inlineStr">
        <is>
          <t>InStock</t>
        </is>
      </c>
      <c r="P281" t="inlineStr">
        <is>
          <t>266.94</t>
        </is>
      </c>
      <c r="Q281" t="inlineStr">
        <is>
          <t>8007558496472</t>
        </is>
      </c>
    </row>
    <row r="282">
      <c r="A282" s="2">
        <f>HYPERLINK("https://edmondsonsupply.com/collections/hvac/products/klein-tools-3005cr-ratcheting-crimper-10-22-awg", "https://edmondsonsupply.com/collections/hvac/products/klein-tools-3005cr-ratcheting-crimper-10-22-awg")</f>
        <v/>
      </c>
      <c r="B282" s="2">
        <f>HYPERLINK("https://edmondsonsupply.com/products/klein-tools-3005cr-ratcheting-crimper-10-22-awg", "https://edmondsonsupply.com/products/klein-tools-3005cr-ratcheting-crimper-10-22-awg")</f>
        <v/>
      </c>
      <c r="C282" t="inlineStr">
        <is>
          <t>Klein Tools 3005CR Ratcheting Crimper, 10-22 AWG - Insulated Terminals</t>
        </is>
      </c>
      <c r="D282" t="inlineStr">
        <is>
          <t>Klein Tools 3005CR Wire Crimper Tool &amp; 1005 Cutting/Crimping Tool for 10-22 AWG Terminals and Connectors, Terminal Crimper for Insulated and Non-Insulated Terminals</t>
        </is>
      </c>
      <c r="E282" s="2">
        <f>HYPERLINK("https://www.amazon.com/Klein-Tools-Terminals-Connectors-Non-Insulated/dp/B09T6YD8X4/ref=sr_1_4?keywords=Klein+Tools+3005CR+Ratcheting+Crimper%2C+10-22+AWG+-+Insulated+Terminals&amp;qid=1695173487&amp;sr=8-4", "https://www.amazon.com/Klein-Tools-Terminals-Connectors-Non-Insulated/dp/B09T6YD8X4/ref=sr_1_4?keywords=Klein+Tools+3005CR+Ratcheting+Crimper%2C+10-22+AWG+-+Insulated+Terminals&amp;qid=1695173487&amp;sr=8-4")</f>
        <v/>
      </c>
      <c r="F282" t="inlineStr">
        <is>
          <t>B09T6YD8X4</t>
        </is>
      </c>
      <c r="G282">
        <f>_xludf.IMAGE("https://edmondsonsupply.com/cdn/shop/products/3005cr.jpg?v=1587146892")</f>
        <v/>
      </c>
      <c r="H282">
        <f>_xludf.IMAGE("https://m.media-amazon.com/images/I/41P2x5W+flL._AC_UL320_.jpg")</f>
        <v/>
      </c>
      <c r="I282" t="inlineStr">
        <is>
          <t>29.97</t>
        </is>
      </c>
      <c r="J282" t="n">
        <v>59.45</v>
      </c>
      <c r="K282" s="3" t="inlineStr">
        <is>
          <t>98.37%</t>
        </is>
      </c>
      <c r="L282" t="n">
        <v>5</v>
      </c>
      <c r="M282" t="n">
        <v>1</v>
      </c>
      <c r="O282" t="inlineStr">
        <is>
          <t>InStock</t>
        </is>
      </c>
      <c r="P282" t="inlineStr">
        <is>
          <t>42.9</t>
        </is>
      </c>
      <c r="Q282" t="inlineStr">
        <is>
          <t>3699388907620</t>
        </is>
      </c>
    </row>
    <row r="283">
      <c r="A283" s="2">
        <f>HYPERLINK("https://edmondsonsupply.com/collections/hvac/products/packard-titan-pro-trcd305-run-capacitor-30-5-mfd-370-volt-round", "https://edmondsonsupply.com/collections/hvac/products/packard-titan-pro-trcd305-run-capacitor-30-5-mfd-370-volt-round")</f>
        <v/>
      </c>
      <c r="B283" s="2">
        <f>HYPERLINK("https://edmondsonsupply.com/products/packard-titan-pro-trcd305-run-capacitor-30-5-mfd-370-volt-round", "https://edmondsonsupply.com/products/packard-titan-pro-trcd305-run-capacitor-30-5-mfd-370-volt-round")</f>
        <v/>
      </c>
      <c r="C283" t="inlineStr">
        <is>
          <t>Packard Titan PRO TRCD305 Run Capacitor 30+5 MFD 370 Volt Round</t>
        </is>
      </c>
      <c r="D283" t="inlineStr">
        <is>
          <t>Titan Pro Round Motor Dual Run Capacitor, 30/5 Microfarad Rating, 370-440VAC Voltage - TRCFD305</t>
        </is>
      </c>
      <c r="E283" s="2">
        <f>HYPERLINK("https://www.amazon.com/Capacitor-Microfarad-Rating-370-440VAC-Voltage/dp/B08TTPB9QZ/ref=sr_1_4?keywords=Packard+Titan+PRO+TRCD305+Run+Capacitor+30+5+MFD+370+Volt+Round&amp;qid=1695173636&amp;sr=8-4", "https://www.amazon.com/Capacitor-Microfarad-Rating-370-440VAC-Voltage/dp/B08TTPB9QZ/ref=sr_1_4?keywords=Packard+Titan+PRO+TRCD305+Run+Capacitor+30+5+MFD+370+Volt+Round&amp;qid=1695173636&amp;sr=8-4")</f>
        <v/>
      </c>
      <c r="F283" t="inlineStr">
        <is>
          <t>B08TTPB9QZ</t>
        </is>
      </c>
      <c r="G283">
        <f>_xludf.IMAGE("https://edmondsonsupply.com/cdn/shop/products/TRCD305-2.jpg?v=1633030487")</f>
        <v/>
      </c>
      <c r="H283">
        <f>_xludf.IMAGE("https://m.media-amazon.com/images/I/61rN-CX2SUL._AC_UY218_.jpg")</f>
        <v/>
      </c>
      <c r="I283" t="inlineStr">
        <is>
          <t>7.92</t>
        </is>
      </c>
      <c r="J283" t="n">
        <v>15.69</v>
      </c>
      <c r="K283" s="3" t="inlineStr">
        <is>
          <t>98.11%</t>
        </is>
      </c>
      <c r="L283" t="n">
        <v>5</v>
      </c>
      <c r="M283" t="n">
        <v>4</v>
      </c>
      <c r="O283" t="inlineStr">
        <is>
          <t>InStock</t>
        </is>
      </c>
      <c r="P283" t="inlineStr">
        <is>
          <t>undefined</t>
        </is>
      </c>
      <c r="Q283" t="inlineStr">
        <is>
          <t>5373456646312</t>
        </is>
      </c>
    </row>
    <row r="284">
      <c r="A284" s="2">
        <f>HYPERLINK("https://edmondsonsupply.com/collections/hvac/products/klein-tools-et120-combustible-gas-leak-detector", "https://edmondsonsupply.com/collections/hvac/products/klein-tools-et120-combustible-gas-leak-detector")</f>
        <v/>
      </c>
      <c r="B284" s="2">
        <f>HYPERLINK("https://edmondsonsupply.com/products/klein-tools-et120-combustible-gas-leak-detector", "https://edmondsonsupply.com/products/klein-tools-et120-combustible-gas-leak-detector")</f>
        <v/>
      </c>
      <c r="C284" t="inlineStr">
        <is>
          <t>Klein Tools ET120 Combustible Gas Leak Detector</t>
        </is>
      </c>
      <c r="D284" t="inlineStr">
        <is>
          <t>Klein Tools ET110 Carbon Monoxide Meter, with Exposure Limit Alarm &amp; ET120 Gas Leak Detector, Combustible Gas Leak Meter with 18-Inch Gooseneck Range 50-10,000 ppm, Includes Pouch, Batteries</t>
        </is>
      </c>
      <c r="E284" s="2">
        <f>HYPERLINK("https://www.amazon.com/Klein-Tools-Monoxide-Combustible-Gooseneck/dp/B08MFZNS5M/ref=sr_1_7?keywords=Klein+Tools+ET120+Combustible+Gas+Leak+Detector&amp;qid=1695173669&amp;sr=8-7", "https://www.amazon.com/Klein-Tools-Monoxide-Combustible-Gooseneck/dp/B08MFZNS5M/ref=sr_1_7?keywords=Klein+Tools+ET120+Combustible+Gas+Leak+Detector&amp;qid=1695173669&amp;sr=8-7")</f>
        <v/>
      </c>
      <c r="F284" t="inlineStr">
        <is>
          <t>B08MFZNS5M</t>
        </is>
      </c>
      <c r="G284">
        <f>_xludf.IMAGE("https://edmondsonsupply.com/cdn/shop/products/et120.jpg?v=1587149243")</f>
        <v/>
      </c>
      <c r="H284">
        <f>_xludf.IMAGE("https://m.media-amazon.com/images/I/51tDV7zUk7L._AC_UL320_.jpg")</f>
        <v/>
      </c>
      <c r="I284" t="inlineStr">
        <is>
          <t>119.99</t>
        </is>
      </c>
      <c r="J284" t="n">
        <v>237.43</v>
      </c>
      <c r="K284" s="3" t="inlineStr">
        <is>
          <t>97.87%</t>
        </is>
      </c>
      <c r="L284" t="n">
        <v>4.8</v>
      </c>
      <c r="M284" t="n">
        <v>28</v>
      </c>
      <c r="O284" t="inlineStr">
        <is>
          <t>InStock</t>
        </is>
      </c>
      <c r="P284" t="inlineStr">
        <is>
          <t>179.32</t>
        </is>
      </c>
      <c r="Q284" t="inlineStr">
        <is>
          <t>1828453187684</t>
        </is>
      </c>
    </row>
    <row r="285">
      <c r="A285" s="2">
        <f>HYPERLINK("https://edmondsonsupply.com/collections/hvac/products/inficon-d-tek-3", "https://edmondsonsupply.com/collections/hvac/products/inficon-d-tek-3")</f>
        <v/>
      </c>
      <c r="B285" s="2">
        <f>HYPERLINK("https://edmondsonsupply.com/products/inficon-d-tek-3", "https://edmondsonsupply.com/products/inficon-d-tek-3")</f>
        <v/>
      </c>
      <c r="C285" t="inlineStr">
        <is>
          <t>Inficon D-TEK® 3 Refrigerant Leak Detector</t>
        </is>
      </c>
      <c r="D285" t="inlineStr">
        <is>
          <t>INFICON D-TEK Stratus Refrigerant Leak Detector and Portable Monitor, Model: 724-202-G1,Off-White</t>
        </is>
      </c>
      <c r="E285" s="2">
        <f>HYPERLINK("https://www.amazon.com/Inficon-D-TEK-Stratus-Refrigerant-Detector/dp/B07ZWGM6GR/ref=sr_1_2?keywords=Inficon+D-TEK%C2%AE+3+Refrigerant+Leak+Detector&amp;qid=1695173442&amp;sr=8-2", "https://www.amazon.com/Inficon-D-TEK-Stratus-Refrigerant-Detector/dp/B07ZWGM6GR/ref=sr_1_2?keywords=Inficon+D-TEK%C2%AE+3+Refrigerant+Leak+Detector&amp;qid=1695173442&amp;sr=8-2")</f>
        <v/>
      </c>
      <c r="F285" t="inlineStr">
        <is>
          <t>B07ZWGM6GR</t>
        </is>
      </c>
      <c r="G285">
        <f>_xludf.IMAGE("https://edmondsonsupply.com/cdn/shop/products/dtek3.png?v=1633030772")</f>
        <v/>
      </c>
      <c r="H285">
        <f>_xludf.IMAGE("https://m.media-amazon.com/images/I/61a5yae6mKL._AC_UL320_.jpg")</f>
        <v/>
      </c>
      <c r="I285" t="inlineStr">
        <is>
          <t>516.99</t>
        </is>
      </c>
      <c r="J285" t="n">
        <v>1021.96</v>
      </c>
      <c r="K285" s="3" t="inlineStr">
        <is>
          <t>97.68%</t>
        </is>
      </c>
      <c r="L285" t="n">
        <v>4.6</v>
      </c>
      <c r="M285" t="n">
        <v>43</v>
      </c>
      <c r="O285" t="inlineStr">
        <is>
          <t>InStock</t>
        </is>
      </c>
      <c r="P285" t="inlineStr">
        <is>
          <t>645.0</t>
        </is>
      </c>
      <c r="Q285" t="inlineStr">
        <is>
          <t>5950406623400</t>
        </is>
      </c>
    </row>
    <row r="286">
      <c r="A286" s="2">
        <f>HYPERLINK("https://edmondsonsupply.com/collections/hvac/products/midwest-mwt-ss6510l-special-hardness-offset-aviation-snip-left-cutting", "https://edmondsonsupply.com/collections/hvac/products/midwest-mwt-ss6510l-special-hardness-offset-aviation-snip-left-cutting")</f>
        <v/>
      </c>
      <c r="B286" s="2">
        <f>HYPERLINK("https://edmondsonsupply.com/products/midwest-mwt-ss6510l-special-hardness-offset-aviation-snip-left-cutting", "https://edmondsonsupply.com/products/midwest-mwt-ss6510l-special-hardness-offset-aviation-snip-left-cutting")</f>
        <v/>
      </c>
      <c r="C286" t="inlineStr">
        <is>
          <t>Midwest MWT-SS6510L Special Hardness Offset Aviation Snip - Left-Cutting</t>
        </is>
      </c>
      <c r="D286" t="inlineStr">
        <is>
          <t>Midwest Tools and Cutlery MWT-SS6510R Snips Forged Blade Special Hardness Offset Right Aviation Snip, Cuts Stainless Steel</t>
        </is>
      </c>
      <c r="E286" s="2">
        <f>HYPERLINK("https://www.amazon.com/Midwest-Tools-Cutlery-MWT-SS6510R-Stainless/dp/B01J7IOB64/ref=sr_1_9?keywords=Midwest+MWT-SS6510L+Special+Hardness+Offset+Aviation+Snip+-+Left-Cutting&amp;qid=1695173337&amp;sr=8-9", "https://www.amazon.com/Midwest-Tools-Cutlery-MWT-SS6510R-Stainless/dp/B01J7IOB64/ref=sr_1_9?keywords=Midwest+MWT-SS6510L+Special+Hardness+Offset+Aviation+Snip+-+Left-Cutting&amp;qid=1695173337&amp;sr=8-9")</f>
        <v/>
      </c>
      <c r="F286" t="inlineStr">
        <is>
          <t>B01J7IOB64</t>
        </is>
      </c>
      <c r="G286">
        <f>_xludf.IMAGE("https://edmondsonsupply.com/cdn/shop/products/MWT-SS6510L.png?v=1587150385")</f>
        <v/>
      </c>
      <c r="H286">
        <f>_xludf.IMAGE("https://m.media-amazon.com/images/I/61rvvPEnRIL._AC_UL320_.jpg")</f>
        <v/>
      </c>
      <c r="I286" t="inlineStr">
        <is>
          <t>32.15</t>
        </is>
      </c>
      <c r="J286" t="n">
        <v>63.44</v>
      </c>
      <c r="K286" s="3" t="inlineStr">
        <is>
          <t>97.33%</t>
        </is>
      </c>
      <c r="L286" t="n">
        <v>4.4</v>
      </c>
      <c r="M286" t="n">
        <v>28</v>
      </c>
      <c r="O286" t="inlineStr">
        <is>
          <t>OutOfStock</t>
        </is>
      </c>
      <c r="P286" t="inlineStr">
        <is>
          <t>47.17</t>
        </is>
      </c>
      <c r="Q286" t="inlineStr">
        <is>
          <t>4421073272932</t>
        </is>
      </c>
    </row>
    <row r="287">
      <c r="A287" s="2">
        <f>HYPERLINK("https://edmondsonsupply.com/collections/hvac/products/midwest-mwt-ss6510r-special-hardness-offset-aviation-snip-right-cutting", "https://edmondsonsupply.com/collections/hvac/products/midwest-mwt-ss6510r-special-hardness-offset-aviation-snip-right-cutting")</f>
        <v/>
      </c>
      <c r="B287" s="2">
        <f>HYPERLINK("https://edmondsonsupply.com/products/midwest-mwt-ss6510r-special-hardness-offset-aviation-snip-right-cutting", "https://edmondsonsupply.com/products/midwest-mwt-ss6510r-special-hardness-offset-aviation-snip-right-cutting")</f>
        <v/>
      </c>
      <c r="C287" t="inlineStr">
        <is>
          <t>Midwest MWT-SS6510R Special Hardness Offset Aviation Snip - Right-Cutting</t>
        </is>
      </c>
      <c r="D287" t="inlineStr">
        <is>
          <t>Midwest Tools and Cutlery MWT-SS6510R Snips Forged Blade Special Hardness Offset Right Aviation Snip, Cuts Stainless Steel</t>
        </is>
      </c>
      <c r="E287" s="2">
        <f>HYPERLINK("https://www.amazon.com/Midwest-Tools-Cutlery-MWT-SS6510R-Stainless/dp/B01J7IOB64/ref=sr_1_1?keywords=Midwest+MWT-SS6510R+Special+Hardness+Offset+Aviation+Snip+-+Right-Cutting&amp;qid=1695173360&amp;sr=8-1", "https://www.amazon.com/Midwest-Tools-Cutlery-MWT-SS6510R-Stainless/dp/B01J7IOB64/ref=sr_1_1?keywords=Midwest+MWT-SS6510R+Special+Hardness+Offset+Aviation+Snip+-+Right-Cutting&amp;qid=1695173360&amp;sr=8-1")</f>
        <v/>
      </c>
      <c r="F287" t="inlineStr">
        <is>
          <t>B01J7IOB64</t>
        </is>
      </c>
      <c r="G287">
        <f>_xludf.IMAGE("https://edmondsonsupply.com/cdn/shop/products/MWT-SSP6510R.jpg?v=1587142544")</f>
        <v/>
      </c>
      <c r="H287">
        <f>_xludf.IMAGE("https://m.media-amazon.com/images/I/61rvvPEnRIL._AC_UL320_.jpg")</f>
        <v/>
      </c>
      <c r="I287" t="inlineStr">
        <is>
          <t>32.15</t>
        </is>
      </c>
      <c r="J287" t="n">
        <v>63.44</v>
      </c>
      <c r="K287" s="3" t="inlineStr">
        <is>
          <t>97.33%</t>
        </is>
      </c>
      <c r="L287" t="n">
        <v>4.4</v>
      </c>
      <c r="M287" t="n">
        <v>28</v>
      </c>
      <c r="O287" t="inlineStr">
        <is>
          <t>OutOfStock</t>
        </is>
      </c>
      <c r="P287" t="inlineStr">
        <is>
          <t>47.17</t>
        </is>
      </c>
      <c r="Q287" t="inlineStr">
        <is>
          <t>4473073107044</t>
        </is>
      </c>
    </row>
    <row r="288">
      <c r="A288" s="2">
        <f>HYPERLINK("https://edmondsonsupply.com/collections/hvac/products/packard-trcfd455-titan-pro-run-capacitor-45-5-mfd-440-370-volt-round", "https://edmondsonsupply.com/collections/hvac/products/packard-trcfd455-titan-pro-run-capacitor-45-5-mfd-440-370-volt-round")</f>
        <v/>
      </c>
      <c r="B288" s="2">
        <f>HYPERLINK("https://edmondsonsupply.com/products/packard-trcfd455-titan-pro-run-capacitor-45-5-mfd-440-370-volt-round", "https://edmondsonsupply.com/products/packard-trcfd455-titan-pro-run-capacitor-45-5-mfd-440-370-volt-round")</f>
        <v/>
      </c>
      <c r="C288" t="inlineStr">
        <is>
          <t>Packard TRCFD455 Titan PRO Run Capacitor 45+5 MFD 440/370 Volt Round</t>
        </is>
      </c>
      <c r="D288" t="inlineStr">
        <is>
          <t>New TitanPro TRCFD455 HVAC Round Dual Motor Run Capacitor. 45/5 MFD/UF440/370 Volts</t>
        </is>
      </c>
      <c r="E288" s="2">
        <f>HYPERLINK("https://www.amazon.com/TitanPro-TRCFD455-Round-Motor-Capacitor/dp/B07P5BTJKH/ref=sr_1_8?keywords=Packard+TRCFD455+Titan+PRO+Run+Capacitor+45+5+MFD+440%2F370+Volt+Round&amp;qid=1695173400&amp;sr=8-8", "https://www.amazon.com/TitanPro-TRCFD455-Round-Motor-Capacitor/dp/B07P5BTJKH/ref=sr_1_8?keywords=Packard+TRCFD455+Titan+PRO+Run+Capacitor+45+5+MFD+440%2F370+Volt+Round&amp;qid=1695173400&amp;sr=8-8")</f>
        <v/>
      </c>
      <c r="F288" t="inlineStr">
        <is>
          <t>B07P5BTJKH</t>
        </is>
      </c>
      <c r="G288">
        <f>_xludf.IMAGE("https://edmondsonsupply.com/cdn/shop/products/TRCFD455-2.jpg?v=1587147298")</f>
        <v/>
      </c>
      <c r="H288">
        <f>_xludf.IMAGE("https://m.media-amazon.com/images/I/41T6h+1BBAL._AC_UY218_.jpg")</f>
        <v/>
      </c>
      <c r="I288" t="inlineStr">
        <is>
          <t>8.99</t>
        </is>
      </c>
      <c r="J288" t="n">
        <v>17.69</v>
      </c>
      <c r="K288" s="3" t="inlineStr">
        <is>
          <t>96.77%</t>
        </is>
      </c>
      <c r="L288" t="n">
        <v>4.6</v>
      </c>
      <c r="M288" t="n">
        <v>68</v>
      </c>
      <c r="O288" t="inlineStr">
        <is>
          <t>OutOfStock</t>
        </is>
      </c>
      <c r="P288" t="inlineStr">
        <is>
          <t>undefined</t>
        </is>
      </c>
      <c r="Q288" t="inlineStr">
        <is>
          <t>4309334556772</t>
        </is>
      </c>
    </row>
    <row r="289">
      <c r="A289" s="2">
        <f>HYPERLINK("https://edmondsonsupply.com/collections/hvac/products/milwaukee-48-22-1540-fastback%E2%84%A2-5-in-1-folding-knife", "https://edmondsonsupply.com/collections/hvac/products/milwaukee-48-22-1540-fastback%E2%84%A2-5-in-1-folding-knife")</f>
        <v/>
      </c>
      <c r="B289" s="2">
        <f>HYPERLINK("https://edmondsonsupply.com/products/milwaukee-48-22-1540-fastback%e2%84%a2-5-in-1-folding-knife", "https://edmondsonsupply.com/products/milwaukee-48-22-1540-fastback%e2%84%a2-5-in-1-folding-knife")</f>
        <v/>
      </c>
      <c r="C289" t="inlineStr">
        <is>
          <t>Milwaukee 48-22-1540 FASTBACK™ 5-in-1 Folding Knife</t>
        </is>
      </c>
      <c r="D289" t="inlineStr">
        <is>
          <t>SHISHUVIN For Milwaukee 48-22-1540 FASTBACK 5 in 1 Folding Pocket Knife Length 8.75 in Height 1 in Width 2 in</t>
        </is>
      </c>
      <c r="E289" s="2">
        <f>HYPERLINK("https://www.amazon.com/SHISHUVIN-Milwaukee-48-22-1540-FASTBACK-Folding/dp/B0C1RJSRPR/ref=sr_1_2?keywords=Milwaukee+48-22-1540+FASTBACK%E2%84%A2+5-in-1+Folding+Knife&amp;qid=1695173436&amp;sr=8-2", "https://www.amazon.com/SHISHUVIN-Milwaukee-48-22-1540-FASTBACK-Folding/dp/B0C1RJSRPR/ref=sr_1_2?keywords=Milwaukee+48-22-1540+FASTBACK%E2%84%A2+5-in-1+Folding+Knife&amp;qid=1695173436&amp;sr=8-2")</f>
        <v/>
      </c>
      <c r="F289" t="inlineStr">
        <is>
          <t>B0C1RJSRPR</t>
        </is>
      </c>
      <c r="G289">
        <f>_xludf.IMAGE("https://edmondsonsupply.com/cdn/shop/products/48-22-1540_1.png?v=1587142762")</f>
        <v/>
      </c>
      <c r="H289">
        <f>_xludf.IMAGE("https://m.media-amazon.com/images/I/413xL6xnD1L._AC_UL320_.jpg")</f>
        <v/>
      </c>
      <c r="I289" t="inlineStr">
        <is>
          <t>23.97</t>
        </is>
      </c>
      <c r="J289" t="n">
        <v>47</v>
      </c>
      <c r="K289" s="3" t="inlineStr">
        <is>
          <t>96.08%</t>
        </is>
      </c>
      <c r="L289" t="n">
        <v>5</v>
      </c>
      <c r="M289" t="n">
        <v>1</v>
      </c>
      <c r="O289" t="inlineStr">
        <is>
          <t>InStock</t>
        </is>
      </c>
      <c r="P289" t="inlineStr">
        <is>
          <t>39.0</t>
        </is>
      </c>
      <c r="Q289" t="inlineStr">
        <is>
          <t>4452621090916</t>
        </is>
      </c>
    </row>
    <row r="290">
      <c r="A290" s="2">
        <f>HYPERLINK("https://edmondsonsupply.com/collections/hvac/products/packard-prmj216-motor-start-capacitor-216-259-mfd-330-vac", "https://edmondsonsupply.com/collections/hvac/products/packard-prmj216-motor-start-capacitor-216-259-mfd-330-vac")</f>
        <v/>
      </c>
      <c r="B290" s="2">
        <f>HYPERLINK("https://edmondsonsupply.com/products/packard-prmj216-motor-start-capacitor-216-259-mfd-330-vac", "https://edmondsonsupply.com/products/packard-prmj216-motor-start-capacitor-216-259-mfd-330-vac")</f>
        <v/>
      </c>
      <c r="C290" t="inlineStr">
        <is>
          <t>Packard PRMJ216 Motor Start Capacitor 216-259 MFD 330 VAC</t>
        </is>
      </c>
      <c r="D290" t="inlineStr">
        <is>
          <t>Appli Parts motor start capacitor 216-259 Mfd (microfarads) uF 330 VAC universal fit for electric motor applications 1-3/4 in Wide 3-3/8 in Height CON-216-330</t>
        </is>
      </c>
      <c r="E290" s="2">
        <f>HYPERLINK("https://www.amazon.com/capacitor-microfarads-universal-electric-applications/dp/B01FSQQ7DE/ref=sr_1_5?keywords=Packard+PRMJ216+Motor+Start+Capacitor+216-259+MFD+330+VAC&amp;qid=1695173694&amp;sr=8-5", "https://www.amazon.com/capacitor-microfarads-universal-electric-applications/dp/B01FSQQ7DE/ref=sr_1_5?keywords=Packard+PRMJ216+Motor+Start+Capacitor+216-259+MFD+330+VAC&amp;qid=1695173694&amp;sr=8-5")</f>
        <v/>
      </c>
      <c r="F290" t="inlineStr">
        <is>
          <t>B01FSQQ7DE</t>
        </is>
      </c>
      <c r="G290">
        <f>_xludf.IMAGE("https://edmondsonsupply.com/cdn/shop/products/PRMJ216-2.jpg?v=1633030106")</f>
        <v/>
      </c>
      <c r="H290">
        <f>_xludf.IMAGE("https://m.media-amazon.com/images/I/61gdt-REL+L._AC_UY218_.jpg")</f>
        <v/>
      </c>
      <c r="I290" t="inlineStr">
        <is>
          <t>8.94</t>
        </is>
      </c>
      <c r="J290" t="n">
        <v>17.49</v>
      </c>
      <c r="K290" s="3" t="inlineStr">
        <is>
          <t>95.64%</t>
        </is>
      </c>
      <c r="L290" t="n">
        <v>4.5</v>
      </c>
      <c r="M290" t="n">
        <v>1389</v>
      </c>
      <c r="O290" t="inlineStr">
        <is>
          <t>InStock</t>
        </is>
      </c>
      <c r="P290" t="inlineStr">
        <is>
          <t>undefined</t>
        </is>
      </c>
      <c r="Q290" t="inlineStr">
        <is>
          <t>3595512217700</t>
        </is>
      </c>
    </row>
    <row r="291">
      <c r="A291" s="2">
        <f>HYPERLINK("https://edmondsonsupply.com/collections/hvac/products/packard-psmj400-motor-start-capacitor-400-480-mfd-165-vac", "https://edmondsonsupply.com/collections/hvac/products/packard-psmj400-motor-start-capacitor-400-480-mfd-165-vac")</f>
        <v/>
      </c>
      <c r="B291" s="2">
        <f>HYPERLINK("https://edmondsonsupply.com/products/packard-psmj400-motor-start-capacitor-400-480-mfd-165-vac", "https://edmondsonsupply.com/products/packard-psmj400-motor-start-capacitor-400-480-mfd-165-vac")</f>
        <v/>
      </c>
      <c r="C291" t="inlineStr">
        <is>
          <t>Packard PSMJ400 Motor Start Capacitor 400-480 MFD 165 VAC</t>
        </is>
      </c>
      <c r="D291" t="inlineStr">
        <is>
          <t>Universal Fit 400-480 uf/MFD 165 VAC Round Motor Start Capacitor 50/60 Hz AC Electric Replacement Part by Blue Stars</t>
        </is>
      </c>
      <c r="E291" s="2">
        <f>HYPERLINK("https://www.amazon.com/Universal-400-480-Capacitor-Electric-Replacement/dp/B09TKWZCHZ/ref=sr_1_4?keywords=Packard+PSMJ400+Motor+Start+Capacitor+400-480+MFD+165+VAC&amp;qid=1695173567&amp;sr=8-4", "https://www.amazon.com/Universal-400-480-Capacitor-Electric-Replacement/dp/B09TKWZCHZ/ref=sr_1_4?keywords=Packard+PSMJ400+Motor+Start+Capacitor+400-480+MFD+165+VAC&amp;qid=1695173567&amp;sr=8-4")</f>
        <v/>
      </c>
      <c r="F291" t="inlineStr">
        <is>
          <t>B09TKWZCHZ</t>
        </is>
      </c>
      <c r="G291">
        <f>_xludf.IMAGE("https://edmondsonsupply.com/cdn/shop/products/PSMJ400-2.jpg?v=1587142312")</f>
        <v/>
      </c>
      <c r="H291">
        <f>_xludf.IMAGE("https://m.media-amazon.com/images/I/81b45NRzFFL._AC_UY218_.jpg")</f>
        <v/>
      </c>
      <c r="I291" t="inlineStr">
        <is>
          <t>7.92</t>
        </is>
      </c>
      <c r="J291" t="n">
        <v>15.49</v>
      </c>
      <c r="K291" s="3" t="inlineStr">
        <is>
          <t>95.58%</t>
        </is>
      </c>
      <c r="L291" t="n">
        <v>4.6</v>
      </c>
      <c r="M291" t="n">
        <v>66</v>
      </c>
      <c r="O291" t="inlineStr">
        <is>
          <t>InStock</t>
        </is>
      </c>
      <c r="P291" t="inlineStr">
        <is>
          <t>undefined</t>
        </is>
      </c>
      <c r="Q291" t="inlineStr">
        <is>
          <t>3683072016484</t>
        </is>
      </c>
    </row>
    <row r="292">
      <c r="A292" s="2">
        <f>HYPERLINK("https://edmondsonsupply.com/collections/hvac/products/klein-tools-11053-klein-kurve%C2%AE-wire-stripper-cutter", "https://edmondsonsupply.com/collections/hvac/products/klein-tools-11053-klein-kurve%C2%AE-wire-stripper-cutter")</f>
        <v/>
      </c>
      <c r="B292" s="2">
        <f>HYPERLINK("https://edmondsonsupply.com/products/klein-tools-11053-klein-kurve%c2%ae-wire-stripper-cutter", "https://edmondsonsupply.com/products/klein-tools-11053-klein-kurve%c2%ae-wire-stripper-cutter")</f>
        <v/>
      </c>
      <c r="C292" t="inlineStr">
        <is>
          <t>Klein Tools 11053 Klein-Kurve® Wire Stripper/Cutter</t>
        </is>
      </c>
      <c r="D292" t="inlineStr">
        <is>
          <t>Klein Tools 11053 Klein-Kurve Wire Stripper and Cutter for 6-12 AWG Stranded Wire, 7-1/8-Inch &amp; 11055 Wire Cutter and Wire Stripper, Stranded Wire Cutter, Solid Wire Cutter, Cuts Copper Wire</t>
        </is>
      </c>
      <c r="E292" s="2">
        <f>HYPERLINK("https://www.amazon.com/Klein-Tools-Klein-Kurve-Stripper-Stranded/dp/B0BHVPT335/ref=sr_1_2?keywords=Klein+Tools+11053+Klein-Kurve%C2%AE+Wire+Stripper%2FCutter&amp;qid=1695173476&amp;sr=8-2", "https://www.amazon.com/Klein-Tools-Klein-Kurve-Stripper-Stranded/dp/B0BHVPT335/ref=sr_1_2?keywords=Klein+Tools+11053+Klein-Kurve%C2%AE+Wire+Stripper%2FCutter&amp;qid=1695173476&amp;sr=8-2")</f>
        <v/>
      </c>
      <c r="F292" t="inlineStr">
        <is>
          <t>B0BHVPT335</t>
        </is>
      </c>
      <c r="G292">
        <f>_xludf.IMAGE("https://edmondsonsupply.com/cdn/shop/products/11053.jpg?v=1633030511")</f>
        <v/>
      </c>
      <c r="H292">
        <f>_xludf.IMAGE("https://m.media-amazon.com/images/I/41+jddPUDML._AC_UL320_.jpg")</f>
        <v/>
      </c>
      <c r="I292" t="inlineStr">
        <is>
          <t>20.97</t>
        </is>
      </c>
      <c r="J292" t="n">
        <v>40.96</v>
      </c>
      <c r="K292" s="3" t="inlineStr">
        <is>
          <t>95.33%</t>
        </is>
      </c>
      <c r="L292" t="n">
        <v>4.5</v>
      </c>
      <c r="M292" t="n">
        <v>2</v>
      </c>
      <c r="O292" t="inlineStr">
        <is>
          <t>InStock</t>
        </is>
      </c>
      <c r="P292" t="inlineStr">
        <is>
          <t>31.76</t>
        </is>
      </c>
      <c r="Q292" t="inlineStr">
        <is>
          <t>5387171299496</t>
        </is>
      </c>
    </row>
    <row r="293">
      <c r="A293" s="2">
        <f>HYPERLINK("https://edmondsonsupply.com/collections/hvac/products/rectorseal-97087-safe-t-switch-ss2-gen-3", "https://edmondsonsupply.com/collections/hvac/products/rectorseal-97087-safe-t-switch-ss2-gen-3")</f>
        <v/>
      </c>
      <c r="B293" s="2">
        <f>HYPERLINK("https://edmondsonsupply.com/products/rectorseal-97087-safe-t-switch-ss2-gen-3", "https://edmondsonsupply.com/products/rectorseal-97087-safe-t-switch-ss2-gen-3")</f>
        <v/>
      </c>
      <c r="C293" t="inlineStr">
        <is>
          <t>RectorSeal 97087 Safe-T-Switch SS2, Gen 3</t>
        </is>
      </c>
      <c r="D293" t="inlineStr">
        <is>
          <t>Rectorseal 97085 Ss1 3rd Generation Safe-T-Switch</t>
        </is>
      </c>
      <c r="E293" s="2">
        <f>HYPERLINK("https://www.amazon.com/Rectorseal-97085-Ss1-Generation-Safe-T-Switch/dp/B09QQR288Z/ref=sr_1_2?keywords=RectorSeal+97087+Safe-T-Switch+SS2%2C+Gen+3&amp;qid=1695173506&amp;sr=8-2", "https://www.amazon.com/Rectorseal-97085-Ss1-Generation-Safe-T-Switch/dp/B09QQR288Z/ref=sr_1_2?keywords=RectorSeal+97087+Safe-T-Switch+SS2%2C+Gen+3&amp;qid=1695173506&amp;sr=8-2")</f>
        <v/>
      </c>
      <c r="F293" t="inlineStr">
        <is>
          <t>B09QQR288Z</t>
        </is>
      </c>
      <c r="G293">
        <f>_xludf.IMAGE("https://edmondsonsupply.com/cdn/shop/products/97087-ss2-safe-t-switch-image-img.webp?v=1662053885")</f>
        <v/>
      </c>
      <c r="H293">
        <f>_xludf.IMAGE("https://m.media-amazon.com/images/I/417pn6XuhaL._AC_UL320_.jpg")</f>
        <v/>
      </c>
      <c r="I293" t="inlineStr">
        <is>
          <t>21.99</t>
        </is>
      </c>
      <c r="J293" t="n">
        <v>42.95</v>
      </c>
      <c r="K293" s="3" t="inlineStr">
        <is>
          <t>95.32%</t>
        </is>
      </c>
      <c r="L293" t="n">
        <v>4.7</v>
      </c>
      <c r="M293" t="n">
        <v>7</v>
      </c>
      <c r="O293" t="inlineStr">
        <is>
          <t>InStock</t>
        </is>
      </c>
      <c r="P293" t="inlineStr">
        <is>
          <t>30.67</t>
        </is>
      </c>
      <c r="Q293" t="inlineStr">
        <is>
          <t>7799440933080</t>
        </is>
      </c>
    </row>
    <row r="294">
      <c r="A294" s="2">
        <f>HYPERLINK("https://edmondsonsupply.com/collections/hvac/products/packard-prmj189-motor-start-capacitor-189-227-mfd-330-vac", "https://edmondsonsupply.com/collections/hvac/products/packard-prmj189-motor-start-capacitor-189-227-mfd-330-vac")</f>
        <v/>
      </c>
      <c r="B294" s="2">
        <f>HYPERLINK("https://edmondsonsupply.com/products/packard-prmj189-motor-start-capacitor-189-227-mfd-330-vac", "https://edmondsonsupply.com/products/packard-prmj189-motor-start-capacitor-189-227-mfd-330-vac")</f>
        <v/>
      </c>
      <c r="C294" t="inlineStr">
        <is>
          <t>Packard PRMJ189 Motor Start Capacitor 189-227 MFD 330 VAC</t>
        </is>
      </c>
      <c r="D294" t="inlineStr">
        <is>
          <t>CD60 330 VAC 189-227 uf/MFD Round Motor Start Capacitor Replacement Parts, Fit for Central Air-Conditioners, Condenser Fan Motors and Heat Pumps</t>
        </is>
      </c>
      <c r="E294" s="2">
        <f>HYPERLINK("https://www.amazon.com/189-227-Capacitor-Replacement-Air-Conditioners-Condenser/dp/B0C88BP5F8/ref=sr_1_8?keywords=Packard+PRMJ189+Motor+Start+Capacitor+189-227+MFD+330+VAC&amp;qid=1695173678&amp;sr=8-8", "https://www.amazon.com/189-227-Capacitor-Replacement-Air-Conditioners-Condenser/dp/B0C88BP5F8/ref=sr_1_8?keywords=Packard+PRMJ189+Motor+Start+Capacitor+189-227+MFD+330+VAC&amp;qid=1695173678&amp;sr=8-8")</f>
        <v/>
      </c>
      <c r="F294" t="inlineStr">
        <is>
          <t>B0C88BP5F8</t>
        </is>
      </c>
      <c r="G294">
        <f>_xludf.IMAGE("https://edmondsonsupply.com/cdn/shop/products/PRMJ189-2.jpg?v=1663378512")</f>
        <v/>
      </c>
      <c r="H294">
        <f>_xludf.IMAGE("https://m.media-amazon.com/images/I/617YaaGXokL._AC_UY218_.jpg")</f>
        <v/>
      </c>
      <c r="I294" t="inlineStr">
        <is>
          <t>8.59</t>
        </is>
      </c>
      <c r="J294" t="n">
        <v>16.7</v>
      </c>
      <c r="K294" s="3" t="inlineStr">
        <is>
          <t>94.41%</t>
        </is>
      </c>
      <c r="L294" t="n">
        <v>5</v>
      </c>
      <c r="M294" t="n">
        <v>5</v>
      </c>
      <c r="O294" t="inlineStr">
        <is>
          <t>InStock</t>
        </is>
      </c>
      <c r="P294" t="inlineStr">
        <is>
          <t>undefined</t>
        </is>
      </c>
      <c r="Q294" t="inlineStr">
        <is>
          <t>4298778378340</t>
        </is>
      </c>
    </row>
    <row r="295">
      <c r="A295" s="2">
        <f>HYPERLINK("https://edmondsonsupply.com/collections/hvac/products/fieldpiece-anc4-medium-single-meter-case", "https://edmondsonsupply.com/collections/hvac/products/fieldpiece-anc4-medium-single-meter-case")</f>
        <v/>
      </c>
      <c r="B295" s="2">
        <f>HYPERLINK("https://edmondsonsupply.com/products/fieldpiece-anc4-medium-single-meter-case", "https://edmondsonsupply.com/products/fieldpiece-anc4-medium-single-meter-case")</f>
        <v/>
      </c>
      <c r="C295" t="inlineStr">
        <is>
          <t>Fieldpiece ANC4 - Medium Single Meter Case</t>
        </is>
      </c>
      <c r="D295" t="inlineStr">
        <is>
          <t>Fieldpiece ANC7 Large Single Meter Case</t>
        </is>
      </c>
      <c r="E295" s="2">
        <f>HYPERLINK("https://www.amazon.com/Fieldpiece-ANC7-Large-Single-Meter/dp/B0195UTHTK/ref=sr_1_2?keywords=Fieldpiece+ANC4+-+Medium+Single+Meter+Case&amp;qid=1695173627&amp;sr=8-2", "https://www.amazon.com/Fieldpiece-ANC7-Large-Single-Meter/dp/B0195UTHTK/ref=sr_1_2?keywords=Fieldpiece+ANC4+-+Medium+Single+Meter+Case&amp;qid=1695173627&amp;sr=8-2")</f>
        <v/>
      </c>
      <c r="F295" t="inlineStr">
        <is>
          <t>B0195UTHTK</t>
        </is>
      </c>
      <c r="G295">
        <f>_xludf.IMAGE("https://edmondsonsupply.com/cdn/shop/products/ANC4-SRC-product-300dpi.jpg?v=1633030970")</f>
        <v/>
      </c>
      <c r="H295">
        <f>_xludf.IMAGE("https://m.media-amazon.com/images/I/71jB9zXLBtL._AC_UL320_.jpg")</f>
        <v/>
      </c>
      <c r="I295" t="inlineStr">
        <is>
          <t>10.2</t>
        </is>
      </c>
      <c r="J295" t="n">
        <v>19.75</v>
      </c>
      <c r="K295" s="3" t="inlineStr">
        <is>
          <t>93.63%</t>
        </is>
      </c>
      <c r="L295" t="n">
        <v>4.7</v>
      </c>
      <c r="M295" t="n">
        <v>223</v>
      </c>
      <c r="O295" t="inlineStr">
        <is>
          <t>InStock</t>
        </is>
      </c>
      <c r="P295" t="inlineStr">
        <is>
          <t>12.0</t>
        </is>
      </c>
      <c r="Q295" t="inlineStr">
        <is>
          <t>6633591832749</t>
        </is>
      </c>
    </row>
    <row r="296">
      <c r="A296" s="2">
        <f>HYPERLINK("https://edmondsonsupply.com/collections/hvac/products/sioux-chief-672xv0490-3-4-pex-inlet-x-4-1-2-pex-branches-valved-manifold", "https://edmondsonsupply.com/collections/hvac/products/sioux-chief-672xv0490-3-4-pex-inlet-x-4-1-2-pex-branches-valved-manifold")</f>
        <v/>
      </c>
      <c r="B296" s="2">
        <f>HYPERLINK("https://edmondsonsupply.com/products/sioux-chief-672xv0490-3-4-pex-inlet-x-4-1-2-pex-branches-valved-manifold", "https://edmondsonsupply.com/products/sioux-chief-672xv0490-3-4-pex-inlet-x-4-1-2-pex-branches-valved-manifold")</f>
        <v/>
      </c>
      <c r="C296" t="inlineStr">
        <is>
          <t>Sioux Chief 672XV0490 3/4" PEX Inlet x (4) 1/2" PEX Branches Valved Manifold</t>
        </is>
      </c>
      <c r="D296" t="inlineStr">
        <is>
          <t>Sioux Chief 672XV0699, 1/2" PEX Manifold w/valves, 3/4" PEX in</t>
        </is>
      </c>
      <c r="E296" s="2">
        <f>HYPERLINK("https://www.amazon.com/Sioux-Chief-672XV0699-Manifold-valves/dp/B003QSMAAQ/ref=sr_1_4?keywords=Sioux+Chief+672XV0490+3%2F4%22+PEX+Inlet+x+%284%29+1%2F2%22+PEX+Branches+Valved+Manifold&amp;qid=1695173446&amp;sr=8-4", "https://www.amazon.com/Sioux-Chief-672XV0699-Manifold-valves/dp/B003QSMAAQ/ref=sr_1_4?keywords=Sioux+Chief+672XV0490+3%2F4%22+PEX+Inlet+x+%284%29+1%2F2%22+PEX+Branches+Valved+Manifold&amp;qid=1695173446&amp;sr=8-4")</f>
        <v/>
      </c>
      <c r="F296" t="inlineStr">
        <is>
          <t>B003QSMAAQ</t>
        </is>
      </c>
      <c r="G296">
        <f>_xludf.IMAGE("https://edmondsonsupply.com/cdn/shop/products/672XV0490.jpg?v=1587147465")</f>
        <v/>
      </c>
      <c r="H296">
        <f>_xludf.IMAGE("https://m.media-amazon.com/images/I/21neRE0jgQL._AC_UL320_.jpg")</f>
        <v/>
      </c>
      <c r="I296" t="inlineStr">
        <is>
          <t>68.25</t>
        </is>
      </c>
      <c r="J296" t="n">
        <v>132.1</v>
      </c>
      <c r="K296" s="3" t="inlineStr">
        <is>
          <t>93.55%</t>
        </is>
      </c>
      <c r="L296" t="n">
        <v>4.1</v>
      </c>
      <c r="M296" t="n">
        <v>11</v>
      </c>
      <c r="O296" t="inlineStr">
        <is>
          <t>InStock</t>
        </is>
      </c>
      <c r="P296" t="inlineStr">
        <is>
          <t>105.0</t>
        </is>
      </c>
      <c r="Q296" t="inlineStr">
        <is>
          <t>4410479673444</t>
        </is>
      </c>
    </row>
    <row r="297">
      <c r="A297" s="2">
        <f>HYPERLINK("https://edmondsonsupply.com/collections/hvac/products/hilmor-1838952-fto-orbital-flare-tool", "https://edmondsonsupply.com/collections/hvac/products/hilmor-1838952-fto-orbital-flare-tool")</f>
        <v/>
      </c>
      <c r="B297" s="2">
        <f>HYPERLINK("https://edmondsonsupply.com/products/hilmor-1838952-fto-orbital-flare-tool", "https://edmondsonsupply.com/products/hilmor-1838952-fto-orbital-flare-tool")</f>
        <v/>
      </c>
      <c r="C297" t="inlineStr">
        <is>
          <t>Hilmor 1838952 FTO Orbital Flare Tool</t>
        </is>
      </c>
      <c r="D297" t="inlineStr">
        <is>
          <t>Hilmor Orbital Flare Kit with 1⁄8" - 1-3⁄8" Tubing Cutter, Pen Style Deburring Tool &amp; Storage Case, Black &amp; Green, FTOK 1937685</t>
        </is>
      </c>
      <c r="E297" s="2">
        <f>HYPERLINK("https://www.amazon.com/Hilmor-1937685-Orbital-Tubing-Deburring/dp/B01HFOFZQ2/ref=sr_1_fkmr0_1?keywords=Hilmor+1838952+FTO+Orbital+Flare+Tool&amp;qid=1695173377&amp;sr=8-1-fkmr0", "https://www.amazon.com/Hilmor-1937685-Orbital-Tubing-Deburring/dp/B01HFOFZQ2/ref=sr_1_fkmr0_1?keywords=Hilmor+1838952+FTO+Orbital+Flare+Tool&amp;qid=1695173377&amp;sr=8-1-fkmr0")</f>
        <v/>
      </c>
      <c r="F297" t="inlineStr">
        <is>
          <t>B01HFOFZQ2</t>
        </is>
      </c>
      <c r="G297">
        <f>_xludf.IMAGE("https://edmondsonsupply.com/cdn/shop/products/HIL_1838952-3_a8d26a39-b53d-4589-9ffd-4c8fe3d86c67.jpg?v=1587143882")</f>
        <v/>
      </c>
      <c r="H297">
        <f>_xludf.IMAGE("https://m.media-amazon.com/images/I/41qvr3KSrkL._AC_UL320_.jpg")</f>
        <v/>
      </c>
      <c r="I297" t="inlineStr">
        <is>
          <t>136.27</t>
        </is>
      </c>
      <c r="J297" t="n">
        <v>263.25</v>
      </c>
      <c r="K297" s="3" t="inlineStr">
        <is>
          <t>93.18%</t>
        </is>
      </c>
      <c r="L297" t="n">
        <v>4.4</v>
      </c>
      <c r="M297" t="n">
        <v>72</v>
      </c>
      <c r="O297" t="inlineStr">
        <is>
          <t>InStock</t>
        </is>
      </c>
      <c r="P297" t="inlineStr">
        <is>
          <t>465.88</t>
        </is>
      </c>
      <c r="Q297" t="inlineStr">
        <is>
          <t>4419205496932</t>
        </is>
      </c>
    </row>
    <row r="298">
      <c r="A298" s="2">
        <f>HYPERLINK("https://edmondsonsupply.com/collections/hvac/products/klein-tools-56403-rechargeable-personal-worklight", "https://edmondsonsupply.com/collections/hvac/products/klein-tools-56403-rechargeable-personal-worklight")</f>
        <v/>
      </c>
      <c r="B298" s="2">
        <f>HYPERLINK("https://edmondsonsupply.com/products/klein-tools-56403-rechargeable-personal-worklight", "https://edmondsonsupply.com/products/klein-tools-56403-rechargeable-personal-worklight")</f>
        <v/>
      </c>
      <c r="C298" t="inlineStr">
        <is>
          <t>Klein Tools 56403 Rechargeable Personal Worklight</t>
        </is>
      </c>
      <c r="D298" t="inlineStr">
        <is>
          <t>Klein Tools 56403 LED Light, Rechargeable Flashlight/Worklight &amp; PJSFM1 Battery Operated Rechargeable Fan with USB-C Charging Cord and Multiple Mounting Options Perfect for the Jobsite</t>
        </is>
      </c>
      <c r="E298" s="2">
        <f>HYPERLINK("https://www.amazon.com/Klein-Tools-Rechargeable-Flashlight-Worklight/dp/B0BC85LX49/ref=sr_1_2?keywords=Klein+Tools+56403+Rechargeable+Personal+Worklight&amp;qid=1695173672&amp;sr=8-2", "https://www.amazon.com/Klein-Tools-Rechargeable-Flashlight-Worklight/dp/B0BC85LX49/ref=sr_1_2?keywords=Klein+Tools+56403+Rechargeable+Personal+Worklight&amp;qid=1695173672&amp;sr=8-2")</f>
        <v/>
      </c>
      <c r="F298" t="inlineStr">
        <is>
          <t>B0BC85LX49</t>
        </is>
      </c>
      <c r="G298">
        <f>_xludf.IMAGE("https://edmondsonsupply.com/cdn/shop/products/56403.jpg?v=1587143308")</f>
        <v/>
      </c>
      <c r="H298">
        <f>_xludf.IMAGE("https://m.media-amazon.com/images/I/61HjyBviEWL._AC_UL320_.jpg")</f>
        <v/>
      </c>
      <c r="I298" t="inlineStr">
        <is>
          <t>49.97</t>
        </is>
      </c>
      <c r="J298" t="n">
        <v>96.47</v>
      </c>
      <c r="K298" s="3" t="inlineStr">
        <is>
          <t>93.06%</t>
        </is>
      </c>
      <c r="L298" t="n">
        <v>5</v>
      </c>
      <c r="M298" t="n">
        <v>1</v>
      </c>
      <c r="O298" t="inlineStr">
        <is>
          <t>InStock</t>
        </is>
      </c>
      <c r="P298" t="inlineStr">
        <is>
          <t>71.02</t>
        </is>
      </c>
      <c r="Q298" t="inlineStr">
        <is>
          <t>3618963947620</t>
        </is>
      </c>
    </row>
    <row r="299">
      <c r="A299" s="2">
        <f>HYPERLINK("https://edmondsonsupply.com/collections/hvac/products/icm-controls-icm401-3-phase-line-voltage-monitor", "https://edmondsonsupply.com/collections/hvac/products/icm-controls-icm401-3-phase-line-voltage-monitor")</f>
        <v/>
      </c>
      <c r="B299" s="2">
        <f>HYPERLINK("https://edmondsonsupply.com/products/icm-controls-icm401-3-phase-line-voltage-monitor", "https://edmondsonsupply.com/products/icm-controls-icm401-3-phase-line-voltage-monitor")</f>
        <v/>
      </c>
      <c r="C299" t="inlineStr">
        <is>
          <t>ICM Controls ICM401 3 Phase Line Voltage Monitor</t>
        </is>
      </c>
      <c r="D299" t="inlineStr">
        <is>
          <t>ICM Controls ICM402 Three-Phase Line Voltage Monitor Offering Protection Against Phase Loss/Reversal and Unbalance, 50/60 Hz, 190-600 VAC (115 or 208/240 Control VAC)</t>
        </is>
      </c>
      <c r="E299" s="2">
        <f>HYPERLINK("https://www.amazon.com/ICM-Controls-ICM402-Three-Phase-Protection/dp/B0018MLVUM/ref=sr_1_6?keywords=ICM+Controls+ICM401+3+Phase+Line+Voltage+Monitor&amp;qid=1695173605&amp;sr=8-6", "https://www.amazon.com/ICM-Controls-ICM402-Three-Phase-Protection/dp/B0018MLVUM/ref=sr_1_6?keywords=ICM+Controls+ICM401+3+Phase+Line+Voltage+Monitor&amp;qid=1695173605&amp;sr=8-6")</f>
        <v/>
      </c>
      <c r="F299" t="inlineStr">
        <is>
          <t>B0018MLVUM</t>
        </is>
      </c>
      <c r="G299">
        <f>_xludf.IMAGE("https://edmondsonsupply.com/cdn/shop/products/photo_3653_medium_52cb7f2c-e5f0-4da1-ac53-d344fb2403c9.png?v=1665087171")</f>
        <v/>
      </c>
      <c r="H299">
        <f>_xludf.IMAGE("https://m.media-amazon.com/images/I/61uSt801lEL._AC_UL320_.jpg")</f>
        <v/>
      </c>
      <c r="I299" t="inlineStr">
        <is>
          <t>34.79</t>
        </is>
      </c>
      <c r="J299" t="n">
        <v>67.16</v>
      </c>
      <c r="K299" s="3" t="inlineStr">
        <is>
          <t>93.04%</t>
        </is>
      </c>
      <c r="L299" t="n">
        <v>3.9</v>
      </c>
      <c r="M299" t="n">
        <v>7</v>
      </c>
      <c r="O299" t="inlineStr">
        <is>
          <t>InStock</t>
        </is>
      </c>
      <c r="P299" t="inlineStr">
        <is>
          <t>61.35</t>
        </is>
      </c>
      <c r="Q299" t="inlineStr">
        <is>
          <t>7842404532440</t>
        </is>
      </c>
    </row>
    <row r="300">
      <c r="A300" s="2">
        <f>HYPERLINK("https://edmondsonsupply.com/collections/hvac/products/packard-c140a-contactor-1-pole-40-amps-24-coil-voltage", "https://edmondsonsupply.com/collections/hvac/products/packard-c140a-contactor-1-pole-40-amps-24-coil-voltage")</f>
        <v/>
      </c>
      <c r="B300" s="2">
        <f>HYPERLINK("https://edmondsonsupply.com/products/packard-c140a-contactor-1-pole-40-amps-24-coil-voltage", "https://edmondsonsupply.com/products/packard-c140a-contactor-1-pole-40-amps-24-coil-voltage")</f>
        <v/>
      </c>
      <c r="C300" t="inlineStr">
        <is>
          <t>Packard C140A Contactor 1 Pole 40 AMPS 24 Coil Voltage</t>
        </is>
      </c>
      <c r="D300" t="inlineStr">
        <is>
          <t>Comfortmaker - 40 Amp 1 Pole 24v Coil Replacement Contactor C140A</t>
        </is>
      </c>
      <c r="E300" s="2">
        <f>HYPERLINK("https://www.amazon.com/Comfortmaker-Pole-Replacement-Contactor-C140A/dp/B00S8IYYVC/ref=sr_1_10?keywords=Packard+C140A+Contactor+1+Pole+40+AMPS+24+Coil+Voltage&amp;qid=1695173362&amp;sr=8-10", "https://www.amazon.com/Comfortmaker-Pole-Replacement-Contactor-C140A/dp/B00S8IYYVC/ref=sr_1_10?keywords=Packard+C140A+Contactor+1+Pole+40+AMPS+24+Coil+Voltage&amp;qid=1695173362&amp;sr=8-10")</f>
        <v/>
      </c>
      <c r="F300" t="inlineStr">
        <is>
          <t>B00S8IYYVC</t>
        </is>
      </c>
      <c r="G300">
        <f>_xludf.IMAGE("https://edmondsonsupply.com/cdn/shop/products/C140A-1.jpg?v=1587147314")</f>
        <v/>
      </c>
      <c r="H300">
        <f>_xludf.IMAGE("https://m.media-amazon.com/images/I/51q4ngffe+L._AC_UY218_.jpg")</f>
        <v/>
      </c>
      <c r="I300" t="inlineStr">
        <is>
          <t>9.98</t>
        </is>
      </c>
      <c r="J300" t="n">
        <v>19.26</v>
      </c>
      <c r="K300" s="3" t="inlineStr">
        <is>
          <t>92.99%</t>
        </is>
      </c>
      <c r="L300" t="n">
        <v>5</v>
      </c>
      <c r="M300" t="n">
        <v>1</v>
      </c>
      <c r="O300" t="inlineStr">
        <is>
          <t>InStock</t>
        </is>
      </c>
      <c r="P300" t="inlineStr">
        <is>
          <t>undefined</t>
        </is>
      </c>
      <c r="Q300" t="inlineStr">
        <is>
          <t>4359080607844</t>
        </is>
      </c>
    </row>
    <row r="301">
      <c r="A301" s="2">
        <f>HYPERLINK("https://edmondsonsupply.com/collections/hvac/products/ritchie-yellow-jacket-42001-series-41-manifold-only-r-22-404a-410a", "https://edmondsonsupply.com/collections/hvac/products/ritchie-yellow-jacket-42001-series-41-manifold-only-r-22-404a-410a")</f>
        <v/>
      </c>
      <c r="B301" s="2">
        <f>HYPERLINK("https://edmondsonsupply.com/products/ritchie-yellow-jacket-42001-series-41-manifold-only-r-22-404a-410a", "https://edmondsonsupply.com/products/ritchie-yellow-jacket-42001-series-41-manifold-only-r-22-404a-410a")</f>
        <v/>
      </c>
      <c r="C301" t="inlineStr">
        <is>
          <t>Yellow Jacket 42001 Series 41 Manifold Only, 3-1/8" Gauges - R-22 / 404A / 410A</t>
        </is>
      </c>
      <c r="D301" t="inlineStr">
        <is>
          <t>Yellow Jacket 42034 Series 41 Manifold with 3-1/8" Color-Coded Gauges, psi, R-22/404A/410A</t>
        </is>
      </c>
      <c r="E301" s="2">
        <f>HYPERLINK("https://www.amazon.com/Yellow-Jacket-42034-Manifold-Color-Coded/dp/B00C2GV02C/ref=sr_1_8?keywords=Yellow+Jacket+42001+Series+41+Manifold+Only%2C+3-1%2F8%22+Gauges+-+R-22+%2F+404A+%2F+410A&amp;qid=1695173491&amp;sr=8-8", "https://www.amazon.com/Yellow-Jacket-42034-Manifold-Color-Coded/dp/B00C2GV02C/ref=sr_1_8?keywords=Yellow+Jacket+42001+Series+41+Manifold+Only%2C+3-1%2F8%22+Gauges+-+R-22+%2F+404A+%2F+410A&amp;qid=1695173491&amp;sr=8-8")</f>
        <v/>
      </c>
      <c r="F301" t="inlineStr">
        <is>
          <t>B00C2GV02C</t>
        </is>
      </c>
      <c r="G301">
        <f>_xludf.IMAGE("https://edmondsonsupply.com/cdn/shop/products/series-41-manifolds-with-318-gauges.jpg?v=1633030025")</f>
        <v/>
      </c>
      <c r="H301">
        <f>_xludf.IMAGE("https://m.media-amazon.com/images/I/51UNs29UGSL._AC_UL320_.jpg")</f>
        <v/>
      </c>
      <c r="I301" t="inlineStr">
        <is>
          <t>97.77</t>
        </is>
      </c>
      <c r="J301" t="n">
        <v>188.45</v>
      </c>
      <c r="K301" s="3" t="inlineStr">
        <is>
          <t>92.75%</t>
        </is>
      </c>
      <c r="L301" t="n">
        <v>4.7</v>
      </c>
      <c r="M301" t="n">
        <v>3</v>
      </c>
      <c r="O301" t="inlineStr">
        <is>
          <t>InStock</t>
        </is>
      </c>
      <c r="P301" t="inlineStr">
        <is>
          <t>undefined</t>
        </is>
      </c>
      <c r="Q301" t="inlineStr">
        <is>
          <t>2129997922404</t>
        </is>
      </c>
    </row>
    <row r="302">
      <c r="A302" s="2">
        <f>HYPERLINK("https://edmondsonsupply.com/collections/hvac/products/klein-tools-11046-wire-stripper-cutter-16-26-awg-stranded", "https://edmondsonsupply.com/collections/hvac/products/klein-tools-11046-wire-stripper-cutter-16-26-awg-stranded")</f>
        <v/>
      </c>
      <c r="B302" s="2">
        <f>HYPERLINK("https://edmondsonsupply.com/products/klein-tools-11046-wire-stripper-cutter-16-26-awg-stranded", "https://edmondsonsupply.com/products/klein-tools-11046-wire-stripper-cutter-16-26-awg-stranded")</f>
        <v/>
      </c>
      <c r="C302" t="inlineStr">
        <is>
          <t>Klein Tools 11046 Wire Stripper/Cutter 16-26 AWG Stranded</t>
        </is>
      </c>
      <c r="D302" t="inlineStr">
        <is>
          <t>Klein Tools 11046 Wire Stripper/Cutter 16-26 AWG Stranded &amp; 11047 Wire Stripper/Cutter, Compact, Lightweight, Hardened Steel, Precision Ground, for Stranded and Solid Wires</t>
        </is>
      </c>
      <c r="E302" s="2">
        <f>HYPERLINK("https://www.amazon.com/Klein-Tools-Stripper-Lightweight-Precision/dp/B0BNL5MC4G/ref=sr_1_4?keywords=Klein+Tools+11046+Wire+Stripper%2FCutter+16-26+AWG+Stranded&amp;qid=1695173662&amp;sr=8-4", "https://www.amazon.com/Klein-Tools-Stripper-Lightweight-Precision/dp/B0BNL5MC4G/ref=sr_1_4?keywords=Klein+Tools+11046+Wire+Stripper%2FCutter+16-26+AWG+Stranded&amp;qid=1695173662&amp;sr=8-4")</f>
        <v/>
      </c>
      <c r="F302" t="inlineStr">
        <is>
          <t>B0BNL5MC4G</t>
        </is>
      </c>
      <c r="G302">
        <f>_xludf.IMAGE("https://edmondsonsupply.com/cdn/shop/products/11046.jpg?v=1587147965")</f>
        <v/>
      </c>
      <c r="H302">
        <f>_xludf.IMAGE("https://m.media-amazon.com/images/I/41uWm6Rw+pL._AC_UL320_.jpg")</f>
        <v/>
      </c>
      <c r="I302" t="inlineStr">
        <is>
          <t>15.97</t>
        </is>
      </c>
      <c r="J302" t="n">
        <v>30.75</v>
      </c>
      <c r="K302" s="3" t="inlineStr">
        <is>
          <t>92.55%</t>
        </is>
      </c>
      <c r="L302" t="n">
        <v>4.6</v>
      </c>
      <c r="M302" t="n">
        <v>7</v>
      </c>
      <c r="O302" t="inlineStr">
        <is>
          <t>InStock</t>
        </is>
      </c>
      <c r="P302" t="inlineStr">
        <is>
          <t>23.56</t>
        </is>
      </c>
      <c r="Q302" t="inlineStr">
        <is>
          <t>3688603910244</t>
        </is>
      </c>
    </row>
    <row r="303">
      <c r="A303" s="2">
        <f>HYPERLINK("https://edmondsonsupply.com/collections/hvac/products/klein-tools-60184-lightweight-gel-knee-pads", "https://edmondsonsupply.com/collections/hvac/products/klein-tools-60184-lightweight-gel-knee-pads")</f>
        <v/>
      </c>
      <c r="B303" s="2">
        <f>HYPERLINK("https://edmondsonsupply.com/products/klein-tools-60184-lightweight-gel-knee-pads", "https://edmondsonsupply.com/products/klein-tools-60184-lightweight-gel-knee-pads")</f>
        <v/>
      </c>
      <c r="C303" t="inlineStr">
        <is>
          <t>Klein Tools 60184 Lightweight Gel Knee Pads</t>
        </is>
      </c>
      <c r="D303" t="inlineStr">
        <is>
          <t>Klein Tools 60491 Hinged Knee Pads, Heavy Duty Gel Foam Protective Knee Pads with Quick-Fasten Buckle and Thigh Strap, Black</t>
        </is>
      </c>
      <c r="E303" s="2">
        <f>HYPERLINK("https://www.amazon.com/Klein-Tools-60491-Protective-Quick-Fasten/dp/B0BHXBMBHP/ref=sr_1_2?keywords=Klein+Tools+60184+Lightweight+Gel+Knee+Pads&amp;qid=1695173676&amp;sr=8-2", "https://www.amazon.com/Klein-Tools-60491-Protective-Quick-Fasten/dp/B0BHXBMBHP/ref=sr_1_2?keywords=Klein+Tools+60184+Lightweight+Gel+Knee+Pads&amp;qid=1695173676&amp;sr=8-2")</f>
        <v/>
      </c>
      <c r="F303" t="inlineStr">
        <is>
          <t>B0BHXBMBHP</t>
        </is>
      </c>
      <c r="G303">
        <f>_xludf.IMAGE("https://edmondsonsupply.com/cdn/shop/products/60184.jpg?v=1633030246")</f>
        <v/>
      </c>
      <c r="H303">
        <f>_xludf.IMAGE("https://m.media-amazon.com/images/I/718i4PDcjnL._AC_UL320_.jpg")</f>
        <v/>
      </c>
      <c r="I303" t="inlineStr">
        <is>
          <t>25.97</t>
        </is>
      </c>
      <c r="J303" t="n">
        <v>49.97</v>
      </c>
      <c r="K303" s="3" t="inlineStr">
        <is>
          <t>92.41%</t>
        </is>
      </c>
      <c r="L303" t="n">
        <v>4.4</v>
      </c>
      <c r="M303" t="n">
        <v>289</v>
      </c>
      <c r="O303" t="inlineStr">
        <is>
          <t>InStock</t>
        </is>
      </c>
      <c r="P303" t="inlineStr">
        <is>
          <t>36.04</t>
        </is>
      </c>
      <c r="Q303" t="inlineStr">
        <is>
          <t>4610179170404</t>
        </is>
      </c>
    </row>
    <row r="304">
      <c r="A304" s="2">
        <f>HYPERLINK("https://edmondsonsupply.com/collections/hvac/products/channellock-804", "https://edmondsonsupply.com/collections/hvac/products/channellock-804")</f>
        <v/>
      </c>
      <c r="B304" s="2">
        <f>HYPERLINK("https://edmondsonsupply.com/products/channellock-804", "https://edmondsonsupply.com/products/channellock-804")</f>
        <v/>
      </c>
      <c r="C304" t="inlineStr">
        <is>
          <t>Channellock 804 4-Inch Chrome Adjustable Wrench</t>
        </is>
      </c>
      <c r="D304" t="inlineStr">
        <is>
          <t>Channellock 808WCB 8-Inch Chrome Adjustable Wrench with Code Blue Grips</t>
        </is>
      </c>
      <c r="E304" s="2">
        <f>HYPERLINK("https://www.amazon.com/Channellock-808WCB-8-Inch-Chrome-Adjustable/dp/B00LFIEQ3S/ref=sr_1_9?keywords=Channellock+804+4-Inch+Chrome+Adjustable+Wrench&amp;qid=1695173641&amp;sr=8-9", "https://www.amazon.com/Channellock-808WCB-8-Inch-Chrome-Adjustable/dp/B00LFIEQ3S/ref=sr_1_9?keywords=Channellock+804+4-Inch+Chrome+Adjustable+Wrench&amp;qid=1695173641&amp;sr=8-9")</f>
        <v/>
      </c>
      <c r="F304" t="inlineStr">
        <is>
          <t>B00LFIEQ3S</t>
        </is>
      </c>
      <c r="G304">
        <f>_xludf.IMAGE("https://edmondsonsupply.com/cdn/shop/products/804-683x1024.jpg?v=1587145853")</f>
        <v/>
      </c>
      <c r="H304">
        <f>_xludf.IMAGE("https://m.media-amazon.com/images/I/717njKwq-cL._AC_UL320_.jpg")</f>
        <v/>
      </c>
      <c r="I304" t="inlineStr">
        <is>
          <t>16.95</t>
        </is>
      </c>
      <c r="J304" t="n">
        <v>32.45</v>
      </c>
      <c r="K304" s="3" t="inlineStr">
        <is>
          <t>91.45%</t>
        </is>
      </c>
      <c r="L304" t="n">
        <v>4.6</v>
      </c>
      <c r="M304" t="n">
        <v>89</v>
      </c>
      <c r="O304" t="inlineStr">
        <is>
          <t>InStock</t>
        </is>
      </c>
      <c r="P304" t="inlineStr">
        <is>
          <t>26.62</t>
        </is>
      </c>
      <c r="Q304" t="inlineStr">
        <is>
          <t>4094611488868</t>
        </is>
      </c>
    </row>
    <row r="305">
      <c r="A305" s="2">
        <f>HYPERLINK("https://edmondsonsupply.com/collections/hvac/products/refrigeration-technologies-rt175b-viper-big-blu-brush-on-micro-leak-detector", "https://edmondsonsupply.com/collections/hvac/products/refrigeration-technologies-rt175b-viper-big-blu-brush-on-micro-leak-detector")</f>
        <v/>
      </c>
      <c r="B305" s="2">
        <f>HYPERLINK("https://edmondsonsupply.com/products/refrigeration-technologies-rt175b-viper-big-blu-brush-on-micro-leak-detector", "https://edmondsonsupply.com/products/refrigeration-technologies-rt175b-viper-big-blu-brush-on-micro-leak-detector")</f>
        <v/>
      </c>
      <c r="C305" t="inlineStr">
        <is>
          <t>Refrigeration Technologies RT175B Viper Big Blu - Brush On Micro Leak Detector</t>
        </is>
      </c>
      <c r="D305" t="inlineStr">
        <is>
          <t>Refrigeration Technologies-RT100S Big Blu Micro Leak Detector 1 Qt</t>
        </is>
      </c>
      <c r="E305" s="2">
        <f>HYPERLINK("https://www.amazon.com/Refrigeration-Technologies-Temp-Reactant-RT100S/dp/B005IT8EI8/ref=sr_1_4?keywords=Refrigeration+Technologies+RT175B+Viper+Big+Blu+-+Brush+On+Micro+Leak+Detector&amp;qid=1695173358&amp;sr=8-4", "https://www.amazon.com/Refrigeration-Technologies-Temp-Reactant-RT100S/dp/B005IT8EI8/ref=sr_1_4?keywords=Refrigeration+Technologies+RT175B+Viper+Big+Blu+-+Brush+On+Micro+Leak+Detector&amp;qid=1695173358&amp;sr=8-4")</f>
        <v/>
      </c>
      <c r="F305" t="inlineStr">
        <is>
          <t>B005IT8EI8</t>
        </is>
      </c>
      <c r="G305">
        <f>_xludf.IMAGE("https://edmondsonsupply.com/cdn/shop/products/brush_on_blu_reflection-o17r8mukbu9smr8id6u6yq699brmo1twijfcclnbpc.jpg?v=1633030388")</f>
        <v/>
      </c>
      <c r="H305">
        <f>_xludf.IMAGE("https://m.media-amazon.com/images/I/51APEOSSOGL._AC_UY218_.jpg")</f>
        <v/>
      </c>
      <c r="I305" t="inlineStr">
        <is>
          <t>8.39</t>
        </is>
      </c>
      <c r="J305" t="n">
        <v>16.05</v>
      </c>
      <c r="K305" s="3" t="inlineStr">
        <is>
          <t>91.30%</t>
        </is>
      </c>
      <c r="L305" t="n">
        <v>4.7</v>
      </c>
      <c r="M305" t="n">
        <v>258</v>
      </c>
      <c r="O305" t="inlineStr">
        <is>
          <t>InStock</t>
        </is>
      </c>
      <c r="P305" t="inlineStr">
        <is>
          <t>9.22</t>
        </is>
      </c>
      <c r="Q305" t="inlineStr">
        <is>
          <t>5300024967336</t>
        </is>
      </c>
    </row>
    <row r="306">
      <c r="A306" s="2">
        <f>HYPERLINK("https://edmondsonsupply.com/collections/hvac/products/white-rodgers-24a34-2-24v-electric-heat-sequencer-spst", "https://edmondsonsupply.com/collections/hvac/products/white-rodgers-24a34-2-24v-electric-heat-sequencer-spst")</f>
        <v/>
      </c>
      <c r="B306" s="2">
        <f>HYPERLINK("https://edmondsonsupply.com/products/white-rodgers-24a34-2-24v-electric-heat-sequencer-spst", "https://edmondsonsupply.com/products/white-rodgers-24a34-2-24v-electric-heat-sequencer-spst")</f>
        <v/>
      </c>
      <c r="C306" t="inlineStr">
        <is>
          <t>White-Rodgers 24A34-2 24V Electric Heat Sequencer, SPST</t>
        </is>
      </c>
      <c r="D306" t="inlineStr">
        <is>
          <t>HVAC Parts Emerson White-Rodgers 24A34-4 24V Electric Heat Sequencer DPST</t>
        </is>
      </c>
      <c r="E306" s="2">
        <f>HYPERLINK("https://www.amazon.com/HVAC-Parts-White-Rodgers-Electric-Sequencer/dp/B09N9VYKL1/ref=sr_1_5?keywords=White-Rodgers+24A34-2+24V+Electric+Heat+Sequencer%2C+SPST&amp;qid=1695173537&amp;sr=8-5", "https://www.amazon.com/HVAC-Parts-White-Rodgers-Electric-Sequencer/dp/B09N9VYKL1/ref=sr_1_5?keywords=White-Rodgers+24A34-2+24V+Electric+Heat+Sequencer%2C+SPST&amp;qid=1695173537&amp;sr=8-5")</f>
        <v/>
      </c>
      <c r="F306" t="inlineStr">
        <is>
          <t>B09N9VYKL1</t>
        </is>
      </c>
      <c r="G306">
        <f>_xludf.IMAGE("https://edmondsonsupply.com/cdn/shop/products/24A34-2.jpg?v=1633030752")</f>
        <v/>
      </c>
      <c r="H306">
        <f>_xludf.IMAGE("https://m.media-amazon.com/images/I/71IXexQVGwL._AC_UY218_.jpg")</f>
        <v/>
      </c>
      <c r="I306" t="inlineStr">
        <is>
          <t>11.99</t>
        </is>
      </c>
      <c r="J306" t="n">
        <v>22.91</v>
      </c>
      <c r="K306" s="3" t="inlineStr">
        <is>
          <t>91.08%</t>
        </is>
      </c>
      <c r="L306" t="n">
        <v>5</v>
      </c>
      <c r="M306" t="n">
        <v>1</v>
      </c>
      <c r="O306" t="inlineStr">
        <is>
          <t>InStock</t>
        </is>
      </c>
      <c r="P306" t="inlineStr">
        <is>
          <t>26.43</t>
        </is>
      </c>
      <c r="Q306" t="inlineStr">
        <is>
          <t>5896366424232</t>
        </is>
      </c>
    </row>
    <row r="307">
      <c r="A307" s="2">
        <f>HYPERLINK("https://edmondsonsupply.com/collections/hvac/products/icm-controls-icm203-delay-on-break-timer-with-03-10-minute-adjustable-time-delay-universal-18-240-vac", "https://edmondsonsupply.com/collections/hvac/products/icm-controls-icm203-delay-on-break-timer-with-03-10-minute-adjustable-time-delay-universal-18-240-vac")</f>
        <v/>
      </c>
      <c r="B307" s="2">
        <f>HYPERLINK("https://edmondsonsupply.com/products/icm-controls-icm203-delay-on-break-timer-with-03-10-minute-adjustable-time-delay-universal-18-240-vac", "https://edmondsonsupply.com/products/icm-controls-icm203-delay-on-break-timer-with-03-10-minute-adjustable-time-delay-universal-18-240-vac")</f>
        <v/>
      </c>
      <c r="C307" t="inlineStr">
        <is>
          <t>ICM Controls ICM203 Delay on Break Timer with .03-10 Minute Adjustable Time Delay, Universal 18-240 VAC</t>
        </is>
      </c>
      <c r="D307" t="inlineStr">
        <is>
          <t>ICM Controls ICM203F Delay On Break Timer with 0.03-10 Minutes Adjustable Timing and 6 Lead Wires,Multicolor</t>
        </is>
      </c>
      <c r="E307" s="2">
        <f>HYPERLINK("https://www.amazon.com/ICM-Controls-ICM203F-0-03-10-Adjustable/dp/B00GIOYTJ0/ref=sr_1_2?keywords=ICM+Controls+ICM203+Delay+on+Break+Timer+with+.03-10+Minute+Adjustable+Time+Delay%2C+Universal+18-240+VAC&amp;qid=1695173465&amp;sr=8-2", "https://www.amazon.com/ICM-Controls-ICM203F-0-03-10-Adjustable/dp/B00GIOYTJ0/ref=sr_1_2?keywords=ICM+Controls+ICM203+Delay+on+Break+Timer+with+.03-10+Minute+Adjustable+Time+Delay%2C+Universal+18-240+VAC&amp;qid=1695173465&amp;sr=8-2")</f>
        <v/>
      </c>
      <c r="F307" t="inlineStr">
        <is>
          <t>B00GIOYTJ0</t>
        </is>
      </c>
      <c r="G307">
        <f>_xludf.IMAGE("https://edmondsonsupply.com/cdn/shop/products/icm203.jpg?v=1587148866")</f>
        <v/>
      </c>
      <c r="H307">
        <f>_xludf.IMAGE("https://m.media-amazon.com/images/I/71FyhlA+HhL._AC_UL320_.jpg")</f>
        <v/>
      </c>
      <c r="I307" t="inlineStr">
        <is>
          <t>15.7</t>
        </is>
      </c>
      <c r="J307" t="n">
        <v>29.99</v>
      </c>
      <c r="K307" s="3" t="inlineStr">
        <is>
          <t>91.02%</t>
        </is>
      </c>
      <c r="L307" t="n">
        <v>4.2</v>
      </c>
      <c r="M307" t="n">
        <v>51</v>
      </c>
      <c r="O307" t="inlineStr">
        <is>
          <t>InStock</t>
        </is>
      </c>
      <c r="P307" t="inlineStr">
        <is>
          <t>18.92</t>
        </is>
      </c>
      <c r="Q307" t="inlineStr">
        <is>
          <t>4169307979876</t>
        </is>
      </c>
    </row>
    <row r="308">
      <c r="A308" s="2">
        <f>HYPERLINK("https://edmondsonsupply.com/collections/hvac/products/wiha-tools-32088-8-piece-insulated-picofinish-precision-screwdriver-set", "https://edmondsonsupply.com/collections/hvac/products/wiha-tools-32088-8-piece-insulated-picofinish-precision-screwdriver-set")</f>
        <v/>
      </c>
      <c r="B308" s="2">
        <f>HYPERLINK("https://edmondsonsupply.com/products/wiha-tools-32088-8-piece-insulated-picofinish-precision-screwdriver-set", "https://edmondsonsupply.com/products/wiha-tools-32088-8-piece-insulated-picofinish-precision-screwdriver-set")</f>
        <v/>
      </c>
      <c r="C308" t="inlineStr">
        <is>
          <t>Wiha Tools 32088 8 Piece Insulated PicoFinish Precision Screwdriver Set</t>
        </is>
      </c>
      <c r="D308" t="inlineStr">
        <is>
          <t>Wiha PicoFinish® Electric Precision Screwdriver Set 7 Pieces Including Holder I Screwdriver for Electricians I VDE I Slotted Phillips (42989)</t>
        </is>
      </c>
      <c r="E308" s="2">
        <f>HYPERLINK("https://www.amazon.com/Wiha-PicoFinish%C2%AE-Screwdriver-Electricians-42989/dp/B07H6SB33W/ref=sr_1_10?keywords=Wiha+Tools+32088+8+Piece+Insulated+PicoFinish+Precision+Screwdriver+Set&amp;qid=1695173729&amp;sr=8-10", "https://www.amazon.com/Wiha-PicoFinish%C2%AE-Screwdriver-Electricians-42989/dp/B07H6SB33W/ref=sr_1_10?keywords=Wiha+Tools+32088+8+Piece+Insulated+PicoFinish+Precision+Screwdriver+Set&amp;qid=1695173729&amp;sr=8-10")</f>
        <v/>
      </c>
      <c r="F308" t="inlineStr">
        <is>
          <t>B07H6SB33W</t>
        </is>
      </c>
      <c r="G308">
        <f>_xludf.IMAGE("https://edmondsonsupply.com/cdn/shop/files/ah1u5hviqxts6itxix4k_1000x_5285634c-51ad-48c4-987e-f1113aaa9ab9.webp?v=1690905519")</f>
        <v/>
      </c>
      <c r="H308">
        <f>_xludf.IMAGE("https://m.media-amazon.com/images/I/61CoYBjxDhL._AC_UL320_.jpg")</f>
        <v/>
      </c>
      <c r="I308" t="inlineStr">
        <is>
          <t>64.55</t>
        </is>
      </c>
      <c r="J308" t="n">
        <v>123</v>
      </c>
      <c r="K308" s="3" t="inlineStr">
        <is>
          <t>90.55%</t>
        </is>
      </c>
      <c r="L308" t="n">
        <v>4.8</v>
      </c>
      <c r="M308" t="n">
        <v>51</v>
      </c>
      <c r="O308" t="inlineStr">
        <is>
          <t>InStock</t>
        </is>
      </c>
      <c r="P308" t="inlineStr">
        <is>
          <t>86.07</t>
        </is>
      </c>
      <c r="Q308" t="inlineStr">
        <is>
          <t>8023413326040</t>
        </is>
      </c>
    </row>
    <row r="309">
      <c r="A309" s="2">
        <f>HYPERLINK("https://edmondsonsupply.com/collections/hvac/products/supco-mag1bk-30-vac-magnetic-test-leads", "https://edmondsonsupply.com/collections/hvac/products/supco-mag1bk-30-vac-magnetic-test-leads")</f>
        <v/>
      </c>
      <c r="B309" s="2">
        <f>HYPERLINK("https://edmondsonsupply.com/products/supco-mag1bk-30-vac-magnetic-test-leads", "https://edmondsonsupply.com/products/supco-mag1bk-30-vac-magnetic-test-leads")</f>
        <v/>
      </c>
      <c r="C309" t="inlineStr">
        <is>
          <t>Supco MAG1BK 30 VAC Magnetic Test Leads</t>
        </is>
      </c>
      <c r="D309" t="inlineStr">
        <is>
          <t>6PCS Magnetic Test Leads Silicone Soft Flexible Jumper Test Wires 30V AC5A 3.3FT Magnetic Jumper Wires HVAC</t>
        </is>
      </c>
      <c r="E309" s="2">
        <f>HYPERLINK("https://www.amazon.com/Magnetic-Leads-Silicone-Flexible-Jumper/dp/B0BD8L1R6B/ref=sr_1_8?keywords=Supco+MAG1BK+30+VAC+Magnetic+Test+Leads&amp;qid=1695173502&amp;sr=8-8", "https://www.amazon.com/Magnetic-Leads-Silicone-Flexible-Jumper/dp/B0BD8L1R6B/ref=sr_1_8?keywords=Supco+MAG1BK+30+VAC+Magnetic+Test+Leads&amp;qid=1695173502&amp;sr=8-8")</f>
        <v/>
      </c>
      <c r="F309" t="inlineStr">
        <is>
          <t>B0BD8L1R6B</t>
        </is>
      </c>
      <c r="G309">
        <f>_xludf.IMAGE("https://edmondsonsupply.com/cdn/shop/products/mag1bk.png?v=1671744087")</f>
        <v/>
      </c>
      <c r="H309">
        <f>_xludf.IMAGE("https://m.media-amazon.com/images/I/71uL3Kl74aL._AC_UY218_.jpg")</f>
        <v/>
      </c>
      <c r="I309" t="inlineStr">
        <is>
          <t>9.99</t>
        </is>
      </c>
      <c r="J309" t="n">
        <v>18.99</v>
      </c>
      <c r="K309" s="3" t="inlineStr">
        <is>
          <t>90.09%</t>
        </is>
      </c>
      <c r="L309" t="n">
        <v>4.4</v>
      </c>
      <c r="M309" t="n">
        <v>150</v>
      </c>
      <c r="O309" t="inlineStr">
        <is>
          <t>InStock</t>
        </is>
      </c>
      <c r="P309" t="inlineStr">
        <is>
          <t>undefined</t>
        </is>
      </c>
      <c r="Q309" t="inlineStr">
        <is>
          <t>7910334660824</t>
        </is>
      </c>
    </row>
    <row r="310">
      <c r="A310" s="2">
        <f>HYPERLINK("https://edmondsonsupply.com/collections/hvac/products/supco-mag1bk-30-vac-magnetic-test-leads", "https://edmondsonsupply.com/collections/hvac/products/supco-mag1bk-30-vac-magnetic-test-leads")</f>
        <v/>
      </c>
      <c r="B310" s="2">
        <f>HYPERLINK("https://edmondsonsupply.com/products/supco-mag1bk-30-vac-magnetic-test-leads", "https://edmondsonsupply.com/products/supco-mag1bk-30-vac-magnetic-test-leads")</f>
        <v/>
      </c>
      <c r="C310" t="inlineStr">
        <is>
          <t>Supco MAG1BK 30 VAC Magnetic Test Leads</t>
        </is>
      </c>
      <c r="D310" t="inlineStr">
        <is>
          <t>6PCS Magnetic Test Leads Silicone Soft Flexible Jumper Test Wires 30V AC5A 3.3FT Magnetic Jumper Wires HVAC</t>
        </is>
      </c>
      <c r="F310" t="inlineStr">
        <is>
          <t>B0BD8L1R6B</t>
        </is>
      </c>
      <c r="G310">
        <f>_xludf.IMAGE("https://edmondsonsupply.com/cdn/shop/products/mag1bk.png?v=1671744087")</f>
        <v/>
      </c>
      <c r="H310">
        <f>_xludf.IMAGE("https://m.media-amazon.com/images/I/71uL3Kl74aL._AC_UY218_.jpg")</f>
        <v/>
      </c>
      <c r="I310" t="inlineStr">
        <is>
          <t>9.99</t>
        </is>
      </c>
      <c r="J310" t="n">
        <v>18.99</v>
      </c>
      <c r="K310" s="3" t="inlineStr">
        <is>
          <t>90.09%</t>
        </is>
      </c>
      <c r="L310" t="n">
        <v>4.4</v>
      </c>
      <c r="M310" t="n">
        <v>150</v>
      </c>
      <c r="O310" t="inlineStr">
        <is>
          <t>InStock</t>
        </is>
      </c>
      <c r="P310" t="inlineStr">
        <is>
          <t>undefined</t>
        </is>
      </c>
      <c r="Q310" t="inlineStr">
        <is>
          <t>7910334660824</t>
        </is>
      </c>
    </row>
    <row r="311">
      <c r="A311" s="2">
        <f>HYPERLINK("https://edmondsonsupply.com/collections/hvac/products/packard-prmj216-motor-start-capacitor-216-259-mfd-330-vac", "https://edmondsonsupply.com/collections/hvac/products/packard-prmj216-motor-start-capacitor-216-259-mfd-330-vac")</f>
        <v/>
      </c>
      <c r="B311" s="2">
        <f>HYPERLINK("https://edmondsonsupply.com/products/packard-prmj216-motor-start-capacitor-216-259-mfd-330-vac", "https://edmondsonsupply.com/products/packard-prmj216-motor-start-capacitor-216-259-mfd-330-vac")</f>
        <v/>
      </c>
      <c r="C311" t="inlineStr">
        <is>
          <t>Packard PRMJ216 Motor Start Capacitor 216-259 MFD 330 VAC</t>
        </is>
      </c>
      <c r="D311" t="inlineStr">
        <is>
          <t>CD60 330 VAC 216-259 uf/MFD Round Motor Start Capacitor Replacement Parts, Fit for Central Air-Conditioners, Condenser Fan Motors and Heat Pumps</t>
        </is>
      </c>
      <c r="E311" s="2">
        <f>HYPERLINK("https://www.amazon.com/216-259-Capacitor-Replacement-Air-Conditioners-Condenser/dp/B0C88MNBTZ/ref=sr_1_8?keywords=Packard+PRMJ216+Motor+Start+Capacitor+216-259+MFD+330+VAC&amp;qid=1695173694&amp;sr=8-8", "https://www.amazon.com/216-259-Capacitor-Replacement-Air-Conditioners-Condenser/dp/B0C88MNBTZ/ref=sr_1_8?keywords=Packard+PRMJ216+Motor+Start+Capacitor+216-259+MFD+330+VAC&amp;qid=1695173694&amp;sr=8-8")</f>
        <v/>
      </c>
      <c r="F311" t="inlineStr">
        <is>
          <t>B0C88MNBTZ</t>
        </is>
      </c>
      <c r="G311">
        <f>_xludf.IMAGE("https://edmondsonsupply.com/cdn/shop/products/PRMJ216-2.jpg?v=1633030106")</f>
        <v/>
      </c>
      <c r="H311">
        <f>_xludf.IMAGE("https://m.media-amazon.com/images/I/61AiWGFx1HL._AC_UY218_.jpg")</f>
        <v/>
      </c>
      <c r="I311" t="inlineStr">
        <is>
          <t>8.94</t>
        </is>
      </c>
      <c r="J311" t="n">
        <v>16.99</v>
      </c>
      <c r="K311" s="3" t="inlineStr">
        <is>
          <t>90.04%</t>
        </is>
      </c>
      <c r="L311" t="n">
        <v>5</v>
      </c>
      <c r="M311" t="n">
        <v>5</v>
      </c>
      <c r="O311" t="inlineStr">
        <is>
          <t>InStock</t>
        </is>
      </c>
      <c r="P311" t="inlineStr">
        <is>
          <t>undefined</t>
        </is>
      </c>
      <c r="Q311" t="inlineStr">
        <is>
          <t>3595512217700</t>
        </is>
      </c>
    </row>
    <row r="312">
      <c r="A312" s="2">
        <f>HYPERLINK("https://edmondsonsupply.com/collections/hvac/products/milwaukee-48-22-2859-demolition-driver", "https://edmondsonsupply.com/collections/hvac/products/milwaukee-48-22-2859-demolition-driver")</f>
        <v/>
      </c>
      <c r="B312" s="2">
        <f>HYPERLINK("https://edmondsonsupply.com/products/milwaukee-48-22-2859-demolition-driver", "https://edmondsonsupply.com/products/milwaukee-48-22-2859-demolition-driver")</f>
        <v/>
      </c>
      <c r="C312" t="inlineStr">
        <is>
          <t>Milwaukee 48-22-2859 Demolition Driver</t>
        </is>
      </c>
      <c r="D312" t="inlineStr">
        <is>
          <t>For Milwaukee 48-22-2702 Tough Durable Demolition Screwdriver Set - 2 PC Length 14.35 in Width 1.7 in. Height 4.35 in.</t>
        </is>
      </c>
      <c r="E312" s="2">
        <f>HYPERLINK("https://www.amazon.com/Milwaukee-48-22-2702-Durable-Demolition-Screwdriver/dp/B0BYJLXHMN/ref=sr_1_3?keywords=Milwaukee+48-22-2859+Demolition+Driver&amp;qid=1695173471&amp;sr=8-3", "https://www.amazon.com/Milwaukee-48-22-2702-Durable-Demolition-Screwdriver/dp/B0BYJLXHMN/ref=sr_1_3?keywords=Milwaukee+48-22-2859+Demolition+Driver&amp;qid=1695173471&amp;sr=8-3")</f>
        <v/>
      </c>
      <c r="F312" t="inlineStr">
        <is>
          <t>B0BYJLXHMN</t>
        </is>
      </c>
      <c r="G312">
        <f>_xludf.IMAGE("https://edmondsonsupply.com/cdn/shop/products/48-22-2859_1.webp?v=1661549628")</f>
        <v/>
      </c>
      <c r="H312">
        <f>_xludf.IMAGE("https://m.media-amazon.com/images/I/41k8Y4OVmHL._AC_UL320_.jpg")</f>
        <v/>
      </c>
      <c r="I312" t="inlineStr">
        <is>
          <t>17.97</t>
        </is>
      </c>
      <c r="J312" t="n">
        <v>33.99</v>
      </c>
      <c r="K312" s="3" t="inlineStr">
        <is>
          <t>89.15%</t>
        </is>
      </c>
      <c r="L312" t="n">
        <v>5</v>
      </c>
      <c r="M312" t="n">
        <v>1</v>
      </c>
      <c r="O312" t="inlineStr">
        <is>
          <t>InStock</t>
        </is>
      </c>
      <c r="P312" t="inlineStr">
        <is>
          <t>30.0</t>
        </is>
      </c>
      <c r="Q312" t="inlineStr">
        <is>
          <t>7794952831192</t>
        </is>
      </c>
    </row>
    <row r="313">
      <c r="A313" s="2">
        <f>HYPERLINK("https://edmondsonsupply.com/collections/hvac/products/midwest-mwt-6510c-left-right-offset-aviation-2-piece-set", "https://edmondsonsupply.com/collections/hvac/products/midwest-mwt-6510c-left-right-offset-aviation-2-piece-set")</f>
        <v/>
      </c>
      <c r="B313" s="2">
        <f>HYPERLINK("https://edmondsonsupply.com/products/midwest-mwt-6510c-left-right-offset-aviation-2-piece-set", "https://edmondsonsupply.com/products/midwest-mwt-6510c-left-right-offset-aviation-2-piece-set")</f>
        <v/>
      </c>
      <c r="C313" t="inlineStr">
        <is>
          <t>Midwest MWT-6510C Left &amp; Right Offset Aviation 2-Piece Set</t>
        </is>
      </c>
      <c r="D313" t="inlineStr">
        <is>
          <t>MIDWEST Aviation Snip - Left and Right Cut Offset Stainless Steel Cutting Shears with Forged Blade &amp; KUSH'N-POWER Comfort Grips - MWT-SS6510C</t>
        </is>
      </c>
      <c r="E313" s="2">
        <f>HYPERLINK("https://www.amazon.com/MIDWEST-Aviation-Snip-Set-KUSHN-POWER/dp/B07RC7ZBK9/ref=sr_1_5?keywords=Midwest+MWT-6510C+Left&amp;qid=1695173342&amp;sr=8-5", "https://www.amazon.com/MIDWEST-Aviation-Snip-Set-KUSHN-POWER/dp/B07RC7ZBK9/ref=sr_1_5?keywords=Midwest+MWT-6510C+Left&amp;qid=1695173342&amp;sr=8-5")</f>
        <v/>
      </c>
      <c r="F313" t="inlineStr">
        <is>
          <t>B07RC7ZBK9</t>
        </is>
      </c>
      <c r="G313">
        <f>_xludf.IMAGE("https://edmondsonsupply.com/cdn/shop/products/mwt-6510c.jpg?v=1587144863")</f>
        <v/>
      </c>
      <c r="H313">
        <f>_xludf.IMAGE("https://m.media-amazon.com/images/I/71438hbSyHL._AC_UL320_.jpg")</f>
        <v/>
      </c>
      <c r="I313" t="inlineStr">
        <is>
          <t>46.77</t>
        </is>
      </c>
      <c r="J313" t="n">
        <v>87.98999999999999</v>
      </c>
      <c r="K313" s="3" t="inlineStr">
        <is>
          <t>88.13%</t>
        </is>
      </c>
      <c r="L313" t="n">
        <v>4.4</v>
      </c>
      <c r="M313" t="n">
        <v>1137</v>
      </c>
      <c r="O313" t="inlineStr">
        <is>
          <t>InStock</t>
        </is>
      </c>
      <c r="P313" t="inlineStr">
        <is>
          <t>63.63</t>
        </is>
      </c>
      <c r="Q313" t="inlineStr">
        <is>
          <t>3688829616228</t>
        </is>
      </c>
    </row>
    <row r="314">
      <c r="A314" s="2">
        <f>HYPERLINK("https://edmondsonsupply.com/collections/hvac/products/klein-tools-et120-combustible-gas-leak-detector", "https://edmondsonsupply.com/collections/hvac/products/klein-tools-et120-combustible-gas-leak-detector")</f>
        <v/>
      </c>
      <c r="B314" s="2">
        <f>HYPERLINK("https://edmondsonsupply.com/products/klein-tools-et120-combustible-gas-leak-detector", "https://edmondsonsupply.com/products/klein-tools-et120-combustible-gas-leak-detector")</f>
        <v/>
      </c>
      <c r="C314" t="inlineStr">
        <is>
          <t>Klein Tools ET120 Combustible Gas Leak Detector</t>
        </is>
      </c>
      <c r="D314" t="inlineStr">
        <is>
          <t>General Tools 4-in-1 Pin/Pinless Combo Moisture Meter &amp; Audible Alarm &amp; Klein Tools ET120 Gas Leak Detector, Combustible Gas Leak Tester with 18-Inch Gooseneck Has Range 50</t>
        </is>
      </c>
      <c r="E314" s="2">
        <f>HYPERLINK("https://www.amazon.com/General-Tools-Moisture-Combustible-Gooseneck/dp/B0BC835B16/ref=sr_1_4?keywords=Klein+Tools+ET120+Combustible+Gas+Leak+Detector&amp;qid=1695173669&amp;sr=8-4", "https://www.amazon.com/General-Tools-Moisture-Combustible-Gooseneck/dp/B0BC835B16/ref=sr_1_4?keywords=Klein+Tools+ET120+Combustible+Gas+Leak+Detector&amp;qid=1695173669&amp;sr=8-4")</f>
        <v/>
      </c>
      <c r="F314" t="inlineStr">
        <is>
          <t>B0BC835B16</t>
        </is>
      </c>
      <c r="G314">
        <f>_xludf.IMAGE("https://edmondsonsupply.com/cdn/shop/products/et120.jpg?v=1587149243")</f>
        <v/>
      </c>
      <c r="H314">
        <f>_xludf.IMAGE("https://m.media-amazon.com/images/I/51lDY1wvkKL._AC_UL320_.jpg")</f>
        <v/>
      </c>
      <c r="I314" t="inlineStr">
        <is>
          <t>119.99</t>
        </is>
      </c>
      <c r="J314" t="n">
        <v>225.6</v>
      </c>
      <c r="K314" s="3" t="inlineStr">
        <is>
          <t>88.02%</t>
        </is>
      </c>
      <c r="L314" t="n">
        <v>4.3</v>
      </c>
      <c r="M314" t="n">
        <v>512</v>
      </c>
      <c r="O314" t="inlineStr">
        <is>
          <t>InStock</t>
        </is>
      </c>
      <c r="P314" t="inlineStr">
        <is>
          <t>179.32</t>
        </is>
      </c>
      <c r="Q314" t="inlineStr">
        <is>
          <t>1828453187684</t>
        </is>
      </c>
    </row>
    <row r="315">
      <c r="A315" s="2">
        <f>HYPERLINK("https://edmondsonsupply.com/collections/hvac/products/packard-titan-pro-trcd5-run-capacitor-40-5-mfd-370-volt-round", "https://edmondsonsupply.com/collections/hvac/products/packard-titan-pro-trcd5-run-capacitor-40-5-mfd-370-volt-round")</f>
        <v/>
      </c>
      <c r="B315" s="2">
        <f>HYPERLINK("https://edmondsonsupply.com/products/packard-titan-pro-trcd5-run-capacitor-40-5-mfd-370-volt-round", "https://edmondsonsupply.com/products/packard-titan-pro-trcd5-run-capacitor-40-5-mfd-370-volt-round")</f>
        <v/>
      </c>
      <c r="C315" t="inlineStr">
        <is>
          <t>Packard Titan PRO TRCD405 Run Capacitor 40+5 MFD 370 Volt Round</t>
        </is>
      </c>
      <c r="D315" t="inlineStr">
        <is>
          <t>TitanPro TRCFD405 HVAC Round Dual Motor Run Capacitor. 40/5 MFD/UF 440/370 Volts</t>
        </is>
      </c>
      <c r="E315" s="2">
        <f>HYPERLINK("https://www.amazon.com/TitanPro-TRCFD405-Round-Motor-Capacitor/dp/B01EZ6JWEE/ref=sr_1_7?keywords=Packard+Titan+PRO+TRCD405+Run+Capacitor+40%2B5+MFD+370+Volt+Round&amp;qid=1695173641&amp;sr=8-7", "https://www.amazon.com/TitanPro-TRCFD405-Round-Motor-Capacitor/dp/B01EZ6JWEE/ref=sr_1_7?keywords=Packard+Titan+PRO+TRCD405+Run+Capacitor+40%2B5+MFD+370+Volt+Round&amp;qid=1695173641&amp;sr=8-7")</f>
        <v/>
      </c>
      <c r="F315" t="inlineStr">
        <is>
          <t>B01EZ6JWEE</t>
        </is>
      </c>
      <c r="G315">
        <f>_xludf.IMAGE("https://edmondsonsupply.com/cdn/shop/products/TRCD405-2.jpg?v=1633030397")</f>
        <v/>
      </c>
      <c r="H315">
        <f>_xludf.IMAGE("https://m.media-amazon.com/images/I/51cHjuUfHWL._AC_UY218_.jpg")</f>
        <v/>
      </c>
      <c r="I315" t="inlineStr">
        <is>
          <t>9.04</t>
        </is>
      </c>
      <c r="J315" t="n">
        <v>16.99</v>
      </c>
      <c r="K315" s="3" t="inlineStr">
        <is>
          <t>87.94%</t>
        </is>
      </c>
      <c r="L315" t="n">
        <v>4.8</v>
      </c>
      <c r="M315" t="n">
        <v>7</v>
      </c>
      <c r="O315" t="inlineStr">
        <is>
          <t>InStock</t>
        </is>
      </c>
      <c r="P315" t="inlineStr">
        <is>
          <t>undefined</t>
        </is>
      </c>
      <c r="Q315" t="inlineStr">
        <is>
          <t>5302353002664</t>
        </is>
      </c>
    </row>
    <row r="316">
      <c r="A316" s="2">
        <f>HYPERLINK("https://edmondsonsupply.com/collections/hvac/products/klein-tools-65064-2-in-1-hex-head-screwdriver-1-4-5-16", "https://edmondsonsupply.com/collections/hvac/products/klein-tools-65064-2-in-1-hex-head-screwdriver-1-4-5-16")</f>
        <v/>
      </c>
      <c r="B316" s="2">
        <f>HYPERLINK("https://edmondsonsupply.com/products/klein-tools-65064-2-in-1-hex-head-screwdriver-1-4-5-16", "https://edmondsonsupply.com/products/klein-tools-65064-2-in-1-hex-head-screwdriver-1-4-5-16")</f>
        <v/>
      </c>
      <c r="C316" t="inlineStr">
        <is>
          <t>Klein Tools 65064 2-in-1 Nut Driver, Hex Head, 1/4-Inch and 5/16-Inch</t>
        </is>
      </c>
      <c r="D316" t="inlineStr">
        <is>
          <t>Klein Tools 32807MAG 7-in-1 Nut Driver, Magnetic Driver has SAE Hex Nut Sizes 1/4 to 9/16-Inch, Cushion Grip Handle for Added Torque</t>
        </is>
      </c>
      <c r="E316" s="2">
        <f>HYPERLINK("https://www.amazon.com/Driver-Magnetic-Klein-Tools-32807MAG/dp/B07D4M51DQ/ref=sr_1_9?keywords=Klein+Tools+65064+2-in-1+Nut+Driver%2C+Hex+Head%2C+1%2F4-Inch+and+5%2F16-Inch&amp;qid=1695173568&amp;sr=8-9", "https://www.amazon.com/Driver-Magnetic-Klein-Tools-32807MAG/dp/B07D4M51DQ/ref=sr_1_9?keywords=Klein+Tools+65064+2-in-1+Nut+Driver%2C+Hex+Head%2C+1%2F4-Inch+and+5%2F16-Inch&amp;qid=1695173568&amp;sr=8-9")</f>
        <v/>
      </c>
      <c r="F316" t="inlineStr">
        <is>
          <t>B07D4M51DQ</t>
        </is>
      </c>
      <c r="G316">
        <f>_xludf.IMAGE("https://edmondsonsupply.com/cdn/shop/products/65064.jpg?v=1587147719")</f>
        <v/>
      </c>
      <c r="H316">
        <f>_xludf.IMAGE("https://m.media-amazon.com/images/I/61gwAJBzDAL._AC_UL320_.jpg")</f>
        <v/>
      </c>
      <c r="I316" t="inlineStr">
        <is>
          <t>15.97</t>
        </is>
      </c>
      <c r="J316" t="n">
        <v>29.97</v>
      </c>
      <c r="K316" s="3" t="inlineStr">
        <is>
          <t>87.66%</t>
        </is>
      </c>
      <c r="L316" t="n">
        <v>4.7</v>
      </c>
      <c r="M316" t="n">
        <v>9161</v>
      </c>
      <c r="O316" t="inlineStr">
        <is>
          <t>InStock</t>
        </is>
      </c>
      <c r="P316" t="inlineStr">
        <is>
          <t>23.36</t>
        </is>
      </c>
      <c r="Q316" t="inlineStr">
        <is>
          <t>1707342889060</t>
        </is>
      </c>
    </row>
    <row r="317">
      <c r="A317" s="2">
        <f>HYPERLINK("https://edmondsonsupply.com/collections/hvac/products/klein-tools-69445-rare-earth-magnetic-hanger-no-strap", "https://edmondsonsupply.com/collections/hvac/products/klein-tools-69445-rare-earth-magnetic-hanger-no-strap")</f>
        <v/>
      </c>
      <c r="B317" s="2">
        <f>HYPERLINK("https://edmondsonsupply.com/products/klein-tools-69445-rare-earth-magnetic-hanger-no-strap", "https://edmondsonsupply.com/products/klein-tools-69445-rare-earth-magnetic-hanger-no-strap")</f>
        <v/>
      </c>
      <c r="C317" t="inlineStr">
        <is>
          <t>Klein Tools 69445 Rare Earth Magnetic Hanger, no Strap</t>
        </is>
      </c>
      <c r="D317" t="inlineStr">
        <is>
          <t>Klein Tools 69417 Rare-Earth Magnetic Hanger, with Strap &amp; 69401 Multimeter Carrying Case</t>
        </is>
      </c>
      <c r="E317" s="2">
        <f>HYPERLINK("https://www.amazon.com/Klein-Tools-Rare-Earth-Magnetic-Multimeter/dp/B0BGJ66GX4/ref=sr_1_3?keywords=Klein+Tools+69445+Rare+Earth+Magnetic+Hanger%2C+no+Strap&amp;qid=1695173527&amp;sr=8-3", "https://www.amazon.com/Klein-Tools-Rare-Earth-Magnetic-Multimeter/dp/B0BGJ66GX4/ref=sr_1_3?keywords=Klein+Tools+69445+Rare+Earth+Magnetic+Hanger%2C+no+Strap&amp;qid=1695173527&amp;sr=8-3")</f>
        <v/>
      </c>
      <c r="F317" t="inlineStr">
        <is>
          <t>B0BGJ66GX4</t>
        </is>
      </c>
      <c r="G317">
        <f>_xludf.IMAGE("https://edmondsonsupply.com/cdn/shop/products/69445.jpg?v=1633030859")</f>
        <v/>
      </c>
      <c r="H317">
        <f>_xludf.IMAGE("https://m.media-amazon.com/images/I/51Em03gaEVL._AC_UL320_.jpg")</f>
        <v/>
      </c>
      <c r="I317" t="inlineStr">
        <is>
          <t>15.99</t>
        </is>
      </c>
      <c r="J317" t="n">
        <v>29.99</v>
      </c>
      <c r="K317" s="3" t="inlineStr">
        <is>
          <t>87.55%</t>
        </is>
      </c>
      <c r="L317" t="n">
        <v>5</v>
      </c>
      <c r="M317" t="n">
        <v>2</v>
      </c>
      <c r="O317" t="inlineStr">
        <is>
          <t>InStock</t>
        </is>
      </c>
      <c r="P317" t="inlineStr">
        <is>
          <t>22.84</t>
        </is>
      </c>
      <c r="Q317" t="inlineStr">
        <is>
          <t>6112025280685</t>
        </is>
      </c>
    </row>
    <row r="318">
      <c r="A318" s="2">
        <f>HYPERLINK("https://edmondsonsupply.com/collections/hvac/products/klein-tools-j12098-8-journeyman-high-leverage-universal-combination-pliers", "https://edmondsonsupply.com/collections/hvac/products/klein-tools-j12098-8-journeyman-high-leverage-universal-combination-pliers")</f>
        <v/>
      </c>
      <c r="B318" s="2">
        <f>HYPERLINK("https://edmondsonsupply.com/products/klein-tools-j12098-8-journeyman-high-leverage-universal-combination-pliers", "https://edmondsonsupply.com/products/klein-tools-j12098-8-journeyman-high-leverage-universal-combination-pliers")</f>
        <v/>
      </c>
      <c r="C318" t="inlineStr">
        <is>
          <t>Klein Tools J12098 Journeyman Universal Combination Pliers</t>
        </is>
      </c>
      <c r="D318" t="inlineStr">
        <is>
          <t>Klein Tools 12098-INS Insulated Universal Combination Pliers, Side Cutters with Crimper, 8-Inch</t>
        </is>
      </c>
      <c r="E318" s="2">
        <f>HYPERLINK("https://www.amazon.com/Insulated-Combination-Klein-Tools-12098-INS/dp/B0002RI4V8/ref=sr_1_4?keywords=Klein+Tools+J12098+Journeyman+Universal+Combination+Pliers&amp;qid=1695173610&amp;sr=8-4", "https://www.amazon.com/Insulated-Combination-Klein-Tools-12098-INS/dp/B0002RI4V8/ref=sr_1_4?keywords=Klein+Tools+J12098+Journeyman+Universal+Combination+Pliers&amp;qid=1695173610&amp;sr=8-4")</f>
        <v/>
      </c>
      <c r="F318" t="inlineStr">
        <is>
          <t>B0002RI4V8</t>
        </is>
      </c>
      <c r="G318">
        <f>_xludf.IMAGE("https://edmondsonsupply.com/cdn/shop/products/j12098.jpg?v=1587142847")</f>
        <v/>
      </c>
      <c r="H318">
        <f>_xludf.IMAGE("https://m.media-amazon.com/images/I/51I3JjFrgcL._AC_UL320_.jpg")</f>
        <v/>
      </c>
      <c r="I318" t="inlineStr">
        <is>
          <t>34.99</t>
        </is>
      </c>
      <c r="J318" t="n">
        <v>64.98999999999999</v>
      </c>
      <c r="K318" s="3" t="inlineStr">
        <is>
          <t>85.74%</t>
        </is>
      </c>
      <c r="L318" t="n">
        <v>5</v>
      </c>
      <c r="M318" t="n">
        <v>10</v>
      </c>
      <c r="O318" t="inlineStr">
        <is>
          <t>InStock</t>
        </is>
      </c>
      <c r="P318" t="inlineStr">
        <is>
          <t>50.4</t>
        </is>
      </c>
      <c r="Q318" t="inlineStr">
        <is>
          <t>1989504860260</t>
        </is>
      </c>
    </row>
    <row r="319">
      <c r="A319" s="2">
        <f>HYPERLINK("https://edmondsonsupply.com/collections/hvac/products/robertshaw-41-414-hot-surface-furnace-ignitor-carbide", "https://edmondsonsupply.com/collections/hvac/products/robertshaw-41-414-hot-surface-furnace-ignitor-carbide")</f>
        <v/>
      </c>
      <c r="B319" s="2">
        <f>HYPERLINK("https://edmondsonsupply.com/products/robertshaw-41-414-hot-surface-furnace-ignitor-carbide", "https://edmondsonsupply.com/products/robertshaw-41-414-hot-surface-furnace-ignitor-carbide")</f>
        <v/>
      </c>
      <c r="C319" t="inlineStr">
        <is>
          <t>Robertshaw 41-414 Hot Surface Furnace Ignitor (Carbide)</t>
        </is>
      </c>
      <c r="D319" t="inlineStr">
        <is>
          <t>OEM Upgraded Replacement for Robertshaw Furnace Hot Surface Ignitor / Igniter 41-409</t>
        </is>
      </c>
      <c r="E319" s="2">
        <f>HYPERLINK("https://www.amazon.com/Upgraded-Replacement-Robertshaw-Furnace-Surface/dp/B00EE86RC4/ref=sr_1_4?keywords=Robertshaw+41-414+Hot+Surface+Furnace+Ignitor+%28Carbide%29&amp;qid=1695173723&amp;sr=8-4", "https://www.amazon.com/Upgraded-Replacement-Robertshaw-Furnace-Surface/dp/B00EE86RC4/ref=sr_1_4?keywords=Robertshaw+41-414+Hot+Surface+Furnace+Ignitor+%28Carbide%29&amp;qid=1695173723&amp;sr=8-4")</f>
        <v/>
      </c>
      <c r="F319" t="inlineStr">
        <is>
          <t>B00EE86RC4</t>
        </is>
      </c>
      <c r="G319">
        <f>_xludf.IMAGE("https://edmondsonsupply.com/cdn/shop/files/41-414.jpg?v=1691509200")</f>
        <v/>
      </c>
      <c r="H319">
        <f>_xludf.IMAGE("https://m.media-amazon.com/images/I/51zXvmm6rzL._AC_UL320_.jpg")</f>
        <v/>
      </c>
      <c r="I319" t="inlineStr">
        <is>
          <t>18.08</t>
        </is>
      </c>
      <c r="J319" t="n">
        <v>33.38</v>
      </c>
      <c r="K319" s="3" t="inlineStr">
        <is>
          <t>84.62%</t>
        </is>
      </c>
      <c r="L319" t="n">
        <v>5</v>
      </c>
      <c r="M319" t="n">
        <v>2</v>
      </c>
      <c r="O319" t="inlineStr">
        <is>
          <t>InStock</t>
        </is>
      </c>
      <c r="P319" t="inlineStr">
        <is>
          <t>undefined</t>
        </is>
      </c>
      <c r="Q319" t="inlineStr">
        <is>
          <t>8025482821848</t>
        </is>
      </c>
    </row>
    <row r="320">
      <c r="A320" s="2">
        <f>HYPERLINK("https://edmondsonsupply.com/collections/hvac/products/klein-tools-65064-2-in-1-hex-head-screwdriver-1-4-5-16", "https://edmondsonsupply.com/collections/hvac/products/klein-tools-65064-2-in-1-hex-head-screwdriver-1-4-5-16")</f>
        <v/>
      </c>
      <c r="B320" s="2">
        <f>HYPERLINK("https://edmondsonsupply.com/products/klein-tools-65064-2-in-1-hex-head-screwdriver-1-4-5-16", "https://edmondsonsupply.com/products/klein-tools-65064-2-in-1-hex-head-screwdriver-1-4-5-16")</f>
        <v/>
      </c>
      <c r="C320" t="inlineStr">
        <is>
          <t>Klein Tools 65064 2-in-1 Nut Driver, Hex Head, 1/4-Inch and 5/16-Inch</t>
        </is>
      </c>
      <c r="D320" t="inlineStr">
        <is>
          <t>Melnor 65173AMZ RelaxGrip 8 Pattern 16" Pivoting Wand Bundle, Metal, Black, Yellow &amp; Klein Tools 65064 Hex Head 2-in-1 Nut Driver, 1/4-Inch and 5/16-Inch</t>
        </is>
      </c>
      <c r="E320" s="2">
        <f>HYPERLINK("https://www.amazon.com/Melnor-65173AMZ-RelaxGrip-Pattern-Pivoting/dp/B0C6QZGPMM/ref=sr_1_2?keywords=Klein+Tools+65064+2-in-1+Nut+Driver%2C+Hex+Head%2C+1%2F4-Inch+and+5%2F16-Inch&amp;qid=1695173568&amp;sr=8-2", "https://www.amazon.com/Melnor-65173AMZ-RelaxGrip-Pattern-Pivoting/dp/B0C6QZGPMM/ref=sr_1_2?keywords=Klein+Tools+65064+2-in-1+Nut+Driver%2C+Hex+Head%2C+1%2F4-Inch+and+5%2F16-Inch&amp;qid=1695173568&amp;sr=8-2")</f>
        <v/>
      </c>
      <c r="F320" t="inlineStr">
        <is>
          <t>B0C6QZGPMM</t>
        </is>
      </c>
      <c r="G320">
        <f>_xludf.IMAGE("https://edmondsonsupply.com/cdn/shop/products/65064.jpg?v=1587147719")</f>
        <v/>
      </c>
      <c r="H320">
        <f>_xludf.IMAGE("https://m.media-amazon.com/images/I/41ISu9RCylL._AC_UL320_.jpg")</f>
        <v/>
      </c>
      <c r="I320" t="inlineStr">
        <is>
          <t>15.97</t>
        </is>
      </c>
      <c r="J320" t="n">
        <v>29.3</v>
      </c>
      <c r="K320" s="3" t="inlineStr">
        <is>
          <t>83.47%</t>
        </is>
      </c>
      <c r="L320" t="n">
        <v>4.4</v>
      </c>
      <c r="M320" t="n">
        <v>324</v>
      </c>
      <c r="O320" t="inlineStr">
        <is>
          <t>InStock</t>
        </is>
      </c>
      <c r="P320" t="inlineStr">
        <is>
          <t>23.36</t>
        </is>
      </c>
      <c r="Q320" t="inlineStr">
        <is>
          <t>1707342889060</t>
        </is>
      </c>
    </row>
    <row r="321">
      <c r="A321" s="2">
        <f>HYPERLINK("https://edmondsonsupply.com/collections/hvac/products/midwest-mwt-ss6510l-special-hardness-offset-aviation-snip-left-cutting", "https://edmondsonsupply.com/collections/hvac/products/midwest-mwt-ss6510l-special-hardness-offset-aviation-snip-left-cutting")</f>
        <v/>
      </c>
      <c r="B321" s="2">
        <f>HYPERLINK("https://edmondsonsupply.com/products/midwest-mwt-ss6510l-special-hardness-offset-aviation-snip-left-cutting", "https://edmondsonsupply.com/products/midwest-mwt-ss6510l-special-hardness-offset-aviation-snip-left-cutting")</f>
        <v/>
      </c>
      <c r="C321" t="inlineStr">
        <is>
          <t>Midwest MWT-SS6510L Special Hardness Offset Aviation Snip - Left-Cutting</t>
        </is>
      </c>
      <c r="D321" t="inlineStr">
        <is>
          <t>MIDWEST Blackout Series Aviation Snip - Left Cut Offset Tin Cutting Shears with Forged Blade &amp; KUSH'N-POWER Comfort Grips - MWT-6510LO</t>
        </is>
      </c>
      <c r="E321" s="2">
        <f>HYPERLINK("https://www.amazon.com/MIDWEST-Blackout-Aviation-Snip-KUSHN-POWER/dp/B00TJQL91U/ref=sr_1_4?keywords=Midwest+MWT-SS6510L+Special+Hardness+Offset+Aviation+Snip+-+Left-Cutting&amp;qid=1695173337&amp;sr=8-4", "https://www.amazon.com/MIDWEST-Blackout-Aviation-Snip-KUSHN-POWER/dp/B00TJQL91U/ref=sr_1_4?keywords=Midwest+MWT-SS6510L+Special+Hardness+Offset+Aviation+Snip+-+Left-Cutting&amp;qid=1695173337&amp;sr=8-4")</f>
        <v/>
      </c>
      <c r="F321" t="inlineStr">
        <is>
          <t>B00TJQL91U</t>
        </is>
      </c>
      <c r="G321">
        <f>_xludf.IMAGE("https://edmondsonsupply.com/cdn/shop/products/MWT-SS6510L.png?v=1587150385")</f>
        <v/>
      </c>
      <c r="H321">
        <f>_xludf.IMAGE("https://m.media-amazon.com/images/I/51OW3TahYsL._AC_UL320_.jpg")</f>
        <v/>
      </c>
      <c r="I321" t="inlineStr">
        <is>
          <t>32.15</t>
        </is>
      </c>
      <c r="J321" t="n">
        <v>58.88</v>
      </c>
      <c r="K321" s="3" t="inlineStr">
        <is>
          <t>83.14%</t>
        </is>
      </c>
      <c r="L321" t="n">
        <v>4.7</v>
      </c>
      <c r="M321" t="n">
        <v>1400</v>
      </c>
      <c r="O321" t="inlineStr">
        <is>
          <t>OutOfStock</t>
        </is>
      </c>
      <c r="P321" t="inlineStr">
        <is>
          <t>47.17</t>
        </is>
      </c>
      <c r="Q321" t="inlineStr">
        <is>
          <t>4421073272932</t>
        </is>
      </c>
    </row>
    <row r="322">
      <c r="A322" s="2">
        <f>HYPERLINK("https://edmondsonsupply.com/collections/hvac/products/icm-controls-icm492-single-phase-line-voltage-monitor", "https://edmondsonsupply.com/collections/hvac/products/icm-controls-icm492-single-phase-line-voltage-monitor")</f>
        <v/>
      </c>
      <c r="B322" s="2">
        <f>HYPERLINK("https://edmondsonsupply.com/products/icm-controls-icm492-single-phase-line-voltage-monitor", "https://edmondsonsupply.com/products/icm-controls-icm492-single-phase-line-voltage-monitor")</f>
        <v/>
      </c>
      <c r="C322" t="inlineStr">
        <is>
          <t>ICM Controls ICM492 Single Phase Line Voltage Monitor</t>
        </is>
      </c>
      <c r="D322" t="inlineStr">
        <is>
          <t>ICM Controls ICM409 Three-Phase Line Voltage Monitor Offering Protection Against Phase Loss/Reversal, Unbalance and High/Low Voltage, 50/60 Hz, 190-480 VAC, Din Rail Mount</t>
        </is>
      </c>
      <c r="E322" s="2">
        <f>HYPERLINK("https://www.amazon.com/ICM-Controls-Three-Phase-Protection-Unbalance/dp/B00DGB4PQU/ref=sr_1_6?keywords=ICM+Controls+ICM492+Single+Phase+Line+Voltage+Monitor&amp;qid=1695173362&amp;sr=8-6", "https://www.amazon.com/ICM-Controls-Three-Phase-Protection-Unbalance/dp/B00DGB4PQU/ref=sr_1_6?keywords=ICM+Controls+ICM492+Single+Phase+Line+Voltage+Monitor&amp;qid=1695173362&amp;sr=8-6")</f>
        <v/>
      </c>
      <c r="F322" t="inlineStr">
        <is>
          <t>B00DGB4PQU</t>
        </is>
      </c>
      <c r="G322">
        <f>_xludf.IMAGE("https://edmondsonsupply.com/cdn/shop/products/photo_3666_medium_19efda5b-a59a-4ff4-8872-2cd0c4aa35aa.png?v=1665085673")</f>
        <v/>
      </c>
      <c r="H322">
        <f>_xludf.IMAGE("https://m.media-amazon.com/images/I/61og6zGDF+L._AC_UL320_.jpg")</f>
        <v/>
      </c>
      <c r="I322" t="inlineStr">
        <is>
          <t>89.99</t>
        </is>
      </c>
      <c r="J322" t="n">
        <v>164.38</v>
      </c>
      <c r="K322" s="3" t="inlineStr">
        <is>
          <t>82.66%</t>
        </is>
      </c>
      <c r="L322" t="n">
        <v>5</v>
      </c>
      <c r="M322" t="n">
        <v>2</v>
      </c>
      <c r="O322" t="inlineStr">
        <is>
          <t>InStock</t>
        </is>
      </c>
      <c r="P322" t="inlineStr">
        <is>
          <t>94.5</t>
        </is>
      </c>
      <c r="Q322" t="inlineStr">
        <is>
          <t>7842397257944</t>
        </is>
      </c>
    </row>
    <row r="323">
      <c r="A323" s="2">
        <f>HYPERLINK("https://edmondsonsupply.com/collections/hvac/products/packard-c140a-contactor-1-pole-40-amps-24-coil-voltage", "https://edmondsonsupply.com/collections/hvac/products/packard-c140a-contactor-1-pole-40-amps-24-coil-voltage")</f>
        <v/>
      </c>
      <c r="B323" s="2">
        <f>HYPERLINK("https://edmondsonsupply.com/products/packard-c140a-contactor-1-pole-40-amps-24-coil-voltage", "https://edmondsonsupply.com/products/packard-c140a-contactor-1-pole-40-amps-24-coil-voltage")</f>
        <v/>
      </c>
      <c r="C323" t="inlineStr">
        <is>
          <t>Packard C140A Contactor 1 Pole 40 AMPS 24 Coil Voltage</t>
        </is>
      </c>
      <c r="D323" t="inlineStr">
        <is>
          <t>Lennox - 40 Amp 1 Pole 24v Coil Replacement Contactor C140A</t>
        </is>
      </c>
      <c r="E323" s="2">
        <f>HYPERLINK("https://www.amazon.com/Lennox-Packard-Replacement-Contactor-C140A/dp/B00S8IYPCK/ref=sr_1_5?keywords=Packard+C140A+Contactor+1+Pole+40+AMPS+24+Coil+Voltage&amp;qid=1695173362&amp;sr=8-5", "https://www.amazon.com/Lennox-Packard-Replacement-Contactor-C140A/dp/B00S8IYPCK/ref=sr_1_5?keywords=Packard+C140A+Contactor+1+Pole+40+AMPS+24+Coil+Voltage&amp;qid=1695173362&amp;sr=8-5")</f>
        <v/>
      </c>
      <c r="F323" t="inlineStr">
        <is>
          <t>B00S8IYPCK</t>
        </is>
      </c>
      <c r="G323">
        <f>_xludf.IMAGE("https://edmondsonsupply.com/cdn/shop/products/C140A-1.jpg?v=1587147314")</f>
        <v/>
      </c>
      <c r="H323">
        <f>_xludf.IMAGE("https://m.media-amazon.com/images/I/51q4ngffe+L._AC_UY218_.jpg")</f>
        <v/>
      </c>
      <c r="I323" t="inlineStr">
        <is>
          <t>9.98</t>
        </is>
      </c>
      <c r="J323" t="n">
        <v>18.14</v>
      </c>
      <c r="K323" s="3" t="inlineStr">
        <is>
          <t>81.76%</t>
        </is>
      </c>
      <c r="L323" t="n">
        <v>4.5</v>
      </c>
      <c r="M323" t="n">
        <v>12</v>
      </c>
      <c r="O323" t="inlineStr">
        <is>
          <t>InStock</t>
        </is>
      </c>
      <c r="P323" t="inlineStr">
        <is>
          <t>undefined</t>
        </is>
      </c>
      <c r="Q323" t="inlineStr">
        <is>
          <t>4359080607844</t>
        </is>
      </c>
    </row>
    <row r="324">
      <c r="A324" s="2">
        <f>HYPERLINK("https://edmondsonsupply.com/collections/hvac/products/packard-c140a-contactor-1-pole-40-amps-24-coil-voltage", "https://edmondsonsupply.com/collections/hvac/products/packard-c140a-contactor-1-pole-40-amps-24-coil-voltage")</f>
        <v/>
      </c>
      <c r="B324" s="2">
        <f>HYPERLINK("https://edmondsonsupply.com/products/packard-c140a-contactor-1-pole-40-amps-24-coil-voltage", "https://edmondsonsupply.com/products/packard-c140a-contactor-1-pole-40-amps-24-coil-voltage")</f>
        <v/>
      </c>
      <c r="C324" t="inlineStr">
        <is>
          <t>Packard C140A Contactor 1 Pole 40 AMPS 24 Coil Voltage</t>
        </is>
      </c>
      <c r="D324" t="inlineStr">
        <is>
          <t>Goodman - 40 Amp 1 Pole 24v Coil Replacement Contactor C140A</t>
        </is>
      </c>
      <c r="E324" s="2">
        <f>HYPERLINK("https://www.amazon.com/Goodman-Packard-Replacement-Contactor-C140A/dp/B00S8IZAR4/ref=sr_1_2?keywords=Packard+C140A+Contactor+1+Pole+40+AMPS+24+Coil+Voltage&amp;qid=1695173362&amp;sr=8-2", "https://www.amazon.com/Goodman-Packard-Replacement-Contactor-C140A/dp/B00S8IZAR4/ref=sr_1_2?keywords=Packard+C140A+Contactor+1+Pole+40+AMPS+24+Coil+Voltage&amp;qid=1695173362&amp;sr=8-2")</f>
        <v/>
      </c>
      <c r="F324" t="inlineStr">
        <is>
          <t>B00S8IZAR4</t>
        </is>
      </c>
      <c r="G324">
        <f>_xludf.IMAGE("https://edmondsonsupply.com/cdn/shop/products/C140A-1.jpg?v=1587147314")</f>
        <v/>
      </c>
      <c r="H324">
        <f>_xludf.IMAGE("https://m.media-amazon.com/images/I/51q4ngffe+L._AC_UY218_.jpg")</f>
        <v/>
      </c>
      <c r="I324" t="inlineStr">
        <is>
          <t>9.98</t>
        </is>
      </c>
      <c r="J324" t="n">
        <v>18.1</v>
      </c>
      <c r="K324" s="3" t="inlineStr">
        <is>
          <t>81.36%</t>
        </is>
      </c>
      <c r="L324" t="n">
        <v>4</v>
      </c>
      <c r="M324" t="n">
        <v>14</v>
      </c>
      <c r="O324" t="inlineStr">
        <is>
          <t>InStock</t>
        </is>
      </c>
      <c r="P324" t="inlineStr">
        <is>
          <t>undefined</t>
        </is>
      </c>
      <c r="Q324" t="inlineStr">
        <is>
          <t>4359080607844</t>
        </is>
      </c>
    </row>
    <row r="325">
      <c r="A325" s="2">
        <f>HYPERLINK("https://edmondsonsupply.com/collections/hvac/products/malco-tools-mshlc1-2-5-8-c-rhex-cleanable-reversible-magnetic-hex-driver-5-16-3-8", "https://edmondsonsupply.com/collections/hvac/products/malco-tools-mshlc1-2-5-8-c-rhex-cleanable-reversible-magnetic-hex-driver-5-16-3-8")</f>
        <v/>
      </c>
      <c r="B325" s="2">
        <f>HYPERLINK("https://edmondsonsupply.com/products/malco-tools-mshlc1-2-5-8-c-rhex-cleanable-reversible-magnetic-hex-driver-5-16-3-8", "https://edmondsonsupply.com/products/malco-tools-mshlc1-2-5-8-c-rhex-cleanable-reversible-magnetic-hex-driver-5-16-3-8")</f>
        <v/>
      </c>
      <c r="C325" t="inlineStr">
        <is>
          <t>Malco Tools MSHLC1 2-5/8" C-Rhex Cleanable, Reversible Magnetic Hex Driver, 5/16" &amp; 3/8"</t>
        </is>
      </c>
      <c r="D325" t="inlineStr">
        <is>
          <t>Malco 5/16" and 3/8" C-RHEX Cleanable Reversible Magnetic Hex Driver (2" Length)</t>
        </is>
      </c>
      <c r="E325" s="2">
        <f>HYPERLINK("https://www.amazon.com/C-RHEX-Cleanable-Reversible-Magnetic-Driver/dp/B09RPKFRDN/ref=sr_1_9?keywords=Malco+Tools+MSHLC1+2-5%2F8%22+C-Rhex+Cleanable%2C+Reversible+Magnetic+Hex+Driver%2C+5%2F16%22+%26+3%2F8%22&amp;qid=1695173553&amp;sr=8-9", "https://www.amazon.com/C-RHEX-Cleanable-Reversible-Magnetic-Driver/dp/B09RPKFRDN/ref=sr_1_9?keywords=Malco+Tools+MSHLC1+2-5%2F8%22+C-Rhex+Cleanable%2C+Reversible+Magnetic+Hex+Driver%2C+5%2F16%22+%26+3%2F8%22&amp;qid=1695173553&amp;sr=8-9")</f>
        <v/>
      </c>
      <c r="F325" t="inlineStr">
        <is>
          <t>B09RPKFRDN</t>
        </is>
      </c>
      <c r="G325">
        <f>_xludf.IMAGE("https://edmondsonsupply.com/cdn/shop/products/Malco-MSHLC1-516-38-1.jpg?v=1647198201")</f>
        <v/>
      </c>
      <c r="H325">
        <f>_xludf.IMAGE("https://m.media-amazon.com/images/I/31qo9UYAsJL._AC_UL320_.jpg")</f>
        <v/>
      </c>
      <c r="I325" t="inlineStr">
        <is>
          <t>8.99</t>
        </is>
      </c>
      <c r="J325" t="n">
        <v>16.25</v>
      </c>
      <c r="K325" s="3" t="inlineStr">
        <is>
          <t>80.76%</t>
        </is>
      </c>
      <c r="L325" t="n">
        <v>5</v>
      </c>
      <c r="M325" t="n">
        <v>1</v>
      </c>
      <c r="O325" t="inlineStr">
        <is>
          <t>InStock</t>
        </is>
      </c>
      <c r="P325" t="inlineStr">
        <is>
          <t>9.92</t>
        </is>
      </c>
      <c r="Q325" t="inlineStr">
        <is>
          <t>4504454037604</t>
        </is>
      </c>
    </row>
    <row r="326">
      <c r="A326" s="2">
        <f>HYPERLINK("https://edmondsonsupply.com/collections/hvac/products/icm-controls-icm280-lf-icm-furnace-board-goodman-oem-replacement-board", "https://edmondsonsupply.com/collections/hvac/products/icm-controls-icm280-lf-icm-furnace-board-goodman-oem-replacement-board")</f>
        <v/>
      </c>
      <c r="B326" s="2">
        <f>HYPERLINK("https://edmondsonsupply.com/products/icm-controls-icm280-lf-icm-furnace-board-goodman-oem-replacement-board", "https://edmondsonsupply.com/products/icm-controls-icm280-lf-icm-furnace-board-goodman-oem-replacement-board")</f>
        <v/>
      </c>
      <c r="C326" t="inlineStr">
        <is>
          <t>ICM Controls ICM280 Furnace Board; Goodman OEM Replacement Board</t>
        </is>
      </c>
      <c r="D326" t="inlineStr">
        <is>
          <t>ICM Controls ICM2807 Furnace Control Board OEM Replacement Carrier for 325879-751 and HK42FZ017</t>
        </is>
      </c>
      <c r="E326" s="2">
        <f>HYPERLINK("https://www.amazon.com/ICM-Controls-ICM2807-Replacement-325879-751/dp/B00QW2MQ5C/ref=sr_1_10?keywords=ICM+Controls+ICM280+Furnace+Board&amp;qid=1695173597&amp;sr=8-10", "https://www.amazon.com/ICM-Controls-ICM2807-Replacement-325879-751/dp/B00QW2MQ5C/ref=sr_1_10?keywords=ICM+Controls+ICM280+Furnace+Board&amp;qid=1695173597&amp;sr=8-10")</f>
        <v/>
      </c>
      <c r="F326" t="inlineStr">
        <is>
          <t>B00QW2MQ5C</t>
        </is>
      </c>
      <c r="G326">
        <f>_xludf.IMAGE("https://edmondsonsupply.com/cdn/shop/products/ICM280.png?v=1664296085")</f>
        <v/>
      </c>
      <c r="H326">
        <f>_xludf.IMAGE("https://m.media-amazon.com/images/I/91LElyDgdnL._AC_UL320_.jpg")</f>
        <v/>
      </c>
      <c r="I326" t="inlineStr">
        <is>
          <t>91.29</t>
        </is>
      </c>
      <c r="J326" t="n">
        <v>164.5</v>
      </c>
      <c r="K326" s="3" t="inlineStr">
        <is>
          <t>80.19%</t>
        </is>
      </c>
      <c r="L326" t="n">
        <v>4.4</v>
      </c>
      <c r="M326" t="n">
        <v>32</v>
      </c>
      <c r="O326" t="inlineStr">
        <is>
          <t>InStock</t>
        </is>
      </c>
      <c r="P326" t="inlineStr">
        <is>
          <t>130.14</t>
        </is>
      </c>
      <c r="Q326" t="inlineStr">
        <is>
          <t>7830935273688</t>
        </is>
      </c>
    </row>
    <row r="327">
      <c r="A327" s="2">
        <f>HYPERLINK("https://edmondsonsupply.com/collections/hvac/products/klein-tools-70550-pro-folding-hex-key-set-11-fractional-inch-sized-keys", "https://edmondsonsupply.com/collections/hvac/products/klein-tools-70550-pro-folding-hex-key-set-11-fractional-inch-sized-keys")</f>
        <v/>
      </c>
      <c r="B327" s="2">
        <f>HYPERLINK("https://edmondsonsupply.com/products/klein-tools-70550-pro-folding-hex-key-set-11-fractional-inch-sized-keys", "https://edmondsonsupply.com/products/klein-tools-70550-pro-folding-hex-key-set-11-fractional-inch-sized-keys")</f>
        <v/>
      </c>
      <c r="C327" t="inlineStr">
        <is>
          <t>Klein Tools 70550 Pro Folding Hex Key Set, 11-Key, SAE Sizes</t>
        </is>
      </c>
      <c r="D327" t="inlineStr">
        <is>
          <t>Klein Tools 65200 Ratchet Set, 5-Piece Mini Ratchet Set with Phillips, Slotted, and Adapter &amp; 70550 Hex Wrench Key Set, 11 SAE Sizes, Heavy Duty Folding Allen Wrench Tool</t>
        </is>
      </c>
      <c r="E327" s="2">
        <f>HYPERLINK("https://www.amazon.com/Klein-Tools-Ratchet-5-Piece-Phillips/dp/B0CF2CH27G/ref=sr_1_2?keywords=Klein+Tools+70550+Pro+Folding+Hex+Key+Set%2C+11-Key%2C+SAE+Sizes&amp;qid=1695173667&amp;sr=8-2", "https://www.amazon.com/Klein-Tools-Ratchet-5-Piece-Phillips/dp/B0CF2CH27G/ref=sr_1_2?keywords=Klein+Tools+70550+Pro+Folding+Hex+Key+Set%2C+11-Key%2C+SAE+Sizes&amp;qid=1695173667&amp;sr=8-2")</f>
        <v/>
      </c>
      <c r="F327" t="inlineStr">
        <is>
          <t>B0CF2CH27G</t>
        </is>
      </c>
      <c r="G327">
        <f>_xludf.IMAGE("https://edmondsonsupply.com/cdn/shop/products/70550.jpg?v=1587145237")</f>
        <v/>
      </c>
      <c r="H327">
        <f>_xludf.IMAGE("https://m.media-amazon.com/images/I/51I-40ka6EL._AC_UL320_.jpg")</f>
        <v/>
      </c>
      <c r="I327" t="inlineStr">
        <is>
          <t>19.97</t>
        </is>
      </c>
      <c r="J327" t="n">
        <v>35.93</v>
      </c>
      <c r="K327" s="3" t="inlineStr">
        <is>
          <t>79.92%</t>
        </is>
      </c>
      <c r="L327" t="n">
        <v>4.7</v>
      </c>
      <c r="M327" t="n">
        <v>3970</v>
      </c>
      <c r="O327" t="inlineStr">
        <is>
          <t>InStock</t>
        </is>
      </c>
      <c r="P327" t="inlineStr">
        <is>
          <t>27.18</t>
        </is>
      </c>
      <c r="Q327" t="inlineStr">
        <is>
          <t>3693538082916</t>
        </is>
      </c>
    </row>
    <row r="328">
      <c r="A328" s="2">
        <f>HYPERLINK("https://edmondsonsupply.com/collections/hvac/products/refrigeration-technologies-rt375a-viper-aerosol-foaming-coil-cleaner", "https://edmondsonsupply.com/collections/hvac/products/refrigeration-technologies-rt375a-viper-aerosol-foaming-coil-cleaner")</f>
        <v/>
      </c>
      <c r="B328" s="2">
        <f>HYPERLINK("https://edmondsonsupply.com/products/refrigeration-technologies-rt375a-viper-aerosol-foaming-coil-cleaner", "https://edmondsonsupply.com/products/refrigeration-technologies-rt375a-viper-aerosol-foaming-coil-cleaner")</f>
        <v/>
      </c>
      <c r="C328" t="inlineStr">
        <is>
          <t>Refrigeration Technologies RT375A Viper Aerosol Foaming Coil Cleaner</t>
        </is>
      </c>
      <c r="D328" t="inlineStr">
        <is>
          <t>Refrigeration Technologies RT375A Viper Food Grade AEROSOL Coil</t>
        </is>
      </c>
      <c r="E328" s="2">
        <f>HYPERLINK("https://www.amazon.com/Refrigeration-Technologies-RT375A-VIPER-AEROSOL/dp/B008HOSR9W/ref=sr_1_2?keywords=Refrigeration+Technologies+RT375A+Viper+Aerosol+Foaming+Coil+Cleaner&amp;qid=1695173329&amp;sr=8-2", "https://www.amazon.com/Refrigeration-Technologies-RT375A-VIPER-AEROSOL/dp/B008HOSR9W/ref=sr_1_2?keywords=Refrigeration+Technologies+RT375A+Viper+Aerosol+Foaming+Coil+Cleaner&amp;qid=1695173329&amp;sr=8-2")</f>
        <v/>
      </c>
      <c r="F328" t="inlineStr">
        <is>
          <t>B008HOSR9W</t>
        </is>
      </c>
      <c r="G328">
        <f>_xludf.IMAGE("https://edmondsonsupply.com/cdn/shop/products/Viper_Aerosol_Reflection-o17r8mukbuad3cksp9inhu09n67txxt340x6dk69z4.jpg?v=1633030253")</f>
        <v/>
      </c>
      <c r="H328">
        <f>_xludf.IMAGE("https://m.media-amazon.com/images/I/712DMzfJnWL._AC_UY218_.jpg")</f>
        <v/>
      </c>
      <c r="I328" t="inlineStr">
        <is>
          <t>9.79</t>
        </is>
      </c>
      <c r="J328" t="n">
        <v>17.59</v>
      </c>
      <c r="K328" s="3" t="inlineStr">
        <is>
          <t>79.67%</t>
        </is>
      </c>
      <c r="L328" t="n">
        <v>4.4</v>
      </c>
      <c r="M328" t="n">
        <v>117</v>
      </c>
      <c r="O328" t="inlineStr">
        <is>
          <t>InStock</t>
        </is>
      </c>
      <c r="P328" t="inlineStr">
        <is>
          <t>10.81</t>
        </is>
      </c>
      <c r="Q328" t="inlineStr">
        <is>
          <t>4628294926436</t>
        </is>
      </c>
    </row>
    <row r="329">
      <c r="A329" s="2">
        <f>HYPERLINK("https://edmondsonsupply.com/collections/hvac/products/packard-trcfd455-titan-pro-run-capacitor-45-5-mfd-440-370-volt-round", "https://edmondsonsupply.com/collections/hvac/products/packard-trcfd455-titan-pro-run-capacitor-45-5-mfd-440-370-volt-round")</f>
        <v/>
      </c>
      <c r="B329" s="2">
        <f>HYPERLINK("https://edmondsonsupply.com/products/packard-trcfd455-titan-pro-run-capacitor-45-5-mfd-440-370-volt-round", "https://edmondsonsupply.com/products/packard-trcfd455-titan-pro-run-capacitor-45-5-mfd-440-370-volt-round")</f>
        <v/>
      </c>
      <c r="C329" t="inlineStr">
        <is>
          <t>Packard TRCFD455 Titan PRO Run Capacitor 45+5 MFD 440/370 Volt Round</t>
        </is>
      </c>
      <c r="D329" t="inlineStr">
        <is>
          <t>Titan TRCFD455 Dual Rated Motor Run Capacitor Round MFD 40+5 Volts 440/370</t>
        </is>
      </c>
      <c r="E329" s="2">
        <f>HYPERLINK("https://www.amazon.com/Titan-TRCFD455-Rated-Motor-Capacitor/dp/B01IC31EW4/ref=sr_1_2?keywords=Packard+TRCFD455+Titan+PRO+Run+Capacitor+45+5+MFD+440%2F370+Volt+Round&amp;qid=1695173400&amp;sr=8-2", "https://www.amazon.com/Titan-TRCFD455-Rated-Motor-Capacitor/dp/B01IC31EW4/ref=sr_1_2?keywords=Packard+TRCFD455+Titan+PRO+Run+Capacitor+45+5+MFD+440%2F370+Volt+Round&amp;qid=1695173400&amp;sr=8-2")</f>
        <v/>
      </c>
      <c r="F329" t="inlineStr">
        <is>
          <t>B01IC31EW4</t>
        </is>
      </c>
      <c r="G329">
        <f>_xludf.IMAGE("https://edmondsonsupply.com/cdn/shop/products/TRCFD455-2.jpg?v=1587147298")</f>
        <v/>
      </c>
      <c r="H329">
        <f>_xludf.IMAGE("https://m.media-amazon.com/images/I/41PR+nyKvsL._AC_UY218_.jpg")</f>
        <v/>
      </c>
      <c r="I329" t="inlineStr">
        <is>
          <t>8.99</t>
        </is>
      </c>
      <c r="J329" t="n">
        <v>16.13</v>
      </c>
      <c r="K329" s="3" t="inlineStr">
        <is>
          <t>79.42%</t>
        </is>
      </c>
      <c r="L329" t="n">
        <v>4.2</v>
      </c>
      <c r="M329" t="n">
        <v>39</v>
      </c>
      <c r="O329" t="inlineStr">
        <is>
          <t>OutOfStock</t>
        </is>
      </c>
      <c r="P329" t="inlineStr">
        <is>
          <t>undefined</t>
        </is>
      </c>
      <c r="Q329" t="inlineStr">
        <is>
          <t>4309334556772</t>
        </is>
      </c>
    </row>
    <row r="330">
      <c r="A330" s="2">
        <f>HYPERLINK("https://edmondsonsupply.com/collections/hvac/products/fieldpiece-anc4-medium-single-meter-case", "https://edmondsonsupply.com/collections/hvac/products/fieldpiece-anc4-medium-single-meter-case")</f>
        <v/>
      </c>
      <c r="B330" s="2">
        <f>HYPERLINK("https://edmondsonsupply.com/products/fieldpiece-anc4-medium-single-meter-case", "https://edmondsonsupply.com/products/fieldpiece-anc4-medium-single-meter-case")</f>
        <v/>
      </c>
      <c r="C330" t="inlineStr">
        <is>
          <t>Fieldpiece ANC4 - Medium Single Meter Case</t>
        </is>
      </c>
      <c r="D330" t="inlineStr">
        <is>
          <t>Fieldpiece ANC4 Medium Single Meter Case</t>
        </is>
      </c>
      <c r="E330" s="2">
        <f>HYPERLINK("https://www.amazon.com/Fieldpiece-ANC4-Medium-Single-Meter/dp/B000TJX68U/ref=sr_1_1?keywords=Fieldpiece+ANC4+-+Medium+Single+Meter+Case&amp;qid=1695173627&amp;sr=8-1", "https://www.amazon.com/Fieldpiece-ANC4-Medium-Single-Meter/dp/B000TJX68U/ref=sr_1_1?keywords=Fieldpiece+ANC4+-+Medium+Single+Meter+Case&amp;qid=1695173627&amp;sr=8-1")</f>
        <v/>
      </c>
      <c r="F330" t="inlineStr">
        <is>
          <t>B000TJX68U</t>
        </is>
      </c>
      <c r="G330">
        <f>_xludf.IMAGE("https://edmondsonsupply.com/cdn/shop/products/ANC4-SRC-product-300dpi.jpg?v=1633030970")</f>
        <v/>
      </c>
      <c r="H330">
        <f>_xludf.IMAGE("https://m.media-amazon.com/images/I/41zQTaZ+QEL._AC_UL320_.jpg")</f>
        <v/>
      </c>
      <c r="I330" t="inlineStr">
        <is>
          <t>10.2</t>
        </is>
      </c>
      <c r="J330" t="n">
        <v>18.29</v>
      </c>
      <c r="K330" s="3" t="inlineStr">
        <is>
          <t>79.31%</t>
        </is>
      </c>
      <c r="L330" t="n">
        <v>4.4</v>
      </c>
      <c r="M330" t="n">
        <v>45</v>
      </c>
      <c r="O330" t="inlineStr">
        <is>
          <t>InStock</t>
        </is>
      </c>
      <c r="P330" t="inlineStr">
        <is>
          <t>12.0</t>
        </is>
      </c>
      <c r="Q330" t="inlineStr">
        <is>
          <t>6633591832749</t>
        </is>
      </c>
    </row>
    <row r="331">
      <c r="A331" s="2">
        <f>HYPERLINK("https://edmondsonsupply.com/collections/hvac/products/klein-tools-32304-14-in-1-hvac-adjustable-length-impact-screwdriver-with-flip-socket", "https://edmondsonsupply.com/collections/hvac/products/klein-tools-32304-14-in-1-hvac-adjustable-length-impact-screwdriver-with-flip-socket")</f>
        <v/>
      </c>
      <c r="B331" s="2">
        <f>HYPERLINK("https://edmondsonsupply.com/products/klein-tools-32304-14-in-1-hvac-adjustable-length-impact-screwdriver-with-flip-socket", "https://edmondsonsupply.com/products/klein-tools-32304-14-in-1-hvac-adjustable-length-impact-screwdriver-with-flip-socket")</f>
        <v/>
      </c>
      <c r="C331" t="inlineStr">
        <is>
          <t>Klein Tools 32304 14-in-1 HVAC Adjustable-Length Impact Screwdriver with Flip Socket</t>
        </is>
      </c>
      <c r="D331" t="inlineStr">
        <is>
          <t>Impact Driver, 7-in-1 Impact Flip Socket Set &amp; 14-in-1 Adjustable Screwdriver with Flip Socket, HVAC Nut Drivers and Bits, Impact Rated Klein Tools 32304</t>
        </is>
      </c>
      <c r="E331" s="2">
        <f>HYPERLINK("https://www.amazon.com/Adjustable-Screwdriver-Drivers-Klein-Tools/dp/B09Y84RPSB/ref=sr_1_4?keywords=Klein+Tools+32304+14-in-1+HVAC+Adjustable-Length+Impact+Screwdriver+with+Flip+Socket&amp;qid=1695173459&amp;sr=8-4", "https://www.amazon.com/Adjustable-Screwdriver-Drivers-Klein-Tools/dp/B09Y84RPSB/ref=sr_1_4?keywords=Klein+Tools+32304+14-in-1+HVAC+Adjustable-Length+Impact+Screwdriver+with+Flip+Socket&amp;qid=1695173459&amp;sr=8-4")</f>
        <v/>
      </c>
      <c r="F331" t="inlineStr">
        <is>
          <t>B09Y84RPSB</t>
        </is>
      </c>
      <c r="G331">
        <f>_xludf.IMAGE("https://edmondsonsupply.com/cdn/shop/products/32304.jpg?v=1666019479")</f>
        <v/>
      </c>
      <c r="H331">
        <f>_xludf.IMAGE("https://m.media-amazon.com/images/I/41KTNungRUL._AC_UL320_.jpg")</f>
        <v/>
      </c>
      <c r="I331" t="inlineStr">
        <is>
          <t>24.97</t>
        </is>
      </c>
      <c r="J331" t="n">
        <v>44.76</v>
      </c>
      <c r="K331" s="3" t="inlineStr">
        <is>
          <t>79.26%</t>
        </is>
      </c>
      <c r="L331" t="n">
        <v>4.8</v>
      </c>
      <c r="M331" t="n">
        <v>88</v>
      </c>
      <c r="O331" t="inlineStr">
        <is>
          <t>InStock</t>
        </is>
      </c>
      <c r="P331" t="inlineStr">
        <is>
          <t>34.98</t>
        </is>
      </c>
      <c r="Q331" t="inlineStr">
        <is>
          <t>7856604578008</t>
        </is>
      </c>
    </row>
    <row r="332">
      <c r="A332" s="2">
        <f>HYPERLINK("https://edmondsonsupply.com/collections/hvac/products/diversitech-cp-22-condensate-pump-22ft-lift-120v", "https://edmondsonsupply.com/collections/hvac/products/diversitech-cp-22-condensate-pump-22ft-lift-120v")</f>
        <v/>
      </c>
      <c r="B332" s="2">
        <f>HYPERLINK("https://edmondsonsupply.com/products/diversitech-cp-22-condensate-pump-22ft-lift-120v", "https://edmondsonsupply.com/products/diversitech-cp-22-condensate-pump-22ft-lift-120v")</f>
        <v/>
      </c>
      <c r="C332" t="inlineStr">
        <is>
          <t>DiversiTech Asurity™ CP-22 Condensate Pump, 22ft. Lift, 120V</t>
        </is>
      </c>
      <c r="D332" t="inlineStr">
        <is>
          <t>DiversiTech CP-22T Condensate Pump, 22' Lift, with 20' of 3/8" CVT, 120V</t>
        </is>
      </c>
      <c r="E332" s="2">
        <f>HYPERLINK("https://www.amazon.com/DiversiTech-CP-22T-Condensate-Pump-Lift/dp/B008FM1PVI/ref=sr_1_3?keywords=DiversiTech+Asurity%E2%84%A2+CP-22+Condensate+Pump%2C+22ft.+Lift%2C+120V&amp;qid=1695173452&amp;sr=8-3", "https://www.amazon.com/DiversiTech-CP-22T-Condensate-Pump-Lift/dp/B008FM1PVI/ref=sr_1_3?keywords=DiversiTech+Asurity%E2%84%A2+CP-22+Condensate+Pump%2C+22ft.+Lift%2C+120V&amp;qid=1695173452&amp;sr=8-3")</f>
        <v/>
      </c>
      <c r="F332" t="inlineStr">
        <is>
          <t>B008FM1PVI</t>
        </is>
      </c>
      <c r="G332">
        <f>_xludf.IMAGE("https://edmondsonsupply.com/cdn/shop/products/60d0d7fbd5566503101164.jpg?v=1633030352")</f>
        <v/>
      </c>
      <c r="H332">
        <f>_xludf.IMAGE("https://m.media-amazon.com/images/I/41xuB3fIDsL._AC_UL320_.jpg")</f>
        <v/>
      </c>
      <c r="I332" t="inlineStr">
        <is>
          <t>54.54</t>
        </is>
      </c>
      <c r="J332" t="n">
        <v>97.56999999999999</v>
      </c>
      <c r="K332" s="3" t="inlineStr">
        <is>
          <t>78.90%</t>
        </is>
      </c>
      <c r="L332" t="n">
        <v>4.6</v>
      </c>
      <c r="M332" t="n">
        <v>49</v>
      </c>
      <c r="O332" t="inlineStr">
        <is>
          <t>InStock</t>
        </is>
      </c>
      <c r="P332" t="inlineStr">
        <is>
          <t>145.32</t>
        </is>
      </c>
      <c r="Q332" t="inlineStr">
        <is>
          <t>5284840374440</t>
        </is>
      </c>
    </row>
    <row r="333">
      <c r="A333" s="2">
        <f>HYPERLINK("https://edmondsonsupply.com/collections/hvac/products/white-rodgers-24a34-2-24v-electric-heat-sequencer-spst", "https://edmondsonsupply.com/collections/hvac/products/white-rodgers-24a34-2-24v-electric-heat-sequencer-spst")</f>
        <v/>
      </c>
      <c r="B333" s="2">
        <f>HYPERLINK("https://edmondsonsupply.com/products/white-rodgers-24a34-2-24v-electric-heat-sequencer-spst", "https://edmondsonsupply.com/products/white-rodgers-24a34-2-24v-electric-heat-sequencer-spst")</f>
        <v/>
      </c>
      <c r="C333" t="inlineStr">
        <is>
          <t>White-Rodgers 24A34-2 24V Electric Heat Sequencer, SPST</t>
        </is>
      </c>
      <c r="D333" t="inlineStr">
        <is>
          <t>White Rodgers 24A34-2 - Electric Heat Sequencer, 1 Switch, 1 Timing,</t>
        </is>
      </c>
      <c r="E333" s="2">
        <f>HYPERLINK("https://www.amazon.com/White-Rodgers-24A34-2-Electric-Sequencer/dp/B017RQXXFS/ref=sr_1_2?keywords=White-Rodgers+24A34-2+24V+Electric+Heat+Sequencer%2C+SPST&amp;qid=1695173537&amp;sr=8-2", "https://www.amazon.com/White-Rodgers-24A34-2-Electric-Sequencer/dp/B017RQXXFS/ref=sr_1_2?keywords=White-Rodgers+24A34-2+24V+Electric+Heat+Sequencer%2C+SPST&amp;qid=1695173537&amp;sr=8-2")</f>
        <v/>
      </c>
      <c r="F333" t="inlineStr">
        <is>
          <t>B017RQXXFS</t>
        </is>
      </c>
      <c r="G333">
        <f>_xludf.IMAGE("https://edmondsonsupply.com/cdn/shop/products/24A34-2.jpg?v=1633030752")</f>
        <v/>
      </c>
      <c r="H333">
        <f>_xludf.IMAGE("https://m.media-amazon.com/images/I/41E-ED7x6RL._AC_UY218_.jpg")</f>
        <v/>
      </c>
      <c r="I333" t="inlineStr">
        <is>
          <t>11.99</t>
        </is>
      </c>
      <c r="J333" t="n">
        <v>21.43</v>
      </c>
      <c r="K333" s="3" t="inlineStr">
        <is>
          <t>78.73%</t>
        </is>
      </c>
      <c r="L333" t="n">
        <v>5</v>
      </c>
      <c r="M333" t="n">
        <v>1</v>
      </c>
      <c r="O333" t="inlineStr">
        <is>
          <t>InStock</t>
        </is>
      </c>
      <c r="P333" t="inlineStr">
        <is>
          <t>26.43</t>
        </is>
      </c>
      <c r="Q333" t="inlineStr">
        <is>
          <t>5896366424232</t>
        </is>
      </c>
    </row>
    <row r="334">
      <c r="A334" s="2">
        <f>HYPERLINK("https://edmondsonsupply.com/collections/hvac/products/white-rodgers-790-843a1-universal-flame-sensor", "https://edmondsonsupply.com/collections/hvac/products/white-rodgers-790-843a1-universal-flame-sensor")</f>
        <v/>
      </c>
      <c r="B334" s="2">
        <f>HYPERLINK("https://edmondsonsupply.com/products/white-rodgers-790-843a1-universal-flame-sensor", "https://edmondsonsupply.com/products/white-rodgers-790-843a1-universal-flame-sensor")</f>
        <v/>
      </c>
      <c r="C334" t="inlineStr">
        <is>
          <t>White Rodgers 790-843A1 Universal Flame Sensor</t>
        </is>
      </c>
      <c r="D334" t="inlineStr">
        <is>
          <t>Replacement for White Rodgers 790-843A1 Furnace Flame Sensor for Carrier York Goodman Amana</t>
        </is>
      </c>
      <c r="E334" s="2">
        <f>HYPERLINK("https://www.amazon.com/Replacement-Rodgers-790-843A1-Furnace-Carrier/dp/B09Y3V5472/ref=sr_1_1?keywords=White+Rodgers+790-843A1+Universal+Flame+Sensor&amp;qid=1695173483&amp;sr=8-1", "https://www.amazon.com/Replacement-Rodgers-790-843A1-Furnace-Carrier/dp/B09Y3V5472/ref=sr_1_1?keywords=White+Rodgers+790-843A1+Universal+Flame+Sensor&amp;qid=1695173483&amp;sr=8-1")</f>
        <v/>
      </c>
      <c r="F334" t="inlineStr">
        <is>
          <t>B09Y3V5472</t>
        </is>
      </c>
      <c r="G334">
        <f>_xludf.IMAGE("https://edmondsonsupply.com/cdn/shop/products/790-flame-sensors-universal.png?v=1633030916")</f>
        <v/>
      </c>
      <c r="H334">
        <f>_xludf.IMAGE("https://m.media-amazon.com/images/I/51BcLnIqheL._AC_UL320_.jpg")</f>
        <v/>
      </c>
      <c r="I334" t="inlineStr">
        <is>
          <t>16.8</t>
        </is>
      </c>
      <c r="J334" t="n">
        <v>29.99</v>
      </c>
      <c r="K334" s="3" t="inlineStr">
        <is>
          <t>78.51%</t>
        </is>
      </c>
      <c r="L334" t="n">
        <v>5</v>
      </c>
      <c r="M334" t="n">
        <v>1</v>
      </c>
      <c r="O334" t="inlineStr">
        <is>
          <t>InStock</t>
        </is>
      </c>
      <c r="P334" t="inlineStr">
        <is>
          <t>39.71</t>
        </is>
      </c>
      <c r="Q334" t="inlineStr">
        <is>
          <t>6257215340717</t>
        </is>
      </c>
    </row>
    <row r="335">
      <c r="A335" s="2">
        <f>HYPERLINK("https://edmondsonsupply.com/collections/hvac/products/white-rodgers-50a55-843-integrated-furnace-control-board-universal-replacement", "https://edmondsonsupply.com/collections/hvac/products/white-rodgers-50a55-843-integrated-furnace-control-board-universal-replacement")</f>
        <v/>
      </c>
      <c r="B335" s="2">
        <f>HYPERLINK("https://edmondsonsupply.com/products/white-rodgers-50a55-843-integrated-furnace-control-board-universal-replacement", "https://edmondsonsupply.com/products/white-rodgers-50a55-843-integrated-furnace-control-board-universal-replacement")</f>
        <v/>
      </c>
      <c r="C335" t="inlineStr">
        <is>
          <t>White-Rodgers 50A55-843 Integrated Furnace Control Board, Universal Replacement</t>
        </is>
      </c>
      <c r="D335" t="inlineStr">
        <is>
          <t>White-Rodgers 21V51U-843 Universal Two Stage Hot Surface Ignition Variable Speed Ecm Circulator Furnace Control Replacement Kit</t>
        </is>
      </c>
      <c r="E335" s="2">
        <f>HYPERLINK("https://www.amazon.com/White-Rodgers-21V51U-843-Universal-Circulator-Replacement/dp/B008FVEJVW/ref=sr_1_3?keywords=White-Rodgers+50A55-843+Integrated+Furnace+Control+Board%2C+Universal+Replacement&amp;qid=1695173406&amp;sr=8-3", "https://www.amazon.com/White-Rodgers-21V51U-843-Universal-Circulator-Replacement/dp/B008FVEJVW/ref=sr_1_3?keywords=White-Rodgers+50A55-843+Integrated+Furnace+Control+Board%2C+Universal+Replacement&amp;qid=1695173406&amp;sr=8-3")</f>
        <v/>
      </c>
      <c r="F335" t="inlineStr">
        <is>
          <t>B008FVEJVW</t>
        </is>
      </c>
      <c r="G335">
        <f>_xludf.IMAGE("https://edmondsonsupply.com/cdn/shop/products/b-integrated-furnace-controls-universal-replacement-img-2a.jpg?v=1633030661")</f>
        <v/>
      </c>
      <c r="H335">
        <f>_xludf.IMAGE("https://m.media-amazon.com/images/I/81dVW6SXcmL._AC_UL320_.jpg")</f>
        <v/>
      </c>
      <c r="I335" t="inlineStr">
        <is>
          <t>135.23</t>
        </is>
      </c>
      <c r="J335" t="n">
        <v>241.4</v>
      </c>
      <c r="K335" s="3" t="inlineStr">
        <is>
          <t>78.51%</t>
        </is>
      </c>
      <c r="L335" t="n">
        <v>5</v>
      </c>
      <c r="M335" t="n">
        <v>2</v>
      </c>
      <c r="O335" t="inlineStr">
        <is>
          <t>InStock</t>
        </is>
      </c>
      <c r="P335" t="inlineStr">
        <is>
          <t>309.09</t>
        </is>
      </c>
      <c r="Q335" t="inlineStr">
        <is>
          <t>5751568466088</t>
        </is>
      </c>
    </row>
    <row r="336">
      <c r="A336" s="2">
        <f>HYPERLINK("https://edmondsonsupply.com/collections/hvac/products/klein-tools-ncvt1xtkit-non-contact-voltage-and-gfci-receptacle-premium-test-kit", "https://edmondsonsupply.com/collections/hvac/products/klein-tools-ncvt1xtkit-non-contact-voltage-and-gfci-receptacle-premium-test-kit")</f>
        <v/>
      </c>
      <c r="B336" s="2">
        <f>HYPERLINK("https://edmondsonsupply.com/products/klein-tools-ncvt1xtkit-non-contact-voltage-and-gfci-receptacle-premium-test-kit", "https://edmondsonsupply.com/products/klein-tools-ncvt1xtkit-non-contact-voltage-and-gfci-receptacle-premium-test-kit")</f>
        <v/>
      </c>
      <c r="C336" t="inlineStr">
        <is>
          <t>Klein Tools NCVT1XTKIT Non-Contact Voltage and GFCI Receptacle Premium Test Kit</t>
        </is>
      </c>
      <c r="D336" t="inlineStr">
        <is>
          <t>Klein Tools RT250KIT Non-Contact Voltage Tester and GFCI Receptacle Tester with LCD and Flashlight, Voltage Electrical Test Kit</t>
        </is>
      </c>
      <c r="E336" s="2">
        <f>HYPERLINK("https://www.amazon.com/Non-Contact-Receptacle-Klein-Tools-RT250KIT/dp/B08YDFQ2FV/ref=sr_1_3?keywords=Klein+Tools+NCVT1XTKIT+Non-Contact+Voltage+and+GFCI+Receptacle+Premium+Test+Kit&amp;qid=1695173496&amp;sr=8-3", "https://www.amazon.com/Non-Contact-Receptacle-Klein-Tools-RT250KIT/dp/B08YDFQ2FV/ref=sr_1_3?keywords=Klein+Tools+NCVT1XTKIT+Non-Contact+Voltage+and+GFCI+Receptacle+Premium+Test+Kit&amp;qid=1695173496&amp;sr=8-3")</f>
        <v/>
      </c>
      <c r="F336" t="inlineStr">
        <is>
          <t>B08YDFQ2FV</t>
        </is>
      </c>
      <c r="G336">
        <f>_xludf.IMAGE("https://edmondsonsupply.com/cdn/shop/products/ncvt1xtkit.jpg?v=1674497102")</f>
        <v/>
      </c>
      <c r="H336">
        <f>_xludf.IMAGE("https://m.media-amazon.com/images/I/61WaBlkJfxL._AC_UL320_.jpg")</f>
        <v/>
      </c>
      <c r="I336" t="inlineStr">
        <is>
          <t>24.99</t>
        </is>
      </c>
      <c r="J336" t="n">
        <v>44.54</v>
      </c>
      <c r="K336" s="3" t="inlineStr">
        <is>
          <t>78.23%</t>
        </is>
      </c>
      <c r="L336" t="n">
        <v>4.8</v>
      </c>
      <c r="M336" t="n">
        <v>1269</v>
      </c>
      <c r="O336" t="inlineStr">
        <is>
          <t>InStock</t>
        </is>
      </c>
      <c r="P336" t="inlineStr">
        <is>
          <t>32.98</t>
        </is>
      </c>
      <c r="Q336" t="inlineStr">
        <is>
          <t>7931949187288</t>
        </is>
      </c>
    </row>
    <row r="337">
      <c r="A337" s="2">
        <f>HYPERLINK("https://edmondsonsupply.com/collections/hvac/products/klein-tools-56220-led-headlamp-flashlight-with-strap-for-hard-hat", "https://edmondsonsupply.com/collections/hvac/products/klein-tools-56220-led-headlamp-flashlight-with-strap-for-hard-hat")</f>
        <v/>
      </c>
      <c r="B337" s="2">
        <f>HYPERLINK("https://edmondsonsupply.com/products/klein-tools-56220-led-headlamp-flashlight-with-strap-for-hard-hat", "https://edmondsonsupply.com/products/klein-tools-56220-led-headlamp-flashlight-with-strap-for-hard-hat")</f>
        <v/>
      </c>
      <c r="C337" t="inlineStr">
        <is>
          <t>Klein Tools 56220 LED Headlamp with Silicone Hard Hat Strap</t>
        </is>
      </c>
      <c r="D337" t="inlineStr">
        <is>
          <t>Klein Tools 56064 Rechargeable Auto-Off LED Headlamp, Silicone Strap, 400 LMS, All-Day Runtime, for Work, Running, Outdoor Hiking, Camping &amp; Headlamp Bracket with Fabric Strap</t>
        </is>
      </c>
      <c r="E337" s="2">
        <f>HYPERLINK("https://www.amazon.com/Klein-Tools-Rechargeable-Auto-Off-Headlamp/dp/B09Z932C3Z/ref=sr_1_9?keywords=Klein+Tools+56220+LED+Headlamp+with+Silicone+Hard+Hat+Strap&amp;qid=1695173657&amp;sr=8-9", "https://www.amazon.com/Klein-Tools-Rechargeable-Auto-Off-Headlamp/dp/B09Z932C3Z/ref=sr_1_9?keywords=Klein+Tools+56220+LED+Headlamp+with+Silicone+Hard+Hat+Strap&amp;qid=1695173657&amp;sr=8-9")</f>
        <v/>
      </c>
      <c r="F337" t="inlineStr">
        <is>
          <t>B09Z932C3Z</t>
        </is>
      </c>
      <c r="G337">
        <f>_xludf.IMAGE("https://edmondsonsupply.com/cdn/shop/files/56220_874194e8-71d5-41d8-a579-6dec47b3f455.jpg?v=1687356671")</f>
        <v/>
      </c>
      <c r="H337">
        <f>_xludf.IMAGE("https://m.media-amazon.com/images/I/51-nHtYlwEL._AC_UL320_.jpg")</f>
        <v/>
      </c>
      <c r="I337" t="inlineStr">
        <is>
          <t>26.97</t>
        </is>
      </c>
      <c r="J337" t="n">
        <v>47.94</v>
      </c>
      <c r="K337" s="3" t="inlineStr">
        <is>
          <t>77.75%</t>
        </is>
      </c>
      <c r="L337" t="n">
        <v>5</v>
      </c>
      <c r="M337" t="n">
        <v>1</v>
      </c>
      <c r="O337" t="inlineStr">
        <is>
          <t>InStock</t>
        </is>
      </c>
      <c r="P337" t="inlineStr">
        <is>
          <t>37.8</t>
        </is>
      </c>
      <c r="Q337" t="inlineStr">
        <is>
          <t>4167511605348</t>
        </is>
      </c>
    </row>
    <row r="338">
      <c r="A338" s="2">
        <f>HYPERLINK("https://edmondsonsupply.com/collections/hvac/products/packard-c140a-contactor-1-pole-40-amps-24-coil-voltage", "https://edmondsonsupply.com/collections/hvac/products/packard-c140a-contactor-1-pole-40-amps-24-coil-voltage")</f>
        <v/>
      </c>
      <c r="B338" s="2">
        <f>HYPERLINK("https://edmondsonsupply.com/products/packard-c140a-contactor-1-pole-40-amps-24-coil-voltage", "https://edmondsonsupply.com/products/packard-c140a-contactor-1-pole-40-amps-24-coil-voltage")</f>
        <v/>
      </c>
      <c r="C338" t="inlineStr">
        <is>
          <t>Packard C140A Contactor 1 Pole 40 AMPS 24 Coil Voltage</t>
        </is>
      </c>
      <c r="D338" t="inlineStr">
        <is>
          <t>Coleman - 40 Amp 1 Pole 24v Coil Replacement Contactor C140A</t>
        </is>
      </c>
      <c r="E338" s="2">
        <f>HYPERLINK("https://www.amazon.com/Coleman-Packard-Replacement-Contactor-C140A/dp/B00S8IYX72/ref=sr_1_6?keywords=Packard+C140A+Contactor+1+Pole+40+AMPS+24+Coil+Voltage&amp;qid=1695173362&amp;sr=8-6", "https://www.amazon.com/Coleman-Packard-Replacement-Contactor-C140A/dp/B00S8IYX72/ref=sr_1_6?keywords=Packard+C140A+Contactor+1+Pole+40+AMPS+24+Coil+Voltage&amp;qid=1695173362&amp;sr=8-6")</f>
        <v/>
      </c>
      <c r="F338" t="inlineStr">
        <is>
          <t>B00S8IYX72</t>
        </is>
      </c>
      <c r="G338">
        <f>_xludf.IMAGE("https://edmondsonsupply.com/cdn/shop/products/C140A-1.jpg?v=1587147314")</f>
        <v/>
      </c>
      <c r="H338">
        <f>_xludf.IMAGE("https://m.media-amazon.com/images/I/51q4ngffe+L._AC_UY218_.jpg")</f>
        <v/>
      </c>
      <c r="I338" t="inlineStr">
        <is>
          <t>9.98</t>
        </is>
      </c>
      <c r="J338" t="n">
        <v>17.61</v>
      </c>
      <c r="K338" s="3" t="inlineStr">
        <is>
          <t>76.45%</t>
        </is>
      </c>
      <c r="L338" t="n">
        <v>5</v>
      </c>
      <c r="M338" t="n">
        <v>4</v>
      </c>
      <c r="O338" t="inlineStr">
        <is>
          <t>InStock</t>
        </is>
      </c>
      <c r="P338" t="inlineStr">
        <is>
          <t>undefined</t>
        </is>
      </c>
      <c r="Q338" t="inlineStr">
        <is>
          <t>4359080607844</t>
        </is>
      </c>
    </row>
    <row r="339">
      <c r="A339" s="2">
        <f>HYPERLINK("https://edmondsonsupply.com/collections/hvac/products/white-rodgers-24a34-3-24v-electric-heat-sequencer-dpst", "https://edmondsonsupply.com/collections/hvac/products/white-rodgers-24a34-3-24v-electric-heat-sequencer-dpst")</f>
        <v/>
      </c>
      <c r="B339" s="2">
        <f>HYPERLINK("https://edmondsonsupply.com/products/white-rodgers-24a34-3-24v-electric-heat-sequencer-dpst", "https://edmondsonsupply.com/products/white-rodgers-24a34-3-24v-electric-heat-sequencer-dpst")</f>
        <v/>
      </c>
      <c r="C339" t="inlineStr">
        <is>
          <t>White-Rodgers 24A34-3 24V Electric Heat Sequencer, DPST</t>
        </is>
      </c>
      <c r="D339" t="inlineStr">
        <is>
          <t>HVAC Parts Emerson White-Rodgers 24A34-4 24V Electric Heat Sequencer DPST</t>
        </is>
      </c>
      <c r="E339" s="2">
        <f>HYPERLINK("https://www.amazon.com/HVAC-Parts-White-Rodgers-Electric-Sequencer/dp/B09N9VYKL1/ref=sr_1_3?keywords=White-Rodgers+24A34-3+24V+Electric+Heat+Sequencer%2C+DPST&amp;qid=1695173389&amp;sr=8-3", "https://www.amazon.com/HVAC-Parts-White-Rodgers-Electric-Sequencer/dp/B09N9VYKL1/ref=sr_1_3?keywords=White-Rodgers+24A34-3+24V+Electric+Heat+Sequencer%2C+DPST&amp;qid=1695173389&amp;sr=8-3")</f>
        <v/>
      </c>
      <c r="F339" t="inlineStr">
        <is>
          <t>B09N9VYKL1</t>
        </is>
      </c>
      <c r="G339">
        <f>_xludf.IMAGE("https://edmondsonsupply.com/cdn/shop/products/24A34-3.jpg?v=1633030705")</f>
        <v/>
      </c>
      <c r="H339">
        <f>_xludf.IMAGE("https://m.media-amazon.com/images/I/71IXexQVGwL._AC_UY218_.jpg")</f>
        <v/>
      </c>
      <c r="I339" t="inlineStr">
        <is>
          <t>12.99</t>
        </is>
      </c>
      <c r="J339" t="n">
        <v>22.91</v>
      </c>
      <c r="K339" s="3" t="inlineStr">
        <is>
          <t>76.37%</t>
        </is>
      </c>
      <c r="L339" t="n">
        <v>5</v>
      </c>
      <c r="M339" t="n">
        <v>1</v>
      </c>
      <c r="O339" t="inlineStr">
        <is>
          <t>InStock</t>
        </is>
      </c>
      <c r="P339" t="inlineStr">
        <is>
          <t>30.34</t>
        </is>
      </c>
      <c r="Q339" t="inlineStr">
        <is>
          <t>5861046452392</t>
        </is>
      </c>
    </row>
    <row r="340">
      <c r="A340" s="2">
        <f>HYPERLINK("https://edmondsonsupply.com/collections/hvac/products/white-rodgers-24a34-4-24v-electric-heat-sequencer-dpst", "https://edmondsonsupply.com/collections/hvac/products/white-rodgers-24a34-4-24v-electric-heat-sequencer-dpst")</f>
        <v/>
      </c>
      <c r="B340" s="2">
        <f>HYPERLINK("https://edmondsonsupply.com/products/white-rodgers-24a34-4-24v-electric-heat-sequencer-dpst", "https://edmondsonsupply.com/products/white-rodgers-24a34-4-24v-electric-heat-sequencer-dpst")</f>
        <v/>
      </c>
      <c r="C340" t="inlineStr">
        <is>
          <t>White-Rodgers 24A34-4 24V Electric Heat Sequencer, DPST</t>
        </is>
      </c>
      <c r="D340" t="inlineStr">
        <is>
          <t>HVAC Parts Emerson White-Rodgers 24A34-4 24V Electric Heat Sequencer DPST</t>
        </is>
      </c>
      <c r="E340" s="2">
        <f>HYPERLINK("https://www.amazon.com/HVAC-Parts-White-Rodgers-Electric-Sequencer/dp/B09N9VYKL1/ref=sr_1_1?keywords=White-Rodgers+24A34-4+24V+Electric+Heat+Sequencer%2C+DPST&amp;qid=1695173471&amp;sr=8-1", "https://www.amazon.com/HVAC-Parts-White-Rodgers-Electric-Sequencer/dp/B09N9VYKL1/ref=sr_1_1?keywords=White-Rodgers+24A34-4+24V+Electric+Heat+Sequencer%2C+DPST&amp;qid=1695173471&amp;sr=8-1")</f>
        <v/>
      </c>
      <c r="F340" t="inlineStr">
        <is>
          <t>B09N9VYKL1</t>
        </is>
      </c>
      <c r="G340">
        <f>_xludf.IMAGE("https://edmondsonsupply.com/cdn/shop/products/24A34-4.jpg?v=1633030706")</f>
        <v/>
      </c>
      <c r="H340">
        <f>_xludf.IMAGE("https://m.media-amazon.com/images/I/71IXexQVGwL._AC_UY218_.jpg")</f>
        <v/>
      </c>
      <c r="I340" t="inlineStr">
        <is>
          <t>12.99</t>
        </is>
      </c>
      <c r="J340" t="n">
        <v>22.91</v>
      </c>
      <c r="K340" s="3" t="inlineStr">
        <is>
          <t>76.37%</t>
        </is>
      </c>
      <c r="L340" t="n">
        <v>5</v>
      </c>
      <c r="M340" t="n">
        <v>1</v>
      </c>
      <c r="O340" t="inlineStr">
        <is>
          <t>InStock</t>
        </is>
      </c>
      <c r="P340" t="inlineStr">
        <is>
          <t>30.34</t>
        </is>
      </c>
      <c r="Q340" t="inlineStr">
        <is>
          <t>5861153145000</t>
        </is>
      </c>
    </row>
    <row r="341">
      <c r="A341" s="2">
        <f>HYPERLINK("https://edmondsonsupply.com/collections/hvac/products/nu-calgon-44171-75-evap-foam-no-rinse-aerosol-coil-cleaner", "https://edmondsonsupply.com/collections/hvac/products/nu-calgon-44171-75-evap-foam-no-rinse-aerosol-coil-cleaner")</f>
        <v/>
      </c>
      <c r="B341" s="2">
        <f>HYPERLINK("https://edmondsonsupply.com/products/nu-calgon-44171-75-evap-foam-no-rinse-aerosol-coil-cleaner", "https://edmondsonsupply.com/products/nu-calgon-44171-75-evap-foam-no-rinse-aerosol-coil-cleaner")</f>
        <v/>
      </c>
      <c r="C341" t="inlineStr">
        <is>
          <t>Nu-Calgon 4171-75 Evap Foam No Rinse, Aerosol Coil Cleaner (18 oz. can)</t>
        </is>
      </c>
      <c r="D341" t="inlineStr">
        <is>
          <t>4171-75 Nu-Calgon Evap Foam No Rinse Evaporator Coil Cleaner 18 OZ Aerosol Spray</t>
        </is>
      </c>
      <c r="E341" s="2">
        <f>HYPERLINK("https://www.amazon.com/4171-75-Nu-Calgon-Evaporator-Cleaner-Aerosol/dp/B00E2X3MRE/ref=sr_1_5?keywords=Nu-Calgon+4171-75+Evap+Foam+No+Rinse%2C+Aerosol+Coil+Cleaner+%2818+oz.+can%29&amp;qid=1695173370&amp;sr=8-5", "https://www.amazon.com/4171-75-Nu-Calgon-Evaporator-Cleaner-Aerosol/dp/B00E2X3MRE/ref=sr_1_5?keywords=Nu-Calgon+4171-75+Evap+Foam+No+Rinse%2C+Aerosol+Coil+Cleaner+%2818+oz.+can%29&amp;qid=1695173370&amp;sr=8-5")</f>
        <v/>
      </c>
      <c r="F341" t="inlineStr">
        <is>
          <t>B00E2X3MRE</t>
        </is>
      </c>
      <c r="G341">
        <f>_xludf.IMAGE("https://edmondsonsupply.com/cdn/shop/products/4171-75.jpg?v=1659099515")</f>
        <v/>
      </c>
      <c r="H341">
        <f>_xludf.IMAGE("https://m.media-amazon.com/images/I/41FecUXSw6L._AC_UL320_.jpg")</f>
        <v/>
      </c>
      <c r="I341" t="inlineStr">
        <is>
          <t>11.75</t>
        </is>
      </c>
      <c r="J341" t="n">
        <v>20.71</v>
      </c>
      <c r="K341" s="3" t="inlineStr">
        <is>
          <t>76.26%</t>
        </is>
      </c>
      <c r="L341" t="n">
        <v>4.6</v>
      </c>
      <c r="M341" t="n">
        <v>29</v>
      </c>
      <c r="O341" t="inlineStr">
        <is>
          <t>InStock</t>
        </is>
      </c>
      <c r="P341" t="inlineStr">
        <is>
          <t>17.7</t>
        </is>
      </c>
      <c r="Q341" t="inlineStr">
        <is>
          <t>7766316646616</t>
        </is>
      </c>
    </row>
    <row r="342">
      <c r="A342" s="2">
        <f>HYPERLINK("https://edmondsonsupply.com/collections/hvac/products/rectorseal-66737-nokink-1-2-x-3-flexible-refrigerant-line-connector", "https://edmondsonsupply.com/collections/hvac/products/rectorseal-66737-nokink-1-2-x-3-flexible-refrigerant-line-connector")</f>
        <v/>
      </c>
      <c r="B342" s="2">
        <f>HYPERLINK("https://edmondsonsupply.com/products/rectorseal-66737-nokink-1-2-x-3-flexible-refrigerant-line-connector", "https://edmondsonsupply.com/products/rectorseal-66737-nokink-1-2-x-3-flexible-refrigerant-line-connector")</f>
        <v/>
      </c>
      <c r="C342" t="inlineStr">
        <is>
          <t>RectorSeal 66737 NoKink 1/2" x 3' Flexible Refrigerant Line Connector</t>
        </is>
      </c>
      <c r="D342" t="inlineStr">
        <is>
          <t>Rectorseal 68235 NoKink Flexible Refrigerant Line Connector, 5/8" x 72"</t>
        </is>
      </c>
      <c r="E342" s="2">
        <f>HYPERLINK("https://www.amazon.com/Rectorseal-68235-Flexible-Refrigerant-Connector/dp/B01ALRVLTA/ref=sr_1_2?keywords=RectorSeal+66737+NoKink+1%2F2%22+x+3%27+Flexible+Refrigerant+Line+Connector&amp;qid=1695173471&amp;sr=8-2", "https://www.amazon.com/Rectorseal-68235-Flexible-Refrigerant-Connector/dp/B01ALRVLTA/ref=sr_1_2?keywords=RectorSeal+66737+NoKink+1%2F2%22+x+3%27+Flexible+Refrigerant+Line+Connector&amp;qid=1695173471&amp;sr=8-2")</f>
        <v/>
      </c>
      <c r="F342" t="inlineStr">
        <is>
          <t>B01ALRVLTA</t>
        </is>
      </c>
      <c r="G342">
        <f>_xludf.IMAGE("https://edmondsonsupply.com/cdn/shop/products/66737.png?v=1665964950")</f>
        <v/>
      </c>
      <c r="H342">
        <f>_xludf.IMAGE("https://m.media-amazon.com/images/I/51pjB6ZOm9L._AC_UL320_.jpg")</f>
        <v/>
      </c>
      <c r="I342" t="inlineStr">
        <is>
          <t>75.86</t>
        </is>
      </c>
      <c r="J342" t="n">
        <v>133.67</v>
      </c>
      <c r="K342" s="3" t="inlineStr">
        <is>
          <t>76.21%</t>
        </is>
      </c>
      <c r="L342" t="n">
        <v>4</v>
      </c>
      <c r="M342" t="n">
        <v>5</v>
      </c>
      <c r="O342" t="inlineStr">
        <is>
          <t>InStock</t>
        </is>
      </c>
      <c r="P342" t="inlineStr">
        <is>
          <t>undefined</t>
        </is>
      </c>
      <c r="Q342" t="inlineStr">
        <is>
          <t>6957694353581</t>
        </is>
      </c>
    </row>
    <row r="343">
      <c r="A343" s="2">
        <f>HYPERLINK("https://edmondsonsupply.com/collections/hvac/products/malco-mshmlc-4-inch-c-rhex%C2%AE-dual-sided-magnetic-hex-driver", "https://edmondsonsupply.com/collections/hvac/products/malco-mshmlc-4-inch-c-rhex%C2%AE-dual-sided-magnetic-hex-driver")</f>
        <v/>
      </c>
      <c r="B343" s="2">
        <f>HYPERLINK("https://edmondsonsupply.com/products/malco-mshmlc-4-inch-c-rhex%c2%ae-dual-sided-magnetic-hex-driver", "https://edmondsonsupply.com/products/malco-mshmlc-4-inch-c-rhex%c2%ae-dual-sided-magnetic-hex-driver")</f>
        <v/>
      </c>
      <c r="C343" t="inlineStr">
        <is>
          <t>Malco Tools MSHMLC 4-Inch C-Rhex Cleanable, Reversible Magnetic Hex Driver, 1/4" &amp; 5/16"</t>
        </is>
      </c>
      <c r="D343" t="inlineStr">
        <is>
          <t>Malco MSH2XLC2 C-RHEX® Building Construction Series Cleanable, Reversible Magnetic Hex Driver (1/4" &amp; 5/16")</t>
        </is>
      </c>
      <c r="E343" s="2">
        <f>HYPERLINK("https://www.amazon.com/Malco-MSH2XLC2-Construction-Cleanable-Reversible/dp/B0BX79N2BV/ref=sr_1_6?keywords=Malco+Tools+MSHMLC+4-Inch+C-Rhex+Cleanable%2C+Reversible+Magnetic+Hex+Driver%2C+1%2F4%22+%26+5%2F16%22&amp;qid=1695173566&amp;sr=8-6", "https://www.amazon.com/Malco-MSH2XLC2-Construction-Cleanable-Reversible/dp/B0BX79N2BV/ref=sr_1_6?keywords=Malco+Tools+MSHMLC+4-Inch+C-Rhex+Cleanable%2C+Reversible+Magnetic+Hex+Driver%2C+1%2F4%22+%26+5%2F16%22&amp;qid=1695173566&amp;sr=8-6")</f>
        <v/>
      </c>
      <c r="F343" t="inlineStr">
        <is>
          <t>B0BX79N2BV</t>
        </is>
      </c>
      <c r="G343">
        <f>_xludf.IMAGE("https://edmondsonsupply.com/cdn/shop/products/Malco-MSHMLC-CRHEX-Slim-Design.jpg?v=1653096554")</f>
        <v/>
      </c>
      <c r="H343">
        <f>_xludf.IMAGE("https://m.media-amazon.com/images/I/31odlSGS4kL._AC_UL320_.jpg")</f>
        <v/>
      </c>
      <c r="I343" t="inlineStr">
        <is>
          <t>12.99</t>
        </is>
      </c>
      <c r="J343" t="n">
        <v>22.86</v>
      </c>
      <c r="K343" s="3" t="inlineStr">
        <is>
          <t>75.98%</t>
        </is>
      </c>
      <c r="L343" t="n">
        <v>5</v>
      </c>
      <c r="M343" t="n">
        <v>1</v>
      </c>
      <c r="O343" t="inlineStr">
        <is>
          <t>InStock</t>
        </is>
      </c>
      <c r="P343" t="inlineStr">
        <is>
          <t>13.23</t>
        </is>
      </c>
      <c r="Q343" t="inlineStr">
        <is>
          <t>3680855097444</t>
        </is>
      </c>
    </row>
    <row r="344">
      <c r="A344" s="2">
        <f>HYPERLINK("https://edmondsonsupply.com/collections/hvac/products/packard-c240a-contactor-2-pole-40-amps-24-coil-voltage", "https://edmondsonsupply.com/collections/hvac/products/packard-c240a-contactor-2-pole-40-amps-24-coil-voltage")</f>
        <v/>
      </c>
      <c r="B344" s="2">
        <f>HYPERLINK("https://edmondsonsupply.com/products/packard-c240a-contactor-2-pole-40-amps-24-coil-voltage", "https://edmondsonsupply.com/products/packard-c240a-contactor-2-pole-40-amps-24-coil-voltage")</f>
        <v/>
      </c>
      <c r="C344" t="inlineStr">
        <is>
          <t>Packard C240A Contactor 2 Pole 40 AMPS 24 Coil Voltage</t>
        </is>
      </c>
      <c r="D344" t="inlineStr">
        <is>
          <t>Goodman • 40 Amp 2 Pole 24v Coil Fasco Replacement Contactor C240A</t>
        </is>
      </c>
      <c r="E344" s="2">
        <f>HYPERLINK("https://www.amazon.com/Goodman-Fasco-Replacement-Contactor-C240A/dp/B00S8K7L0G/ref=sr_1_4?keywords=Packard+C240A+Contactor+2+Pole+40+AMPS+24+Coil+Voltage&amp;qid=1695173372&amp;sr=8-4", "https://www.amazon.com/Goodman-Fasco-Replacement-Contactor-C240A/dp/B00S8K7L0G/ref=sr_1_4?keywords=Packard+C240A+Contactor+2+Pole+40+AMPS+24+Coil+Voltage&amp;qid=1695173372&amp;sr=8-4")</f>
        <v/>
      </c>
      <c r="F344" t="inlineStr">
        <is>
          <t>B00S8K7L0G</t>
        </is>
      </c>
      <c r="G344">
        <f>_xludf.IMAGE("https://edmondsonsupply.com/cdn/shop/products/C240A-1.jpg?v=1590239996")</f>
        <v/>
      </c>
      <c r="H344">
        <f>_xludf.IMAGE("https://m.media-amazon.com/images/I/419GkgJ35UL._AC_UY218_.jpg")</f>
        <v/>
      </c>
      <c r="I344" t="inlineStr">
        <is>
          <t>13.96</t>
        </is>
      </c>
      <c r="J344" t="n">
        <v>24.51</v>
      </c>
      <c r="K344" s="3" t="inlineStr">
        <is>
          <t>75.57%</t>
        </is>
      </c>
      <c r="L344" t="n">
        <v>5</v>
      </c>
      <c r="M344" t="n">
        <v>5</v>
      </c>
      <c r="O344" t="inlineStr">
        <is>
          <t>InStock</t>
        </is>
      </c>
      <c r="P344" t="inlineStr">
        <is>
          <t>undefined</t>
        </is>
      </c>
      <c r="Q344" t="inlineStr">
        <is>
          <t>4316288680036</t>
        </is>
      </c>
    </row>
    <row r="345">
      <c r="A345" s="2">
        <f>HYPERLINK("https://edmondsonsupply.com/collections/hvac/products/5-2-1-tpspd-thermally-protected-surge-protection-device", "https://edmondsonsupply.com/collections/hvac/products/5-2-1-tpspd-thermally-protected-surge-protection-device")</f>
        <v/>
      </c>
      <c r="B345" s="2">
        <f>HYPERLINK("https://edmondsonsupply.com/products/5-2-1-tpspd-thermally-protected-surge-protection-device", "https://edmondsonsupply.com/products/5-2-1-tpspd-thermally-protected-surge-protection-device")</f>
        <v/>
      </c>
      <c r="C345" t="inlineStr">
        <is>
          <t>CPS 5-2-1 TPSPD Thermally Protected Surge Protection Device</t>
        </is>
      </c>
      <c r="D345" t="inlineStr">
        <is>
          <t>CPS 5-2-1 TPSPD Thermally Protected Surge Protection Device</t>
        </is>
      </c>
      <c r="E345" s="2">
        <f>HYPERLINK("https://www.amazon.com/CPS-Thermally-Protected-Protection-Device/dp/B07PFYCVWH/ref=sr_1_1?keywords=CPS+5-2-1+TPSPD+Thermally+Protected+Surge+Protection+Device&amp;qid=1695173493&amp;sr=8-1", "https://www.amazon.com/CPS-Thermally-Protected-Protection-Device/dp/B07PFYCVWH/ref=sr_1_1?keywords=CPS+5-2-1+TPSPD+Thermally+Protected+Surge+Protection+Device&amp;qid=1695173493&amp;sr=8-1")</f>
        <v/>
      </c>
      <c r="F345" t="inlineStr">
        <is>
          <t>B07PFYCVWH</t>
        </is>
      </c>
      <c r="G345">
        <f>_xludf.IMAGE("https://edmondsonsupply.com/cdn/shop/products/TPSPD-1_f4h6hj.jpg?v=1633030045")</f>
        <v/>
      </c>
      <c r="H345">
        <f>_xludf.IMAGE("https://m.media-amazon.com/images/I/61HhD9jN-fL._AC_UY218_.jpg")</f>
        <v/>
      </c>
      <c r="I345" t="inlineStr">
        <is>
          <t>70.38</t>
        </is>
      </c>
      <c r="J345" t="n">
        <v>123.44</v>
      </c>
      <c r="K345" s="3" t="inlineStr">
        <is>
          <t>75.39%</t>
        </is>
      </c>
      <c r="L345" t="n">
        <v>4.8</v>
      </c>
      <c r="M345" t="n">
        <v>4</v>
      </c>
      <c r="O345" t="inlineStr">
        <is>
          <t>InStock</t>
        </is>
      </c>
      <c r="P345" t="inlineStr">
        <is>
          <t>81.21</t>
        </is>
      </c>
      <c r="Q345" t="inlineStr">
        <is>
          <t>3124362674276</t>
        </is>
      </c>
    </row>
    <row r="346">
      <c r="A346" s="2">
        <f>HYPERLINK("https://edmondsonsupply.com/collections/hvac/products/ritchie-yellow-jacket-60440-swaging-and-45-flaring-tool-kit", "https://edmondsonsupply.com/collections/hvac/products/ritchie-yellow-jacket-60440-swaging-and-45-flaring-tool-kit")</f>
        <v/>
      </c>
      <c r="B346" s="2">
        <f>HYPERLINK("https://edmondsonsupply.com/products/ritchie-yellow-jacket-60440-swaging-and-45-flaring-tool-kit", "https://edmondsonsupply.com/products/ritchie-yellow-jacket-60440-swaging-and-45-flaring-tool-kit")</f>
        <v/>
      </c>
      <c r="C346" t="inlineStr">
        <is>
          <t>Yellow Jacket 60440 Swaging and 45° Flaring Tool Kit</t>
        </is>
      </c>
      <c r="D346" t="inlineStr">
        <is>
          <t>YELLOW JACKET 60431 Lightweight Swaging/Flaring Tool Kit, 6 Standard, 6 Metric</t>
        </is>
      </c>
      <c r="E346" s="2">
        <f>HYPERLINK("https://www.amazon.com/60431-Lightweight-Swaging-Flaring-Standard/dp/B072KKW9QG/ref=sr_1_2?keywords=Yellow+Jacket+60440+Swaging+and+45%C2%B0+Flaring+Tool+Kit&amp;qid=1695173579&amp;sr=8-2", "https://www.amazon.com/60431-Lightweight-Swaging-Flaring-Standard/dp/B072KKW9QG/ref=sr_1_2?keywords=Yellow+Jacket+60440+Swaging+and+45%C2%B0+Flaring+Tool+Kit&amp;qid=1695173579&amp;sr=8-2")</f>
        <v/>
      </c>
      <c r="F346" t="inlineStr">
        <is>
          <t>B072KKW9QG</t>
        </is>
      </c>
      <c r="G346">
        <f>_xludf.IMAGE("https://edmondsonsupply.com/cdn/shop/products/swaging-and-45-flaring-tools.jpg?v=1656687103")</f>
        <v/>
      </c>
      <c r="H346">
        <f>_xludf.IMAGE("https://m.media-amazon.com/images/I/71f84sE8e-L._AC_UL320_.jpg")</f>
        <v/>
      </c>
      <c r="I346" t="inlineStr">
        <is>
          <t>197.86</t>
        </is>
      </c>
      <c r="J346" t="n">
        <v>346.87</v>
      </c>
      <c r="K346" s="3" t="inlineStr">
        <is>
          <t>75.31%</t>
        </is>
      </c>
      <c r="L346" t="n">
        <v>5</v>
      </c>
      <c r="M346" t="n">
        <v>3</v>
      </c>
      <c r="O346" t="inlineStr">
        <is>
          <t>InStock</t>
        </is>
      </c>
      <c r="P346" t="inlineStr">
        <is>
          <t>undefined</t>
        </is>
      </c>
      <c r="Q346" t="inlineStr">
        <is>
          <t>2722184659044</t>
        </is>
      </c>
    </row>
    <row r="347">
      <c r="A347" s="2">
        <f>HYPERLINK("https://edmondsonsupply.com/collections/hvac/products/refrigeration-technologies-rt640a-viper-coil-coating-aerosol-15oz", "https://edmondsonsupply.com/collections/hvac/products/refrigeration-technologies-rt640a-viper-coil-coating-aerosol-15oz")</f>
        <v/>
      </c>
      <c r="B347" s="2">
        <f>HYPERLINK("https://edmondsonsupply.com/products/refrigeration-technologies-rt640a-viper-coil-coating-aerosol-15oz", "https://edmondsonsupply.com/products/refrigeration-technologies-rt640a-viper-coil-coating-aerosol-15oz")</f>
        <v/>
      </c>
      <c r="C347" t="inlineStr">
        <is>
          <t>Refrigeration Technologies RT640A Viper Coil Coating Aerosol (15oz)</t>
        </is>
      </c>
      <c r="D347" t="inlineStr">
        <is>
          <t>Refrigeration Technologies Viper Coil Coating RT640A (2)</t>
        </is>
      </c>
      <c r="E347" s="2">
        <f>HYPERLINK("https://www.amazon.com/Refrigeration-Technologies-Viper-Coating-RT640A/dp/B0BTCGWX6C/ref=sr_1_2?keywords=Refrigeration+Technologies+RT640A+Viper+Coil+Coating+Aerosol+%2815oz%29&amp;qid=1695173540&amp;sr=8-2", "https://www.amazon.com/Refrigeration-Technologies-Viper-Coating-RT640A/dp/B0BTCGWX6C/ref=sr_1_2?keywords=Refrigeration+Technologies+RT640A+Viper+Coil+Coating+Aerosol+%2815oz%29&amp;qid=1695173540&amp;sr=8-2")</f>
        <v/>
      </c>
      <c r="F347" t="inlineStr">
        <is>
          <t>B0BTCGWX6C</t>
        </is>
      </c>
      <c r="G347">
        <f>_xludf.IMAGE("https://edmondsonsupply.com/cdn/shop/products/CoilCoating_Aerosol_Reflection-o17r8mukbuad3cksp9inhu09n67txxt340x6dk69z4.webp?v=1680194155")</f>
        <v/>
      </c>
      <c r="H347">
        <f>_xludf.IMAGE("https://m.media-amazon.com/images/I/31ViFYV1v2L._AC_UL320_.jpg")</f>
        <v/>
      </c>
      <c r="I347" t="inlineStr">
        <is>
          <t>27.39</t>
        </is>
      </c>
      <c r="J347" t="n">
        <v>47.99</v>
      </c>
      <c r="K347" s="3" t="inlineStr">
        <is>
          <t>75.21%</t>
        </is>
      </c>
      <c r="L347" t="n">
        <v>5</v>
      </c>
      <c r="M347" t="n">
        <v>1</v>
      </c>
      <c r="O347" t="inlineStr">
        <is>
          <t>InStock</t>
        </is>
      </c>
      <c r="P347" t="inlineStr">
        <is>
          <t>30.08</t>
        </is>
      </c>
      <c r="Q347" t="inlineStr">
        <is>
          <t>7970513780952</t>
        </is>
      </c>
    </row>
    <row r="348">
      <c r="A348" s="2">
        <f>HYPERLINK("https://edmondsonsupply.com/collections/hvac/products/packard-trcfd555-titan-pro-run-capacitor-55-5-mfd-440-370-volt-round", "https://edmondsonsupply.com/collections/hvac/products/packard-trcfd555-titan-pro-run-capacitor-55-5-mfd-440-370-volt-round")</f>
        <v/>
      </c>
      <c r="B348" s="2">
        <f>HYPERLINK("https://edmondsonsupply.com/products/packard-trcfd555-titan-pro-run-capacitor-55-5-mfd-440-370-volt-round", "https://edmondsonsupply.com/products/packard-trcfd555-titan-pro-run-capacitor-55-5-mfd-440-370-volt-round")</f>
        <v/>
      </c>
      <c r="C348" t="inlineStr">
        <is>
          <t>Packard TRCFD555 Titan PRO Run Capacitor 55+5 MFD 440/370 Volt Round</t>
        </is>
      </c>
      <c r="D348" t="inlineStr">
        <is>
          <t>Titan TRCFD555 Dual Rated Motor Run Capacitor Round MFD 55/5 Volts 440/370</t>
        </is>
      </c>
      <c r="E348" s="2">
        <f>HYPERLINK("https://www.amazon.com/Titan-TRCFD555-Rated-Motor-Capacitor/dp/B01IC1YX74/ref=sr_1_2?keywords=Packard+TRCFD555+Titan+PRO+Run+Capacitor+55+5+MFD+440%2F370+Volt+Round&amp;qid=1695173364&amp;sr=8-2", "https://www.amazon.com/Titan-TRCFD555-Rated-Motor-Capacitor/dp/B01IC1YX74/ref=sr_1_2?keywords=Packard+TRCFD555+Titan+PRO+Run+Capacitor+55+5+MFD+440%2F370+Volt+Round&amp;qid=1695173364&amp;sr=8-2")</f>
        <v/>
      </c>
      <c r="F348" t="inlineStr">
        <is>
          <t>B01IC1YX74</t>
        </is>
      </c>
      <c r="G348">
        <f>_xludf.IMAGE("https://edmondsonsupply.com/cdn/shop/products/TRCFD555-2.jpg?v=1633030311")</f>
        <v/>
      </c>
      <c r="H348">
        <f>_xludf.IMAGE("https://m.media-amazon.com/images/I/81rHH7HwrAL._AC_UY218_.jpg")</f>
        <v/>
      </c>
      <c r="I348" t="inlineStr">
        <is>
          <t>10.31</t>
        </is>
      </c>
      <c r="J348" t="n">
        <v>18.05</v>
      </c>
      <c r="K348" s="3" t="inlineStr">
        <is>
          <t>75.07%</t>
        </is>
      </c>
      <c r="L348" t="n">
        <v>4.8</v>
      </c>
      <c r="M348" t="n">
        <v>60</v>
      </c>
      <c r="O348" t="inlineStr">
        <is>
          <t>InStock</t>
        </is>
      </c>
      <c r="P348" t="inlineStr">
        <is>
          <t>undefined</t>
        </is>
      </c>
      <c r="Q348" t="inlineStr">
        <is>
          <t>5242703347880</t>
        </is>
      </c>
    </row>
    <row r="349">
      <c r="A349" s="2">
        <f>HYPERLINK("https://edmondsonsupply.com/collections/hvac/products/esp-pop5-lil-popper-control-board-circuit-breaker-5-amp", "https://edmondsonsupply.com/collections/hvac/products/esp-pop5-lil-popper-control-board-circuit-breaker-5-amp")</f>
        <v/>
      </c>
      <c r="B349" s="2">
        <f>HYPERLINK("https://edmondsonsupply.com/products/esp-pop5-lil-popper-control-board-circuit-breaker-5-amp", "https://edmondsonsupply.com/products/esp-pop5-lil-popper-control-board-circuit-breaker-5-amp")</f>
        <v/>
      </c>
      <c r="C349" t="inlineStr">
        <is>
          <t>ESP POP5 Li'l Popper Control Board Circuit Breaker- 5 Amp</t>
        </is>
      </c>
      <c r="D349" t="inlineStr">
        <is>
          <t>EvertechPRO POP3 3 AMP Control Circuit Breaker UL Rated 125/250 Vac Replacement Li'l Popper G33-039</t>
        </is>
      </c>
      <c r="E349" s="2">
        <f>HYPERLINK("https://www.amazon.com/EvertechPRO-Control-Circuit-Breaker-Replacement/dp/B08R7RZHBK/ref=sr_1_6?keywords=ESP+POP5+Lil+Popper+Control+Board+Circuit+Breaker-+5+Amp&amp;qid=1695173543&amp;sr=8-6", "https://www.amazon.com/EvertechPRO-Control-Circuit-Breaker-Replacement/dp/B08R7RZHBK/ref=sr_1_6?keywords=ESP+POP5+Lil+Popper+Control+Board+Circuit+Breaker-+5+Amp&amp;qid=1695173543&amp;sr=8-6")</f>
        <v/>
      </c>
      <c r="F349" t="inlineStr">
        <is>
          <t>B08R7RZHBK</t>
        </is>
      </c>
      <c r="G349">
        <f>_xludf.IMAGE("https://edmondsonsupply.com/cdn/shop/products/pop5_xl_1.jpg?v=1633030636")</f>
        <v/>
      </c>
      <c r="H349">
        <f>_xludf.IMAGE("https://m.media-amazon.com/images/I/617cW+-1dhL._AC_UL320_.jpg")</f>
        <v/>
      </c>
      <c r="I349" t="inlineStr">
        <is>
          <t>11.99</t>
        </is>
      </c>
      <c r="J349" t="n">
        <v>20.99</v>
      </c>
      <c r="K349" s="3" t="inlineStr">
        <is>
          <t>75.06%</t>
        </is>
      </c>
      <c r="L349" t="n">
        <v>4.7</v>
      </c>
      <c r="M349" t="n">
        <v>94</v>
      </c>
      <c r="O349" t="inlineStr">
        <is>
          <t>InStock</t>
        </is>
      </c>
      <c r="P349" t="inlineStr">
        <is>
          <t>undefined</t>
        </is>
      </c>
      <c r="Q349" t="inlineStr">
        <is>
          <t>5702406439080</t>
        </is>
      </c>
    </row>
    <row r="350">
      <c r="A350" s="2">
        <f>HYPERLINK("https://edmondsonsupply.com/collections/hvac/products/esp-pop3-lil-popper-control-board-circuit-breaker-3-amp", "https://edmondsonsupply.com/collections/hvac/products/esp-pop3-lil-popper-control-board-circuit-breaker-3-amp")</f>
        <v/>
      </c>
      <c r="B350" s="2">
        <f>HYPERLINK("https://edmondsonsupply.com/products/esp-pop3-lil-popper-control-board-circuit-breaker-3-amp", "https://edmondsonsupply.com/products/esp-pop3-lil-popper-control-board-circuit-breaker-3-amp")</f>
        <v/>
      </c>
      <c r="C350" t="inlineStr">
        <is>
          <t>ESP POP3 Li'l Popper Control Board Circuit Breaker- 3 Amp</t>
        </is>
      </c>
      <c r="D350" t="inlineStr">
        <is>
          <t>EvertechPRO POP3 3 AMP Control Circuit Breaker UL Rated 125/250 Vac Replacement Li'l Popper G33-039</t>
        </is>
      </c>
      <c r="E350" s="2">
        <f>HYPERLINK("https://www.amazon.com/EvertechPRO-Control-Circuit-Breaker-Replacement/dp/B08R7RZHBK/ref=sr_1_4?keywords=ESP+POP3+Li%27l+Popper+Control+Board+Circuit+Breaker-+3+Amp&amp;qid=1695173376&amp;sr=8-4", "https://www.amazon.com/EvertechPRO-Control-Circuit-Breaker-Replacement/dp/B08R7RZHBK/ref=sr_1_4?keywords=ESP+POP3+Li%27l+Popper+Control+Board+Circuit+Breaker-+3+Amp&amp;qid=1695173376&amp;sr=8-4")</f>
        <v/>
      </c>
      <c r="F350" t="inlineStr">
        <is>
          <t>B08R7RZHBK</t>
        </is>
      </c>
      <c r="G350">
        <f>_xludf.IMAGE("https://edmondsonsupply.com/cdn/shop/products/pop3_xl_1.jpg?v=1633030635")</f>
        <v/>
      </c>
      <c r="H350">
        <f>_xludf.IMAGE("https://m.media-amazon.com/images/I/617cW+-1dhL._AC_UL320_.jpg")</f>
        <v/>
      </c>
      <c r="I350" t="inlineStr">
        <is>
          <t>11.99</t>
        </is>
      </c>
      <c r="J350" t="n">
        <v>20.99</v>
      </c>
      <c r="K350" s="3" t="inlineStr">
        <is>
          <t>75.06%</t>
        </is>
      </c>
      <c r="L350" t="n">
        <v>4.7</v>
      </c>
      <c r="M350" t="n">
        <v>94</v>
      </c>
      <c r="O350" t="inlineStr">
        <is>
          <t>InStock</t>
        </is>
      </c>
      <c r="P350" t="inlineStr">
        <is>
          <t>undefined</t>
        </is>
      </c>
      <c r="Q350" t="inlineStr">
        <is>
          <t>5702371934376</t>
        </is>
      </c>
    </row>
    <row r="351">
      <c r="A351" s="2">
        <f>HYPERLINK("https://edmondsonsupply.com/collections/hvac/products/klein-tools-94155-american-legacy-lineman-pliers-and-klein-kurve%C2%AE-wire-stripper-cutter", "https://edmondsonsupply.com/collections/hvac/products/klein-tools-94155-american-legacy-lineman-pliers-and-klein-kurve%C2%AE-wire-stripper-cutter")</f>
        <v/>
      </c>
      <c r="B351" s="2">
        <f>HYPERLINK("https://edmondsonsupply.com/products/klein-tools-94155-american-legacy-lineman-pliers-and-klein-kurve%c2%ae-wire-stripper-cutter", "https://edmondsonsupply.com/products/klein-tools-94155-american-legacy-lineman-pliers-and-klein-kurve%c2%ae-wire-stripper-cutter")</f>
        <v/>
      </c>
      <c r="C351" t="inlineStr">
        <is>
          <t>Klein Tools 94155 American Legacy Lineman Pliers and Klein-Kurve® Wire Stripper / Cutter</t>
        </is>
      </c>
      <c r="D351" t="inlineStr">
        <is>
          <t>Klein Tools 80043 Heavy Duty Tool Set, Includes Lineman's Side-Cutting Pliers, Diagonal Cutters and Wire Stripper, 3-Piece</t>
        </is>
      </c>
      <c r="E351" s="2">
        <f>HYPERLINK("https://www.amazon.com/Linemans-Side-Cutting-Klein-Tools-80043/dp/B0977RM5G5/ref=sr_1_4?keywords=Klein+Tools+94155+American+Legacy+Lineman+Pliers+and+Klein-Kurve%C2%AE+Wire+Stripper+%2F+Cutter&amp;qid=1695173330&amp;sr=8-4", "https://www.amazon.com/Linemans-Side-Cutting-Klein-Tools-80043/dp/B0977RM5G5/ref=sr_1_4?keywords=Klein+Tools+94155+American+Legacy+Lineman+Pliers+and+Klein-Kurve%C2%AE+Wire+Stripper+%2F+Cutter&amp;qid=1695173330&amp;sr=8-4")</f>
        <v/>
      </c>
      <c r="F351" t="inlineStr">
        <is>
          <t>B0977RM5G5</t>
        </is>
      </c>
      <c r="G351">
        <f>_xludf.IMAGE("https://edmondsonsupply.com/cdn/shop/products/94155.jpg?v=1674141590")</f>
        <v/>
      </c>
      <c r="H351">
        <f>_xludf.IMAGE("https://m.media-amazon.com/images/I/51t8JGB+SAS._AC_UL320_.jpg")</f>
        <v/>
      </c>
      <c r="I351" t="inlineStr">
        <is>
          <t>39.99</t>
        </is>
      </c>
      <c r="J351" t="n">
        <v>69.98999999999999</v>
      </c>
      <c r="K351" s="3" t="inlineStr">
        <is>
          <t>75.02%</t>
        </is>
      </c>
      <c r="L351" t="n">
        <v>4.8</v>
      </c>
      <c r="M351" t="n">
        <v>1451</v>
      </c>
      <c r="O351" t="inlineStr">
        <is>
          <t>InStock</t>
        </is>
      </c>
      <c r="P351" t="inlineStr">
        <is>
          <t>59.98</t>
        </is>
      </c>
      <c r="Q351" t="inlineStr">
        <is>
          <t>7926859104472</t>
        </is>
      </c>
    </row>
    <row r="352">
      <c r="A352" s="2">
        <f>HYPERLINK("https://edmondsonsupply.com/collections/hvac/products/klein-tools-70550-pro-folding-hex-key-set-11-fractional-inch-sized-keys", "https://edmondsonsupply.com/collections/hvac/products/klein-tools-70550-pro-folding-hex-key-set-11-fractional-inch-sized-keys")</f>
        <v/>
      </c>
      <c r="B352" s="2">
        <f>HYPERLINK("https://edmondsonsupply.com/products/klein-tools-70550-pro-folding-hex-key-set-11-fractional-inch-sized-keys", "https://edmondsonsupply.com/products/klein-tools-70550-pro-folding-hex-key-set-11-fractional-inch-sized-keys")</f>
        <v/>
      </c>
      <c r="C352" t="inlineStr">
        <is>
          <t>Klein Tools 70550 Pro Folding Hex Key Set, 11-Key, SAE Sizes</t>
        </is>
      </c>
      <c r="D352" t="inlineStr">
        <is>
          <t>Klein Tools 50900R Conduit Lockout Wrench Set, Tighten and Loosen Locknuts in Tight Spaces &amp; 70550 Hex Wrench Key Set, 11 SAE Sizes, Heavy Duty Folding Allen Wrench Tool</t>
        </is>
      </c>
      <c r="E352" s="2">
        <f>HYPERLINK("https://www.amazon.com/Klein-Tools-Conduit-Lockout-Locknuts/dp/B0CF2F1JTM/ref=sr_1_4?keywords=Klein+Tools+70550+Pro+Folding+Hex+Key+Set%2C+11-Key%2C+SAE+Sizes&amp;qid=1695173667&amp;sr=8-4", "https://www.amazon.com/Klein-Tools-Conduit-Lockout-Locknuts/dp/B0CF2F1JTM/ref=sr_1_4?keywords=Klein+Tools+70550+Pro+Folding+Hex+Key+Set%2C+11-Key%2C+SAE+Sizes&amp;qid=1695173667&amp;sr=8-4")</f>
        <v/>
      </c>
      <c r="F352" t="inlineStr">
        <is>
          <t>B0CF2F1JTM</t>
        </is>
      </c>
      <c r="G352">
        <f>_xludf.IMAGE("https://edmondsonsupply.com/cdn/shop/products/70550.jpg?v=1587145237")</f>
        <v/>
      </c>
      <c r="H352">
        <f>_xludf.IMAGE("https://m.media-amazon.com/images/I/41bIGhL6z5L._AC_UL320_.jpg")</f>
        <v/>
      </c>
      <c r="I352" t="inlineStr">
        <is>
          <t>19.97</t>
        </is>
      </c>
      <c r="J352" t="n">
        <v>34.94</v>
      </c>
      <c r="K352" s="3" t="inlineStr">
        <is>
          <t>74.96%</t>
        </is>
      </c>
      <c r="L352" t="n">
        <v>4.5</v>
      </c>
      <c r="M352" t="n">
        <v>127</v>
      </c>
      <c r="O352" t="inlineStr">
        <is>
          <t>InStock</t>
        </is>
      </c>
      <c r="P352" t="inlineStr">
        <is>
          <t>27.18</t>
        </is>
      </c>
      <c r="Q352" t="inlineStr">
        <is>
          <t>3693538082916</t>
        </is>
      </c>
    </row>
    <row r="353">
      <c r="A353" s="2">
        <f>HYPERLINK("https://edmondsonsupply.com/collections/hvac/products/klein-tools-32907-7-in-1-impact-flip-socket-set-no-handle", "https://edmondsonsupply.com/collections/hvac/products/klein-tools-32907-7-in-1-impact-flip-socket-set-no-handle")</f>
        <v/>
      </c>
      <c r="B353" s="2">
        <f>HYPERLINK("https://edmondsonsupply.com/products/klein-tools-32907-7-in-1-impact-flip-socket-set-no-handle", "https://edmondsonsupply.com/products/klein-tools-32907-7-in-1-impact-flip-socket-set-no-handle")</f>
        <v/>
      </c>
      <c r="C353" t="inlineStr">
        <is>
          <t>Klein Tools 32907 7-in-1 Impact Flip Socket Set, No Handle</t>
        </is>
      </c>
      <c r="D353" t="inlineStr">
        <is>
          <t>Klein Tools 50900R Conduit Lockout Wrench Set, Tighten and Loosen Locknuts in Tight Spaces &amp; Impact Driver, 7-in-1 Impact Flip Socket Set, 6 Hex Driver Sizes plus a 1/4-Inch Bit Holder 32907</t>
        </is>
      </c>
      <c r="E353" s="2">
        <f>HYPERLINK("https://www.amazon.com/Klein-Tools-Conduit-Lockout-Locknuts/dp/B0CF2DNQ9B/ref=sr_1_4?keywords=Klein+Tools+32907+7-in-1+Impact+Flip+Socket+Set%2C+No+Handle&amp;qid=1695173428&amp;sr=8-4", "https://www.amazon.com/Klein-Tools-Conduit-Lockout-Locknuts/dp/B0CF2DNQ9B/ref=sr_1_4?keywords=Klein+Tools+32907+7-in-1+Impact+Flip+Socket+Set%2C+No+Handle&amp;qid=1695173428&amp;sr=8-4")</f>
        <v/>
      </c>
      <c r="F353" t="inlineStr">
        <is>
          <t>B0CF2DNQ9B</t>
        </is>
      </c>
      <c r="G353">
        <f>_xludf.IMAGE("https://edmondsonsupply.com/cdn/shop/products/32907_b.jpg?v=1666025282")</f>
        <v/>
      </c>
      <c r="H353">
        <f>_xludf.IMAGE("https://m.media-amazon.com/images/I/41kMxpco1dL._AC_UL320_.jpg")</f>
        <v/>
      </c>
      <c r="I353" t="inlineStr">
        <is>
          <t>19.99</t>
        </is>
      </c>
      <c r="J353" t="n">
        <v>34.96</v>
      </c>
      <c r="K353" s="3" t="inlineStr">
        <is>
          <t>74.89%</t>
        </is>
      </c>
      <c r="L353" t="n">
        <v>4.5</v>
      </c>
      <c r="M353" t="n">
        <v>127</v>
      </c>
      <c r="O353" t="inlineStr">
        <is>
          <t>InStock</t>
        </is>
      </c>
      <c r="P353" t="inlineStr">
        <is>
          <t>29.18</t>
        </is>
      </c>
      <c r="Q353" t="inlineStr">
        <is>
          <t>7856653009112</t>
        </is>
      </c>
    </row>
    <row r="354">
      <c r="A354" s="2">
        <f>HYPERLINK("https://edmondsonsupply.com/collections/hvac/products/fieldpiece-anc11-sman-soft-case-black", "https://edmondsonsupply.com/collections/hvac/products/fieldpiece-anc11-sman-soft-case-black")</f>
        <v/>
      </c>
      <c r="B354" s="2">
        <f>HYPERLINK("https://edmondsonsupply.com/products/fieldpiece-anc11-sman-soft-case-black", "https://edmondsonsupply.com/products/fieldpiece-anc11-sman-soft-case-black")</f>
        <v/>
      </c>
      <c r="C354" t="inlineStr">
        <is>
          <t>Fieldpiece ANC11 Manifold Case</t>
        </is>
      </c>
      <c r="D354" t="inlineStr">
        <is>
          <t>Fieldpiece ANC11 - Padded Drawstring Case</t>
        </is>
      </c>
      <c r="E354" s="2">
        <f>HYPERLINK("https://www.amazon.com/Fieldpiece-ANC11-Padded-Drawstring-Case/dp/B08CMWRQ8V/ref=sr_1_1?keywords=Fieldpiece+ANC11+Manifold+Case&amp;qid=1695173387&amp;sr=8-1", "https://www.amazon.com/Fieldpiece-ANC11-Padded-Drawstring-Case/dp/B08CMWRQ8V/ref=sr_1_1?keywords=Fieldpiece+ANC11+Manifold+Case&amp;qid=1695173387&amp;sr=8-1")</f>
        <v/>
      </c>
      <c r="F354" t="inlineStr">
        <is>
          <t>B08CMWRQ8V</t>
        </is>
      </c>
      <c r="G354">
        <f>_xludf.IMAGE("https://edmondsonsupply.com/cdn/shop/products/ANC11-SRC-Product-300dpi.jpg?v=1633030204")</f>
        <v/>
      </c>
      <c r="H354">
        <f>_xludf.IMAGE("https://m.media-amazon.com/images/I/41cwlO2JZFL._AC_UL320_.jpg")</f>
        <v/>
      </c>
      <c r="I354" t="inlineStr">
        <is>
          <t>31.45</t>
        </is>
      </c>
      <c r="J354" t="n">
        <v>54.99</v>
      </c>
      <c r="K354" s="3" t="inlineStr">
        <is>
          <t>74.85%</t>
        </is>
      </c>
      <c r="L354" t="n">
        <v>4.7</v>
      </c>
      <c r="M354" t="n">
        <v>48</v>
      </c>
      <c r="O354" t="inlineStr">
        <is>
          <t>InStock</t>
        </is>
      </c>
      <c r="P354" t="inlineStr">
        <is>
          <t>37.0</t>
        </is>
      </c>
      <c r="Q354" t="inlineStr">
        <is>
          <t>4421344952420</t>
        </is>
      </c>
    </row>
    <row r="355">
      <c r="A355" s="2">
        <f>HYPERLINK("https://edmondsonsupply.com/collections/hvac/products/yellow-jacket-40860-p51-860-titan-digital-manifold", "https://edmondsonsupply.com/collections/hvac/products/yellow-jacket-40860-p51-860-titan-digital-manifold")</f>
        <v/>
      </c>
      <c r="B355" s="2">
        <f>HYPERLINK("https://edmondsonsupply.com/products/yellow-jacket-40860-p51-860-titan-digital-manifold", "https://edmondsonsupply.com/products/yellow-jacket-40860-p51-860-titan-digital-manifold")</f>
        <v/>
      </c>
      <c r="C355" t="inlineStr">
        <is>
          <t>Yellow Jacket 40860 P51-860 Titan Digital Manifold</t>
        </is>
      </c>
      <c r="D355" t="inlineStr">
        <is>
          <t>Yellow Jacket P51-870 Titan? Digital Manifold 40875 w/ 5/16 Compact Valve Hoses</t>
        </is>
      </c>
      <c r="E355" s="2">
        <f>HYPERLINK("https://www.amazon.com/Yellow-Jacket-P51-870-Digital-Manifold/dp/B07QMKT79M/ref=sr_1_2?keywords=Yellow+Jacket+40860+P51-860+Titan+Digital+Manifold&amp;qid=1695173577&amp;sr=8-2", "https://www.amazon.com/Yellow-Jacket-P51-870-Digital-Manifold/dp/B07QMKT79M/ref=sr_1_2?keywords=Yellow+Jacket+40860+P51-860+Titan+Digital+Manifold&amp;qid=1695173577&amp;sr=8-2")</f>
        <v/>
      </c>
      <c r="F355" t="inlineStr">
        <is>
          <t>B07QMKT79M</t>
        </is>
      </c>
      <c r="G355">
        <f>_xludf.IMAGE("https://edmondsonsupply.com/cdn/shop/products/40860_1200x1200_9028ad62-78fb-466e-98e0-f5ac110d1c57.jpg?v=1587150764")</f>
        <v/>
      </c>
      <c r="H355">
        <f>_xludf.IMAGE("https://m.media-amazon.com/images/I/71U0lOmypaL._AC_UY218_.jpg")</f>
        <v/>
      </c>
      <c r="I355" t="inlineStr">
        <is>
          <t>508.65</t>
        </is>
      </c>
      <c r="J355" t="n">
        <v>887.6799999999999</v>
      </c>
      <c r="K355" s="3" t="inlineStr">
        <is>
          <t>74.52%</t>
        </is>
      </c>
      <c r="L355" t="n">
        <v>3.8</v>
      </c>
      <c r="M355" t="n">
        <v>10</v>
      </c>
      <c r="O355" t="inlineStr">
        <is>
          <t>InStock</t>
        </is>
      </c>
      <c r="P355" t="inlineStr">
        <is>
          <t>undefined</t>
        </is>
      </c>
      <c r="Q355" t="inlineStr">
        <is>
          <t>2503105740900</t>
        </is>
      </c>
    </row>
    <row r="356">
      <c r="A356" s="2">
        <f>HYPERLINK("https://edmondsonsupply.com/collections/hvac/products/milwaukee-48-22-1502-fastback%E2%84%A2-folding-utility-knife-w-blade-storage", "https://edmondsonsupply.com/collections/hvac/products/milwaukee-48-22-1502-fastback%E2%84%A2-folding-utility-knife-w-blade-storage")</f>
        <v/>
      </c>
      <c r="B356" s="2">
        <f>HYPERLINK("https://edmondsonsupply.com/products/milwaukee-48-22-1502-fastback%e2%84%a2-folding-utility-knife-w-blade-storage", "https://edmondsonsupply.com/products/milwaukee-48-22-1502-fastback%e2%84%a2-folding-utility-knife-w-blade-storage")</f>
        <v/>
      </c>
      <c r="C356" t="inlineStr">
        <is>
          <t>Milwaukee 48-22-1502 FASTBACK™ Folding Utility Knife w/ Blade Storage</t>
        </is>
      </c>
      <c r="D356" t="inlineStr">
        <is>
          <t>For Milwaukee Tool 48-22-1505 Fastback™ 6In1 Folding Utility Knife</t>
        </is>
      </c>
      <c r="E356" s="2">
        <f>HYPERLINK("https://www.amazon.com/Milwaukee-48-22-1505-FastbackTM-Folding-Utility/dp/B0C69TGH9K/ref=sr_1_5?keywords=Milwaukee+48-22-1502+FASTBACK%E2%84%A2+Folding+Utility+Knife+w%2F+Blade+Storage&amp;qid=1695173435&amp;sr=8-5", "https://www.amazon.com/Milwaukee-48-22-1505-FastbackTM-Folding-Utility/dp/B0C69TGH9K/ref=sr_1_5?keywords=Milwaukee+48-22-1502+FASTBACK%E2%84%A2+Folding+Utility+Knife+w%2F+Blade+Storage&amp;qid=1695173435&amp;sr=8-5")</f>
        <v/>
      </c>
      <c r="F356" t="inlineStr">
        <is>
          <t>B0C69TGH9K</t>
        </is>
      </c>
      <c r="G356">
        <f>_xludf.IMAGE("https://edmondsonsupply.com/cdn/shop/products/48-22-1502_3.png?v=1587148345")</f>
        <v/>
      </c>
      <c r="H356">
        <f>_xludf.IMAGE("https://m.media-amazon.com/images/I/41ZUsUsHByL._AC_UL320_.jpg")</f>
        <v/>
      </c>
      <c r="I356" t="inlineStr">
        <is>
          <t>14.97</t>
        </is>
      </c>
      <c r="J356" t="n">
        <v>26</v>
      </c>
      <c r="K356" s="3" t="inlineStr">
        <is>
          <t>73.68%</t>
        </is>
      </c>
      <c r="L356" t="n">
        <v>4.7</v>
      </c>
      <c r="M356" t="n">
        <v>4</v>
      </c>
      <c r="O356" t="inlineStr">
        <is>
          <t>InStock</t>
        </is>
      </c>
      <c r="P356" t="inlineStr">
        <is>
          <t>23.0</t>
        </is>
      </c>
      <c r="Q356" t="inlineStr">
        <is>
          <t>4399154069604</t>
        </is>
      </c>
    </row>
    <row r="357">
      <c r="A357" s="2">
        <f>HYPERLINK("https://edmondsonsupply.com/collections/hvac/products/cps-btb300", "https://edmondsonsupply.com/collections/hvac/products/cps-btb300")</f>
        <v/>
      </c>
      <c r="B357" s="2">
        <f>HYPERLINK("https://edmondsonsupply.com/products/cps-btb300", "https://edmondsonsupply.com/products/cps-btb300")</f>
        <v/>
      </c>
      <c r="C357" t="inlineStr">
        <is>
          <t>CPS Products BTB300 BlackMax Tubing Bender Kit</t>
        </is>
      </c>
      <c r="D357" t="inlineStr">
        <is>
          <t>CPS Products HVAC Hand Tools and Equipments Kit, BlackMax BTB300 Premium Ratcheting Tube Bender with Reverse Bend and BTLDTW Adjustable Electronic Torque Wrench</t>
        </is>
      </c>
      <c r="E357" s="2">
        <f>HYPERLINK("https://www.amazon.com/Equipments-BLACKMAX-Ratcheting-Adjustable-Electronic/dp/B0BMJRXXLS/ref=sr_1_1?keywords=CPS+Products+BTB300+BlackMax+Tubing+Bender+Kit&amp;qid=1695173573&amp;sr=8-1", "https://www.amazon.com/Equipments-BLACKMAX-Ratcheting-Adjustable-Electronic/dp/B0BMJRXXLS/ref=sr_1_1?keywords=CPS+Products+BTB300+BlackMax+Tubing+Bender+Kit&amp;qid=1695173573&amp;sr=8-1")</f>
        <v/>
      </c>
      <c r="F357" t="inlineStr">
        <is>
          <t>B0BMJRXXLS</t>
        </is>
      </c>
      <c r="G357">
        <f>_xludf.IMAGE("https://edmondsonsupply.com/cdn/shop/products/btb300.jpg?v=1587144067")</f>
        <v/>
      </c>
      <c r="H357">
        <f>_xludf.IMAGE("https://m.media-amazon.com/images/I/51rEotUOF-L._AC_UL320_.jpg")</f>
        <v/>
      </c>
      <c r="I357" t="inlineStr">
        <is>
          <t>210.0</t>
        </is>
      </c>
      <c r="J357" t="n">
        <v>362.23</v>
      </c>
      <c r="K357" s="3" t="inlineStr">
        <is>
          <t>72.49%</t>
        </is>
      </c>
      <c r="L357" t="n">
        <v>5</v>
      </c>
      <c r="M357" t="n">
        <v>1</v>
      </c>
      <c r="O357" t="inlineStr">
        <is>
          <t>InStock</t>
        </is>
      </c>
      <c r="P357" t="inlineStr">
        <is>
          <t>242.31</t>
        </is>
      </c>
      <c r="Q357" t="inlineStr">
        <is>
          <t>3344484171876</t>
        </is>
      </c>
    </row>
    <row r="358">
      <c r="A358" s="2">
        <f>HYPERLINK("https://edmondsonsupply.com/collections/hvac/products/uniweld-utc702-premium-tubing-cutter", "https://edmondsonsupply.com/collections/hvac/products/uniweld-utc702-premium-tubing-cutter")</f>
        <v/>
      </c>
      <c r="B358" s="2">
        <f>HYPERLINK("https://edmondsonsupply.com/products/uniweld-utc702-premium-tubing-cutter", "https://edmondsonsupply.com/products/uniweld-utc702-premium-tubing-cutter")</f>
        <v/>
      </c>
      <c r="C358" t="inlineStr">
        <is>
          <t>Uniweld UTC702 1/8″ to 1-1/8″ Premium Tubing Cutter</t>
        </is>
      </c>
      <c r="D358" t="inlineStr">
        <is>
          <t>Uniweld UTC703 Premium Tubing Cutter for 1/8-Inch to 1 3/8-Inch OD Copper, Brass and Aluminum Tubing</t>
        </is>
      </c>
      <c r="E358" s="2">
        <f>HYPERLINK("https://www.amazon.com/Uniweld-UTC703-Premium-Tubing-Aluminum/dp/B00HNQRKIO/ref=sr_1_3?keywords=Uniweld+UTC702+1%2F8%E2%80%B3+to+1-1%2F8%E2%80%B3+Premium+Tubing+Cutter&amp;qid=1695173635&amp;sr=8-3", "https://www.amazon.com/Uniweld-UTC703-Premium-Tubing-Aluminum/dp/B00HNQRKIO/ref=sr_1_3?keywords=Uniweld+UTC702+1%2F8%E2%80%B3+to+1-1%2F8%E2%80%B3+Premium+Tubing+Cutter&amp;qid=1695173635&amp;sr=8-3")</f>
        <v/>
      </c>
      <c r="F358" t="inlineStr">
        <is>
          <t>B00HNQRKIO</t>
        </is>
      </c>
      <c r="G358">
        <f>_xludf.IMAGE("https://edmondsonsupply.com/cdn/shop/products/utc702-front.jpg?v=1656354409")</f>
        <v/>
      </c>
      <c r="H358">
        <f>_xludf.IMAGE("https://m.media-amazon.com/images/I/51xkqZ0h0lL._AC_UL320_.jpg")</f>
        <v/>
      </c>
      <c r="I358" t="inlineStr">
        <is>
          <t>24.59</t>
        </is>
      </c>
      <c r="J358" t="n">
        <v>42.39</v>
      </c>
      <c r="K358" s="3" t="inlineStr">
        <is>
          <t>72.39%</t>
        </is>
      </c>
      <c r="L358" t="n">
        <v>5</v>
      </c>
      <c r="M358" t="n">
        <v>1</v>
      </c>
      <c r="O358" t="inlineStr">
        <is>
          <t>InStock</t>
        </is>
      </c>
      <c r="P358" t="inlineStr">
        <is>
          <t>31.81</t>
        </is>
      </c>
      <c r="Q358" t="inlineStr">
        <is>
          <t>7731714883800</t>
        </is>
      </c>
    </row>
    <row r="359">
      <c r="A359" s="2">
        <f>HYPERLINK("https://edmondsonsupply.com/collections/hvac/products/klein-tools-85073ins-screwdriver-set-1000v-insulated-3-piece", "https://edmondsonsupply.com/collections/hvac/products/klein-tools-85073ins-screwdriver-set-1000v-insulated-3-piece")</f>
        <v/>
      </c>
      <c r="B359" s="2">
        <f>HYPERLINK("https://edmondsonsupply.com/products/klein-tools-85073ins-screwdriver-set-1000v-insulated-3-piece", "https://edmondsonsupply.com/products/klein-tools-85073ins-screwdriver-set-1000v-insulated-3-piece")</f>
        <v/>
      </c>
      <c r="C359" t="inlineStr">
        <is>
          <t>Klein Tools 85073INS Screwdriver Set, 1000V Insulated, 3-Piece</t>
        </is>
      </c>
      <c r="D359" t="inlineStr">
        <is>
          <t>Klein Tools 33734INS 1000V Slim Tip Insulated Screwdriver Set, Phillips, Cabinet, Square Slim-Tip, Cushion Grip Handle, 4-Piece</t>
        </is>
      </c>
      <c r="E359" s="2">
        <f>HYPERLINK("https://www.amazon.com/Klein-Tools-33734INS-Insulated-Screwdriver/dp/B088NQ1D2B/ref=sr_1_9?keywords=Klein+Tools+85073INS+Screwdriver+Set%2C+1000V+Insulated%2C+3-Piece&amp;qid=1695173458&amp;sr=8-9", "https://www.amazon.com/Klein-Tools-33734INS-Insulated-Screwdriver/dp/B088NQ1D2B/ref=sr_1_9?keywords=Klein+Tools+85073INS+Screwdriver+Set%2C+1000V+Insulated%2C+3-Piece&amp;qid=1695173458&amp;sr=8-9")</f>
        <v/>
      </c>
      <c r="F359" t="inlineStr">
        <is>
          <t>B088NQ1D2B</t>
        </is>
      </c>
      <c r="G359">
        <f>_xludf.IMAGE("https://edmondsonsupply.com/cdn/shop/products/85073ins.jpg?v=1664890503")</f>
        <v/>
      </c>
      <c r="H359">
        <f>_xludf.IMAGE("https://m.media-amazon.com/images/I/41+LCtq0IpL._AC_UL320_.jpg")</f>
        <v/>
      </c>
      <c r="I359" t="inlineStr">
        <is>
          <t>21.97</t>
        </is>
      </c>
      <c r="J359" t="n">
        <v>37.7</v>
      </c>
      <c r="K359" s="3" t="inlineStr">
        <is>
          <t>71.60%</t>
        </is>
      </c>
      <c r="L359" t="n">
        <v>4.8</v>
      </c>
      <c r="M359" t="n">
        <v>1361</v>
      </c>
      <c r="O359" t="inlineStr">
        <is>
          <t>InStock</t>
        </is>
      </c>
      <c r="P359" t="inlineStr">
        <is>
          <t>32.98</t>
        </is>
      </c>
      <c r="Q359" t="inlineStr">
        <is>
          <t>7839219613912</t>
        </is>
      </c>
    </row>
    <row r="360">
      <c r="A360" s="2">
        <f>HYPERLINK("https://edmondsonsupply.com/collections/hvac/products/malco-tools-lp7r-eagle-grip-7-straight-jaw-locking-pliers", "https://edmondsonsupply.com/collections/hvac/products/malco-tools-lp7r-eagle-grip-7-straight-jaw-locking-pliers")</f>
        <v/>
      </c>
      <c r="B360" s="2">
        <f>HYPERLINK("https://edmondsonsupply.com/products/malco-tools-lp7r-eagle-grip-7-straight-jaw-locking-pliers", "https://edmondsonsupply.com/products/malco-tools-lp7r-eagle-grip-7-straight-jaw-locking-pliers")</f>
        <v/>
      </c>
      <c r="C360" t="inlineStr">
        <is>
          <t>Malco Tools LP7R Eagle Grip 7″ Straight Jaw Locking Pliers</t>
        </is>
      </c>
      <c r="D360" t="inlineStr">
        <is>
          <t>Eagle Grip by Malco LP7WC 7 in. Curved Jaw Locking Pliers with Wire Cutter &amp; Grip by Malco LP7R 7 in. Straight Jaw Locking Pliers</t>
        </is>
      </c>
      <c r="E360" s="2">
        <f>HYPERLINK("https://www.amazon.com/Malco-Curved-Locking-Pliers-Straight/dp/B0BGPVRDJ6/ref=sr_1_3?keywords=Malco+Tools+LP7R+Eagle+Grip+7%E2%80%B3+Straight+Jaw+Locking+Pliers&amp;qid=1695173432&amp;sr=8-3", "https://www.amazon.com/Malco-Curved-Locking-Pliers-Straight/dp/B0BGPVRDJ6/ref=sr_1_3?keywords=Malco+Tools+LP7R+Eagle+Grip+7%E2%80%B3+Straight+Jaw+Locking+Pliers&amp;qid=1695173432&amp;sr=8-3")</f>
        <v/>
      </c>
      <c r="F360" t="inlineStr">
        <is>
          <t>B0BGPVRDJ6</t>
        </is>
      </c>
      <c r="G360">
        <f>_xludf.IMAGE("https://edmondsonsupply.com/cdn/shop/products/LP7R-eagle-grip-locking-pliers-in-hand.jpg?v=1657291391")</f>
        <v/>
      </c>
      <c r="H360">
        <f>_xludf.IMAGE("https://m.media-amazon.com/images/I/411-49NbYHL._AC_UL320_.jpg")</f>
        <v/>
      </c>
      <c r="I360" t="inlineStr">
        <is>
          <t>49.99</t>
        </is>
      </c>
      <c r="J360" t="n">
        <v>85.72</v>
      </c>
      <c r="K360" s="3" t="inlineStr">
        <is>
          <t>71.47%</t>
        </is>
      </c>
      <c r="L360" t="n">
        <v>4.9</v>
      </c>
      <c r="M360" t="n">
        <v>426</v>
      </c>
      <c r="O360" t="inlineStr">
        <is>
          <t>InStock</t>
        </is>
      </c>
      <c r="P360" t="inlineStr">
        <is>
          <t>54.67</t>
        </is>
      </c>
      <c r="Q360" t="inlineStr">
        <is>
          <t>7742222270680</t>
        </is>
      </c>
    </row>
    <row r="361">
      <c r="A361" s="2">
        <f>HYPERLINK("https://edmondsonsupply.com/collections/hvac/products/white-rodgers-24a34-2-24v-electric-heat-sequencer-spst", "https://edmondsonsupply.com/collections/hvac/products/white-rodgers-24a34-2-24v-electric-heat-sequencer-spst")</f>
        <v/>
      </c>
      <c r="B361" s="2">
        <f>HYPERLINK("https://edmondsonsupply.com/products/white-rodgers-24a34-2-24v-electric-heat-sequencer-spst", "https://edmondsonsupply.com/products/white-rodgers-24a34-2-24v-electric-heat-sequencer-spst")</f>
        <v/>
      </c>
      <c r="C361" t="inlineStr">
        <is>
          <t>White-Rodgers 24A34-2 24V Electric Heat Sequencer, SPST</t>
        </is>
      </c>
      <c r="D361" t="inlineStr">
        <is>
          <t>White-Rodgers 24A34-3 Electric Heat Sequencer, 2 Switch</t>
        </is>
      </c>
      <c r="E361" s="2">
        <f>HYPERLINK("https://www.amazon.com/White-Rodgers-24A34-3-Electric-Sequencer-Switch/dp/B000LDGR4Y/ref=sr_1_4?keywords=White-Rodgers+24A34-2+24V+Electric+Heat+Sequencer%2C+SPST&amp;qid=1695173537&amp;sr=8-4", "https://www.amazon.com/White-Rodgers-24A34-3-Electric-Sequencer-Switch/dp/B000LDGR4Y/ref=sr_1_4?keywords=White-Rodgers+24A34-2+24V+Electric+Heat+Sequencer%2C+SPST&amp;qid=1695173537&amp;sr=8-4")</f>
        <v/>
      </c>
      <c r="F361" t="inlineStr">
        <is>
          <t>B000LDGR4Y</t>
        </is>
      </c>
      <c r="G361">
        <f>_xludf.IMAGE("https://edmondsonsupply.com/cdn/shop/products/24A34-2.jpg?v=1633030752")</f>
        <v/>
      </c>
      <c r="H361">
        <f>_xludf.IMAGE("https://m.media-amazon.com/images/I/81cvHpX0ILL._AC_UY218_.jpg")</f>
        <v/>
      </c>
      <c r="I361" t="inlineStr">
        <is>
          <t>11.99</t>
        </is>
      </c>
      <c r="J361" t="n">
        <v>20.47</v>
      </c>
      <c r="K361" s="3" t="inlineStr">
        <is>
          <t>70.73%</t>
        </is>
      </c>
      <c r="L361" t="n">
        <v>4.8</v>
      </c>
      <c r="M361" t="n">
        <v>9</v>
      </c>
      <c r="O361" t="inlineStr">
        <is>
          <t>InStock</t>
        </is>
      </c>
      <c r="P361" t="inlineStr">
        <is>
          <t>26.43</t>
        </is>
      </c>
      <c r="Q361" t="inlineStr">
        <is>
          <t>5896366424232</t>
        </is>
      </c>
    </row>
    <row r="362">
      <c r="A362" s="2">
        <f>HYPERLINK("https://edmondsonsupply.com/collections/hvac/products/hilmor-1839108-tcc-thermocouple-clamp", "https://edmondsonsupply.com/collections/hvac/products/hilmor-1839108-tcc-thermocouple-clamp")</f>
        <v/>
      </c>
      <c r="B362" s="2">
        <f>HYPERLINK("https://edmondsonsupply.com/products/hilmor-1839108-tcc-thermocouple-clamp", "https://edmondsonsupply.com/products/hilmor-1839108-tcc-thermocouple-clamp")</f>
        <v/>
      </c>
      <c r="C362" t="inlineStr">
        <is>
          <t>Hilmor 1839108 TCC Thermocouple Clamp</t>
        </is>
      </c>
      <c r="D362" t="inlineStr">
        <is>
          <t>hilmor 1839108 TCC Thermocouple Clamp</t>
        </is>
      </c>
      <c r="E362" s="2">
        <f>HYPERLINK("https://www.amazon.com/hilmor-1839108-TCC-Thermocouple-Clamp/dp/B00G2R0CYY/ref=sr_1_2?keywords=Hilmor+1839108+TCC+Thermocouple+Clamp&amp;qid=1695173574&amp;sr=8-2", "https://www.amazon.com/hilmor-1839108-TCC-Thermocouple-Clamp/dp/B00G2R0CYY/ref=sr_1_2?keywords=Hilmor+1839108+TCC+Thermocouple+Clamp&amp;qid=1695173574&amp;sr=8-2")</f>
        <v/>
      </c>
      <c r="F362" t="inlineStr">
        <is>
          <t>B00G2R0CYY</t>
        </is>
      </c>
      <c r="G362">
        <f>_xludf.IMAGE("https://edmondsonsupply.com/cdn/shop/products/1839108-O1.jpg?v=1587144125")</f>
        <v/>
      </c>
      <c r="H362">
        <f>_xludf.IMAGE("https://m.media-amazon.com/images/I/81DZ-bnLWoL._AC_UY218_.jpg")</f>
        <v/>
      </c>
      <c r="I362" t="inlineStr">
        <is>
          <t>47.68</t>
        </is>
      </c>
      <c r="J362" t="n">
        <v>81.39</v>
      </c>
      <c r="K362" s="3" t="inlineStr">
        <is>
          <t>70.70%</t>
        </is>
      </c>
      <c r="L362" t="n">
        <v>4.3</v>
      </c>
      <c r="M362" t="n">
        <v>67</v>
      </c>
      <c r="O362" t="inlineStr">
        <is>
          <t>InStock</t>
        </is>
      </c>
      <c r="P362" t="inlineStr">
        <is>
          <t>163.01</t>
        </is>
      </c>
      <c r="Q362" t="inlineStr">
        <is>
          <t>2099404374116</t>
        </is>
      </c>
    </row>
    <row r="363">
      <c r="A363" s="2">
        <f>HYPERLINK("https://edmondsonsupply.com/collections/hvac/products/icm-controls-icm2805a-furnace-control-board-replacement-for-nordyne", "https://edmondsonsupply.com/collections/hvac/products/icm-controls-icm2805a-furnace-control-board-replacement-for-nordyne")</f>
        <v/>
      </c>
      <c r="B363" s="2">
        <f>HYPERLINK("https://edmondsonsupply.com/products/icm-controls-icm2805a-furnace-control-board-replacement-for-nordyne", "https://edmondsonsupply.com/products/icm-controls-icm2805a-furnace-control-board-replacement-for-nordyne")</f>
        <v/>
      </c>
      <c r="C363" t="inlineStr">
        <is>
          <t>ICM Controls ICM2805A Furnace Control Board - Replacement for Nordyne</t>
        </is>
      </c>
      <c r="D363" t="inlineStr">
        <is>
          <t>OEM Upgraded Replacement for Nordyne Furnace Control Circuit Board 903106</t>
        </is>
      </c>
      <c r="E363" s="2">
        <f>HYPERLINK("https://www.amazon.com/Upgraded-Replacement-Furnace-Control-Circuit/dp/B00EFAYTG2/ref=sr_1_8?keywords=ICM+Controls+ICM2805A+Furnace+Control+Board+-+Replacement+for+Nordyne&amp;qid=1695173420&amp;sr=8-8", "https://www.amazon.com/Upgraded-Replacement-Furnace-Control-Circuit/dp/B00EFAYTG2/ref=sr_1_8?keywords=ICM+Controls+ICM2805A+Furnace+Control+Board+-+Replacement+for+Nordyne&amp;qid=1695173420&amp;sr=8-8")</f>
        <v/>
      </c>
      <c r="F363" t="inlineStr">
        <is>
          <t>B00EFAYTG2</t>
        </is>
      </c>
      <c r="G363">
        <f>_xludf.IMAGE("https://edmondsonsupply.com/cdn/shop/products/57_3_42a53dd2-02e8-4469-bc0c-0265897201e7.jpg?v=1633031145")</f>
        <v/>
      </c>
      <c r="H363">
        <f>_xludf.IMAGE("https://m.media-amazon.com/images/I/515vIDTDHiL._AC_UL320_.jpg")</f>
        <v/>
      </c>
      <c r="I363" t="inlineStr">
        <is>
          <t>116.59</t>
        </is>
      </c>
      <c r="J363" t="n">
        <v>198.95</v>
      </c>
      <c r="K363" s="3" t="inlineStr">
        <is>
          <t>70.64%</t>
        </is>
      </c>
      <c r="L363" t="n">
        <v>4.6</v>
      </c>
      <c r="M363" t="n">
        <v>97</v>
      </c>
      <c r="O363" t="inlineStr">
        <is>
          <t>InStock</t>
        </is>
      </c>
      <c r="P363" t="inlineStr">
        <is>
          <t>161.12</t>
        </is>
      </c>
      <c r="Q363" t="inlineStr">
        <is>
          <t>6892060639405</t>
        </is>
      </c>
    </row>
    <row r="364">
      <c r="A364" s="2">
        <f>HYPERLINK("https://edmondsonsupply.com/collections/hvac/products/channellock-804", "https://edmondsonsupply.com/collections/hvac/products/channellock-804")</f>
        <v/>
      </c>
      <c r="B364" s="2">
        <f>HYPERLINK("https://edmondsonsupply.com/products/channellock-804", "https://edmondsonsupply.com/products/channellock-804")</f>
        <v/>
      </c>
      <c r="C364" t="inlineStr">
        <is>
          <t>Channellock 804 4-Inch Chrome Adjustable Wrench</t>
        </is>
      </c>
      <c r="D364" t="inlineStr">
        <is>
          <t>Channellock 804 Adjustable Wrench, Chrome Plated</t>
        </is>
      </c>
      <c r="E364" s="2">
        <f>HYPERLINK("https://www.amazon.com/Channellock-Adjustable-Wrench-Chrome-Plated/dp/B017082YG2/ref=sr_1_1?keywords=Channellock+804+4-Inch+Chrome+Adjustable+Wrench&amp;qid=1695173641&amp;sr=8-1", "https://www.amazon.com/Channellock-Adjustable-Wrench-Chrome-Plated/dp/B017082YG2/ref=sr_1_1?keywords=Channellock+804+4-Inch+Chrome+Adjustable+Wrench&amp;qid=1695173641&amp;sr=8-1")</f>
        <v/>
      </c>
      <c r="F364" t="inlineStr">
        <is>
          <t>B017082YG2</t>
        </is>
      </c>
      <c r="G364">
        <f>_xludf.IMAGE("https://edmondsonsupply.com/cdn/shop/products/804-683x1024.jpg?v=1587145853")</f>
        <v/>
      </c>
      <c r="H364">
        <f>_xludf.IMAGE("https://m.media-amazon.com/images/I/51KTfUlRtzL._AC_UL320_.jpg")</f>
        <v/>
      </c>
      <c r="I364" t="inlineStr">
        <is>
          <t>16.95</t>
        </is>
      </c>
      <c r="J364" t="n">
        <v>28.91</v>
      </c>
      <c r="K364" s="3" t="inlineStr">
        <is>
          <t>70.56%</t>
        </is>
      </c>
      <c r="L364" t="n">
        <v>5</v>
      </c>
      <c r="M364" t="n">
        <v>3</v>
      </c>
      <c r="O364" t="inlineStr">
        <is>
          <t>InStock</t>
        </is>
      </c>
      <c r="P364" t="inlineStr">
        <is>
          <t>26.62</t>
        </is>
      </c>
      <c r="Q364" t="inlineStr">
        <is>
          <t>4094611488868</t>
        </is>
      </c>
    </row>
    <row r="365">
      <c r="A365" s="2">
        <f>HYPERLINK("https://edmondsonsupply.com/collections/hvac/products/klein-tools-935dag-digital-angle-gauge-and-level", "https://edmondsonsupply.com/collections/hvac/products/klein-tools-935dag-digital-angle-gauge-and-level")</f>
        <v/>
      </c>
      <c r="B365" s="2">
        <f>HYPERLINK("https://edmondsonsupply.com/products/klein-tools-935dag-digital-angle-gauge-and-level", "https://edmondsonsupply.com/products/klein-tools-935dag-digital-angle-gauge-and-level")</f>
        <v/>
      </c>
      <c r="C365" t="inlineStr">
        <is>
          <t>Klein Tools 935DAG Digital Angle Gauge and Level</t>
        </is>
      </c>
      <c r="D365" t="inlineStr">
        <is>
          <t>Klein Tools 935DAG Digital Electronic Level and Angle Gauge, Measures and Sets Angles &amp; General Tools T-Bevel Gauge &amp; Protractor - Digital Angle Finder with Full LCD Display &amp; 8" Stainless Steel Blade</t>
        </is>
      </c>
      <c r="E365" s="2">
        <f>HYPERLINK("https://www.amazon.com/Klein-Tools-Electronic-Measures-Protractor/dp/B09P843CWF/ref=sr_1_2?keywords=Klein+Tools+935DAG+Digital+Angle+Gauge+and+Level&amp;qid=1695173564&amp;sr=8-2", "https://www.amazon.com/Klein-Tools-Electronic-Measures-Protractor/dp/B09P843CWF/ref=sr_1_2?keywords=Klein+Tools+935DAG+Digital+Angle+Gauge+and+Level&amp;qid=1695173564&amp;sr=8-2")</f>
        <v/>
      </c>
      <c r="F365" t="inlineStr">
        <is>
          <t>B09P843CWF</t>
        </is>
      </c>
      <c r="G365">
        <f>_xludf.IMAGE("https://edmondsonsupply.com/cdn/shop/products/935dag.jpg?v=1587145032")</f>
        <v/>
      </c>
      <c r="H365">
        <f>_xludf.IMAGE("https://m.media-amazon.com/images/I/51nqC5OG7xL._AC_UL320_.jpg")</f>
        <v/>
      </c>
      <c r="I365" t="inlineStr">
        <is>
          <t>29.97</t>
        </is>
      </c>
      <c r="J365" t="n">
        <v>51.04</v>
      </c>
      <c r="K365" s="3" t="inlineStr">
        <is>
          <t>70.30%</t>
        </is>
      </c>
      <c r="L365" t="n">
        <v>4.8</v>
      </c>
      <c r="M365" t="n">
        <v>29</v>
      </c>
      <c r="O365" t="inlineStr">
        <is>
          <t>InStock</t>
        </is>
      </c>
      <c r="P365" t="inlineStr">
        <is>
          <t>45.0</t>
        </is>
      </c>
      <c r="Q365" t="inlineStr">
        <is>
          <t>4167487094884</t>
        </is>
      </c>
    </row>
    <row r="366">
      <c r="A366" s="2">
        <f>HYPERLINK("https://edmondsonsupply.com/collections/hvac/products/klein-tools-69410-replacement-test-lead-set-right-angle", "https://edmondsonsupply.com/collections/hvac/products/klein-tools-69410-replacement-test-lead-set-right-angle")</f>
        <v/>
      </c>
      <c r="B366" s="2">
        <f>HYPERLINK("https://edmondsonsupply.com/products/klein-tools-69410-replacement-test-lead-set-right-angle", "https://edmondsonsupply.com/products/klein-tools-69410-replacement-test-lead-set-right-angle")</f>
        <v/>
      </c>
      <c r="C366" t="inlineStr">
        <is>
          <t>Klein Tools 69410 Replacement Test Lead Set, Right Angle</t>
        </is>
      </c>
      <c r="D366" t="inlineStr">
        <is>
          <t>Klein Tools 69410 Replacement Test Lead Set, Right Angle &amp; 69381 Alligator Clip Test Leads, Heavy-Duty Replacement Meter Leads, for All Meters Using Banana Plug Meter Leads, 3-Foot</t>
        </is>
      </c>
      <c r="E366" s="2">
        <f>HYPERLINK("https://www.amazon.com/Klein-Tools-Replacement-Alligator-Heavy-Duty/dp/B0C3B9WXP6/ref=sr_1_2?keywords=Klein+Tools+69410+Replacement+Test+Lead+Set%2C+Right+Angle&amp;qid=1695173692&amp;sr=8-2", "https://www.amazon.com/Klein-Tools-Replacement-Alligator-Heavy-Duty/dp/B0C3B9WXP6/ref=sr_1_2?keywords=Klein+Tools+69410+Replacement+Test+Lead+Set%2C+Right+Angle&amp;qid=1695173692&amp;sr=8-2")</f>
        <v/>
      </c>
      <c r="F366" t="inlineStr">
        <is>
          <t>B0C3B9WXP6</t>
        </is>
      </c>
      <c r="G366">
        <f>_xludf.IMAGE("https://edmondsonsupply.com/cdn/shop/products/69410.jpg?v=1587143393")</f>
        <v/>
      </c>
      <c r="H366">
        <f>_xludf.IMAGE("https://m.media-amazon.com/images/I/51n7wUjxshL._AC_UY218_.jpg")</f>
        <v/>
      </c>
      <c r="I366" t="inlineStr">
        <is>
          <t>19.97</t>
        </is>
      </c>
      <c r="J366" t="n">
        <v>33.96</v>
      </c>
      <c r="K366" s="3" t="inlineStr">
        <is>
          <t>70.06%</t>
        </is>
      </c>
      <c r="L366" t="n">
        <v>4.5</v>
      </c>
      <c r="M366" t="n">
        <v>10</v>
      </c>
      <c r="O366" t="inlineStr">
        <is>
          <t>InStock</t>
        </is>
      </c>
      <c r="P366" t="inlineStr">
        <is>
          <t>27.1</t>
        </is>
      </c>
      <c r="Q366" t="inlineStr">
        <is>
          <t>4274171543652</t>
        </is>
      </c>
    </row>
    <row r="367">
      <c r="A367" s="2">
        <f>HYPERLINK("https://edmondsonsupply.com/collections/hvac/products/icm-controls-icm2805a-furnace-control-board-replacement-for-nordyne", "https://edmondsonsupply.com/collections/hvac/products/icm-controls-icm2805a-furnace-control-board-replacement-for-nordyne")</f>
        <v/>
      </c>
      <c r="B367" s="2">
        <f>HYPERLINK("https://edmondsonsupply.com/products/icm-controls-icm2805a-furnace-control-board-replacement-for-nordyne", "https://edmondsonsupply.com/products/icm-controls-icm2805a-furnace-control-board-replacement-for-nordyne")</f>
        <v/>
      </c>
      <c r="C367" t="inlineStr">
        <is>
          <t>ICM Controls ICM2805A Furnace Control Board - Replacement for Nordyne</t>
        </is>
      </c>
      <c r="D367" t="inlineStr">
        <is>
          <t>624631-B - OEM Replacement for Nordyne Furnace Control Circuit Board</t>
        </is>
      </c>
      <c r="E367" s="2">
        <f>HYPERLINK("https://www.amazon.com/624631-B-Replacement-Nordyne-Furnace-Control/dp/B00YYFBC72/ref=sr_1_10?keywords=ICM+Controls+ICM2805A+Furnace+Control+Board+-+Replacement+for+Nordyne&amp;qid=1695173420&amp;sr=8-10", "https://www.amazon.com/624631-B-Replacement-Nordyne-Furnace-Control/dp/B00YYFBC72/ref=sr_1_10?keywords=ICM+Controls+ICM2805A+Furnace+Control+Board+-+Replacement+for+Nordyne&amp;qid=1695173420&amp;sr=8-10")</f>
        <v/>
      </c>
      <c r="F367" t="inlineStr">
        <is>
          <t>B00YYFBC72</t>
        </is>
      </c>
      <c r="G367">
        <f>_xludf.IMAGE("https://edmondsonsupply.com/cdn/shop/products/57_3_42a53dd2-02e8-4469-bc0c-0265897201e7.jpg?v=1633031145")</f>
        <v/>
      </c>
      <c r="H367">
        <f>_xludf.IMAGE("https://m.media-amazon.com/images/I/51zkInbD61L._AC_UL320_.jpg")</f>
        <v/>
      </c>
      <c r="I367" t="inlineStr">
        <is>
          <t>116.59</t>
        </is>
      </c>
      <c r="J367" t="n">
        <v>197.98</v>
      </c>
      <c r="K367" s="3" t="inlineStr">
        <is>
          <t>69.81%</t>
        </is>
      </c>
      <c r="L367" t="n">
        <v>4.7</v>
      </c>
      <c r="M367" t="n">
        <v>46</v>
      </c>
      <c r="O367" t="inlineStr">
        <is>
          <t>InStock</t>
        </is>
      </c>
      <c r="P367" t="inlineStr">
        <is>
          <t>161.12</t>
        </is>
      </c>
      <c r="Q367" t="inlineStr">
        <is>
          <t>6892060639405</t>
        </is>
      </c>
    </row>
    <row r="368">
      <c r="A368" s="2">
        <f>HYPERLINK("https://edmondsonsupply.com/collections/hvac/products/icm-controls-umsr-50-universal-motor-starting-relay", "https://edmondsonsupply.com/collections/hvac/products/icm-controls-umsr-50-universal-motor-starting-relay")</f>
        <v/>
      </c>
      <c r="B368" s="2">
        <f>HYPERLINK("https://edmondsonsupply.com/products/icm-controls-umsr-50-universal-motor-starting-relay", "https://edmondsonsupply.com/products/icm-controls-umsr-50-universal-motor-starting-relay")</f>
        <v/>
      </c>
      <c r="C368" t="inlineStr">
        <is>
          <t>ICM Controls UMSR-50 Universal Motor Starting Relay</t>
        </is>
      </c>
      <c r="D368" t="inlineStr">
        <is>
          <t>ICM Controls UMSR-50 Universal Motor Starting Relay, 50 Amp, Patented Differential Voltage Sensing, Voltage Rating 110V - 270V AC, Single Phase (Maximum Voltage Contact Rating 502V AC)</t>
        </is>
      </c>
      <c r="E368" s="2">
        <f>HYPERLINK("https://www.amazon.com/ICM-Controls-UMSR-50-Universal-differential/dp/B002JE3L9M/ref=sr_1_1?keywords=ICM+Controls+UMSR-50+Universal+Motor+Starting+Relay&amp;qid=1695173377&amp;sr=8-1", "https://www.amazon.com/ICM-Controls-UMSR-50-Universal-differential/dp/B002JE3L9M/ref=sr_1_1?keywords=ICM+Controls+UMSR-50+Universal+Motor+Starting+Relay&amp;qid=1695173377&amp;sr=8-1")</f>
        <v/>
      </c>
      <c r="F368" t="inlineStr">
        <is>
          <t>B002JE3L9M</t>
        </is>
      </c>
      <c r="G368">
        <f>_xludf.IMAGE("https://edmondsonsupply.com/cdn/shop/files/UMSR50.png?v=1684277014")</f>
        <v/>
      </c>
      <c r="H368">
        <f>_xludf.IMAGE("https://m.media-amazon.com/images/I/61Tg3J+1zSL._AC_UY218_.jpg")</f>
        <v/>
      </c>
      <c r="I368" t="inlineStr">
        <is>
          <t>22.97</t>
        </is>
      </c>
      <c r="J368" t="n">
        <v>39</v>
      </c>
      <c r="K368" s="3" t="inlineStr">
        <is>
          <t>69.79%</t>
        </is>
      </c>
      <c r="L368" t="n">
        <v>4</v>
      </c>
      <c r="M368" t="n">
        <v>15</v>
      </c>
      <c r="O368" t="inlineStr">
        <is>
          <t>InStock</t>
        </is>
      </c>
      <c r="P368" t="inlineStr">
        <is>
          <t>23.83</t>
        </is>
      </c>
      <c r="Q368" t="inlineStr">
        <is>
          <t>7993211191512</t>
        </is>
      </c>
    </row>
    <row r="369">
      <c r="A369" s="2">
        <f>HYPERLINK("https://edmondsonsupply.com/collections/hvac/products/milwaukee-48-22-0305-folding-jab-saw", "https://edmondsonsupply.com/collections/hvac/products/milwaukee-48-22-0305-folding-jab-saw")</f>
        <v/>
      </c>
      <c r="B369" s="2">
        <f>HYPERLINK("https://edmondsonsupply.com/products/milwaukee-48-22-0305-folding-jab-saw", "https://edmondsonsupply.com/products/milwaukee-48-22-0305-folding-jab-saw")</f>
        <v/>
      </c>
      <c r="C369" t="inlineStr">
        <is>
          <t>Milwaukee 48-22-0305 Folding Jab Saw</t>
        </is>
      </c>
      <c r="D369" t="inlineStr">
        <is>
          <t>Milwaukee 48-22-0305 Folding Jab Saw</t>
        </is>
      </c>
      <c r="E369" s="2">
        <f>HYPERLINK("https://www.amazon.com/Milwaukee-48-22-0305-Folding-Jab-Saw/dp/B07FB3LJ2M/ref=sr_1_3?keywords=Milwaukee+48-22-0305+Folding+Jab+Saw&amp;qid=1695173671&amp;sr=8-3", "https://www.amazon.com/Milwaukee-48-22-0305-Folding-Jab-Saw/dp/B07FB3LJ2M/ref=sr_1_3?keywords=Milwaukee+48-22-0305+Folding+Jab+Saw&amp;qid=1695173671&amp;sr=8-3")</f>
        <v/>
      </c>
      <c r="F369" t="inlineStr">
        <is>
          <t>B07FB3LJ2M</t>
        </is>
      </c>
      <c r="G369">
        <f>_xludf.IMAGE("https://edmondsonsupply.com/cdn/shop/products/49678_48-22-0305-lg.jpg?v=1587148349")</f>
        <v/>
      </c>
      <c r="H369">
        <f>_xludf.IMAGE("https://m.media-amazon.com/images/I/31MwF2AgpNL._AC_UL320_.jpg")</f>
        <v/>
      </c>
      <c r="I369" t="inlineStr">
        <is>
          <t>19.97</t>
        </is>
      </c>
      <c r="J369" t="n">
        <v>33.87</v>
      </c>
      <c r="K369" s="3" t="inlineStr">
        <is>
          <t>69.60%</t>
        </is>
      </c>
      <c r="L369" t="n">
        <v>4.1</v>
      </c>
      <c r="M369" t="n">
        <v>19</v>
      </c>
      <c r="O369" t="inlineStr">
        <is>
          <t>InStock</t>
        </is>
      </c>
      <c r="P369" t="inlineStr">
        <is>
          <t>31.1</t>
        </is>
      </c>
      <c r="Q369" t="inlineStr">
        <is>
          <t>4349655449700</t>
        </is>
      </c>
    </row>
    <row r="370">
      <c r="A370" s="2">
        <f>HYPERLINK("https://edmondsonsupply.com/collections/hvac/products/supco-magtract-retractable-magnetic-jumper", "https://edmondsonsupply.com/collections/hvac/products/supco-magtract-retractable-magnetic-jumper")</f>
        <v/>
      </c>
      <c r="B370" s="2">
        <f>HYPERLINK("https://edmondsonsupply.com/products/supco-magtract-retractable-magnetic-jumper", "https://edmondsonsupply.com/products/supco-magtract-retractable-magnetic-jumper")</f>
        <v/>
      </c>
      <c r="C370" t="inlineStr">
        <is>
          <t>Supco MAGTRACT Retractable Magnetic Jumper</t>
        </is>
      </c>
      <c r="D370" t="inlineStr">
        <is>
          <t>Supplying Demand MAGTRACT 20 Inch Retractable Magnetic Jumper for Diagnostics 5A 30V Maximum</t>
        </is>
      </c>
      <c r="E370" s="2">
        <f>HYPERLINK("https://www.amazon.com/Supplying-Demand-MAGTRACT-Retractable-Thermostats/dp/B094TGP7YZ/ref=sr_1_1?keywords=Supco+MAGTRACT+Retractable+Magnetic+Jumper&amp;qid=1695173380&amp;sr=8-1", "https://www.amazon.com/Supplying-Demand-MAGTRACT-Retractable-Thermostats/dp/B094TGP7YZ/ref=sr_1_1?keywords=Supco+MAGTRACT+Retractable+Magnetic+Jumper&amp;qid=1695173380&amp;sr=8-1")</f>
        <v/>
      </c>
      <c r="F370" t="inlineStr">
        <is>
          <t>B094TGP7YZ</t>
        </is>
      </c>
      <c r="G370">
        <f>_xludf.IMAGE("https://edmondsonsupply.com/cdn/shop/products/magtract.jpg?v=1633030328")</f>
        <v/>
      </c>
      <c r="H370">
        <f>_xludf.IMAGE("https://m.media-amazon.com/images/I/41GNf4-XHuS._AC_UY218_.jpg")</f>
        <v/>
      </c>
      <c r="I370" t="inlineStr">
        <is>
          <t>11.2</t>
        </is>
      </c>
      <c r="J370" t="n">
        <v>18.99</v>
      </c>
      <c r="K370" s="3" t="inlineStr">
        <is>
          <t>69.55%</t>
        </is>
      </c>
      <c r="L370" t="n">
        <v>4.1</v>
      </c>
      <c r="M370" t="n">
        <v>7</v>
      </c>
      <c r="O370" t="inlineStr">
        <is>
          <t>InStock</t>
        </is>
      </c>
      <c r="P370" t="inlineStr">
        <is>
          <t>undefined</t>
        </is>
      </c>
      <c r="Q370" t="inlineStr">
        <is>
          <t>5263024390312</t>
        </is>
      </c>
    </row>
    <row r="371">
      <c r="A371" s="2">
        <f>HYPERLINK("https://edmondsonsupply.com/collections/hvac/products/jb-industries-dv-200n-platinum-7-cfm-vacuum-pump", "https://edmondsonsupply.com/collections/hvac/products/jb-industries-dv-200n-platinum-7-cfm-vacuum-pump")</f>
        <v/>
      </c>
      <c r="B371" s="2">
        <f>HYPERLINK("https://edmondsonsupply.com/products/jb-industries-dv-200n-platinum-7-cfm-vacuum-pump", "https://edmondsonsupply.com/products/jb-industries-dv-200n-platinum-7-cfm-vacuum-pump")</f>
        <v/>
      </c>
      <c r="C371" t="inlineStr">
        <is>
          <t>JB Industries DV-200N Platinum 7 CFM Vacuum Pump</t>
        </is>
      </c>
      <c r="D371" t="inlineStr">
        <is>
          <t>JB Industries DV-285N Platinum 10 CFM Vacuum Pump</t>
        </is>
      </c>
      <c r="E371" s="2">
        <f>HYPERLINK("https://www.amazon.com/JB-Industries-DV-285N-Platinum-Vacuum/dp/B003M5JFFG/ref=sr_1_5?keywords=JB+Industries+DV-200N+Platinum+7+CFM+Vacuum+Pump&amp;qid=1695173576&amp;sr=8-5", "https://www.amazon.com/JB-Industries-DV-285N-Platinum-Vacuum/dp/B003M5JFFG/ref=sr_1_5?keywords=JB+Industries+DV-200N+Platinum+7+CFM+Vacuum+Pump&amp;qid=1695173576&amp;sr=8-5")</f>
        <v/>
      </c>
      <c r="F371" t="inlineStr">
        <is>
          <t>B003M5JFFG</t>
        </is>
      </c>
      <c r="G371">
        <f>_xludf.IMAGE("https://edmondsonsupply.com/cdn/shop/products/dv-200n.jpg?v=1587145620")</f>
        <v/>
      </c>
      <c r="H371">
        <f>_xludf.IMAGE("https://m.media-amazon.com/images/I/61j+Wpn6cxL._AC_UY218_.jpg")</f>
        <v/>
      </c>
      <c r="I371" t="inlineStr">
        <is>
          <t>611.21</t>
        </is>
      </c>
      <c r="J371" t="n">
        <v>1032</v>
      </c>
      <c r="K371" s="3" t="inlineStr">
        <is>
          <t>68.85%</t>
        </is>
      </c>
      <c r="L371" t="n">
        <v>4.9</v>
      </c>
      <c r="M371" t="n">
        <v>18</v>
      </c>
      <c r="O371" t="inlineStr">
        <is>
          <t>InStock</t>
        </is>
      </c>
      <c r="P371" t="inlineStr">
        <is>
          <t>886.79</t>
        </is>
      </c>
      <c r="Q371" t="inlineStr">
        <is>
          <t>3699353059428</t>
        </is>
      </c>
    </row>
    <row r="372">
      <c r="A372" s="2">
        <f>HYPERLINK("https://edmondsonsupply.com/collections/hvac/products/klein-tools-et450-advanced-circuit-tracer-kit", "https://edmondsonsupply.com/collections/hvac/products/klein-tools-et450-advanced-circuit-tracer-kit")</f>
        <v/>
      </c>
      <c r="B372" s="2">
        <f>HYPERLINK("https://edmondsonsupply.com/products/klein-tools-et450-advanced-circuit-tracer-kit", "https://edmondsonsupply.com/products/klein-tools-et450-advanced-circuit-tracer-kit")</f>
        <v/>
      </c>
      <c r="C372" t="inlineStr">
        <is>
          <t>Klein Tools ET450 Advanced Circuit Tracer Kit</t>
        </is>
      </c>
      <c r="D372" t="inlineStr">
        <is>
          <t>Klein Tools ET600 Multimeter, Megohmmeter Insulation Tester, 4000 Ohms Resistance, 125V/250V/500V/1000V, Auto-Ranging TRMS Multimeter &amp; ET450 Advanced Circuit Breaker Finder and Wire Tracer Kit</t>
        </is>
      </c>
      <c r="E372" s="2">
        <f>HYPERLINK("https://www.amazon.com/Klein-Tools-Megohmmeter-Insulation-Ohms-Resistance-Auto-Ranging/dp/B0C2V14DQF/ref=sr_1_7?keywords=Klein+Tools+ET450+Advanced+Circuit+Tracer+Kit&amp;qid=1695173503&amp;sr=8-7", "https://www.amazon.com/Klein-Tools-Megohmmeter-Insulation-Ohms-Resistance-Auto-Ranging/dp/B0C2V14DQF/ref=sr_1_7?keywords=Klein+Tools+ET450+Advanced+Circuit+Tracer+Kit&amp;qid=1695173503&amp;sr=8-7")</f>
        <v/>
      </c>
      <c r="F372" t="inlineStr">
        <is>
          <t>B0C2V14DQF</t>
        </is>
      </c>
      <c r="G372">
        <f>_xludf.IMAGE("https://edmondsonsupply.com/cdn/shop/products/et450.jpg?v=1660165248")</f>
        <v/>
      </c>
      <c r="H372">
        <f>_xludf.IMAGE("https://m.media-amazon.com/images/I/61413mHKf0L._AC_UL320_.jpg")</f>
        <v/>
      </c>
      <c r="I372" t="inlineStr">
        <is>
          <t>239.99</t>
        </is>
      </c>
      <c r="J372" t="n">
        <v>404.98</v>
      </c>
      <c r="K372" s="3" t="inlineStr">
        <is>
          <t>68.75%</t>
        </is>
      </c>
      <c r="L372" t="n">
        <v>5</v>
      </c>
      <c r="M372" t="n">
        <v>1</v>
      </c>
      <c r="O372" t="inlineStr">
        <is>
          <t>InStock</t>
        </is>
      </c>
      <c r="P372" t="inlineStr">
        <is>
          <t>359.98</t>
        </is>
      </c>
      <c r="Q372" t="inlineStr">
        <is>
          <t>7778011971800</t>
        </is>
      </c>
    </row>
    <row r="373">
      <c r="A373" s="2">
        <f>HYPERLINK("https://edmondsonsupply.com/collections/hvac/products/milwaukee-2111-21-475-lumen-usb-rechargeable-hard-hat-headlamp", "https://edmondsonsupply.com/collections/hvac/products/milwaukee-2111-21-475-lumen-usb-rechargeable-hard-hat-headlamp")</f>
        <v/>
      </c>
      <c r="B373" s="2">
        <f>HYPERLINK("https://edmondsonsupply.com/products/milwaukee-2111-21-475-lumen-usb-rechargeable-hard-hat-headlamp", "https://edmondsonsupply.com/products/milwaukee-2111-21-475-lumen-usb-rechargeable-hard-hat-headlamp")</f>
        <v/>
      </c>
      <c r="C373" t="inlineStr">
        <is>
          <t>Milwaukee 2111-21 475-Lumen USB Rechargeable Hard Hat Headlamp</t>
        </is>
      </c>
      <c r="D373" t="inlineStr">
        <is>
          <t>Milwaukee 2111-21 475 Lumens USB Rechargeable TRUEVIEW HD Headlamp New</t>
        </is>
      </c>
      <c r="E373" s="2">
        <f>HYPERLINK("https://www.amazon.com/Milwaukee-2111-21-Rechargeable-TRUEVIEW-Headlamp/dp/B07XZFN514/ref=sr_1_1?keywords=Milwaukee+2111-21+475-Lumen+USB+Rechargeable+Hard+Hat+Headlamp&amp;qid=1695173675&amp;sr=8-1", "https://www.amazon.com/Milwaukee-2111-21-Rechargeable-TRUEVIEW-Headlamp/dp/B07XZFN514/ref=sr_1_1?keywords=Milwaukee+2111-21+475-Lumen+USB+Rechargeable+Hard+Hat+Headlamp&amp;qid=1695173675&amp;sr=8-1")</f>
        <v/>
      </c>
      <c r="F373" t="inlineStr">
        <is>
          <t>B07XZFN514</t>
        </is>
      </c>
      <c r="G373">
        <f>_xludf.IMAGE("https://edmondsonsupply.com/cdn/shop/products/2111-21_3_Overlay_1.png?v=1587142535")</f>
        <v/>
      </c>
      <c r="H373">
        <f>_xludf.IMAGE("https://m.media-amazon.com/images/I/71r+OMacODL._AC_UL320_.jpg")</f>
        <v/>
      </c>
      <c r="I373" t="inlineStr">
        <is>
          <t>69.97</t>
        </is>
      </c>
      <c r="J373" t="n">
        <v>117.84</v>
      </c>
      <c r="K373" s="3" t="inlineStr">
        <is>
          <t>68.42%</t>
        </is>
      </c>
      <c r="L373" t="n">
        <v>4.7</v>
      </c>
      <c r="M373" t="n">
        <v>264</v>
      </c>
      <c r="O373" t="inlineStr">
        <is>
          <t>OutOfStock</t>
        </is>
      </c>
      <c r="P373" t="inlineStr">
        <is>
          <t>106.0</t>
        </is>
      </c>
      <c r="Q373" t="inlineStr">
        <is>
          <t>4334127775844</t>
        </is>
      </c>
    </row>
    <row r="374">
      <c r="A374" s="2">
        <f>HYPERLINK("https://edmondsonsupply.com/collections/hvac/products/uei-dl429b-true-rms-digital-clamp-meter-w-wireless-and-differential-temperature", "https://edmondsonsupply.com/collections/hvac/products/uei-dl429b-true-rms-digital-clamp-meter-w-wireless-and-differential-temperature")</f>
        <v/>
      </c>
      <c r="B374" s="2">
        <f>HYPERLINK("https://edmondsonsupply.com/products/uei-dl429b-true-rms-digital-clamp-meter-w-wireless-and-differential-temperature", "https://edmondsonsupply.com/products/uei-dl429b-true-rms-digital-clamp-meter-w-wireless-and-differential-temperature")</f>
        <v/>
      </c>
      <c r="C374" t="inlineStr">
        <is>
          <t>UEi DL479 AC 600A True RMS HVAC/R Clamp Meter</t>
        </is>
      </c>
      <c r="D374" t="inlineStr">
        <is>
          <t>UEi Test Instruments DL429B Digital HVAC Clamp Meter True RMS Wireless Multimeter Auto-ranging 6000 Counts Voltage Tester, Measures Inrush AC/DC Current Temperature Capacitance Resistance Diodes NCV</t>
        </is>
      </c>
      <c r="E374" s="2">
        <f>HYPERLINK("https://www.amazon.com/UEi-Test-Instruments-DL429-Phoenix/dp/B00W5B15P6/ref=sr_1_3?keywords=UEi+DL479+AC+600A+True+RMS+HVAC%2FR+Clamp+Meter&amp;qid=1695173563&amp;sr=8-3", "https://www.amazon.com/UEi-Test-Instruments-DL429-Phoenix/dp/B00W5B15P6/ref=sr_1_3?keywords=UEi+DL479+AC+600A+True+RMS+HVAC%2FR+Clamp+Meter&amp;qid=1695173563&amp;sr=8-3")</f>
        <v/>
      </c>
      <c r="F374" t="inlineStr">
        <is>
          <t>B00W5B15P6</t>
        </is>
      </c>
      <c r="G374">
        <f>_xludf.IMAGE("https://edmondsonsupply.com/cdn/shop/products/DL479-1.jpg?v=1587142104")</f>
        <v/>
      </c>
      <c r="H374">
        <f>_xludf.IMAGE("https://m.media-amazon.com/images/I/61BXB98tFDS._AC_UY218_.jpg")</f>
        <v/>
      </c>
      <c r="I374" t="inlineStr">
        <is>
          <t>138.51</t>
        </is>
      </c>
      <c r="J374" t="n">
        <v>232.99</v>
      </c>
      <c r="K374" s="3" t="inlineStr">
        <is>
          <t>68.21%</t>
        </is>
      </c>
      <c r="L374" t="n">
        <v>4.5</v>
      </c>
      <c r="M374" t="n">
        <v>184</v>
      </c>
      <c r="O374" t="inlineStr">
        <is>
          <t>OutOfStock</t>
        </is>
      </c>
      <c r="P374" t="inlineStr">
        <is>
          <t>162.95</t>
        </is>
      </c>
      <c r="Q374" t="inlineStr">
        <is>
          <t>3564094488676</t>
        </is>
      </c>
    </row>
    <row r="375">
      <c r="A375" s="2">
        <f>HYPERLINK("https://edmondsonsupply.com/collections/hvac/products/testo-0564-2552-01-552i-app-controlled-wireless-vacuum-probe", "https://edmondsonsupply.com/collections/hvac/products/testo-0564-2552-01-552i-app-controlled-wireless-vacuum-probe")</f>
        <v/>
      </c>
      <c r="B375" s="2">
        <f>HYPERLINK("https://edmondsonsupply.com/products/testo-0564-2552-01-552i-app-controlled-wireless-vacuum-probe", "https://edmondsonsupply.com/products/testo-0564-2552-01-552i-app-controlled-wireless-vacuum-probe")</f>
        <v/>
      </c>
      <c r="C375" t="inlineStr">
        <is>
          <t>Testo 0564 2552 01 552i App-Controlled Wireless Vacuum Probe</t>
        </is>
      </c>
      <c r="D375" t="inlineStr">
        <is>
          <t>Testo 605i | Thermohygrometer for Indoor Temperature and Humidity Measurement | with Bluetooth Support &amp; 552i App-Controlled Wireless Vacuum Probe I for HVAC Systems – with Bluetooth</t>
        </is>
      </c>
      <c r="E375" s="2">
        <f>HYPERLINK("https://www.amazon.com/Testo-Thermohygrometer-Temperature-Measurement-App-Controlled/dp/B0C3MY4GXJ/ref=sr_1_5?keywords=Testo+0564+2552+01+552i+App-Controlled+Wireless+Vacuum+Probe&amp;qid=1695173617&amp;sr=8-5", "https://www.amazon.com/Testo-Thermohygrometer-Temperature-Measurement-App-Controlled/dp/B0C3MY4GXJ/ref=sr_1_5?keywords=Testo+0564+2552+01+552i+App-Controlled+Wireless+Vacuum+Probe&amp;qid=1695173617&amp;sr=8-5")</f>
        <v/>
      </c>
      <c r="F375" t="inlineStr">
        <is>
          <t>B0C3MY4GXJ</t>
        </is>
      </c>
      <c r="G375">
        <f>_xludf.IMAGE("https://edmondsonsupply.com/cdn/shop/products/testo-552i-front_master.jpg?v=1633031193")</f>
        <v/>
      </c>
      <c r="H375">
        <f>_xludf.IMAGE("https://m.media-amazon.com/images/I/41+zkws2n9L._AC_UY218_.jpg")</f>
        <v/>
      </c>
      <c r="I375" t="inlineStr">
        <is>
          <t>177.65</t>
        </is>
      </c>
      <c r="J375" t="n">
        <v>298.43</v>
      </c>
      <c r="K375" s="3" t="inlineStr">
        <is>
          <t>67.99%</t>
        </is>
      </c>
      <c r="L375" t="n">
        <v>4.8</v>
      </c>
      <c r="M375" t="n">
        <v>270</v>
      </c>
      <c r="O375" t="inlineStr">
        <is>
          <t>InStock</t>
        </is>
      </c>
      <c r="P375" t="inlineStr">
        <is>
          <t>209.0</t>
        </is>
      </c>
      <c r="Q375" t="inlineStr">
        <is>
          <t>6939345223853</t>
        </is>
      </c>
    </row>
    <row r="376">
      <c r="A376" s="2">
        <f>HYPERLINK("https://edmondsonsupply.com/collections/hvac/products/klein-tools-60246-p100-half-mask-respirator-s-m", "https://edmondsonsupply.com/collections/hvac/products/klein-tools-60246-p100-half-mask-respirator-s-m")</f>
        <v/>
      </c>
      <c r="B376" s="2">
        <f>HYPERLINK("https://edmondsonsupply.com/products/klein-tools-60246-p100-half-mask-respirator-s-m", "https://edmondsonsupply.com/products/klein-tools-60246-p100-half-mask-respirator-s-m")</f>
        <v/>
      </c>
      <c r="C376" t="inlineStr">
        <is>
          <t>Klein Tools 60246 P100 Half-Mask Respirator, S/M</t>
        </is>
      </c>
      <c r="D376" t="inlineStr">
        <is>
          <t>Klein Tools 80044 Face Mask, P100 Half-Mask Respirator Kit with P100 Mask and Replacement Filters For Dust, Metal Fumes, and Mists, Size M/L</t>
        </is>
      </c>
      <c r="E376" s="2">
        <f>HYPERLINK("https://www.amazon.com/Klein-80044-Half-Mask-Respirator-Replacement/dp/B09FW2FRX8/ref=sr_1_2?keywords=Klein+Tools+60246+P100+Half-Mask+Respirator%2C+S%2FM&amp;qid=1695173478&amp;sr=8-2", "https://www.amazon.com/Klein-80044-Half-Mask-Respirator-Replacement/dp/B09FW2FRX8/ref=sr_1_2?keywords=Klein+Tools+60246+P100+Half-Mask+Respirator%2C+S%2FM&amp;qid=1695173478&amp;sr=8-2")</f>
        <v/>
      </c>
      <c r="F376" t="inlineStr">
        <is>
          <t>B09FW2FRX8</t>
        </is>
      </c>
      <c r="G376">
        <f>_xludf.IMAGE("https://edmondsonsupply.com/cdn/shop/products/60246.jpg?v=1661862728")</f>
        <v/>
      </c>
      <c r="H376">
        <f>_xludf.IMAGE("https://m.media-amazon.com/images/I/61kQgRHQL4L._AC_UL320_.jpg")</f>
        <v/>
      </c>
      <c r="I376" t="inlineStr">
        <is>
          <t>29.99</t>
        </is>
      </c>
      <c r="J376" t="n">
        <v>50.35</v>
      </c>
      <c r="K376" s="3" t="inlineStr">
        <is>
          <t>67.89%</t>
        </is>
      </c>
      <c r="L376" t="n">
        <v>4.5</v>
      </c>
      <c r="M376" t="n">
        <v>21</v>
      </c>
      <c r="O376" t="inlineStr">
        <is>
          <t>InStock</t>
        </is>
      </c>
      <c r="P376" t="inlineStr">
        <is>
          <t>43.5</t>
        </is>
      </c>
      <c r="Q376" t="inlineStr">
        <is>
          <t>7797322383576</t>
        </is>
      </c>
    </row>
    <row r="377">
      <c r="A377" s="2">
        <f>HYPERLINK("https://edmondsonsupply.com/collections/hvac/products/packard-trcfd455-titan-pro-run-capacitor-45-5-mfd-440-370-volt-round", "https://edmondsonsupply.com/collections/hvac/products/packard-trcfd455-titan-pro-run-capacitor-45-5-mfd-440-370-volt-round")</f>
        <v/>
      </c>
      <c r="B377" s="2">
        <f>HYPERLINK("https://edmondsonsupply.com/products/packard-trcfd455-titan-pro-run-capacitor-45-5-mfd-440-370-volt-round", "https://edmondsonsupply.com/products/packard-trcfd455-titan-pro-run-capacitor-45-5-mfd-440-370-volt-round")</f>
        <v/>
      </c>
      <c r="C377" t="inlineStr">
        <is>
          <t>Packard TRCFD455 Titan PRO Run Capacitor 45+5 MFD 440/370 Volt Round</t>
        </is>
      </c>
      <c r="D377" t="inlineStr">
        <is>
          <t>Titan TRCFD455 Dual Rated Motor Run Capacitor Round MFD 45/5 Volts 440</t>
        </is>
      </c>
      <c r="E377" s="2">
        <f>HYPERLINK("https://www.amazon.com/Titan-TRCFD455-Rated-Motor-Capacitor/dp/B01HPIYGXG/ref=sr_1_5?keywords=Packard+TRCFD455+Titan+PRO+Run+Capacitor+45+5+MFD+440%2F370+Volt+Round&amp;qid=1695173400&amp;sr=8-5", "https://www.amazon.com/Titan-TRCFD455-Rated-Motor-Capacitor/dp/B01HPIYGXG/ref=sr_1_5?keywords=Packard+TRCFD455+Titan+PRO+Run+Capacitor+45+5+MFD+440%2F370+Volt+Round&amp;qid=1695173400&amp;sr=8-5")</f>
        <v/>
      </c>
      <c r="F377" t="inlineStr">
        <is>
          <t>B01HPIYGXG</t>
        </is>
      </c>
      <c r="G377">
        <f>_xludf.IMAGE("https://edmondsonsupply.com/cdn/shop/products/TRCFD455-2.jpg?v=1587147298")</f>
        <v/>
      </c>
      <c r="H377">
        <f>_xludf.IMAGE("https://m.media-amazon.com/images/I/41PR+nyKvsL._AC_UY218_.jpg")</f>
        <v/>
      </c>
      <c r="I377" t="inlineStr">
        <is>
          <t>8.99</t>
        </is>
      </c>
      <c r="J377" t="n">
        <v>15.07</v>
      </c>
      <c r="K377" s="3" t="inlineStr">
        <is>
          <t>67.63%</t>
        </is>
      </c>
      <c r="L377" t="n">
        <v>4.7</v>
      </c>
      <c r="M377" t="n">
        <v>233</v>
      </c>
      <c r="O377" t="inlineStr">
        <is>
          <t>OutOfStock</t>
        </is>
      </c>
      <c r="P377" t="inlineStr">
        <is>
          <t>undefined</t>
        </is>
      </c>
      <c r="Q377" t="inlineStr">
        <is>
          <t>4309334556772</t>
        </is>
      </c>
    </row>
    <row r="378">
      <c r="A378" s="2">
        <f>HYPERLINK("https://edmondsonsupply.com/collections/hvac/products/greenlee-gsb02-1-2-step-bit-2", "https://edmondsonsupply.com/collections/hvac/products/greenlee-gsb02-1-2-step-bit-2")</f>
        <v/>
      </c>
      <c r="B378" s="2">
        <f>HYPERLINK("https://edmondsonsupply.com/products/greenlee-gsb02-1-2-step-bit-2", "https://edmondsonsupply.com/products/greenlee-gsb02-1-2-step-bit-2")</f>
        <v/>
      </c>
      <c r="C378" t="inlineStr">
        <is>
          <t>Greenlee GSB02 1/2" Step Bit (#2)</t>
        </is>
      </c>
      <c r="D378" t="inlineStr">
        <is>
          <t>Greenlee GSB09 1-1/8" Step Bit (#9) Metal Cutter with Patented Split-Step Design, 1-1/8" Metal Cutting Tool for 1/2" Drill Chucks</t>
        </is>
      </c>
      <c r="E378" s="2">
        <f>HYPERLINK("https://www.amazon.com/Greenlee-Patented-Split-Step-Design-Cutting/dp/B08TVGF4MS/ref=sr_1_4?keywords=Greenlee+GSB02+1%2F2%22+Step+Bit+%28%232%29&amp;qid=1695173752&amp;sr=8-4", "https://www.amazon.com/Greenlee-Patented-Split-Step-Design-Cutting/dp/B08TVGF4MS/ref=sr_1_4?keywords=Greenlee+GSB02+1%2F2%22+Step+Bit+%28%232%29&amp;qid=1695173752&amp;sr=8-4")</f>
        <v/>
      </c>
      <c r="F378" t="inlineStr">
        <is>
          <t>B08TVGF4MS</t>
        </is>
      </c>
      <c r="G378">
        <f>_xludf.IMAGE("https://edmondsonsupply.com/cdn/shop/files/GSB02_CAT1_72dpi.jpg?v=1687783943")</f>
        <v/>
      </c>
      <c r="H378">
        <f>_xludf.IMAGE("https://m.media-amazon.com/images/I/41J5YEXJLpL._AC_UY218_.jpg")</f>
        <v/>
      </c>
      <c r="I378" t="inlineStr">
        <is>
          <t>39.29</t>
        </is>
      </c>
      <c r="J378" t="n">
        <v>65.81</v>
      </c>
      <c r="K378" s="3" t="inlineStr">
        <is>
          <t>67.50%</t>
        </is>
      </c>
      <c r="L378" t="n">
        <v>3.8</v>
      </c>
      <c r="M378" t="n">
        <v>5</v>
      </c>
      <c r="O378" t="inlineStr">
        <is>
          <t>InStock</t>
        </is>
      </c>
      <c r="P378" t="inlineStr">
        <is>
          <t>40.55</t>
        </is>
      </c>
      <c r="Q378" t="inlineStr">
        <is>
          <t>8008010137816</t>
        </is>
      </c>
    </row>
    <row r="379">
      <c r="A379" s="2">
        <f>HYPERLINK("https://edmondsonsupply.com/collections/hvac/products/viega-25206-3-4-x-3-4-megapressg-90-elbow", "https://edmondsonsupply.com/collections/hvac/products/viega-25206-3-4-x-3-4-megapressg-90-elbow")</f>
        <v/>
      </c>
      <c r="B379" s="2">
        <f>HYPERLINK("https://edmondsonsupply.com/products/viega-25206-3-4-x-3-4-megapressg-90-elbow", "https://edmondsonsupply.com/products/viega-25206-3-4-x-3-4-megapressg-90-elbow")</f>
        <v/>
      </c>
      <c r="C379" t="inlineStr">
        <is>
          <t>Viega 25206 3/4" x 3/4" MegaPressG 90° Elbow</t>
        </is>
      </c>
      <c r="D379" t="inlineStr">
        <is>
          <t>Viega MegaPressG 6616 Carbon Steel Elbow, 3/4"</t>
        </is>
      </c>
      <c r="E379" s="2">
        <f>HYPERLINK("https://www.amazon.com/Viega-MegaPressG-Carbon-Steel-Elbow/dp/B00COVXBYK/ref=sr_1_2?keywords=Viega+25206+3%2F4%22+x+3%2F4%22+MegaPressG+90%C2%B0+Elbow&amp;qid=1695173698&amp;sr=8-2", "https://www.amazon.com/Viega-MegaPressG-Carbon-Steel-Elbow/dp/B00COVXBYK/ref=sr_1_2?keywords=Viega+25206+3%2F4%22+x+3%2F4%22+MegaPressG+90%C2%B0+Elbow&amp;qid=1695173698&amp;sr=8-2")</f>
        <v/>
      </c>
      <c r="F379" t="inlineStr">
        <is>
          <t>B00COVXBYK</t>
        </is>
      </c>
      <c r="G379">
        <f>_xludf.IMAGE("https://edmondsonsupply.com/cdn/shop/files/PPm6616_cc26a193-b30e-4392-a225-66209e0534b8.jpg?v=1693271419")</f>
        <v/>
      </c>
      <c r="H379">
        <f>_xludf.IMAGE("https://m.media-amazon.com/images/I/51cc8PBnNUL._AC_UL320_.jpg")</f>
        <v/>
      </c>
      <c r="I379" t="inlineStr">
        <is>
          <t>13.86</t>
        </is>
      </c>
      <c r="J379" t="n">
        <v>23.19</v>
      </c>
      <c r="K379" s="3" t="inlineStr">
        <is>
          <t>67.32%</t>
        </is>
      </c>
      <c r="L379" t="n">
        <v>5</v>
      </c>
      <c r="M379" t="n">
        <v>1</v>
      </c>
      <c r="O379" t="inlineStr">
        <is>
          <t>InStock</t>
        </is>
      </c>
      <c r="P379" t="inlineStr">
        <is>
          <t>24.74</t>
        </is>
      </c>
      <c r="Q379" t="inlineStr">
        <is>
          <t>8032191676632</t>
        </is>
      </c>
    </row>
    <row r="380">
      <c r="A380" s="2">
        <f>HYPERLINK("https://edmondsonsupply.com/collections/hvac/products/ritchie-yellow-jacket-42001-series-41-manifold-only-r-22-404a-410a", "https://edmondsonsupply.com/collections/hvac/products/ritchie-yellow-jacket-42001-series-41-manifold-only-r-22-404a-410a")</f>
        <v/>
      </c>
      <c r="B380" s="2">
        <f>HYPERLINK("https://edmondsonsupply.com/products/ritchie-yellow-jacket-42001-series-41-manifold-only-r-22-404a-410a", "https://edmondsonsupply.com/products/ritchie-yellow-jacket-42001-series-41-manifold-only-r-22-404a-410a")</f>
        <v/>
      </c>
      <c r="C380" t="inlineStr">
        <is>
          <t>Yellow Jacket 42001 Series 41 Manifold Only, 3-1/8" Gauges - R-22 / 404A / 410A</t>
        </is>
      </c>
      <c r="D380" t="inlineStr">
        <is>
          <t>YELLOW JACKET 42004 Series 41 Manifold with 3-1/8" Gauges with Hoses</t>
        </is>
      </c>
      <c r="E380" s="2">
        <f>HYPERLINK("https://www.amazon.com/YELLOW-JACKET-42004-Manifold-Gauges/dp/B005JV01ZE/ref=sr_1_2?keywords=Yellow+Jacket+42001+Series+41+Manifold+Only%2C+3-1%2F8%22+Gauges+-+R-22+%2F+404A+%2F+410A&amp;qid=1695173491&amp;sr=8-2", "https://www.amazon.com/YELLOW-JACKET-42004-Manifold-Gauges/dp/B005JV01ZE/ref=sr_1_2?keywords=Yellow+Jacket+42001+Series+41+Manifold+Only%2C+3-1%2F8%22+Gauges+-+R-22+%2F+404A+%2F+410A&amp;qid=1695173491&amp;sr=8-2")</f>
        <v/>
      </c>
      <c r="F380" t="inlineStr">
        <is>
          <t>B005JV01ZE</t>
        </is>
      </c>
      <c r="G380">
        <f>_xludf.IMAGE("https://edmondsonsupply.com/cdn/shop/products/series-41-manifolds-with-318-gauges.jpg?v=1633030025")</f>
        <v/>
      </c>
      <c r="H380">
        <f>_xludf.IMAGE("https://m.media-amazon.com/images/I/617urri5EqL._AC_UL320_.jpg")</f>
        <v/>
      </c>
      <c r="I380" t="inlineStr">
        <is>
          <t>97.77</t>
        </is>
      </c>
      <c r="J380" t="n">
        <v>163.43</v>
      </c>
      <c r="K380" s="3" t="inlineStr">
        <is>
          <t>67.16%</t>
        </is>
      </c>
      <c r="L380" t="n">
        <v>4.6</v>
      </c>
      <c r="M380" t="n">
        <v>150</v>
      </c>
      <c r="O380" t="inlineStr">
        <is>
          <t>InStock</t>
        </is>
      </c>
      <c r="P380" t="inlineStr">
        <is>
          <t>undefined</t>
        </is>
      </c>
      <c r="Q380" t="inlineStr">
        <is>
          <t>2129997922404</t>
        </is>
      </c>
    </row>
    <row r="381">
      <c r="A381" s="2">
        <f>HYPERLINK("https://edmondsonsupply.com/collections/hvac/products/rectorseal-66735-nokink-5-8-x-3-flexible-refrigerant-line-connector", "https://edmondsonsupply.com/collections/hvac/products/rectorseal-66735-nokink-5-8-x-3-flexible-refrigerant-line-connector")</f>
        <v/>
      </c>
      <c r="B381" s="2">
        <f>HYPERLINK("https://edmondsonsupply.com/products/rectorseal-66735-nokink-5-8-x-3-flexible-refrigerant-line-connector", "https://edmondsonsupply.com/products/rectorseal-66735-nokink-5-8-x-3-flexible-refrigerant-line-connector")</f>
        <v/>
      </c>
      <c r="C381" t="inlineStr">
        <is>
          <t>RectorSeal 66735 NoKink 5/8" x 3' Flexible Refrigerant Line Connector</t>
        </is>
      </c>
      <c r="D381" t="inlineStr">
        <is>
          <t>Rectorseal 68235 NoKink Flexible Refrigerant Line Connector, 5/8" x 72"</t>
        </is>
      </c>
      <c r="E381" s="2">
        <f>HYPERLINK("https://www.amazon.com/Rectorseal-68235-Flexible-Refrigerant-Connector/dp/B01ALRVLTA/ref=sr_1_1?keywords=RectorSeal+66735+NoKink+5%2F8%22+x+3%27+Flexible+Refrigerant+Line+Connector&amp;qid=1695173468&amp;sr=8-1", "https://www.amazon.com/Rectorseal-68235-Flexible-Refrigerant-Connector/dp/B01ALRVLTA/ref=sr_1_1?keywords=RectorSeal+66735+NoKink+5%2F8%22+x+3%27+Flexible+Refrigerant+Line+Connector&amp;qid=1695173468&amp;sr=8-1")</f>
        <v/>
      </c>
      <c r="F381" t="inlineStr">
        <is>
          <t>B01ALRVLTA</t>
        </is>
      </c>
      <c r="G381">
        <f>_xludf.IMAGE("https://edmondsonsupply.com/cdn/shop/products/66735-1.jpg?v=1632264692")</f>
        <v/>
      </c>
      <c r="H381">
        <f>_xludf.IMAGE("https://m.media-amazon.com/images/I/51pjB6ZOm9L._AC_UY218_.jpg")</f>
        <v/>
      </c>
      <c r="I381" t="inlineStr">
        <is>
          <t>79.99</t>
        </is>
      </c>
      <c r="J381" t="n">
        <v>133.67</v>
      </c>
      <c r="K381" s="3" t="inlineStr">
        <is>
          <t>67.11%</t>
        </is>
      </c>
      <c r="L381" t="n">
        <v>4</v>
      </c>
      <c r="M381" t="n">
        <v>5</v>
      </c>
      <c r="O381" t="inlineStr">
        <is>
          <t>InStock</t>
        </is>
      </c>
      <c r="P381" t="inlineStr">
        <is>
          <t>undefined</t>
        </is>
      </c>
      <c r="Q381" t="inlineStr">
        <is>
          <t>6957687439533</t>
        </is>
      </c>
    </row>
    <row r="382">
      <c r="A382" s="2">
        <f>HYPERLINK("https://edmondsonsupply.com/collections/hvac/products/fresh-aire-uv-apco-tuvl-215-2-year-replacement-uv-lamp", "https://edmondsonsupply.com/collections/hvac/products/fresh-aire-uv-apco-tuvl-215-2-year-replacement-uv-lamp")</f>
        <v/>
      </c>
      <c r="B382" s="2">
        <f>HYPERLINK("https://edmondsonsupply.com/products/fresh-aire-uv-apco-tuvl-215-2-year-replacement-uv-lamp", "https://edmondsonsupply.com/products/fresh-aire-uv-apco-tuvl-215-2-year-replacement-uv-lamp")</f>
        <v/>
      </c>
      <c r="C382" t="inlineStr">
        <is>
          <t>Fresh-Aire UV APCO TUVL-215, 2-Year Replacement UV Lamp</t>
        </is>
      </c>
      <c r="D382" t="inlineStr">
        <is>
          <t>Fresh-Aire UV 3-Year Replacement UV-C Lamp for APCO-X Series, 15-Inch Length</t>
        </is>
      </c>
      <c r="E382" s="2">
        <f>HYPERLINK("https://www.amazon.com/APCO-Fresh-Aire-TUVL-315-TUVL315-Replacement/dp/B09B7WYCC2/ref=sr_1_6?keywords=Fresh-Aire+UV+APCO+TUVL-215%2C+2-Year+Replacement+UV+Lamp&amp;qid=1695173344&amp;sr=8-6", "https://www.amazon.com/APCO-Fresh-Aire-TUVL-315-TUVL315-Replacement/dp/B09B7WYCC2/ref=sr_1_6?keywords=Fresh-Aire+UV+APCO+TUVL-215%2C+2-Year+Replacement+UV+Lamp&amp;qid=1695173344&amp;sr=8-6")</f>
        <v/>
      </c>
      <c r="F382" t="inlineStr">
        <is>
          <t>B09B7WYCC2</t>
        </is>
      </c>
      <c r="G382">
        <f>_xludf.IMAGE("https://edmondsonsupply.com/cdn/shop/products/TUVL-215_1ea9b67d-7d35-4102-a10b-a43913714c29.jpg?v=1633030216")</f>
        <v/>
      </c>
      <c r="H382">
        <f>_xludf.IMAGE("https://m.media-amazon.com/images/I/21ORtJD7dsS._AC_UL320_.jpg")</f>
        <v/>
      </c>
      <c r="I382" t="inlineStr">
        <is>
          <t>108.19</t>
        </is>
      </c>
      <c r="J382" t="n">
        <v>180</v>
      </c>
      <c r="K382" s="3" t="inlineStr">
        <is>
          <t>66.37%</t>
        </is>
      </c>
      <c r="L382" t="n">
        <v>5</v>
      </c>
      <c r="M382" t="n">
        <v>3</v>
      </c>
      <c r="O382" t="inlineStr">
        <is>
          <t>InStock</t>
        </is>
      </c>
      <c r="P382" t="inlineStr">
        <is>
          <t>undefined</t>
        </is>
      </c>
      <c r="Q382" t="inlineStr">
        <is>
          <t>4452264837220</t>
        </is>
      </c>
    </row>
    <row r="383">
      <c r="A383" s="2">
        <f>HYPERLINK("https://edmondsonsupply.com/collections/hvac/products/diablo-tools-dmamx1300-1-1-4-in-x-16-in-x-21-in-rebar-demon%E2%84%A2-sds-max-4-cutter-full-carbide-head-hammer-drill-bit", "https://edmondsonsupply.com/collections/hvac/products/diablo-tools-dmamx1300-1-1-4-in-x-16-in-x-21-in-rebar-demon%E2%84%A2-sds-max-4-cutter-full-carbide-head-hammer-drill-bit")</f>
        <v/>
      </c>
      <c r="B383" s="2">
        <f>HYPERLINK("https://edmondsonsupply.com/products/diablo-tools-dmamx1300-1-1-4-in-x-16-in-x-21-in-rebar-demon%e2%84%a2-sds-max-4-cutter-full-carbide-head-hammer-drill-bit", "https://edmondsonsupply.com/products/diablo-tools-dmamx1300-1-1-4-in-x-16-in-x-21-in-rebar-demon%e2%84%a2-sds-max-4-cutter-full-carbide-head-hammer-drill-bit")</f>
        <v/>
      </c>
      <c r="C383" t="inlineStr">
        <is>
          <t>Diablo Tools DMAMX1300 1-1/4 in. x 16 in. x 21 in. Rebar Demon™ SDS-Max 4-Cutter Full Carbide Head Hammer Drill Bit</t>
        </is>
      </c>
      <c r="D383" t="inlineStr">
        <is>
          <t>Diablo by Freud DMAMX1240 1 in. x 31 in. x 36 in. Rebar Demon SDS-Max 4-Cutter Full Carbide Head Hammer Bit</t>
        </is>
      </c>
      <c r="E383" s="2">
        <f>HYPERLINK("https://www.amazon.com/Diablo-SDS-Max-4-Cutter-Carbide-Hammer/dp/B089KWF9R4/ref=sr_1_10?keywords=Diablo+Tools+DMAMX1300+1-1%2F4+in.+x+16+in.+x+21+in.+Rebar+Demon%E2%84%A2+SDS-Max+4-Cutter+Full+Carbide+Head+Hammer+Drill+Bit&amp;qid=1695173488&amp;sr=8-10", "https://www.amazon.com/Diablo-SDS-Max-4-Cutter-Carbide-Hammer/dp/B089KWF9R4/ref=sr_1_10?keywords=Diablo+Tools+DMAMX1300+1-1%2F4+in.+x+16+in.+x+21+in.+Rebar+Demon%E2%84%A2+SDS-Max+4-Cutter+Full+Carbide+Head+Hammer+Drill+Bit&amp;qid=1695173488&amp;sr=8-10")</f>
        <v/>
      </c>
      <c r="F383" t="inlineStr">
        <is>
          <t>B089KWF9R4</t>
        </is>
      </c>
      <c r="G383">
        <f>_xludf.IMAGE("https://edmondsonsupply.com/cdn/shop/files/immoyh7jjmbau4fzhuq6_7dd7fd73-2865-4c12-9443-da45b48dbd51.webp?v=1685465465")</f>
        <v/>
      </c>
      <c r="H383">
        <f>_xludf.IMAGE("https://m.media-amazon.com/images/I/61UhVlNC+9L._AC_UL320_.jpg")</f>
        <v/>
      </c>
      <c r="I383" t="inlineStr">
        <is>
          <t>66.4</t>
        </is>
      </c>
      <c r="J383" t="n">
        <v>109.99</v>
      </c>
      <c r="K383" s="3" t="inlineStr">
        <is>
          <t>65.65%</t>
        </is>
      </c>
      <c r="L383" t="n">
        <v>5</v>
      </c>
      <c r="M383" t="n">
        <v>3</v>
      </c>
      <c r="O383" t="inlineStr">
        <is>
          <t>OutOfStock</t>
        </is>
      </c>
      <c r="P383" t="inlineStr">
        <is>
          <t>105.4</t>
        </is>
      </c>
      <c r="Q383" t="inlineStr">
        <is>
          <t>7997856874712</t>
        </is>
      </c>
    </row>
    <row r="384">
      <c r="A384" s="2">
        <f>HYPERLINK("https://edmondsonsupply.com/collections/hvac/products/yellow-jacket-yjii-vacuum-pump-5-cfm-93266", "https://edmondsonsupply.com/collections/hvac/products/yellow-jacket-yjii-vacuum-pump-5-cfm-93266")</f>
        <v/>
      </c>
      <c r="B384" s="2">
        <f>HYPERLINK("https://edmondsonsupply.com/products/yellow-jacket-yjii-vacuum-pump-5-cfm-93266", "https://edmondsonsupply.com/products/yellow-jacket-yjii-vacuum-pump-5-cfm-93266")</f>
        <v/>
      </c>
      <c r="C384" t="inlineStr">
        <is>
          <t>Yellow Jacket 93266 YJII™ 5 CFM Vacuum Pump</t>
        </is>
      </c>
      <c r="D384" t="inlineStr">
        <is>
          <t>YELLOW JACKET 93600 Bullet Single Phase Vacuum Pump, 7 Cfm, 115V, 60 Hz</t>
        </is>
      </c>
      <c r="E384" s="2">
        <f>HYPERLINK("https://www.amazon.com/YELLOW-JACKET-93600-Bullet-Single/dp/B007ID2BKE/ref=sr_1_5?keywords=Yellow+Jacket+93266+YJII%E2%84%A2+5+CFM+Vacuum+Pump&amp;qid=1695173391&amp;sr=8-5", "https://www.amazon.com/YELLOW-JACKET-93600-Bullet-Single/dp/B007ID2BKE/ref=sr_1_5?keywords=Yellow+Jacket+93266+YJII%E2%84%A2+5+CFM+Vacuum+Pump&amp;qid=1695173391&amp;sr=8-5")</f>
        <v/>
      </c>
      <c r="F384" t="inlineStr">
        <is>
          <t>B007ID2BKE</t>
        </is>
      </c>
      <c r="G384">
        <f>_xludf.IMAGE("https://edmondsonsupply.com/cdn/shop/products/93266-YJII-Vacuum-Pump-484x416.jpg?v=1605058989")</f>
        <v/>
      </c>
      <c r="H384">
        <f>_xludf.IMAGE("https://m.media-amazon.com/images/I/615RV1bqJ5S._AC_UL320_.jpg")</f>
        <v/>
      </c>
      <c r="I384" t="inlineStr">
        <is>
          <t>322.56</t>
        </is>
      </c>
      <c r="J384" t="n">
        <v>533.9400000000001</v>
      </c>
      <c r="K384" s="3" t="inlineStr">
        <is>
          <t>65.53%</t>
        </is>
      </c>
      <c r="L384" t="n">
        <v>4.3</v>
      </c>
      <c r="M384" t="n">
        <v>34</v>
      </c>
      <c r="O384" t="inlineStr">
        <is>
          <t>InStock</t>
        </is>
      </c>
      <c r="P384" t="inlineStr">
        <is>
          <t>undefined</t>
        </is>
      </c>
      <c r="Q384" t="inlineStr">
        <is>
          <t>3599841165412</t>
        </is>
      </c>
    </row>
    <row r="385">
      <c r="A385" s="2">
        <f>HYPERLINK("https://edmondsonsupply.com/collections/hvac/products/supco-brkpro-fuse-testing-super-kit", "https://edmondsonsupply.com/collections/hvac/products/supco-brkpro-fuse-testing-super-kit")</f>
        <v/>
      </c>
      <c r="B385" s="2">
        <f>HYPERLINK("https://edmondsonsupply.com/products/supco-brkpro-fuse-testing-super-kit", "https://edmondsonsupply.com/products/supco-brkpro-fuse-testing-super-kit")</f>
        <v/>
      </c>
      <c r="C385" t="inlineStr">
        <is>
          <t>Supco BRK3 3 Amp Fuse Pro Breaker - Tester with Light</t>
        </is>
      </c>
      <c r="D385" t="inlineStr">
        <is>
          <t>Supplying Demand BRK3 Fuse Pro 3 AMP Tester with Light Plugs Into PC Board</t>
        </is>
      </c>
      <c r="E385" s="2">
        <f>HYPERLINK("https://www.amazon.com/Supplying-Demand-Tester-Light-Plugs/dp/B08G5CCG25/ref=sr_1_1?keywords=Supco+BRK3+3+Amp+Fuse+Pro+Breaker+-+Tester+with+Light&amp;qid=1695173477&amp;sr=8-1", "https://www.amazon.com/Supplying-Demand-Tester-Light-Plugs/dp/B08G5CCG25/ref=sr_1_1?keywords=Supco+BRK3+3+Amp+Fuse+Pro+Breaker+-+Tester+with+Light&amp;qid=1695173477&amp;sr=8-1")</f>
        <v/>
      </c>
      <c r="F385" t="inlineStr">
        <is>
          <t>B08G5CCG25</t>
        </is>
      </c>
      <c r="G385">
        <f>_xludf.IMAGE("https://edmondsonsupply.com/cdn/shop/products/BRK3.png?v=1681778790")</f>
        <v/>
      </c>
      <c r="H385">
        <f>_xludf.IMAGE("https://m.media-amazon.com/images/I/61OQNAV+E0L._AC_UL320_.jpg")</f>
        <v/>
      </c>
      <c r="I385" t="inlineStr">
        <is>
          <t>11.9</t>
        </is>
      </c>
      <c r="J385" t="n">
        <v>19.69</v>
      </c>
      <c r="K385" s="3" t="inlineStr">
        <is>
          <t>65.46%</t>
        </is>
      </c>
      <c r="L385" t="n">
        <v>4.4</v>
      </c>
      <c r="M385" t="n">
        <v>33</v>
      </c>
      <c r="O385" t="inlineStr">
        <is>
          <t>InStock</t>
        </is>
      </c>
      <c r="P385" t="inlineStr">
        <is>
          <t>undefined</t>
        </is>
      </c>
      <c r="Q385" t="inlineStr">
        <is>
          <t>4725385330788</t>
        </is>
      </c>
    </row>
    <row r="386">
      <c r="A386" s="2">
        <f>HYPERLINK("https://edmondsonsupply.com/collections/hvac/products/supco-zmf56", "https://edmondsonsupply.com/collections/hvac/products/supco-zmf56")</f>
        <v/>
      </c>
      <c r="B386" s="2">
        <f>HYPERLINK("https://edmondsonsupply.com/products/supco-zmf56", "https://edmondsonsupply.com/products/supco-zmf56")</f>
        <v/>
      </c>
      <c r="C386" t="inlineStr">
        <is>
          <t>Supco ZMF56 Mini-Fit™ Flexible Mini-Split Adapter</t>
        </is>
      </c>
      <c r="D386" t="inlineStr">
        <is>
          <t>Supplying Demand ZMF56 Flexible Mini-Split Adapter Adapts From 1/4 To 5/16 Inch Mini Split Fittings</t>
        </is>
      </c>
      <c r="E386" s="2">
        <f>HYPERLINK("https://www.amazon.com/Supplying-Demand-Flexible-Adapter-Fittings/dp/B094SRRBGR/ref=sr_1_1?keywords=Supco+ZMF56+Mini-Fit%E2%84%A2+Flexible+Mini-Split+Adapter&amp;qid=1695173340&amp;sr=8-1", "https://www.amazon.com/Supplying-Demand-Flexible-Adapter-Fittings/dp/B094SRRBGR/ref=sr_1_1?keywords=Supco+ZMF56+Mini-Fit%E2%84%A2+Flexible+Mini-Split+Adapter&amp;qid=1695173340&amp;sr=8-1")</f>
        <v/>
      </c>
      <c r="F386" t="inlineStr">
        <is>
          <t>B094SRRBGR</t>
        </is>
      </c>
      <c r="G386">
        <f>_xludf.IMAGE("https://edmondsonsupply.com/cdn/shop/products/zmf56.jpg?v=1633030329")</f>
        <v/>
      </c>
      <c r="H386">
        <f>_xludf.IMAGE("https://m.media-amazon.com/images/I/51F6L+HRiAS._AC_UL320_.jpg")</f>
        <v/>
      </c>
      <c r="I386" t="inlineStr">
        <is>
          <t>12.11</t>
        </is>
      </c>
      <c r="J386" t="n">
        <v>19.99</v>
      </c>
      <c r="K386" s="3" t="inlineStr">
        <is>
          <t>65.07%</t>
        </is>
      </c>
      <c r="L386" t="n">
        <v>4.5</v>
      </c>
      <c r="M386" t="n">
        <v>12</v>
      </c>
      <c r="O386" t="inlineStr">
        <is>
          <t>InStock</t>
        </is>
      </c>
      <c r="P386" t="inlineStr">
        <is>
          <t>undefined</t>
        </is>
      </c>
      <c r="Q386" t="inlineStr">
        <is>
          <t>5263087042728</t>
        </is>
      </c>
    </row>
    <row r="387">
      <c r="A387" s="2">
        <f>HYPERLINK("https://edmondsonsupply.com/collections/hvac/products/midwest-mwt-6510s-straight-offset-aviation-snip", "https://edmondsonsupply.com/collections/hvac/products/midwest-mwt-6510s-straight-offset-aviation-snip")</f>
        <v/>
      </c>
      <c r="B387" s="2">
        <f>HYPERLINK("https://edmondsonsupply.com/products/midwest-mwt-6510s-straight-offset-aviation-snip", "https://edmondsonsupply.com/products/midwest-mwt-6510s-straight-offset-aviation-snip")</f>
        <v/>
      </c>
      <c r="C387" t="inlineStr">
        <is>
          <t>Midwest MWT-6510S Straight Offset Aviation Snip</t>
        </is>
      </c>
      <c r="D387" t="inlineStr">
        <is>
          <t>MIDWEST Aviation Snip - Straight Cut Offset Tin Cutting Shears with Forged Blade &amp; KUSH'N-POWER Comfort Grips - MWT-6510S</t>
        </is>
      </c>
      <c r="E387" s="2">
        <f>HYPERLINK("https://www.amazon.com/MIDWEST-Aviation-Snip-KUSHN-POWER-MWT-6510S/dp/B00P7FFF6M/ref=sr_1_1?keywords=Midwest+MWT-6510S+Straight+Offset+Aviation+Snip&amp;qid=1695173382&amp;sr=8-1", "https://www.amazon.com/MIDWEST-Aviation-Snip-KUSHN-POWER-MWT-6510S/dp/B00P7FFF6M/ref=sr_1_1?keywords=Midwest+MWT-6510S+Straight+Offset+Aviation+Snip&amp;qid=1695173382&amp;sr=8-1")</f>
        <v/>
      </c>
      <c r="F387" t="inlineStr">
        <is>
          <t>B00P7FFF6M</t>
        </is>
      </c>
      <c r="G387">
        <f>_xludf.IMAGE("https://edmondsonsupply.com/cdn/shop/products/MWT-6510S-1.jpg?v=1587150061")</f>
        <v/>
      </c>
      <c r="H387">
        <f>_xludf.IMAGE("https://m.media-amazon.com/images/I/71dEll5ok5L._AC_UL320_.jpg")</f>
        <v/>
      </c>
      <c r="I387" t="inlineStr">
        <is>
          <t>23.49</t>
        </is>
      </c>
      <c r="J387" t="n">
        <v>38.55</v>
      </c>
      <c r="K387" s="3" t="inlineStr">
        <is>
          <t>64.11%</t>
        </is>
      </c>
      <c r="L387" t="n">
        <v>4.7</v>
      </c>
      <c r="M387" t="n">
        <v>3425</v>
      </c>
      <c r="O387" t="inlineStr">
        <is>
          <t>OutOfStock</t>
        </is>
      </c>
      <c r="P387" t="inlineStr">
        <is>
          <t>33.49</t>
        </is>
      </c>
      <c r="Q387" t="inlineStr">
        <is>
          <t>4436158677092</t>
        </is>
      </c>
    </row>
    <row r="388">
      <c r="A388" s="2">
        <f>HYPERLINK("https://edmondsonsupply.com/collections/hvac/products/holyoke-1057b-brass-garden-hose-cap", "https://edmondsonsupply.com/collections/hvac/products/holyoke-1057b-brass-garden-hose-cap")</f>
        <v/>
      </c>
      <c r="B388" s="2">
        <f>HYPERLINK("https://edmondsonsupply.com/products/holyoke-1057b-brass-garden-hose-cap", "https://edmondsonsupply.com/products/holyoke-1057b-brass-garden-hose-cap")</f>
        <v/>
      </c>
      <c r="C388" t="inlineStr">
        <is>
          <t>Holyoke Fittings 1057B Brass Garden Hose Cap</t>
        </is>
      </c>
      <c r="D388" t="inlineStr">
        <is>
          <t>3/8 Inch Brass Compression Cap Stop Valve Cap Brass Compression Cap Drain Pipe Fittings for Hose Connector Garden Outdoor Water Pipes Nozzle Joints (50 Pieces)</t>
        </is>
      </c>
      <c r="F388" t="inlineStr">
        <is>
          <t>B0B9N28DCB</t>
        </is>
      </c>
      <c r="G388">
        <f>_xludf.IMAGE("https://edmondsonsupply.com/cdn/shop/files/1057B.jpg?v=1686081820")</f>
        <v/>
      </c>
      <c r="H388">
        <f>_xludf.IMAGE("https://m.media-amazon.com/images/I/81Xyj4+YMuL._AC_UL320_.jpg")</f>
        <v/>
      </c>
      <c r="I388" t="inlineStr">
        <is>
          <t>1.68</t>
        </is>
      </c>
      <c r="J388" t="n">
        <v>29.99</v>
      </c>
      <c r="K388" s="3" t="inlineStr">
        <is>
          <t>1685.12%</t>
        </is>
      </c>
      <c r="L388" t="n">
        <v>4.1</v>
      </c>
      <c r="M388" t="n">
        <v>5</v>
      </c>
      <c r="O388" t="inlineStr">
        <is>
          <t>InStock</t>
        </is>
      </c>
      <c r="P388" t="inlineStr">
        <is>
          <t>2.78</t>
        </is>
      </c>
      <c r="Q388" t="inlineStr">
        <is>
          <t>8002190737624</t>
        </is>
      </c>
    </row>
    <row r="389">
      <c r="A389" s="2">
        <f>HYPERLINK("https://edmondsonsupply.com/collections/hvac/products/kroil-ks102-original-penetrant-aerosol-10oz-can", "https://edmondsonsupply.com/collections/hvac/products/kroil-ks102-original-penetrant-aerosol-10oz-can")</f>
        <v/>
      </c>
      <c r="B389" s="2">
        <f>HYPERLINK("https://edmondsonsupply.com/products/kroil-ks102-original-penetrant-aerosol-10oz-can", "https://edmondsonsupply.com/products/kroil-ks102-original-penetrant-aerosol-10oz-can")</f>
        <v/>
      </c>
      <c r="C389" t="inlineStr">
        <is>
          <t>Kroil KS102 Original Penetrant Aerosol 10oz can</t>
        </is>
      </c>
      <c r="D389" t="inlineStr">
        <is>
          <t>Kroil Original Penetrating Oil (Aerosol Spray-16.5oz Can-Case of 6) | Penetrant for Rusted Bolts, Metal, Hinges, Chains, Moving Parts | Rust, Corrosion Inhibitor (AZKS162C6)</t>
        </is>
      </c>
      <c r="E389" s="2">
        <f>HYPERLINK("https://www.amazon.com/Kroil-Penetrating-Aerokroil-16-5-Aerosol/dp/B08ZM6LQV6/ref=sr_1_10?keywords=Kroil+KS102+Original+Penetrant+Aerosol+10oz+can&amp;qid=1695173773&amp;sr=8-10", "https://www.amazon.com/Kroil-Penetrating-Aerokroil-16-5-Aerosol/dp/B08ZM6LQV6/ref=sr_1_10?keywords=Kroil+KS102+Original+Penetrant+Aerosol+10oz+can&amp;qid=1695173773&amp;sr=8-10")</f>
        <v/>
      </c>
      <c r="F389" t="inlineStr">
        <is>
          <t>B08ZM6LQV6</t>
        </is>
      </c>
      <c r="G389">
        <f>_xludf.IMAGE("https://edmondsonsupply.com/cdn/shop/files/KS102.webp?v=1686779653")</f>
        <v/>
      </c>
      <c r="H389">
        <f>_xludf.IMAGE("https://m.media-amazon.com/images/I/6177CLeKRaL._AC_UY218_.jpg")</f>
        <v/>
      </c>
      <c r="I389" t="inlineStr">
        <is>
          <t>19.98</t>
        </is>
      </c>
      <c r="J389" t="n">
        <v>199.99</v>
      </c>
      <c r="K389" s="3" t="inlineStr">
        <is>
          <t>900.95%</t>
        </is>
      </c>
      <c r="L389" t="n">
        <v>5</v>
      </c>
      <c r="M389" t="n">
        <v>2</v>
      </c>
      <c r="O389" t="inlineStr">
        <is>
          <t>InStock</t>
        </is>
      </c>
      <c r="P389" t="inlineStr">
        <is>
          <t>22.9</t>
        </is>
      </c>
      <c r="Q389" t="inlineStr">
        <is>
          <t>8005750391000</t>
        </is>
      </c>
    </row>
    <row r="390">
      <c r="A390" s="2">
        <f>HYPERLINK("https://edmondsonsupply.com/collections/hvac/products/kroil-ks102-original-penetrant-aerosol-10oz-can", "https://edmondsonsupply.com/collections/hvac/products/kroil-ks102-original-penetrant-aerosol-10oz-can")</f>
        <v/>
      </c>
      <c r="B390" s="2">
        <f>HYPERLINK("https://edmondsonsupply.com/products/kroil-ks102-original-penetrant-aerosol-10oz-can", "https://edmondsonsupply.com/products/kroil-ks102-original-penetrant-aerosol-10oz-can")</f>
        <v/>
      </c>
      <c r="C390" t="inlineStr">
        <is>
          <t>Kroil KS102 Original Penetrant Aerosol 10oz can</t>
        </is>
      </c>
      <c r="D390" t="inlineStr">
        <is>
          <t>Kroil Penetrating Oil with Silicone (Aerosol Spray-10oz Can-Case of 4) | Penetrant for Rusted Bolts, Metal | Lubricant for Hinges, Chains, Moving Parts (AZSK102C4)</t>
        </is>
      </c>
      <c r="E390" s="2">
        <f>HYPERLINK("https://www.amazon.com/Penetrating-Spray-10oz-Penetrant-Lubricant-AZSK102C4/dp/B08ZM6ND3L/ref=sr_1_8?keywords=Kroil+KS102+Original+Penetrant+Aerosol+10oz+can&amp;qid=1695173773&amp;sr=8-8", "https://www.amazon.com/Penetrating-Spray-10oz-Penetrant-Lubricant-AZSK102C4/dp/B08ZM6ND3L/ref=sr_1_8?keywords=Kroil+KS102+Original+Penetrant+Aerosol+10oz+can&amp;qid=1695173773&amp;sr=8-8")</f>
        <v/>
      </c>
      <c r="F390" t="inlineStr">
        <is>
          <t>B08ZM6ND3L</t>
        </is>
      </c>
      <c r="G390">
        <f>_xludf.IMAGE("https://edmondsonsupply.com/cdn/shop/files/KS102.webp?v=1686779653")</f>
        <v/>
      </c>
      <c r="H390">
        <f>_xludf.IMAGE("https://m.media-amazon.com/images/I/71MJwRmkqzS._AC_UY218_.jpg")</f>
        <v/>
      </c>
      <c r="I390" t="inlineStr">
        <is>
          <t>19.98</t>
        </is>
      </c>
      <c r="J390" t="n">
        <v>99.98999999999999</v>
      </c>
      <c r="K390" s="3" t="inlineStr">
        <is>
          <t>400.45%</t>
        </is>
      </c>
      <c r="L390" t="n">
        <v>4.5</v>
      </c>
      <c r="M390" t="n">
        <v>16</v>
      </c>
      <c r="O390" t="inlineStr">
        <is>
          <t>InStock</t>
        </is>
      </c>
      <c r="P390" t="inlineStr">
        <is>
          <t>22.9</t>
        </is>
      </c>
      <c r="Q390" t="inlineStr">
        <is>
          <t>8005750391000</t>
        </is>
      </c>
    </row>
    <row r="391">
      <c r="A391" s="2">
        <f>HYPERLINK("https://edmondsonsupply.com/collections/hvac/products/kroil-ks162-original-penetrant-aerosol-16oz-can", "https://edmondsonsupply.com/collections/hvac/products/kroil-ks162-original-penetrant-aerosol-16oz-can")</f>
        <v/>
      </c>
      <c r="B391" s="2">
        <f>HYPERLINK("https://edmondsonsupply.com/products/kroil-ks162-original-penetrant-aerosol-16oz-can", "https://edmondsonsupply.com/products/kroil-ks162-original-penetrant-aerosol-16oz-can")</f>
        <v/>
      </c>
      <c r="C391" t="inlineStr">
        <is>
          <t>Kroil KS162 Original Penetrant Aerosol 16.5oz can</t>
        </is>
      </c>
      <c r="D391" t="inlineStr">
        <is>
          <t>Kroil Original Penetrating Oil (Aerosol Spray-16.5oz Can-Case of 4) | Penetrant for Rusted Bolts, Metal, Hinges, Chains, Moving Parts | Rust, Corrosion Inhibitor (AZKS162C4)</t>
        </is>
      </c>
      <c r="E391" s="2">
        <f>HYPERLINK("https://www.amazon.com/Kroil-Penetrating-Aerokroil-16-5-Aerosol/dp/B08ZM7TTGC/ref=sr_1_9?keywords=Kroil+KS162+Original+Penetrant+Aerosol+16.5oz+can&amp;qid=1695173803&amp;sr=8-9", "https://www.amazon.com/Kroil-Penetrating-Aerokroil-16-5-Aerosol/dp/B08ZM7TTGC/ref=sr_1_9?keywords=Kroil+KS162+Original+Penetrant+Aerosol+16.5oz+can&amp;qid=1695173803&amp;sr=8-9")</f>
        <v/>
      </c>
      <c r="F391" t="inlineStr">
        <is>
          <t>B08ZM7TTGC</t>
        </is>
      </c>
      <c r="G391">
        <f>_xludf.IMAGE("https://edmondsonsupply.com/cdn/shop/files/KS162.webp?v=1686779895")</f>
        <v/>
      </c>
      <c r="H391">
        <f>_xludf.IMAGE("https://m.media-amazon.com/images/I/71qQPtiwIDL._AC_UY218_.jpg")</f>
        <v/>
      </c>
      <c r="I391" t="inlineStr">
        <is>
          <t>27.89</t>
        </is>
      </c>
      <c r="J391" t="n">
        <v>129.99</v>
      </c>
      <c r="K391" s="3" t="inlineStr">
        <is>
          <t>366.08%</t>
        </is>
      </c>
      <c r="L391" t="n">
        <v>5</v>
      </c>
      <c r="M391" t="n">
        <v>30</v>
      </c>
      <c r="O391" t="inlineStr">
        <is>
          <t>InStock</t>
        </is>
      </c>
      <c r="P391" t="inlineStr">
        <is>
          <t>32.0</t>
        </is>
      </c>
      <c r="Q391" t="inlineStr">
        <is>
          <t>8005750685912</t>
        </is>
      </c>
    </row>
    <row r="392">
      <c r="A392" s="2">
        <f>HYPERLINK("https://edmondsonsupply.com/collections/hvac/products/kroil-ks162-original-penetrant-aerosol-16oz-can", "https://edmondsonsupply.com/collections/hvac/products/kroil-ks162-original-penetrant-aerosol-16oz-can")</f>
        <v/>
      </c>
      <c r="B392" s="2">
        <f>HYPERLINK("https://edmondsonsupply.com/products/kroil-ks162-original-penetrant-aerosol-16oz-can", "https://edmondsonsupply.com/products/kroil-ks162-original-penetrant-aerosol-16oz-can")</f>
        <v/>
      </c>
      <c r="C392" t="inlineStr">
        <is>
          <t>Kroil KS162 Original Penetrant Aerosol 16.5oz can</t>
        </is>
      </c>
      <c r="D392" t="inlineStr">
        <is>
          <t>Kroil Original Penetrating Oil (Aerosol Spray-13oz Can-Case of 4) | Penetrant for Rusted Bolts, Metal, Hinges, Chains, Moving Parts | Rust, Corrosion Inhibitor (AZKS132C4)</t>
        </is>
      </c>
      <c r="E392" s="2">
        <f>HYPERLINK("https://www.amazon.com/Penetrating-Spray-13oz-Penetrant-Corrosion-AZKS132C4/dp/B08ZM7198N/ref=sr_1_8?keywords=Kroil+KS162+Original+Penetrant+Aerosol+16.5oz+can&amp;qid=1695173803&amp;sr=8-8", "https://www.amazon.com/Penetrating-Spray-13oz-Penetrant-Corrosion-AZKS132C4/dp/B08ZM7198N/ref=sr_1_8?keywords=Kroil+KS162+Original+Penetrant+Aerosol+16.5oz+can&amp;qid=1695173803&amp;sr=8-8")</f>
        <v/>
      </c>
      <c r="F392" t="inlineStr">
        <is>
          <t>B08ZM7198N</t>
        </is>
      </c>
      <c r="G392">
        <f>_xludf.IMAGE("https://edmondsonsupply.com/cdn/shop/files/KS162.webp?v=1686779895")</f>
        <v/>
      </c>
      <c r="H392">
        <f>_xludf.IMAGE("https://m.media-amazon.com/images/I/61LjyRT-EEL._AC_UY218_.jpg")</f>
        <v/>
      </c>
      <c r="I392" t="inlineStr">
        <is>
          <t>27.89</t>
        </is>
      </c>
      <c r="J392" t="n">
        <v>105.99</v>
      </c>
      <c r="K392" s="3" t="inlineStr">
        <is>
          <t>280.03%</t>
        </is>
      </c>
      <c r="L392" t="n">
        <v>4.8</v>
      </c>
      <c r="M392" t="n">
        <v>24</v>
      </c>
      <c r="O392" t="inlineStr">
        <is>
          <t>InStock</t>
        </is>
      </c>
      <c r="P392" t="inlineStr">
        <is>
          <t>32.0</t>
        </is>
      </c>
      <c r="Q392" t="inlineStr">
        <is>
          <t>8005750685912</t>
        </is>
      </c>
    </row>
    <row r="393">
      <c r="A393" s="2">
        <f>HYPERLINK("https://edmondsonsupply.com/collections/hvac/products/kroil-fl132-floway-degreaser-aerosol-13oz-can", "https://edmondsonsupply.com/collections/hvac/products/kroil-fl132-floway-degreaser-aerosol-13oz-can")</f>
        <v/>
      </c>
      <c r="B393" s="2">
        <f>HYPERLINK("https://edmondsonsupply.com/products/kroil-fl132-floway-degreaser-aerosol-13oz-can", "https://edmondsonsupply.com/products/kroil-fl132-floway-degreaser-aerosol-13oz-can")</f>
        <v/>
      </c>
      <c r="C393" t="inlineStr">
        <is>
          <t>Kroil FL132 Floway Degreaser Aerosol 13oz can</t>
        </is>
      </c>
      <c r="D393" t="inlineStr">
        <is>
          <t>KROIL Floway Aerosol 13oz Can Amazon Case of 6</t>
        </is>
      </c>
      <c r="E393" s="2">
        <f>HYPERLINK("https://www.amazon.com/Floway-Aerosol-13oz-Amazon-Case/dp/B0B31ZHRHN/ref=sr_1_2?keywords=Kroil+FL132+Floway+Degreaser+Aerosol+13oz+can&amp;qid=1695173774&amp;sr=8-2", "https://www.amazon.com/Floway-Aerosol-13oz-Amazon-Case/dp/B0B31ZHRHN/ref=sr_1_2?keywords=Kroil+FL132+Floway+Degreaser+Aerosol+13oz+can&amp;qid=1695173774&amp;sr=8-2")</f>
        <v/>
      </c>
      <c r="F393" t="inlineStr">
        <is>
          <t>B0B31ZHRHN</t>
        </is>
      </c>
      <c r="G393">
        <f>_xludf.IMAGE("https://edmondsonsupply.com/cdn/shop/files/bottle-floway-13-313x800_png.webp?v=1686782369")</f>
        <v/>
      </c>
      <c r="H393">
        <f>_xludf.IMAGE("https://m.media-amazon.com/images/I/611KOI22HdL._AC_UY218_.jpg")</f>
        <v/>
      </c>
      <c r="I393" t="inlineStr">
        <is>
          <t>21.45</t>
        </is>
      </c>
      <c r="J393" t="n">
        <v>79.98999999999999</v>
      </c>
      <c r="K393" s="3" t="inlineStr">
        <is>
          <t>272.91%</t>
        </is>
      </c>
      <c r="L393" t="n">
        <v>5</v>
      </c>
      <c r="M393" t="n">
        <v>1</v>
      </c>
      <c r="O393" t="inlineStr">
        <is>
          <t>InStock</t>
        </is>
      </c>
      <c r="P393" t="inlineStr">
        <is>
          <t>22.0</t>
        </is>
      </c>
      <c r="Q393" t="inlineStr">
        <is>
          <t>8005763170520</t>
        </is>
      </c>
    </row>
    <row r="394">
      <c r="A394" s="2">
        <f>HYPERLINK("https://edmondsonsupply.com/collections/hvac/products/boss-products-326-hi-temp-red-silicone-sealant-3-oz-tube", "https://edmondsonsupply.com/collections/hvac/products/boss-products-326-hi-temp-red-silicone-sealant-3-oz-tube")</f>
        <v/>
      </c>
      <c r="B394" s="2">
        <f>HYPERLINK("https://edmondsonsupply.com/products/boss-products-326-hi-temp-red-silicone-sealant-3-oz-tube", "https://edmondsonsupply.com/products/boss-products-326-hi-temp-red-silicone-sealant-3-oz-tube")</f>
        <v/>
      </c>
      <c r="C394" t="inlineStr">
        <is>
          <t>Boss Products 326 Hi-Temp Red Silicone Sealant, 3 oz Tube</t>
        </is>
      </c>
      <c r="D394" t="inlineStr">
        <is>
          <t>Boss Products 326 Hi-Temp Red Silicone Sealant 3oz Tube</t>
        </is>
      </c>
      <c r="E394" s="2">
        <f>HYPERLINK("https://www.amazon.com/Boss-Products-Hi-Temp-Silicone-Sealant/dp/B00M8FPE10/ref=sr_1_1?keywords=Boss+Products+326+Hi-Temp+Red+Silicone+Sealant%2C+3+oz+Tube&amp;qid=1695173780&amp;sr=8-1", "https://www.amazon.com/Boss-Products-Hi-Temp-Silicone-Sealant/dp/B00M8FPE10/ref=sr_1_1?keywords=Boss+Products+326+Hi-Temp+Red+Silicone+Sealant%2C+3+oz+Tube&amp;qid=1695173780&amp;sr=8-1")</f>
        <v/>
      </c>
      <c r="F394" t="inlineStr">
        <is>
          <t>B00M8FPE10</t>
        </is>
      </c>
      <c r="G394">
        <f>_xludf.IMAGE("https://edmondsonsupply.com/cdn/shop/files/326-179201995210AM.jpg?v=1686501997")</f>
        <v/>
      </c>
      <c r="H394">
        <f>_xludf.IMAGE("https://m.media-amazon.com/images/I/41mU3Bpg4oL._AC_UY218_.jpg")</f>
        <v/>
      </c>
      <c r="I394" t="inlineStr">
        <is>
          <t>6.29</t>
        </is>
      </c>
      <c r="J394" t="n">
        <v>16.72</v>
      </c>
      <c r="K394" s="3" t="inlineStr">
        <is>
          <t>165.82%</t>
        </is>
      </c>
      <c r="L394" t="n">
        <v>5</v>
      </c>
      <c r="M394" t="n">
        <v>2</v>
      </c>
      <c r="O394" t="inlineStr">
        <is>
          <t>InStock</t>
        </is>
      </c>
      <c r="P394" t="inlineStr">
        <is>
          <t>undefined</t>
        </is>
      </c>
      <c r="Q394" t="inlineStr">
        <is>
          <t>8004214030552</t>
        </is>
      </c>
    </row>
    <row r="395">
      <c r="A395" s="2">
        <f>HYPERLINK("https://edmondsonsupply.com/collections/hvac/products/milwaukee-49-56-7000-small-thread-arbor-7-16-shank", "https://edmondsonsupply.com/collections/hvac/products/milwaukee-49-56-7000-small-thread-arbor-7-16-shank")</f>
        <v/>
      </c>
      <c r="B395" s="2">
        <f>HYPERLINK("https://edmondsonsupply.com/products/milwaukee-49-56-7000-small-thread-arbor-7-16-shank", "https://edmondsonsupply.com/products/milwaukee-49-56-7000-small-thread-arbor-7-16-shank")</f>
        <v/>
      </c>
      <c r="C395" t="inlineStr">
        <is>
          <t>Milwaukee 49-56-7000 Small Thread Arbor, 7/16" Shank</t>
        </is>
      </c>
      <c r="D395" t="inlineStr">
        <is>
          <t>MILWAUKEE'S Hole Saw Arbor, 7/16 Shank, 5/8-18 Thread, 1/2 in, 49-56-9100</t>
        </is>
      </c>
      <c r="E395" s="2">
        <f>HYPERLINK("https://www.amazon.com/Milwaukee-49-56-9100-16-Inch-Hole-Arbor/dp/B0019VAV2G/ref=sr_1_1?keywords=Milwaukee+49-56-7000+Small+Thread+Arbor%2C+7%2F16%22+Shank&amp;qid=1695173782&amp;sr=8-1", "https://www.amazon.com/Milwaukee-49-56-9100-16-Inch-Hole-Arbor/dp/B0019VAV2G/ref=sr_1_1?keywords=Milwaukee+49-56-7000+Small+Thread+Arbor%2C+7%2F16%22+Shank&amp;qid=1695173782&amp;sr=8-1")</f>
        <v/>
      </c>
      <c r="F395" t="inlineStr">
        <is>
          <t>B0019VAV2G</t>
        </is>
      </c>
      <c r="G395">
        <f>_xludf.IMAGE("https://edmondsonsupply.com/cdn/shop/files/51029_49-56-7000-lg.jpg?v=1686151660")</f>
        <v/>
      </c>
      <c r="H395">
        <f>_xludf.IMAGE("https://m.media-amazon.com/images/I/41OTK6p0M-S._AC_UL320_.jpg")</f>
        <v/>
      </c>
      <c r="I395" t="inlineStr">
        <is>
          <t>10.97</t>
        </is>
      </c>
      <c r="J395" t="n">
        <v>23.97</v>
      </c>
      <c r="K395" s="3" t="inlineStr">
        <is>
          <t>118.51%</t>
        </is>
      </c>
      <c r="L395" t="n">
        <v>4.6</v>
      </c>
      <c r="M395" t="n">
        <v>93</v>
      </c>
      <c r="O395" t="inlineStr">
        <is>
          <t>InStock</t>
        </is>
      </c>
      <c r="P395" t="inlineStr">
        <is>
          <t>19.0</t>
        </is>
      </c>
      <c r="Q395" t="inlineStr">
        <is>
          <t>8002379284696</t>
        </is>
      </c>
    </row>
    <row r="396">
      <c r="A396" s="2">
        <f>HYPERLINK("https://edmondsonsupply.com/collections/hvac/products/kroil-ks102-original-penetrant-aerosol-10oz-can", "https://edmondsonsupply.com/collections/hvac/products/kroil-ks102-original-penetrant-aerosol-10oz-can")</f>
        <v/>
      </c>
      <c r="B396" s="2">
        <f>HYPERLINK("https://edmondsonsupply.com/products/kroil-ks102-original-penetrant-aerosol-10oz-can", "https://edmondsonsupply.com/products/kroil-ks102-original-penetrant-aerosol-10oz-can")</f>
        <v/>
      </c>
      <c r="C396" t="inlineStr">
        <is>
          <t>Kroil KS102 Original Penetrant Aerosol 10oz can</t>
        </is>
      </c>
      <c r="D396" t="inlineStr">
        <is>
          <t>Kroil Original Penetrating Oil (Aerosol Spray-16.5oz Can-Single) | Penetrant for Rusted Bolts, Metal, Hinges, Chains, Moving Parts | Rust, Corrosion Inhibitor (KS162)</t>
        </is>
      </c>
      <c r="E396" s="2">
        <f>HYPERLINK("https://www.amazon.com/Penetrating-Spray-16-5oz-Can-Single-Penetrant-Corrosion/dp/B005ESIHZI/ref=sr_1_6?keywords=Kroil+KS102+Original+Penetrant+Aerosol+10oz+can&amp;qid=1695173773&amp;sr=8-6", "https://www.amazon.com/Penetrating-Spray-16-5oz-Can-Single-Penetrant-Corrosion/dp/B005ESIHZI/ref=sr_1_6?keywords=Kroil+KS102+Original+Penetrant+Aerosol+10oz+can&amp;qid=1695173773&amp;sr=8-6")</f>
        <v/>
      </c>
      <c r="F396" t="inlineStr">
        <is>
          <t>B005ESIHZI</t>
        </is>
      </c>
      <c r="G396">
        <f>_xludf.IMAGE("https://edmondsonsupply.com/cdn/shop/files/KS102.webp?v=1686779653")</f>
        <v/>
      </c>
      <c r="H396">
        <f>_xludf.IMAGE("https://m.media-amazon.com/images/I/51mtHxiqoDL._AC_UY218_.jpg")</f>
        <v/>
      </c>
      <c r="I396" t="inlineStr">
        <is>
          <t>19.98</t>
        </is>
      </c>
      <c r="J396" t="n">
        <v>33.78</v>
      </c>
      <c r="K396" s="3" t="inlineStr">
        <is>
          <t>69.07%</t>
        </is>
      </c>
      <c r="L396" t="n">
        <v>4.8</v>
      </c>
      <c r="M396" t="n">
        <v>2793</v>
      </c>
      <c r="O396" t="inlineStr">
        <is>
          <t>InStock</t>
        </is>
      </c>
      <c r="P396" t="inlineStr">
        <is>
          <t>22.9</t>
        </is>
      </c>
      <c r="Q396" t="inlineStr">
        <is>
          <t>8005750391000</t>
        </is>
      </c>
    </row>
    <row r="397">
      <c r="A397" s="2">
        <f>HYPERLINK("https://edmondsonsupply.com/collections/hvac/products/fluke-373-true-rms-ac-clamp-meter", "https://edmondsonsupply.com/collections/hvac/products/fluke-373-true-rms-ac-clamp-meter")</f>
        <v/>
      </c>
      <c r="B397" s="2">
        <f>HYPERLINK("https://edmondsonsupply.com/products/fluke-373-true-rms-ac-clamp-meter", "https://edmondsonsupply.com/products/fluke-373-true-rms-ac-clamp-meter")</f>
        <v/>
      </c>
      <c r="C397" t="inlineStr">
        <is>
          <t>Fluke 373 True-RMS AC Clamp Meter</t>
        </is>
      </c>
      <c r="D397" t="inlineStr">
        <is>
          <t>Fluke - 374-FC-AMZNCAL 374-FC-AMZN True-RMS AC/DC Clamp Meter, 600A/600V with a NIST-Traceable Calibration Certificate with Data</t>
        </is>
      </c>
      <c r="E397" s="2">
        <f>HYPERLINK("https://www.amazon.com/Fluke-374-FC-AMZN-NIST-Traceable-Calibration-Certificate/dp/B01CFXIMCC/ref=sr_1_9?keywords=Fluke+373+True-RMS+AC+Clamp+Meter&amp;qid=1695173782&amp;sr=8-9", "https://www.amazon.com/Fluke-374-FC-AMZN-NIST-Traceable-Calibration-Certificate/dp/B01CFXIMCC/ref=sr_1_9?keywords=Fluke+373+True-RMS+AC+Clamp+Meter&amp;qid=1695173782&amp;sr=8-9")</f>
        <v/>
      </c>
      <c r="F397" t="inlineStr">
        <is>
          <t>B01CFXIMCC</t>
        </is>
      </c>
      <c r="G397">
        <f>_xludf.IMAGE("https://edmondsonsupply.com/cdn/shop/files/f-373-01d-1500x1000.webp?v=1689369435")</f>
        <v/>
      </c>
      <c r="H397">
        <f>_xludf.IMAGE("https://m.media-amazon.com/images/I/61cUiZ0qhwL._AC_UY218_.jpg")</f>
        <v/>
      </c>
      <c r="I397" t="inlineStr">
        <is>
          <t>290.05</t>
        </is>
      </c>
      <c r="J397" t="n">
        <v>490</v>
      </c>
      <c r="K397" s="3" t="inlineStr">
        <is>
          <t>68.94%</t>
        </is>
      </c>
      <c r="L397" t="n">
        <v>3.8</v>
      </c>
      <c r="M397" t="n">
        <v>12</v>
      </c>
      <c r="O397" t="inlineStr">
        <is>
          <t>InStock</t>
        </is>
      </c>
      <c r="P397" t="inlineStr">
        <is>
          <t>undefined</t>
        </is>
      </c>
      <c r="Q397" t="inlineStr">
        <is>
          <t>8016406773976</t>
        </is>
      </c>
    </row>
    <row r="398">
      <c r="A398" s="2">
        <f>HYPERLINK("https://edmondsonsupply.com/collections/electricians-tools/products/klein-tools-60177-breakaway-lanyard-for-safety-glasses", "https://edmondsonsupply.com/collections/electricians-tools/products/klein-tools-60177-breakaway-lanyard-for-safety-glasses")</f>
        <v/>
      </c>
      <c r="B398" s="2">
        <f>HYPERLINK("https://edmondsonsupply.com/products/klein-tools-60177-breakaway-lanyard-for-safety-glasses", "https://edmondsonsupply.com/products/klein-tools-60177-breakaway-lanyard-for-safety-glasses")</f>
        <v/>
      </c>
      <c r="C398" t="inlineStr">
        <is>
          <t>Klein Tools 60177 Breakaway Lanyard for Safety Glasses</t>
        </is>
      </c>
      <c r="D398" t="inlineStr">
        <is>
          <t>Klein Tools 80055 Safety Glasses Kit, Professional Safety Glasses with Full Frame, Gray Lens and Breakaway Lanyard, 8-Piece</t>
        </is>
      </c>
      <c r="E398" s="2">
        <f>HYPERLINK("https://www.amazon.com/Klein-80055-Glasses-Professional-Breakaway/dp/B09HR9RV4H/ref=sr_1_2?keywords=Klein+Tools+60177+Breakaway+Lanyard+for+Safety+Glasses&amp;qid=1695173883&amp;sr=8-2", "https://www.amazon.com/Klein-80055-Glasses-Professional-Breakaway/dp/B09HR9RV4H/ref=sr_1_2?keywords=Klein+Tools+60177+Breakaway+Lanyard+for+Safety+Glasses&amp;qid=1695173883&amp;sr=8-2")</f>
        <v/>
      </c>
      <c r="F398" t="inlineStr">
        <is>
          <t>B09HR9RV4H</t>
        </is>
      </c>
      <c r="G398">
        <f>_xludf.IMAGE("https://edmondsonsupply.com/cdn/shop/products/60177.jpg?v=1633030858")</f>
        <v/>
      </c>
      <c r="H398">
        <f>_xludf.IMAGE("https://m.media-amazon.com/images/I/61L5l7dmmiL._AC_UL320_.jpg")</f>
        <v/>
      </c>
      <c r="I398" t="inlineStr">
        <is>
          <t>1.99</t>
        </is>
      </c>
      <c r="J398" t="n">
        <v>49.99</v>
      </c>
      <c r="K398" s="3" t="inlineStr">
        <is>
          <t>2412.06%</t>
        </is>
      </c>
      <c r="L398" t="n">
        <v>4.5</v>
      </c>
      <c r="M398" t="n">
        <v>13</v>
      </c>
      <c r="O398" t="inlineStr">
        <is>
          <t>InStock</t>
        </is>
      </c>
      <c r="P398" t="inlineStr">
        <is>
          <t>2.68</t>
        </is>
      </c>
      <c r="Q398" t="inlineStr">
        <is>
          <t>6104982454445</t>
        </is>
      </c>
    </row>
    <row r="399">
      <c r="A399" s="2">
        <f>HYPERLINK("https://edmondsonsupply.com/collections/electricians-tools/products/klein-tools-69445-rare-earth-magnetic-hanger-no-strap", "https://edmondsonsupply.com/collections/electricians-tools/products/klein-tools-69445-rare-earth-magnetic-hanger-no-strap")</f>
        <v/>
      </c>
      <c r="B399" s="2">
        <f>HYPERLINK("https://edmondsonsupply.com/products/klein-tools-69445-rare-earth-magnetic-hanger-no-strap", "https://edmondsonsupply.com/products/klein-tools-69445-rare-earth-magnetic-hanger-no-strap")</f>
        <v/>
      </c>
      <c r="C399" t="inlineStr">
        <is>
          <t>Klein Tools 69445 Rare Earth Magnetic Hanger, no Strap</t>
        </is>
      </c>
      <c r="D399" t="inlineStr">
        <is>
          <t>Klein Tools ET600 Multimeter, Megohmmeter Insulation Tester, 4000 Ohms Resistance, 125V/250V/500V/1000V, Auto-Ranging TRMS Multimeter &amp; Rare-Earth Magnetic Hanger no Strap</t>
        </is>
      </c>
      <c r="E399" s="2">
        <f>HYPERLINK("https://www.amazon.com/Klein-Tools-Megohmmeter-Insulation-Ohms-Resistance-Auto-Ranging/dp/B0B7NFMBPZ/ref=sr_1_7?keywords=Klein+Tools+69445+Rare+Earth+Magnetic+Hanger%2C+no+Strap&amp;qid=1695173881&amp;sr=8-7", "https://www.amazon.com/Klein-Tools-Megohmmeter-Insulation-Ohms-Resistance-Auto-Ranging/dp/B0B7NFMBPZ/ref=sr_1_7?keywords=Klein+Tools+69445+Rare+Earth+Magnetic+Hanger%2C+no+Strap&amp;qid=1695173881&amp;sr=8-7")</f>
        <v/>
      </c>
      <c r="F399" t="inlineStr">
        <is>
          <t>B0B7NFMBPZ</t>
        </is>
      </c>
      <c r="G399">
        <f>_xludf.IMAGE("https://edmondsonsupply.com/cdn/shop/products/69445.jpg?v=1633030859")</f>
        <v/>
      </c>
      <c r="H399">
        <f>_xludf.IMAGE("https://m.media-amazon.com/images/I/61U-LeAD05L._AC_UL320_.jpg")</f>
        <v/>
      </c>
      <c r="I399" t="inlineStr">
        <is>
          <t>15.99</t>
        </is>
      </c>
      <c r="J399" t="n">
        <v>183.24</v>
      </c>
      <c r="K399" s="3" t="inlineStr">
        <is>
          <t>1045.97%</t>
        </is>
      </c>
      <c r="L399" t="n">
        <v>4.3</v>
      </c>
      <c r="M399" t="n">
        <v>4</v>
      </c>
      <c r="O399" t="inlineStr">
        <is>
          <t>InStock</t>
        </is>
      </c>
      <c r="P399" t="inlineStr">
        <is>
          <t>22.84</t>
        </is>
      </c>
      <c r="Q399" t="inlineStr">
        <is>
          <t>6112025280685</t>
        </is>
      </c>
    </row>
    <row r="400">
      <c r="A400" s="2">
        <f>HYPERLINK("https://edmondsonsupply.com/collections/electricians-tools/products/klein-tools-69417-rare-earth-magnetic-meter-hanger", "https://edmondsonsupply.com/collections/electricians-tools/products/klein-tools-69417-rare-earth-magnetic-meter-hanger")</f>
        <v/>
      </c>
      <c r="B400" s="2">
        <f>HYPERLINK("https://edmondsonsupply.com/products/klein-tools-69417-rare-earth-magnetic-meter-hanger", "https://edmondsonsupply.com/products/klein-tools-69417-rare-earth-magnetic-meter-hanger")</f>
        <v/>
      </c>
      <c r="C400" t="inlineStr">
        <is>
          <t>Klein Tools 69417 Rare Earth Magnetic Meter Hanger, with Strap</t>
        </is>
      </c>
      <c r="D400" t="inlineStr">
        <is>
          <t>Klein Tools CL800 Digital Clamp Meter, Autoranging TRMS &amp; Klein Tools 69409 Line Splitter 10x, Black &amp; Klein Tools 69417 Rare-Earth Magnetic Hanger, with Strap</t>
        </is>
      </c>
      <c r="E400" s="2">
        <f>HYPERLINK("https://www.amazon.com/Klein-Tools-Autoranging-Splitter-Rare-Earth/dp/B0C99CGRNM/ref=sr_1_6?keywords=Klein+Tools+69417+Rare+Earth+Magnetic+Meter+Hanger%2C+with+Strap&amp;qid=1695173948&amp;sr=8-6", "https://www.amazon.com/Klein-Tools-Autoranging-Splitter-Rare-Earth/dp/B0C99CGRNM/ref=sr_1_6?keywords=Klein+Tools+69417+Rare+Earth+Magnetic+Meter+Hanger%2C+with+Strap&amp;qid=1695173948&amp;sr=8-6")</f>
        <v/>
      </c>
      <c r="F400" t="inlineStr">
        <is>
          <t>B0C99CGRNM</t>
        </is>
      </c>
      <c r="G400">
        <f>_xludf.IMAGE("https://edmondsonsupply.com/cdn/shop/products/69417.jpg?v=1587150163")</f>
        <v/>
      </c>
      <c r="H400">
        <f>_xludf.IMAGE("https://m.media-amazon.com/images/I/51cRT-bTN5L._AC_UL320_.jpg")</f>
        <v/>
      </c>
      <c r="I400" t="inlineStr">
        <is>
          <t>13.99</t>
        </is>
      </c>
      <c r="J400" t="n">
        <v>159.93</v>
      </c>
      <c r="K400" s="3" t="inlineStr">
        <is>
          <t>1043.17%</t>
        </is>
      </c>
      <c r="L400" t="n">
        <v>5</v>
      </c>
      <c r="M400" t="n">
        <v>3</v>
      </c>
      <c r="O400" t="inlineStr">
        <is>
          <t>InStock</t>
        </is>
      </c>
      <c r="P400" t="inlineStr">
        <is>
          <t>20.0</t>
        </is>
      </c>
      <c r="Q400" t="inlineStr">
        <is>
          <t>1778073731172</t>
        </is>
      </c>
    </row>
    <row r="401">
      <c r="A401" s="2">
        <f>HYPERLINK("https://edmondsonsupply.com/collections/electricians-tools/products/klein-tools-9125-tape-measure-25-foot-single-hook", "https://edmondsonsupply.com/collections/electricians-tools/products/klein-tools-9125-tape-measure-25-foot-single-hook")</f>
        <v/>
      </c>
      <c r="B401" s="2">
        <f>HYPERLINK("https://edmondsonsupply.com/products/klein-tools-9125-tape-measure-25-foot-single-hook", "https://edmondsonsupply.com/products/klein-tools-9125-tape-measure-25-foot-single-hook")</f>
        <v/>
      </c>
      <c r="C401" t="inlineStr">
        <is>
          <t>Klein Tools 9125 Tape Measure, 25-Foot Single-Hook</t>
        </is>
      </c>
      <c r="D401" t="inlineStr">
        <is>
          <t>Klein Tools 92911 Tool Kit, Apprentice Tool Set with 4 Pliers, Wire Stripper and Cutter &amp; 9125 Tape Measure, Heavy-Duty Measuring Tape with 25-Foot Single-Hook Nylon</t>
        </is>
      </c>
      <c r="E401" s="2">
        <f>HYPERLINK("https://www.amazon.com/Klein-Tools-Apprentice-Heavy-Duty-Single-Hook/dp/B0CF2H8PTH/ref=sr_1_3?keywords=Klein+Tools+9125+Tape+Measure%2C+25-Foot+Single-Hook&amp;qid=1695174185&amp;sr=8-3", "https://www.amazon.com/Klein-Tools-Apprentice-Heavy-Duty-Single-Hook/dp/B0CF2H8PTH/ref=sr_1_3?keywords=Klein+Tools+9125+Tape+Measure%2C+25-Foot+Single-Hook&amp;qid=1695174185&amp;sr=8-3")</f>
        <v/>
      </c>
      <c r="F401" t="inlineStr">
        <is>
          <t>B0CF2H8PTH</t>
        </is>
      </c>
      <c r="G401">
        <f>_xludf.IMAGE("https://edmondsonsupply.com/cdn/shop/products/9125.jpg?v=1587148575")</f>
        <v/>
      </c>
      <c r="H401">
        <f>_xludf.IMAGE("https://m.media-amazon.com/images/I/51zTBOk6P+L._AC_UL320_.jpg")</f>
        <v/>
      </c>
      <c r="I401" t="inlineStr">
        <is>
          <t>19.99</t>
        </is>
      </c>
      <c r="J401" t="n">
        <v>199.98</v>
      </c>
      <c r="K401" s="3" t="inlineStr">
        <is>
          <t>900.40%</t>
        </is>
      </c>
      <c r="L401" t="n">
        <v>4.8</v>
      </c>
      <c r="M401" t="n">
        <v>204</v>
      </c>
      <c r="O401" t="inlineStr">
        <is>
          <t>InStock</t>
        </is>
      </c>
      <c r="P401" t="inlineStr">
        <is>
          <t>27.98</t>
        </is>
      </c>
      <c r="Q401" t="inlineStr">
        <is>
          <t>4163406430308</t>
        </is>
      </c>
    </row>
    <row r="402">
      <c r="A402" s="2">
        <f>HYPERLINK("https://edmondsonsupply.com/collections/electricians-tools/products/diablo-tools-dmapl4060-1-4-in-x-2-in-x-4-in-rebar-demon%E2%84%A2-sds-plus-4-cutter-full-carbide-head-hammer-bit", "https://edmondsonsupply.com/collections/electricians-tools/products/diablo-tools-dmapl4060-1-4-in-x-2-in-x-4-in-rebar-demon%E2%84%A2-sds-plus-4-cutter-full-carbide-head-hammer-bit")</f>
        <v/>
      </c>
      <c r="B402" s="2">
        <f>HYPERLINK("https://edmondsonsupply.com/products/diablo-tools-dmapl4060-1-4-in-x-2-in-x-4-in-rebar-demon%e2%84%a2-sds-plus-4-cutter-full-carbide-head-hammer-bit", "https://edmondsonsupply.com/products/diablo-tools-dmapl4060-1-4-in-x-2-in-x-4-in-rebar-demon%e2%84%a2-sds-plus-4-cutter-full-carbide-head-hammer-bit")</f>
        <v/>
      </c>
      <c r="C402" t="inlineStr">
        <is>
          <t>Diablo Tools DMAPL4060 1/4 in. x 2 in. x 4 in. Rebar Demon™ SDS‑Plus 4‑Cutter Full Carbide Head Hammer Bit</t>
        </is>
      </c>
      <c r="D402" t="inlineStr">
        <is>
          <t>Diablo by Freud DMAPL4300 1 in. x 8 in. x 10 in. Rebar Demon™ SDS-Plus 4-Cutter Full Carbide Head Hammer Bit</t>
        </is>
      </c>
      <c r="E402" s="2">
        <f>HYPERLINK("https://www.amazon.com/Diablo-Freud-DMAPL4300-SDS-Plus-4-Cutter/dp/B089LL8JD8/ref=sr_1_10?keywords=Diablo+Tools+DMAPL4060+1%2F4+in.+x+2+in.+x+4+in.+Rebar+Demon%E2%84%A2+SDS%E2%80%91Plus+4%E2%80%91Cutter+Full+Carbide+Head+Hammer+Bit&amp;qid=1695174225&amp;sr=8-10", "https://www.amazon.com/Diablo-Freud-DMAPL4300-SDS-Plus-4-Cutter/dp/B089LL8JD8/ref=sr_1_10?keywords=Diablo+Tools+DMAPL4060+1%2F4+in.+x+2+in.+x+4+in.+Rebar+Demon%E2%84%A2+SDS%E2%80%91Plus+4%E2%80%91Cutter+Full+Carbide+Head+Hammer+Bit&amp;qid=1695174225&amp;sr=8-10")</f>
        <v/>
      </c>
      <c r="F402" t="inlineStr">
        <is>
          <t>B089LL8JD8</t>
        </is>
      </c>
      <c r="G402">
        <f>_xludf.IMAGE("https://edmondsonsupply.com/cdn/shop/products/4060.webp?v=1647637028")</f>
        <v/>
      </c>
      <c r="H402">
        <f>_xludf.IMAGE("https://m.media-amazon.com/images/I/616UiJGsK1L._AC_UL320_.jpg")</f>
        <v/>
      </c>
      <c r="I402" t="inlineStr">
        <is>
          <t>3.47</t>
        </is>
      </c>
      <c r="J402" t="n">
        <v>33.95</v>
      </c>
      <c r="K402" s="3" t="inlineStr">
        <is>
          <t>878.39%</t>
        </is>
      </c>
      <c r="L402" t="n">
        <v>4.5</v>
      </c>
      <c r="M402" t="n">
        <v>16</v>
      </c>
      <c r="O402" t="inlineStr">
        <is>
          <t>InStock</t>
        </is>
      </c>
      <c r="P402" t="inlineStr">
        <is>
          <t>6.0</t>
        </is>
      </c>
      <c r="Q402" t="inlineStr">
        <is>
          <t>7639203807448</t>
        </is>
      </c>
    </row>
    <row r="403">
      <c r="A403" s="2">
        <f>HYPERLINK("https://edmondsonsupply.com/collections/electricians-tools/products/klein-tools-69417-rare-earth-magnetic-meter-hanger", "https://edmondsonsupply.com/collections/electricians-tools/products/klein-tools-69417-rare-earth-magnetic-meter-hanger")</f>
        <v/>
      </c>
      <c r="B403" s="2">
        <f>HYPERLINK("https://edmondsonsupply.com/products/klein-tools-69417-rare-earth-magnetic-meter-hanger", "https://edmondsonsupply.com/products/klein-tools-69417-rare-earth-magnetic-meter-hanger")</f>
        <v/>
      </c>
      <c r="C403" t="inlineStr">
        <is>
          <t>Klein Tools 69417 Rare Earth Magnetic Meter Hanger, with Strap</t>
        </is>
      </c>
      <c r="D403" t="inlineStr">
        <is>
          <t>Klein Tools CL800 Digital Clamp Meter, Autoranging TRMS, AC/DC Volt/Current, LoZ, Continuity, Frequency, Capacitance, NCVT, Temp, More 1000V &amp; 69417 Rare-Earth Magnetic Hanger, with Strap</t>
        </is>
      </c>
      <c r="E403" s="2">
        <f>HYPERLINK("https://www.amazon.com/Klein-Tools-Auto-Ranging-Impedance-Measures/dp/B08MG1RGM4/ref=sr_1_7?keywords=Klein+Tools+69417+Rare+Earth+Magnetic+Meter+Hanger%2C+with+Strap&amp;qid=1695173948&amp;sr=8-7", "https://www.amazon.com/Klein-Tools-Auto-Ranging-Impedance-Measures/dp/B08MG1RGM4/ref=sr_1_7?keywords=Klein+Tools+69417+Rare+Earth+Magnetic+Meter+Hanger%2C+with+Strap&amp;qid=1695173948&amp;sr=8-7")</f>
        <v/>
      </c>
      <c r="F403" t="inlineStr">
        <is>
          <t>B08MG1RGM4</t>
        </is>
      </c>
      <c r="G403">
        <f>_xludf.IMAGE("https://edmondsonsupply.com/cdn/shop/products/69417.jpg?v=1587150163")</f>
        <v/>
      </c>
      <c r="H403">
        <f>_xludf.IMAGE("https://m.media-amazon.com/images/I/51zWKsjrJKL._AC_UL320_.jpg")</f>
        <v/>
      </c>
      <c r="I403" t="inlineStr">
        <is>
          <t>13.99</t>
        </is>
      </c>
      <c r="J403" t="n">
        <v>131.8</v>
      </c>
      <c r="K403" s="3" t="inlineStr">
        <is>
          <t>842.10%</t>
        </is>
      </c>
      <c r="L403" t="n">
        <v>4.7</v>
      </c>
      <c r="M403" t="n">
        <v>44</v>
      </c>
      <c r="O403" t="inlineStr">
        <is>
          <t>InStock</t>
        </is>
      </c>
      <c r="P403" t="inlineStr">
        <is>
          <t>20.0</t>
        </is>
      </c>
      <c r="Q403" t="inlineStr">
        <is>
          <t>1778073731172</t>
        </is>
      </c>
    </row>
    <row r="404">
      <c r="A404" s="2">
        <f>HYPERLINK("https://edmondsonsupply.com/collections/electricians-tools/products/klein-tools-31918-bi-metal-hole-saw-1-1-8-inch", "https://edmondsonsupply.com/collections/electricians-tools/products/klein-tools-31918-bi-metal-hole-saw-1-1-8-inch")</f>
        <v/>
      </c>
      <c r="B404" s="2">
        <f>HYPERLINK("https://edmondsonsupply.com/products/klein-tools-31918-bi-metal-hole-saw-1-1-8-inch", "https://edmondsonsupply.com/products/klein-tools-31918-bi-metal-hole-saw-1-1-8-inch")</f>
        <v/>
      </c>
      <c r="C404" t="inlineStr">
        <is>
          <t>Klein Tools 31918 Bi-Metal Hole Saw, 1-1/8-Inch</t>
        </is>
      </c>
      <c r="D404" t="inlineStr">
        <is>
          <t>Klein Tools 31902 Bi-Metal Hole Saw Kit with Arbor Bits for Cutting Steel, Drywall, Ceiling Tile, Wood, Plastic, 8-Piece</t>
        </is>
      </c>
      <c r="E404" s="2">
        <f>HYPERLINK("https://www.amazon.com/Bi-Metal-8-Piece-Klein-Tools-31902/dp/B014WEBAO4/ref=sr_1_7?keywords=Klein+Tools+31918+Bi-Metal+Hole+Saw%2C+1-1%2F8-Inch&amp;qid=1695174116&amp;sr=8-7", "https://www.amazon.com/Bi-Metal-8-Piece-Klein-Tools-31902/dp/B014WEBAO4/ref=sr_1_7?keywords=Klein+Tools+31918+Bi-Metal+Hole+Saw%2C+1-1%2F8-Inch&amp;qid=1695174116&amp;sr=8-7")</f>
        <v/>
      </c>
      <c r="F404" t="inlineStr">
        <is>
          <t>B014WEBAO4</t>
        </is>
      </c>
      <c r="G404">
        <f>_xludf.IMAGE("https://edmondsonsupply.com/cdn/shop/products/31918.jpg?v=1669739998")</f>
        <v/>
      </c>
      <c r="H404">
        <f>_xludf.IMAGE("https://m.media-amazon.com/images/I/51JZIdZrBtL._AC_UL320_.jpg")</f>
        <v/>
      </c>
      <c r="I404" t="inlineStr">
        <is>
          <t>7.99</t>
        </is>
      </c>
      <c r="J404" t="n">
        <v>74.98999999999999</v>
      </c>
      <c r="K404" s="3" t="inlineStr">
        <is>
          <t>838.55%</t>
        </is>
      </c>
      <c r="L404" t="n">
        <v>4.2</v>
      </c>
      <c r="M404" t="n">
        <v>124</v>
      </c>
      <c r="O404" t="inlineStr">
        <is>
          <t>InStock</t>
        </is>
      </c>
      <c r="P404" t="inlineStr">
        <is>
          <t>11.2</t>
        </is>
      </c>
      <c r="Q404" t="inlineStr">
        <is>
          <t>7896138678488</t>
        </is>
      </c>
    </row>
    <row r="405">
      <c r="A405" s="2">
        <f>HYPERLINK("https://edmondsonsupply.com/collections/electricians-tools/products/klein-tools-69445-rare-earth-magnetic-hanger-no-strap", "https://edmondsonsupply.com/collections/electricians-tools/products/klein-tools-69445-rare-earth-magnetic-hanger-no-strap")</f>
        <v/>
      </c>
      <c r="B405" s="2">
        <f>HYPERLINK("https://edmondsonsupply.com/products/klein-tools-69445-rare-earth-magnetic-hanger-no-strap", "https://edmondsonsupply.com/products/klein-tools-69445-rare-earth-magnetic-hanger-no-strap")</f>
        <v/>
      </c>
      <c r="C405" t="inlineStr">
        <is>
          <t>Klein Tools 69445 Rare Earth Magnetic Hanger, no Strap</t>
        </is>
      </c>
      <c r="D405" t="inlineStr">
        <is>
          <t>Klein Tools CL800 Digital Clamp Meter, Autoranging TRMS, AC/DC Volt/Current, LOZ, Continuity, Frequency, Capacitance, NCVT, Temp, More 1000V &amp; Rare-Earth Magnetic Hanger no Strap</t>
        </is>
      </c>
      <c r="E405" s="2">
        <f>HYPERLINK("https://www.amazon.com/Klein-Tools-Autoranging-Continuity-Capacitance/dp/B0BFXMP222/ref=sr_1_3?keywords=Klein+Tools+69445+Rare+Earth+Magnetic+Hanger%2C+no+Strap&amp;qid=1695173881&amp;sr=8-3", "https://www.amazon.com/Klein-Tools-Autoranging-Continuity-Capacitance/dp/B0BFXMP222/ref=sr_1_3?keywords=Klein+Tools+69445+Rare+Earth+Magnetic+Hanger%2C+no+Strap&amp;qid=1695173881&amp;sr=8-3")</f>
        <v/>
      </c>
      <c r="F405" t="inlineStr">
        <is>
          <t>B0BFXMP222</t>
        </is>
      </c>
      <c r="G405">
        <f>_xludf.IMAGE("https://edmondsonsupply.com/cdn/shop/products/69445.jpg?v=1633030859")</f>
        <v/>
      </c>
      <c r="H405">
        <f>_xludf.IMAGE("https://m.media-amazon.com/images/I/61-gHKKfiPL._AC_UL320_.jpg")</f>
        <v/>
      </c>
      <c r="I405" t="inlineStr">
        <is>
          <t>15.99</t>
        </is>
      </c>
      <c r="J405" t="n">
        <v>148.22</v>
      </c>
      <c r="K405" s="3" t="inlineStr">
        <is>
          <t>826.95%</t>
        </is>
      </c>
      <c r="L405" t="n">
        <v>4.7</v>
      </c>
      <c r="M405" t="n">
        <v>15</v>
      </c>
      <c r="O405" t="inlineStr">
        <is>
          <t>InStock</t>
        </is>
      </c>
      <c r="P405" t="inlineStr">
        <is>
          <t>22.84</t>
        </is>
      </c>
      <c r="Q405" t="inlineStr">
        <is>
          <t>6112025280685</t>
        </is>
      </c>
    </row>
    <row r="406">
      <c r="A406" s="2">
        <f>HYPERLINK("https://edmondsonsupply.com/collections/electricians-tools/products/diablo-tools-dmarg1010-1-8-in-x-2-in-x-3-in-speedemon%E2%84%A2-red-granite-carbide-tipped-hammer-drill-bit", "https://edmondsonsupply.com/collections/electricians-tools/products/diablo-tools-dmarg1010-1-8-in-x-2-in-x-3-in-speedemon%E2%84%A2-red-granite-carbide-tipped-hammer-drill-bit")</f>
        <v/>
      </c>
      <c r="B406" s="2">
        <f>HYPERLINK("https://edmondsonsupply.com/products/diablo-tools-dmarg1010-1-8-in-x-2-in-x-3-in-speedemon%e2%84%a2-red-granite-carbide-tipped-hammer-drill-bit", "https://edmondsonsupply.com/products/diablo-tools-dmarg1010-1-8-in-x-2-in-x-3-in-speedemon%e2%84%a2-red-granite-carbide-tipped-hammer-drill-bit")</f>
        <v/>
      </c>
      <c r="C406" t="inlineStr">
        <is>
          <t>Diablo Tools DMARG1010 1/8 in. x 2 in. x 3 in. SPEEDemon™ Red Granite Carbide Tipped Hammer Drill Bit</t>
        </is>
      </c>
      <c r="D406" t="inlineStr">
        <is>
          <t>Diablo 1 in. x 10" x 12" SPEEDemon™ Red Granite Carbide Tipped Hammer Drill Bit</t>
        </is>
      </c>
      <c r="E406" s="2">
        <f>HYPERLINK("https://www.amazon.com/Diablo-Freud-DMARG1210-SPEEDemon-Granite/dp/B089KW1B5V/ref=sr_1_4?keywords=Diablo+Tools+DMARG1010+1%2F8+in.+x+2+in.+x+3+in.+SPEEDemon%E2%84%A2+Red+Granite+Carbide+Tipped+Hammer+Drill+Bit&amp;qid=1695174243&amp;sr=8-4", "https://www.amazon.com/Diablo-Freud-DMARG1210-SPEEDemon-Granite/dp/B089KW1B5V/ref=sr_1_4?keywords=Diablo+Tools+DMARG1010+1%2F8+in.+x+2+in.+x+3+in.+SPEEDemon%E2%84%A2+Red+Granite+Carbide+Tipped+Hammer+Drill+Bit&amp;qid=1695174243&amp;sr=8-4")</f>
        <v/>
      </c>
      <c r="F406" t="inlineStr">
        <is>
          <t>B089KW1B5V</t>
        </is>
      </c>
      <c r="G406">
        <f>_xludf.IMAGE("https://edmondsonsupply.com/cdn/shop/products/DMARG1010_Main-Image20200706.png?v=1633031180")</f>
        <v/>
      </c>
      <c r="H406">
        <f>_xludf.IMAGE("https://m.media-amazon.com/images/I/61+EqrM-43L._AC_UL320_.jpg")</f>
        <v/>
      </c>
      <c r="I406" t="inlineStr">
        <is>
          <t>2.99</t>
        </is>
      </c>
      <c r="J406" t="n">
        <v>26.49</v>
      </c>
      <c r="K406" s="3" t="inlineStr">
        <is>
          <t>785.95%</t>
        </is>
      </c>
      <c r="L406" t="n">
        <v>4.7</v>
      </c>
      <c r="M406" t="n">
        <v>31</v>
      </c>
      <c r="O406" t="inlineStr">
        <is>
          <t>InStock</t>
        </is>
      </c>
      <c r="P406" t="inlineStr">
        <is>
          <t>3.86</t>
        </is>
      </c>
      <c r="Q406" t="inlineStr">
        <is>
          <t>6917972099245</t>
        </is>
      </c>
    </row>
    <row r="407">
      <c r="A407" s="2">
        <f>HYPERLINK("https://edmondsonsupply.com/collections/electricians-tools/products/klein-tools-rt110-receptacle-tester", "https://edmondsonsupply.com/collections/electricians-tools/products/klein-tools-rt110-receptacle-tester")</f>
        <v/>
      </c>
      <c r="B407" s="2">
        <f>HYPERLINK("https://edmondsonsupply.com/products/klein-tools-rt110-receptacle-tester", "https://edmondsonsupply.com/products/klein-tools-rt110-receptacle-tester")</f>
        <v/>
      </c>
      <c r="C407" t="inlineStr">
        <is>
          <t>Klein Tools RT110 Receptacle Tester</t>
        </is>
      </c>
      <c r="D407" t="inlineStr">
        <is>
          <t>Klein Tools 80101 Home Tester Kit, GFCI Outlet and Receptacle Testers, Multimeter, NCVT, Circuit Breaker Finder, Leads, 6-Piece, Black</t>
        </is>
      </c>
      <c r="E407" s="2">
        <f>HYPERLINK("https://www.amazon.com/Klein-Tools-Receptacle-Testers-Multimeter/dp/B0B7817ZG5/ref=sr_1_4?keywords=Klein+Tools+RT110+Receptacle+Tester&amp;qid=1695174267&amp;sr=8-4", "https://www.amazon.com/Klein-Tools-Receptacle-Testers-Multimeter/dp/B0B7817ZG5/ref=sr_1_4?keywords=Klein+Tools+RT110+Receptacle+Tester&amp;qid=1695174267&amp;sr=8-4")</f>
        <v/>
      </c>
      <c r="F407" t="inlineStr">
        <is>
          <t>B0B7817ZG5</t>
        </is>
      </c>
      <c r="G407">
        <f>_xludf.IMAGE("https://edmondsonsupply.com/cdn/shop/products/rt110.jpg?v=1633031036")</f>
        <v/>
      </c>
      <c r="H407">
        <f>_xludf.IMAGE("https://m.media-amazon.com/images/I/61wZRMpKAcL._AC_UL320_.jpg")</f>
        <v/>
      </c>
      <c r="I407" t="inlineStr">
        <is>
          <t>9.97</t>
        </is>
      </c>
      <c r="J407" t="n">
        <v>79.98999999999999</v>
      </c>
      <c r="K407" s="3" t="inlineStr">
        <is>
          <t>702.31%</t>
        </is>
      </c>
      <c r="L407" t="n">
        <v>4.7</v>
      </c>
      <c r="M407" t="n">
        <v>406</v>
      </c>
      <c r="O407" t="inlineStr">
        <is>
          <t>InStock</t>
        </is>
      </c>
      <c r="P407" t="inlineStr">
        <is>
          <t>12.12</t>
        </is>
      </c>
      <c r="Q407" t="inlineStr">
        <is>
          <t>6740486619309</t>
        </is>
      </c>
    </row>
    <row r="408">
      <c r="A408" s="2">
        <f>HYPERLINK("https://edmondsonsupply.com/collections/electricians-tools/products/klein-tools-69417-rare-earth-magnetic-meter-hanger", "https://edmondsonsupply.com/collections/electricians-tools/products/klein-tools-69417-rare-earth-magnetic-meter-hanger")</f>
        <v/>
      </c>
      <c r="B408" s="2">
        <f>HYPERLINK("https://edmondsonsupply.com/products/klein-tools-69417-rare-earth-magnetic-meter-hanger", "https://edmondsonsupply.com/products/klein-tools-69417-rare-earth-magnetic-meter-hanger")</f>
        <v/>
      </c>
      <c r="C408" t="inlineStr">
        <is>
          <t>Klein Tools 69417 Rare Earth Magnetic Meter Hanger, with Strap</t>
        </is>
      </c>
      <c r="D408" t="inlineStr">
        <is>
          <t>Klein Tools CL390 Digital Clamp Meter, Reverse Contrast Display, Auto Ranging 400A AC/DC, AC/DC Voltage,TRMS, DC Microamps, Temp, NCVT, More &amp; 69417 Rare-Earth Magnetic Hanger, with Strap</t>
        </is>
      </c>
      <c r="E408" s="2">
        <f>HYPERLINK("https://www.amazon.com/Klein-Tools-Contrast-Microamps-Rare-Earth/dp/B09T72LQCJ/ref=sr_1_9?keywords=Klein+Tools+69417+Rare+Earth+Magnetic+Meter+Hanger%2C+with+Strap&amp;qid=1695173948&amp;sr=8-9", "https://www.amazon.com/Klein-Tools-Contrast-Microamps-Rare-Earth/dp/B09T72LQCJ/ref=sr_1_9?keywords=Klein+Tools+69417+Rare+Earth+Magnetic+Meter+Hanger%2C+with+Strap&amp;qid=1695173948&amp;sr=8-9")</f>
        <v/>
      </c>
      <c r="F408" t="inlineStr">
        <is>
          <t>B09T72LQCJ</t>
        </is>
      </c>
      <c r="G408">
        <f>_xludf.IMAGE("https://edmondsonsupply.com/cdn/shop/products/69417.jpg?v=1587150163")</f>
        <v/>
      </c>
      <c r="H408">
        <f>_xludf.IMAGE("https://m.media-amazon.com/images/I/51sNOvZYe9L._AC_UL320_.jpg")</f>
        <v/>
      </c>
      <c r="I408" t="inlineStr">
        <is>
          <t>13.99</t>
        </is>
      </c>
      <c r="J408" t="n">
        <v>111.24</v>
      </c>
      <c r="K408" s="3" t="inlineStr">
        <is>
          <t>695.14%</t>
        </is>
      </c>
      <c r="L408" t="n">
        <v>4.6</v>
      </c>
      <c r="M408" t="n">
        <v>7</v>
      </c>
      <c r="O408" t="inlineStr">
        <is>
          <t>InStock</t>
        </is>
      </c>
      <c r="P408" t="inlineStr">
        <is>
          <t>20.0</t>
        </is>
      </c>
      <c r="Q408" t="inlineStr">
        <is>
          <t>1778073731172</t>
        </is>
      </c>
    </row>
    <row r="409">
      <c r="A409" s="2">
        <f>HYPERLINK("https://edmondsonsupply.com/collections/electricians-tools/products/klein-tools-31856-1-1-8-inch-carbide-hole-cutter", "https://edmondsonsupply.com/collections/electricians-tools/products/klein-tools-31856-1-1-8-inch-carbide-hole-cutter")</f>
        <v/>
      </c>
      <c r="B409" s="2">
        <f>HYPERLINK("https://edmondsonsupply.com/products/klein-tools-31856-1-1-8-inch-carbide-hole-cutter", "https://edmondsonsupply.com/products/klein-tools-31856-1-1-8-inch-carbide-hole-cutter")</f>
        <v/>
      </c>
      <c r="C409" t="inlineStr">
        <is>
          <t>Klein Tools 31856 1-1/8-Inch Carbide Hole Cutter</t>
        </is>
      </c>
      <c r="D409" t="inlineStr">
        <is>
          <t>Klein Tools 31873 Heavy Duty Hole Cutter Kit, Includes Carbide Hole Cutters and 2 Pilot Bits in Rust-Proof Molded Plastic Case, 8-Piece</t>
        </is>
      </c>
      <c r="E409" s="2">
        <f>HYPERLINK("https://www.amazon.com/Electricians-8-Piece-Klein-Tools-31873/dp/B003CCRCM2/ref=sr_1_4?keywords=Klein+Tools+31856+1-1%2F8-Inch+Carbide+Hole+Cutter&amp;qid=1695174011&amp;sr=8-4", "https://www.amazon.com/Electricians-8-Piece-Klein-Tools-31873/dp/B003CCRCM2/ref=sr_1_4?keywords=Klein+Tools+31856+1-1%2F8-Inch+Carbide+Hole+Cutter&amp;qid=1695174011&amp;sr=8-4")</f>
        <v/>
      </c>
      <c r="F409" t="inlineStr">
        <is>
          <t>B003CCRCM2</t>
        </is>
      </c>
      <c r="G409">
        <f>_xludf.IMAGE("https://edmondsonsupply.com/cdn/shop/files/31856.jpg?v=1685712345")</f>
        <v/>
      </c>
      <c r="H409">
        <f>_xludf.IMAGE("https://m.media-amazon.com/images/I/61G-oQvGZTL._AC_UL320_.jpg")</f>
        <v/>
      </c>
      <c r="I409" t="inlineStr">
        <is>
          <t>35.99</t>
        </is>
      </c>
      <c r="J409" t="n">
        <v>279.99</v>
      </c>
      <c r="K409" s="3" t="inlineStr">
        <is>
          <t>677.97%</t>
        </is>
      </c>
      <c r="L409" t="n">
        <v>4.6</v>
      </c>
      <c r="M409" t="n">
        <v>64</v>
      </c>
      <c r="O409" t="inlineStr">
        <is>
          <t>InStock</t>
        </is>
      </c>
      <c r="P409" t="inlineStr">
        <is>
          <t>50.38</t>
        </is>
      </c>
      <c r="Q409" t="inlineStr">
        <is>
          <t>7999529910488</t>
        </is>
      </c>
    </row>
    <row r="410">
      <c r="A410" s="2">
        <f>HYPERLINK("https://edmondsonsupply.com/collections/electricians-tools/products/greenlee-dtap1-4-20-drill-tap-1-4-20", "https://edmondsonsupply.com/collections/electricians-tools/products/greenlee-dtap1-4-20-drill-tap-1-4-20")</f>
        <v/>
      </c>
      <c r="B410" s="2">
        <f>HYPERLINK("https://edmondsonsupply.com/products/greenlee-dtap1-4-20-drill-tap-1-4-20", "https://edmondsonsupply.com/products/greenlee-dtap1-4-20-drill-tap-1-4-20")</f>
        <v/>
      </c>
      <c r="C410" t="inlineStr">
        <is>
          <t>Greenlee DTAP1/4-20 Drill/Tap, 1/4-20</t>
        </is>
      </c>
      <c r="D410" t="inlineStr">
        <is>
          <t>Greenlee LDTAPKIT Drill/Tap/Countersink Set, Hss, 7 Pcs., 8-32 to 1/4-20</t>
        </is>
      </c>
      <c r="E410" s="2">
        <f>HYPERLINK("https://www.amazon.com/Greenlee-LDTAPKIT-Change-Adapter-6-Piece/dp/B00E62G68I/ref=sr_1_8?keywords=Greenlee+DTAP1%2F4-20+Drill%2FTap%2C+1%2F4-20&amp;qid=1695173937&amp;sr=8-8", "https://www.amazon.com/Greenlee-LDTAPKIT-Change-Adapter-6-Piece/dp/B00E62G68I/ref=sr_1_8?keywords=Greenlee+DTAP1%2F4-20+Drill%2FTap%2C+1%2F4-20&amp;qid=1695173937&amp;sr=8-8")</f>
        <v/>
      </c>
      <c r="F410" t="inlineStr">
        <is>
          <t>B00E62G68I</t>
        </is>
      </c>
      <c r="G410">
        <f>_xludf.IMAGE("https://edmondsonsupply.com/cdn/shop/products/DTAP1-4-20.jpg?v=1587151009")</f>
        <v/>
      </c>
      <c r="H410">
        <f>_xludf.IMAGE("https://m.media-amazon.com/images/I/81u4qTDFlCL._AC_UL320_.jpg")</f>
        <v/>
      </c>
      <c r="I410" t="inlineStr">
        <is>
          <t>8.99</t>
        </is>
      </c>
      <c r="J410" t="n">
        <v>69.03</v>
      </c>
      <c r="K410" s="3" t="inlineStr">
        <is>
          <t>667.85%</t>
        </is>
      </c>
      <c r="L410" t="n">
        <v>4.8</v>
      </c>
      <c r="M410" t="n">
        <v>1309</v>
      </c>
      <c r="O410" t="inlineStr">
        <is>
          <t>InStock</t>
        </is>
      </c>
      <c r="P410" t="inlineStr">
        <is>
          <t>9.7</t>
        </is>
      </c>
      <c r="Q410" t="inlineStr">
        <is>
          <t>4395885199460</t>
        </is>
      </c>
    </row>
    <row r="411">
      <c r="A411" s="2">
        <f>HYPERLINK("https://edmondsonsupply.com/collections/electricians-tools/products/klein-tools-51612-3-4-inch-angle-setter%E2%84%A2", "https://edmondsonsupply.com/collections/electricians-tools/products/klein-tools-51612-3-4-inch-angle-setter%E2%84%A2")</f>
        <v/>
      </c>
      <c r="B411" s="2">
        <f>HYPERLINK("https://edmondsonsupply.com/products/klein-tools-51612-3-4-inch-angle-setter%e2%84%a2", "https://edmondsonsupply.com/products/klein-tools-51612-3-4-inch-angle-setter%e2%84%a2")</f>
        <v/>
      </c>
      <c r="C411" t="inlineStr">
        <is>
          <t>Klein Tools 51612 3/4-Inch Angle Setter™</t>
        </is>
      </c>
      <c r="D411" t="inlineStr">
        <is>
          <t>Klein Tools 51610 Iron Conduit Bender Head, for 1-Inch EMT or 3/4-Inch Rigid IMC, use with Klein Tools Angle Setter (Cat. No. 51613)</t>
        </is>
      </c>
      <c r="E411" s="2">
        <f>HYPERLINK("https://www.amazon.com/Conduit-Bender-Klein-Tools-51610/dp/B08V8J5CX4/ref=sr_1_4?keywords=Klein+Tools+51612+3%2F4-Inch+Angle+Setter%E2%84%A2&amp;qid=1695174172&amp;sr=8-4", "https://www.amazon.com/Conduit-Bender-Klein-Tools-51610/dp/B08V8J5CX4/ref=sr_1_4?keywords=Klein+Tools+51612+3%2F4-Inch+Angle+Setter%E2%84%A2&amp;qid=1695174172&amp;sr=8-4")</f>
        <v/>
      </c>
      <c r="F411" t="inlineStr">
        <is>
          <t>B08V8J5CX4</t>
        </is>
      </c>
      <c r="G411">
        <f>_xludf.IMAGE("https://edmondsonsupply.com/cdn/shop/products/51612.jpg?v=1661977736")</f>
        <v/>
      </c>
      <c r="H411">
        <f>_xludf.IMAGE("https://m.media-amazon.com/images/I/61jmGqozuVL._AC_UL320_.jpg")</f>
        <v/>
      </c>
      <c r="I411" t="inlineStr">
        <is>
          <t>9.97</t>
        </is>
      </c>
      <c r="J411" t="n">
        <v>74.98999999999999</v>
      </c>
      <c r="K411" s="3" t="inlineStr">
        <is>
          <t>652.16%</t>
        </is>
      </c>
      <c r="L411" t="n">
        <v>4.8</v>
      </c>
      <c r="M411" t="n">
        <v>11</v>
      </c>
      <c r="O411" t="inlineStr">
        <is>
          <t>InStock</t>
        </is>
      </c>
      <c r="P411" t="inlineStr">
        <is>
          <t>12.96</t>
        </is>
      </c>
      <c r="Q411" t="inlineStr">
        <is>
          <t>7798382756056</t>
        </is>
      </c>
    </row>
    <row r="412">
      <c r="A412" s="2">
        <f>HYPERLINK("https://edmondsonsupply.com/collections/electricians-tools/products/klein-tools-51612-3-4-inch-angle-setter%E2%84%A2", "https://edmondsonsupply.com/collections/electricians-tools/products/klein-tools-51612-3-4-inch-angle-setter%E2%84%A2")</f>
        <v/>
      </c>
      <c r="B412" s="2">
        <f>HYPERLINK("https://edmondsonsupply.com/products/klein-tools-51612-3-4-inch-angle-setter%e2%84%a2", "https://edmondsonsupply.com/products/klein-tools-51612-3-4-inch-angle-setter%e2%84%a2")</f>
        <v/>
      </c>
      <c r="C412" t="inlineStr">
        <is>
          <t>Klein Tools 51612 3/4-Inch Angle Setter™</t>
        </is>
      </c>
      <c r="D412" t="inlineStr">
        <is>
          <t>Klein Tools 51604 Iron Conduit Bender Full Assembly, 3/4-Inch EMT and 1/2-Inch Rigid, Wide Foot Pedal, Benchmark Symbols and Angle Setter</t>
        </is>
      </c>
      <c r="E412" s="2">
        <f>HYPERLINK("https://www.amazon.com/Conduit-Features-Klein-Tools-51604/dp/B08V8YVWH1/ref=sr_1_6?keywords=Klein+Tools+51612+3%2F4-Inch+Angle+Setter%E2%84%A2&amp;qid=1695174172&amp;sr=8-6", "https://www.amazon.com/Conduit-Features-Klein-Tools-51604/dp/B08V8YVWH1/ref=sr_1_6?keywords=Klein+Tools+51612+3%2F4-Inch+Angle+Setter%E2%84%A2&amp;qid=1695174172&amp;sr=8-6")</f>
        <v/>
      </c>
      <c r="F412" t="inlineStr">
        <is>
          <t>B08V8YVWH1</t>
        </is>
      </c>
      <c r="G412">
        <f>_xludf.IMAGE("https://edmondsonsupply.com/cdn/shop/products/51612.jpg?v=1661977736")</f>
        <v/>
      </c>
      <c r="H412">
        <f>_xludf.IMAGE("https://m.media-amazon.com/images/I/41DkDVmyczL._AC_UL320_.jpg")</f>
        <v/>
      </c>
      <c r="I412" t="inlineStr">
        <is>
          <t>9.97</t>
        </is>
      </c>
      <c r="J412" t="n">
        <v>74.98999999999999</v>
      </c>
      <c r="K412" s="3" t="inlineStr">
        <is>
          <t>652.16%</t>
        </is>
      </c>
      <c r="L412" t="n">
        <v>4.8</v>
      </c>
      <c r="M412" t="n">
        <v>43</v>
      </c>
      <c r="O412" t="inlineStr">
        <is>
          <t>InStock</t>
        </is>
      </c>
      <c r="P412" t="inlineStr">
        <is>
          <t>12.96</t>
        </is>
      </c>
      <c r="Q412" t="inlineStr">
        <is>
          <t>7798382756056</t>
        </is>
      </c>
    </row>
    <row r="413">
      <c r="A413" s="2">
        <f>HYPERLINK("https://edmondsonsupply.com/collections/electricians-tools/products/klein-tools-31922-bi-metal-hole-saw-1-3-8-inch", "https://edmondsonsupply.com/collections/electricians-tools/products/klein-tools-31922-bi-metal-hole-saw-1-3-8-inch")</f>
        <v/>
      </c>
      <c r="B413" s="2">
        <f>HYPERLINK("https://edmondsonsupply.com/products/klein-tools-31922-bi-metal-hole-saw-1-3-8-inch", "https://edmondsonsupply.com/products/klein-tools-31922-bi-metal-hole-saw-1-3-8-inch")</f>
        <v/>
      </c>
      <c r="C413" t="inlineStr">
        <is>
          <t>Klein Tools 31922 Bi-Metal Hole Saw, 1-3/8-Inch</t>
        </is>
      </c>
      <c r="D413" t="inlineStr">
        <is>
          <t>Klein Tools 31902 Bi-Metal Hole Saw Kit with Arbor Bits for Cutting Steel, Drywall, Ceiling Tile, Wood, Plastic, 8-Piece</t>
        </is>
      </c>
      <c r="E413" s="2">
        <f>HYPERLINK("https://www.amazon.com/Bi-Metal-8-Piece-Klein-Tools-31902/dp/B014WEBAO4/ref=sr_1_4?keywords=Klein+Tools+31922+Bi-Metal+Hole+Saw%2C+1-3%2F8-Inch&amp;qid=1695174231&amp;sr=8-4", "https://www.amazon.com/Bi-Metal-8-Piece-Klein-Tools-31902/dp/B014WEBAO4/ref=sr_1_4?keywords=Klein+Tools+31922+Bi-Metal+Hole+Saw%2C+1-3%2F8-Inch&amp;qid=1695174231&amp;sr=8-4")</f>
        <v/>
      </c>
      <c r="F413" t="inlineStr">
        <is>
          <t>B014WEBAO4</t>
        </is>
      </c>
      <c r="G413">
        <f>_xludf.IMAGE("https://edmondsonsupply.com/cdn/shop/products/31922.jpg?v=1663943738")</f>
        <v/>
      </c>
      <c r="H413">
        <f>_xludf.IMAGE("https://m.media-amazon.com/images/I/51JZIdZrBtL._AC_UL320_.jpg")</f>
        <v/>
      </c>
      <c r="I413" t="inlineStr">
        <is>
          <t>9.99</t>
        </is>
      </c>
      <c r="J413" t="n">
        <v>74.98999999999999</v>
      </c>
      <c r="K413" s="3" t="inlineStr">
        <is>
          <t>650.65%</t>
        </is>
      </c>
      <c r="L413" t="n">
        <v>4.2</v>
      </c>
      <c r="M413" t="n">
        <v>124</v>
      </c>
      <c r="O413" t="inlineStr">
        <is>
          <t>InStock</t>
        </is>
      </c>
      <c r="P413" t="inlineStr">
        <is>
          <t>14.0</t>
        </is>
      </c>
      <c r="Q413" t="inlineStr">
        <is>
          <t>7827257819352</t>
        </is>
      </c>
    </row>
    <row r="414">
      <c r="A414" s="2">
        <f>HYPERLINK("https://edmondsonsupply.com/collections/electricians-tools/products/klein-tools-66079-flip-impact-socket-adapter-small-1-4-to-1-4-inch", "https://edmondsonsupply.com/collections/electricians-tools/products/klein-tools-66079-flip-impact-socket-adapter-small-1-4-to-1-4-inch")</f>
        <v/>
      </c>
      <c r="B414" s="2">
        <f>HYPERLINK("https://edmondsonsupply.com/products/klein-tools-66079-flip-impact-socket-adapter-small-1-4-to-1-4-inch", "https://edmondsonsupply.com/products/klein-tools-66079-flip-impact-socket-adapter-small-1-4-to-1-4-inch")</f>
        <v/>
      </c>
      <c r="C414" t="inlineStr">
        <is>
          <t>Klein Tools 66079 Flip Impact Socket Adapter, Small, 1/4 to 1/4-Inch</t>
        </is>
      </c>
      <c r="D414" t="inlineStr">
        <is>
          <t>Klein Tools 66070 Impact Socket Set, Impact Driver Flip Socket, Five Sockets with 1/4-Inch Hex and 1/2-Inch Square Socket Adapters, 7-Piece</t>
        </is>
      </c>
      <c r="E414" s="2">
        <f>HYPERLINK("https://www.amazon.com/Klein-Tools-66070-Sockets-Adapters/dp/B0B33XLXD1/ref=sr_1_3?keywords=Klein+Tools+66079+Flip+Impact+Socket+Adapter%2C+Small%2C+1%2F4+to+1%2F4-Inch&amp;qid=1695173882&amp;sr=8-3", "https://www.amazon.com/Klein-Tools-66070-Sockets-Adapters/dp/B0B33XLXD1/ref=sr_1_3?keywords=Klein+Tools+66079+Flip+Impact+Socket+Adapter%2C+Small%2C+1%2F4+to+1%2F4-Inch&amp;qid=1695173882&amp;sr=8-3")</f>
        <v/>
      </c>
      <c r="F414" t="inlineStr">
        <is>
          <t>B0B33XLXD1</t>
        </is>
      </c>
      <c r="G414">
        <f>_xludf.IMAGE("https://edmondsonsupply.com/cdn/shop/products/66079.jpg?v=1669735923")</f>
        <v/>
      </c>
      <c r="H414">
        <f>_xludf.IMAGE("https://m.media-amazon.com/images/I/71D23SffznL._AC_UL320_.jpg")</f>
        <v/>
      </c>
      <c r="I414" t="inlineStr">
        <is>
          <t>6.86</t>
        </is>
      </c>
      <c r="J414" t="n">
        <v>49.97</v>
      </c>
      <c r="K414" s="3" t="inlineStr">
        <is>
          <t>628.43%</t>
        </is>
      </c>
      <c r="L414" t="n">
        <v>4.8</v>
      </c>
      <c r="M414" t="n">
        <v>1158</v>
      </c>
      <c r="O414" t="inlineStr">
        <is>
          <t>InStock</t>
        </is>
      </c>
      <c r="P414" t="inlineStr">
        <is>
          <t>9.6</t>
        </is>
      </c>
      <c r="Q414" t="inlineStr">
        <is>
          <t>7896124555480</t>
        </is>
      </c>
    </row>
    <row r="415">
      <c r="A415" s="2">
        <f>HYPERLINK("https://edmondsonsupply.com/collections/electricians-tools/products/klein-tools-630-3-8m-3-8-magnetic-tip-nut-driver-3-hollow-shank", "https://edmondsonsupply.com/collections/electricians-tools/products/klein-tools-630-3-8m-3-8-magnetic-tip-nut-driver-3-hollow-shank")</f>
        <v/>
      </c>
      <c r="B415" s="2">
        <f>HYPERLINK("https://edmondsonsupply.com/products/klein-tools-630-3-8m-3-8-magnetic-tip-nut-driver-3-hollow-shank", "https://edmondsonsupply.com/products/klein-tools-630-3-8m-3-8-magnetic-tip-nut-driver-3-hollow-shank")</f>
        <v/>
      </c>
      <c r="C415" t="inlineStr">
        <is>
          <t>Klein Tools 630-3/8M 3/8-Inch Magnetic Tip Nut Driver</t>
        </is>
      </c>
      <c r="D415" t="inlineStr">
        <is>
          <t>Klein Tools 635-6 Tool Set, Heavy Duty Magnetic Nut Drivers SAE Sizes 1/4, 5/16, 3/8, 7/16, 1/2, and 9/16-Inch Hex, 6-Inch, 6-Piece</t>
        </is>
      </c>
      <c r="E415" s="2">
        <f>HYPERLINK("https://www.amazon.com/Heavy-Duty-Driver-6-Piece-Klein-Tools/dp/B01DKNDHGM/ref=sr_1_4?keywords=Klein+Tools+630-3%2F8M+3%2F8-Inch+Magnetic+Tip+Nut+Driver&amp;qid=1695174153&amp;sr=8-4", "https://www.amazon.com/Heavy-Duty-Driver-6-Piece-Klein-Tools/dp/B01DKNDHGM/ref=sr_1_4?keywords=Klein+Tools+630-3%2F8M+3%2F8-Inch+Magnetic+Tip+Nut+Driver&amp;qid=1695174153&amp;sr=8-4")</f>
        <v/>
      </c>
      <c r="F415" t="inlineStr">
        <is>
          <t>B01DKNDHGM</t>
        </is>
      </c>
      <c r="G415">
        <f>_xludf.IMAGE("https://edmondsonsupply.com/cdn/shop/products/630-3-8m.jpg?v=1587145139")</f>
        <v/>
      </c>
      <c r="H415">
        <f>_xludf.IMAGE("https://m.media-amazon.com/images/I/61eypCy1RLL._AC_UL320_.jpg")</f>
        <v/>
      </c>
      <c r="I415" t="inlineStr">
        <is>
          <t>10.99</t>
        </is>
      </c>
      <c r="J415" t="n">
        <v>79.98999999999999</v>
      </c>
      <c r="K415" s="3" t="inlineStr">
        <is>
          <t>627.84%</t>
        </is>
      </c>
      <c r="L415" t="n">
        <v>4.7</v>
      </c>
      <c r="M415" t="n">
        <v>943</v>
      </c>
      <c r="O415" t="inlineStr">
        <is>
          <t>InStock</t>
        </is>
      </c>
      <c r="P415" t="inlineStr">
        <is>
          <t>16.66</t>
        </is>
      </c>
      <c r="Q415" t="inlineStr">
        <is>
          <t>2766802288740</t>
        </is>
      </c>
    </row>
    <row r="416">
      <c r="A416" s="2">
        <f>HYPERLINK("https://edmondsonsupply.com/collections/electricians-tools/products/klein-tools-630-3-8m-3-8-magnetic-tip-nut-driver-3-hollow-shank", "https://edmondsonsupply.com/collections/electricians-tools/products/klein-tools-630-3-8m-3-8-magnetic-tip-nut-driver-3-hollow-shank")</f>
        <v/>
      </c>
      <c r="B416" s="2">
        <f>HYPERLINK("https://edmondsonsupply.com/products/klein-tools-630-3-8m-3-8-magnetic-tip-nut-driver-3-hollow-shank", "https://edmondsonsupply.com/products/klein-tools-630-3-8m-3-8-magnetic-tip-nut-driver-3-hollow-shank")</f>
        <v/>
      </c>
      <c r="C416" t="inlineStr">
        <is>
          <t>Klein Tools 630-3/8M 3/8-Inch Magnetic Tip Nut Driver</t>
        </is>
      </c>
      <c r="D416" t="inlineStr">
        <is>
          <t>Klein Tools 647M Tool Set, Magnetic Nut Drivers Sizes 3/16, 1/4, 5/16, 11/32, 3/8, 7/16, 1/2-Inch, 6-Inch Hollow Shafts, 7-Piece</t>
        </is>
      </c>
      <c r="E416" s="2">
        <f>HYPERLINK("https://www.amazon.com/Klein-Tools-647M-Magnetic-7-Piece/dp/B000MKIUYQ/ref=sr_1_6?keywords=Klein+Tools+630-3%2F8M+3%2F8-Inch+Magnetic+Tip+Nut+Driver&amp;qid=1695174153&amp;sr=8-6", "https://www.amazon.com/Klein-Tools-647M-Magnetic-7-Piece/dp/B000MKIUYQ/ref=sr_1_6?keywords=Klein+Tools+630-3%2F8M+3%2F8-Inch+Magnetic+Tip+Nut+Driver&amp;qid=1695174153&amp;sr=8-6")</f>
        <v/>
      </c>
      <c r="F416" t="inlineStr">
        <is>
          <t>B000MKIUYQ</t>
        </is>
      </c>
      <c r="G416">
        <f>_xludf.IMAGE("https://edmondsonsupply.com/cdn/shop/products/630-3-8m.jpg?v=1587145139")</f>
        <v/>
      </c>
      <c r="H416">
        <f>_xludf.IMAGE("https://m.media-amazon.com/images/I/61PNUE211uL._AC_UL320_.jpg")</f>
        <v/>
      </c>
      <c r="I416" t="inlineStr">
        <is>
          <t>10.99</t>
        </is>
      </c>
      <c r="J416" t="n">
        <v>79.98999999999999</v>
      </c>
      <c r="K416" s="3" t="inlineStr">
        <is>
          <t>627.84%</t>
        </is>
      </c>
      <c r="L416" t="n">
        <v>4.8</v>
      </c>
      <c r="M416" t="n">
        <v>985</v>
      </c>
      <c r="O416" t="inlineStr">
        <is>
          <t>InStock</t>
        </is>
      </c>
      <c r="P416" t="inlineStr">
        <is>
          <t>16.66</t>
        </is>
      </c>
      <c r="Q416" t="inlineStr">
        <is>
          <t>2766802288740</t>
        </is>
      </c>
    </row>
    <row r="417">
      <c r="A417" s="2">
        <f>HYPERLINK("https://edmondsonsupply.com/collections/electricians-tools/products/klein-tools-646-1-4-1-4-inch-nut-driver-with-6-inch-hollow-shaft", "https://edmondsonsupply.com/collections/electricians-tools/products/klein-tools-646-1-4-1-4-inch-nut-driver-with-6-inch-hollow-shaft")</f>
        <v/>
      </c>
      <c r="B417" s="2">
        <f>HYPERLINK("https://edmondsonsupply.com/products/klein-tools-646-1-4-1-4-inch-nut-driver-with-6-inch-hollow-shaft", "https://edmondsonsupply.com/products/klein-tools-646-1-4-1-4-inch-nut-driver-with-6-inch-hollow-shaft")</f>
        <v/>
      </c>
      <c r="C417" t="inlineStr">
        <is>
          <t>Klein Tools 646-1/4 1/4-Inch Nut Driver with 6-Inch Hollow Shaft</t>
        </is>
      </c>
      <c r="D417" t="inlineStr">
        <is>
          <t>Klein Tools 647 Tool Set, Nut Drivers Sizes 3/16, 1/4, 5/16, 11/32, 3/8, 7/16, 1/2-Inch, Chrome-Plated 6-Inch Shafts, Cushion Grip, 7-Piece</t>
        </is>
      </c>
      <c r="E417" s="2">
        <f>HYPERLINK("https://www.amazon.com/Driver-6-Inch-Klein-Tools-647/dp/B0014KRVXO/ref=sr_1_9?keywords=Klein+Tools+646-1%2F4+1%2F4-Inch+Nut+Driver+with+6-Inch+Hollow+Shaft&amp;qid=1695173897&amp;sr=8-9", "https://www.amazon.com/Driver-6-Inch-Klein-Tools-647/dp/B0014KRVXO/ref=sr_1_9?keywords=Klein+Tools+646-1%2F4+1%2F4-Inch+Nut+Driver+with+6-Inch+Hollow+Shaft&amp;qid=1695173897&amp;sr=8-9")</f>
        <v/>
      </c>
      <c r="F417" t="inlineStr">
        <is>
          <t>B0014KRVXO</t>
        </is>
      </c>
      <c r="G417">
        <f>_xludf.IMAGE("https://edmondsonsupply.com/cdn/shop/products/646-1-2_08d87fa9-eac4-4869-8d3b-bb680d4b1d53.jpg?v=1587150676")</f>
        <v/>
      </c>
      <c r="H417">
        <f>_xludf.IMAGE("https://m.media-amazon.com/images/I/51usUk-EpGL._AC_UL320_.jpg")</f>
        <v/>
      </c>
      <c r="I417" t="inlineStr">
        <is>
          <t>7.99</t>
        </is>
      </c>
      <c r="J417" t="n">
        <v>57.99</v>
      </c>
      <c r="K417" s="3" t="inlineStr">
        <is>
          <t>625.78%</t>
        </is>
      </c>
      <c r="L417" t="n">
        <v>4.8</v>
      </c>
      <c r="M417" t="n">
        <v>735</v>
      </c>
      <c r="O417" t="inlineStr">
        <is>
          <t>InStock</t>
        </is>
      </c>
      <c r="P417" t="inlineStr">
        <is>
          <t>12.1</t>
        </is>
      </c>
      <c r="Q417" t="inlineStr">
        <is>
          <t>4439433740388</t>
        </is>
      </c>
    </row>
    <row r="418">
      <c r="A418" s="2">
        <f>HYPERLINK("https://edmondsonsupply.com/collections/electricians-tools/products/klein-tools-630-3-8m-3-8-magnetic-tip-nut-driver-3-hollow-shank", "https://edmondsonsupply.com/collections/electricians-tools/products/klein-tools-630-3-8m-3-8-magnetic-tip-nut-driver-3-hollow-shank")</f>
        <v/>
      </c>
      <c r="B418" s="2">
        <f>HYPERLINK("https://edmondsonsupply.com/products/klein-tools-630-3-8m-3-8-magnetic-tip-nut-driver-3-hollow-shank", "https://edmondsonsupply.com/products/klein-tools-630-3-8m-3-8-magnetic-tip-nut-driver-3-hollow-shank")</f>
        <v/>
      </c>
      <c r="C418" t="inlineStr">
        <is>
          <t>Klein Tools 630-3/8M 3/8-Inch Magnetic Tip Nut Driver</t>
        </is>
      </c>
      <c r="D418" t="inlineStr">
        <is>
          <t>Klein Tools 631M Tool Set, Magnetic Nut Drivers Sizes 3/16, 1/4, 5/16, 11/32, 3/8, 7/16 and 1/2-Inch on 3-Inch Full Hollow Shaft, 7-Piece</t>
        </is>
      </c>
      <c r="E418" s="2">
        <f>HYPERLINK("https://www.amazon.com/Driver-Magnetic-3-Inch-Hollow-Klein/dp/B001BQ0DNG/ref=sr_1_3?keywords=Klein+Tools+630-3%2F8M+3%2F8-Inch+Magnetic+Tip+Nut+Driver&amp;qid=1695174153&amp;sr=8-3", "https://www.amazon.com/Driver-Magnetic-3-Inch-Hollow-Klein/dp/B001BQ0DNG/ref=sr_1_3?keywords=Klein+Tools+630-3%2F8M+3%2F8-Inch+Magnetic+Tip+Nut+Driver&amp;qid=1695174153&amp;sr=8-3")</f>
        <v/>
      </c>
      <c r="F418" t="inlineStr">
        <is>
          <t>B001BQ0DNG</t>
        </is>
      </c>
      <c r="G418">
        <f>_xludf.IMAGE("https://edmondsonsupply.com/cdn/shop/products/630-3-8m.jpg?v=1587145139")</f>
        <v/>
      </c>
      <c r="H418">
        <f>_xludf.IMAGE("https://m.media-amazon.com/images/I/61pMsoh2smL._AC_UL320_.jpg")</f>
        <v/>
      </c>
      <c r="I418" t="inlineStr">
        <is>
          <t>10.99</t>
        </is>
      </c>
      <c r="J418" t="n">
        <v>74.98999999999999</v>
      </c>
      <c r="K418" s="3" t="inlineStr">
        <is>
          <t>582.35%</t>
        </is>
      </c>
      <c r="L418" t="n">
        <v>4.8</v>
      </c>
      <c r="M418" t="n">
        <v>1147</v>
      </c>
      <c r="O418" t="inlineStr">
        <is>
          <t>InStock</t>
        </is>
      </c>
      <c r="P418" t="inlineStr">
        <is>
          <t>16.66</t>
        </is>
      </c>
      <c r="Q418" t="inlineStr">
        <is>
          <t>2766802288740</t>
        </is>
      </c>
    </row>
    <row r="419">
      <c r="A419" s="2">
        <f>HYPERLINK("https://edmondsonsupply.com/collections/electricians-tools/products/klein-tools-vdv500-123-probe-pro-tracing-probe", "https://edmondsonsupply.com/collections/electricians-tools/products/klein-tools-vdv500-123-probe-pro-tracing-probe")</f>
        <v/>
      </c>
      <c r="B419" s="2">
        <f>HYPERLINK("https://edmondsonsupply.com/products/klein-tools-vdv500-123-probe-pro-tracing-probe", "https://edmondsonsupply.com/products/klein-tools-vdv500-123-probe-pro-tracing-probe")</f>
        <v/>
      </c>
      <c r="C419" t="inlineStr">
        <is>
          <t>Klein Tools VDV500-123 Probe-PRO Tracing Probe</t>
        </is>
      </c>
      <c r="D419" t="inlineStr">
        <is>
          <t>Klein Tools VDV501-853 CoaxialCable Tester, Scout Pro 3 with Test-n-Map Remote, Includes Remotes #2 - #6, Tests Voice, Data and Video Cable &amp; VDV500-123 Cable Tracer Probe-Pro Tracing Probe</t>
        </is>
      </c>
      <c r="E419" s="2">
        <f>HYPERLINK("https://www.amazon.com/Klein-Tools-VDV501-853-CoaxialCable-Test-n-Map/dp/B09T71M6ZZ/ref=sr_1_8?keywords=Klein+Tools+VDV500-123+Probe-PRO+Tracing+Probe&amp;qid=1695173898&amp;sr=8-8", "https://www.amazon.com/Klein-Tools-VDV501-853-CoaxialCable-Test-n-Map/dp/B09T71M6ZZ/ref=sr_1_8?keywords=Klein+Tools+VDV500-123+Probe-PRO+Tracing+Probe&amp;qid=1695173898&amp;sr=8-8")</f>
        <v/>
      </c>
      <c r="F419" t="inlineStr">
        <is>
          <t>B09T71M6ZZ</t>
        </is>
      </c>
      <c r="G419">
        <f>_xludf.IMAGE("https://edmondsonsupply.com/cdn/shop/products/vdv500123.jpg?v=1587142783")</f>
        <v/>
      </c>
      <c r="H419">
        <f>_xludf.IMAGE("https://m.media-amazon.com/images/I/51SXmtw0RaL._AC_UY218_.jpg")</f>
        <v/>
      </c>
      <c r="I419" t="inlineStr">
        <is>
          <t>44.99</t>
        </is>
      </c>
      <c r="J419" t="n">
        <v>304.98</v>
      </c>
      <c r="K419" s="3" t="inlineStr">
        <is>
          <t>577.88%</t>
        </is>
      </c>
      <c r="L419" t="n">
        <v>4.2</v>
      </c>
      <c r="M419" t="n">
        <v>7</v>
      </c>
      <c r="O419" t="inlineStr">
        <is>
          <t>InStock</t>
        </is>
      </c>
      <c r="P419" t="inlineStr">
        <is>
          <t>63.0</t>
        </is>
      </c>
      <c r="Q419" t="inlineStr">
        <is>
          <t>4274361466980</t>
        </is>
      </c>
    </row>
    <row r="420">
      <c r="A420" s="2">
        <f>HYPERLINK("https://edmondsonsupply.com/collections/electricians-tools/products/klein-tools-6926ins-slim-tip-1000v-insulated-screwdriver-1-4-inch-cabinet-6-inch", "https://edmondsonsupply.com/collections/electricians-tools/products/klein-tools-6926ins-slim-tip-1000v-insulated-screwdriver-1-4-inch-cabinet-6-inch")</f>
        <v/>
      </c>
      <c r="B420" s="2">
        <f>HYPERLINK("https://edmondsonsupply.com/products/klein-tools-6926ins-slim-tip-1000v-insulated-screwdriver-1-4-inch-cabinet-6-inch", "https://edmondsonsupply.com/products/klein-tools-6926ins-slim-tip-1000v-insulated-screwdriver-1-4-inch-cabinet-6-inch")</f>
        <v/>
      </c>
      <c r="C420" t="inlineStr">
        <is>
          <t>Klein Tools 6926INS Slim-Tip 1000V Insulated Screwdriver, 1/4-Inch Cabinet, 6-Inch</t>
        </is>
      </c>
      <c r="D420" t="inlineStr">
        <is>
          <t>Klein Tools 94130 1000V Insulated Screwdriver Tool Set with #2 Phillips and 1/4-Inch Cabinet Slim Tips, 2 Pliers and Wire Stripper</t>
        </is>
      </c>
      <c r="E420" s="2">
        <f>HYPERLINK("https://www.amazon.com/Klein-Tools-94130-Insulated-Screwdriver/dp/B088V99QGG/ref=sr_1_8?keywords=Klein+Tools+6926INS+Slim-Tip+1000V+Insulated+Screwdriver%2C+1%2F4-Inch+Cabinet%2C+6-Inch&amp;qid=1695174185&amp;sr=8-8", "https://www.amazon.com/Klein-Tools-94130-Insulated-Screwdriver/dp/B088V99QGG/ref=sr_1_8?keywords=Klein+Tools+6926INS+Slim-Tip+1000V+Insulated+Screwdriver%2C+1%2F4-Inch+Cabinet%2C+6-Inch&amp;qid=1695174185&amp;sr=8-8")</f>
        <v/>
      </c>
      <c r="F420" t="inlineStr">
        <is>
          <t>B088V99QGG</t>
        </is>
      </c>
      <c r="G420">
        <f>_xludf.IMAGE("https://edmondsonsupply.com/cdn/shop/products/6926ins.jpg?v=1664803626")</f>
        <v/>
      </c>
      <c r="H420">
        <f>_xludf.IMAGE("https://m.media-amazon.com/images/I/61m+izyWx1L._AC_UL320_.jpg")</f>
        <v/>
      </c>
      <c r="I420" t="inlineStr">
        <is>
          <t>14.99</t>
        </is>
      </c>
      <c r="J420" t="n">
        <v>99.98999999999999</v>
      </c>
      <c r="K420" s="3" t="inlineStr">
        <is>
          <t>567.04%</t>
        </is>
      </c>
      <c r="L420" t="n">
        <v>4.8</v>
      </c>
      <c r="M420" t="n">
        <v>1521</v>
      </c>
      <c r="O420" t="inlineStr">
        <is>
          <t>InStock</t>
        </is>
      </c>
      <c r="P420" t="inlineStr">
        <is>
          <t>20.98</t>
        </is>
      </c>
      <c r="Q420" t="inlineStr">
        <is>
          <t>7837578625240</t>
        </is>
      </c>
    </row>
    <row r="421">
      <c r="A421" s="2">
        <f>HYPERLINK("https://edmondsonsupply.com/collections/electricians-tools/products/klein-tools-et45-ac-dc-voltage-tester", "https://edmondsonsupply.com/collections/electricians-tools/products/klein-tools-et45-ac-dc-voltage-tester")</f>
        <v/>
      </c>
      <c r="B421" s="2">
        <f>HYPERLINK("https://edmondsonsupply.com/products/klein-tools-et45-ac-dc-voltage-tester", "https://edmondsonsupply.com/products/klein-tools-et45-ac-dc-voltage-tester")</f>
        <v/>
      </c>
      <c r="C421" t="inlineStr">
        <is>
          <t>Klein Tools ET45 AC/DC Voltage Tester</t>
        </is>
      </c>
      <c r="D421" t="inlineStr">
        <is>
          <t>Klein Tools CL600 Electrical Tester, Digital Clamp Meter has Autorange TRMS, Measures AC Current, AC/DC Volts, Resistance, NCVT, More, 1000V</t>
        </is>
      </c>
      <c r="E421" s="2">
        <f>HYPERLINK("https://www.amazon.com/Auto-Ranging-Resistance-Klein-Tools-CL600/dp/B019QMRR08/ref=sr_1_4?keywords=Klein+Tools+ET45+AC%2FDC+Voltage+Tester&amp;qid=1695174290&amp;sr=8-4", "https://www.amazon.com/Auto-Ranging-Resistance-Klein-Tools-CL600/dp/B019QMRR08/ref=sr_1_4?keywords=Klein+Tools+ET45+AC%2FDC+Voltage+Tester&amp;qid=1695174290&amp;sr=8-4")</f>
        <v/>
      </c>
      <c r="F421" t="inlineStr">
        <is>
          <t>B019QMRR08</t>
        </is>
      </c>
      <c r="G421">
        <f>_xludf.IMAGE("https://edmondsonsupply.com/cdn/shop/products/et45.jpg?v=1647786270")</f>
        <v/>
      </c>
      <c r="H421">
        <f>_xludf.IMAGE("https://m.media-amazon.com/images/I/710JKvq4MxL._AC_UL320_.jpg")</f>
        <v/>
      </c>
      <c r="I421" t="inlineStr">
        <is>
          <t>11.99</t>
        </is>
      </c>
      <c r="J421" t="n">
        <v>79.97</v>
      </c>
      <c r="K421" s="3" t="inlineStr">
        <is>
          <t>566.97%</t>
        </is>
      </c>
      <c r="L421" t="n">
        <v>4.7</v>
      </c>
      <c r="M421" t="n">
        <v>707</v>
      </c>
      <c r="O421" t="inlineStr">
        <is>
          <t>InStock</t>
        </is>
      </c>
      <c r="P421" t="inlineStr">
        <is>
          <t>16.72</t>
        </is>
      </c>
      <c r="Q421" t="inlineStr">
        <is>
          <t>3688633630820</t>
        </is>
      </c>
    </row>
    <row r="422">
      <c r="A422" s="2">
        <f>HYPERLINK("https://edmondsonsupply.com/collections/electricians-tools/products/klein-tools-66076-flip-impact-socket-9-16-and-1-2-inch", "https://edmondsonsupply.com/collections/electricians-tools/products/klein-tools-66076-flip-impact-socket-9-16-and-1-2-inch")</f>
        <v/>
      </c>
      <c r="B422" s="2">
        <f>HYPERLINK("https://edmondsonsupply.com/products/klein-tools-66076-flip-impact-socket-9-16-and-1-2-inch", "https://edmondsonsupply.com/products/klein-tools-66076-flip-impact-socket-9-16-and-1-2-inch")</f>
        <v/>
      </c>
      <c r="C422" t="inlineStr">
        <is>
          <t>Klein Tools 66076 Flip Impact Socket, 9/16 and 1/2-Inch</t>
        </is>
      </c>
      <c r="D422" t="inlineStr">
        <is>
          <t>Klein Tools 66070 Impact Socket Set, Impact Driver Flip Socket, Five Sockets with 1/4-Inch Hex and 1/2-Inch Square Socket Adapters, 7-Piece</t>
        </is>
      </c>
      <c r="E422" s="2">
        <f>HYPERLINK("https://www.amazon.com/Klein-Tools-66070-Impact-7-Piece/dp/B0BGZPWNJQ/ref=sr_1_3?keywords=Klein+Tools+66076+Flip+Impact+Socket%2C+9%2F16+and+1%2F2-Inch&amp;qid=1695174172&amp;sr=8-3", "https://www.amazon.com/Klein-Tools-66070-Impact-7-Piece/dp/B0BGZPWNJQ/ref=sr_1_3?keywords=Klein+Tools+66076+Flip+Impact+Socket%2C+9%2F16+and+1%2F2-Inch&amp;qid=1695174172&amp;sr=8-3")</f>
        <v/>
      </c>
      <c r="F422" t="inlineStr">
        <is>
          <t>B0BGZPWNJQ</t>
        </is>
      </c>
      <c r="G422">
        <f>_xludf.IMAGE("https://edmondsonsupply.com/cdn/shop/products/66076.jpg?v=1663083814")</f>
        <v/>
      </c>
      <c r="H422">
        <f>_xludf.IMAGE("https://m.media-amazon.com/images/I/519cDb-A9oL._AC_UL320_.jpg")</f>
        <v/>
      </c>
      <c r="I422" t="inlineStr">
        <is>
          <t>10.71</t>
        </is>
      </c>
      <c r="J422" t="n">
        <v>69.95999999999999</v>
      </c>
      <c r="K422" s="3" t="inlineStr">
        <is>
          <t>553.22%</t>
        </is>
      </c>
      <c r="L422" t="n">
        <v>4.8</v>
      </c>
      <c r="M422" t="n">
        <v>18</v>
      </c>
      <c r="O422" t="inlineStr">
        <is>
          <t>InStock</t>
        </is>
      </c>
      <c r="P422" t="inlineStr">
        <is>
          <t>15.0</t>
        </is>
      </c>
      <c r="Q422" t="inlineStr">
        <is>
          <t>7814133874904</t>
        </is>
      </c>
    </row>
    <row r="423">
      <c r="A423" s="2">
        <f>HYPERLINK("https://edmondsonsupply.com/collections/electricians-tools/products/klein-tools-69381-heavy-duty-alligator-clip-test-leads-3-foot", "https://edmondsonsupply.com/collections/electricians-tools/products/klein-tools-69381-heavy-duty-alligator-clip-test-leads-3-foot")</f>
        <v/>
      </c>
      <c r="B423" s="2">
        <f>HYPERLINK("https://edmondsonsupply.com/products/klein-tools-69381-heavy-duty-alligator-clip-test-leads-3-foot", "https://edmondsonsupply.com/products/klein-tools-69381-heavy-duty-alligator-clip-test-leads-3-foot")</f>
        <v/>
      </c>
      <c r="C423" t="inlineStr">
        <is>
          <t>Klein Tools 69381 Heavy-Duty Alligator Clip Test Leads, 3-Foot</t>
        </is>
      </c>
      <c r="D423" t="inlineStr">
        <is>
          <t>Klein Tools CL390 Digital Clamp Meter, Reverse Contrast Display, Auto Ranging 400A AC/DC Voltage &amp; 69381 Alligator Clip Test Leads, Heavy-Duty Replacement Meter Leads</t>
        </is>
      </c>
      <c r="E423" s="2">
        <f>HYPERLINK("https://www.amazon.com/Klein-Tools-Alligator-Heavy-Duty-Replacement/dp/B0CF2GZK45/ref=sr_1_8?keywords=Klein+Tools+69381+Heavy-Duty+Alligator+Clip+Test+Leads%2C+3-Foot&amp;qid=1695174138&amp;sr=8-8", "https://www.amazon.com/Klein-Tools-Alligator-Heavy-Duty-Replacement/dp/B0CF2GZK45/ref=sr_1_8?keywords=Klein+Tools+69381+Heavy-Duty+Alligator+Clip+Test+Leads%2C+3-Foot&amp;qid=1695174138&amp;sr=8-8")</f>
        <v/>
      </c>
      <c r="F423" t="inlineStr">
        <is>
          <t>B0CF2GZK45</t>
        </is>
      </c>
      <c r="G423">
        <f>_xludf.IMAGE("https://edmondsonsupply.com/cdn/shop/products/69381_photo.jpg?v=1666889006")</f>
        <v/>
      </c>
      <c r="H423">
        <f>_xludf.IMAGE("https://m.media-amazon.com/images/I/51Ex-IV+JwL._AC_UY218_.jpg")</f>
        <v/>
      </c>
      <c r="I423" t="inlineStr">
        <is>
          <t>14.99</t>
        </is>
      </c>
      <c r="J423" t="n">
        <v>95.87</v>
      </c>
      <c r="K423" s="3" t="inlineStr">
        <is>
          <t>539.56%</t>
        </is>
      </c>
      <c r="L423" t="n">
        <v>4.6</v>
      </c>
      <c r="M423" t="n">
        <v>1097</v>
      </c>
      <c r="O423" t="inlineStr">
        <is>
          <t>InStock</t>
        </is>
      </c>
      <c r="P423" t="inlineStr">
        <is>
          <t>20.98</t>
        </is>
      </c>
      <c r="Q423" t="inlineStr">
        <is>
          <t>7867714371800</t>
        </is>
      </c>
    </row>
    <row r="424">
      <c r="A424" s="2">
        <f>HYPERLINK("https://edmondsonsupply.com/collections/electricians-tools/products/klein-tools-65200-electricians-mini-ratchet-set-5-piece", "https://edmondsonsupply.com/collections/electricians-tools/products/klein-tools-65200-electricians-mini-ratchet-set-5-piece")</f>
        <v/>
      </c>
      <c r="B424" s="2">
        <f>HYPERLINK("https://edmondsonsupply.com/products/klein-tools-65200-electricians-mini-ratchet-set-5-piece", "https://edmondsonsupply.com/products/klein-tools-65200-electricians-mini-ratchet-set-5-piece")</f>
        <v/>
      </c>
      <c r="C424" t="inlineStr">
        <is>
          <t>Klein Tools 65200 Slim-Profile Mini Ratchet Set, 5-Piece</t>
        </is>
      </c>
      <c r="D424" t="inlineStr">
        <is>
          <t>KNIPEX Tools - 2 Piece Mini Pliers Wrench Set (9K0080121US) &amp; Klein Tools 65200 Ratchet Set, 5-Piece Mini Ratchet Set with Phillips, Slotted, and Adapter for Other Socket Sizes, For Tight Spaces</t>
        </is>
      </c>
      <c r="E424" s="2">
        <f>HYPERLINK("https://www.amazon.com/KNIPEX-Tools-9K0080121US-Ratchet-Phillips/dp/B0C9ZYJDDN/ref=sr_1_5?keywords=Klein+Tools+65200+Slim-Profile+Mini+Ratchet+Set%2C+5-Piece&amp;qid=1695173845&amp;sr=8-5", "https://www.amazon.com/KNIPEX-Tools-9K0080121US-Ratchet-Phillips/dp/B0C9ZYJDDN/ref=sr_1_5?keywords=Klein+Tools+65200+Slim-Profile+Mini+Ratchet+Set%2C+5-Piece&amp;qid=1695173845&amp;sr=8-5")</f>
        <v/>
      </c>
      <c r="F424" t="inlineStr">
        <is>
          <t>B0C9ZYJDDN</t>
        </is>
      </c>
      <c r="G424">
        <f>_xludf.IMAGE("https://edmondsonsupply.com/cdn/shop/products/65200.jpg?v=1633030630")</f>
        <v/>
      </c>
      <c r="H424">
        <f>_xludf.IMAGE("https://m.media-amazon.com/images/I/516RxJHqDiL._AC_UL320_.jpg")</f>
        <v/>
      </c>
      <c r="I424" t="inlineStr">
        <is>
          <t>15.97</t>
        </is>
      </c>
      <c r="J424" t="n">
        <v>100.02</v>
      </c>
      <c r="K424" s="3" t="inlineStr">
        <is>
          <t>526.30%</t>
        </is>
      </c>
      <c r="L424" t="n">
        <v>4.8</v>
      </c>
      <c r="M424" t="n">
        <v>1148</v>
      </c>
      <c r="O424" t="inlineStr">
        <is>
          <t>InStock</t>
        </is>
      </c>
      <c r="P424" t="inlineStr">
        <is>
          <t>20.96</t>
        </is>
      </c>
      <c r="Q424" t="inlineStr">
        <is>
          <t>5694440964264</t>
        </is>
      </c>
    </row>
    <row r="425">
      <c r="A425" s="2">
        <f>HYPERLINK("https://edmondsonsupply.com/collections/electricians-tools/products/greenlee-609-3-4-foam-conduit-piston", "https://edmondsonsupply.com/collections/electricians-tools/products/greenlee-609-3-4-foam-conduit-piston")</f>
        <v/>
      </c>
      <c r="B425" s="2">
        <f>HYPERLINK("https://edmondsonsupply.com/products/greenlee-609-3-4-foam-conduit-piston", "https://edmondsonsupply.com/products/greenlee-609-3-4-foam-conduit-piston")</f>
        <v/>
      </c>
      <c r="C425" t="inlineStr">
        <is>
          <t>Greenlee 609 3/4" Foam Conduit Piston</t>
        </is>
      </c>
      <c r="D425" t="inlineStr">
        <is>
          <t>Greenlee 609-5 Piston For 3/4 Conduit, by Greenlee</t>
        </is>
      </c>
      <c r="E425" s="2">
        <f>HYPERLINK("https://www.amazon.com/Greenlee-609-5-Piston-Conduit/dp/B01N55WU6M/ref=sr_1_2?keywords=Greenlee+609+3%2F4%22+Foam+Conduit+Piston&amp;qid=1695174000&amp;sr=8-2", "https://www.amazon.com/Greenlee-609-5-Piston-Conduit/dp/B01N55WU6M/ref=sr_1_2?keywords=Greenlee+609+3%2F4%22+Foam+Conduit+Piston&amp;qid=1695174000&amp;sr=8-2")</f>
        <v/>
      </c>
      <c r="F425" t="inlineStr">
        <is>
          <t>B01N55WU6M</t>
        </is>
      </c>
      <c r="G425">
        <f>_xludf.IMAGE("https://edmondsonsupply.com/cdn/shop/files/Greenlee-609_1.webp?v=1687448329")</f>
        <v/>
      </c>
      <c r="H425">
        <f>_xludf.IMAGE("https://m.media-amazon.com/images/I/51WubMHvWfL._AC_UL320_.jpg")</f>
        <v/>
      </c>
      <c r="I425" t="inlineStr">
        <is>
          <t>6.82</t>
        </is>
      </c>
      <c r="J425" t="n">
        <v>41.85</v>
      </c>
      <c r="K425" s="3" t="inlineStr">
        <is>
          <t>513.64%</t>
        </is>
      </c>
      <c r="L425" t="n">
        <v>5</v>
      </c>
      <c r="M425" t="n">
        <v>1</v>
      </c>
      <c r="O425" t="inlineStr">
        <is>
          <t>InStock</t>
        </is>
      </c>
      <c r="P425" t="inlineStr">
        <is>
          <t>undefined</t>
        </is>
      </c>
      <c r="Q425" t="inlineStr">
        <is>
          <t>8007988248792</t>
        </is>
      </c>
    </row>
    <row r="426">
      <c r="A426" s="2">
        <f>HYPERLINK("https://edmondsonsupply.com/collections/electricians-tools/products/klein-tools-51611-1-2-inch-angle-setter%E2%84%A2", "https://edmondsonsupply.com/collections/electricians-tools/products/klein-tools-51611-1-2-inch-angle-setter%E2%84%A2")</f>
        <v/>
      </c>
      <c r="B426" s="2">
        <f>HYPERLINK("https://edmondsonsupply.com/products/klein-tools-51611-1-2-inch-angle-setter%e2%84%a2", "https://edmondsonsupply.com/products/klein-tools-51611-1-2-inch-angle-setter%e2%84%a2")</f>
        <v/>
      </c>
      <c r="C426" t="inlineStr">
        <is>
          <t>Klein Tools 51611 1/2-Inch Angle Setter™</t>
        </is>
      </c>
      <c r="D426" t="inlineStr">
        <is>
          <t>Klein Tools 51603 Iron Conduit Bender Full Assembly, 1/2-Inch EMT, Wide Foot Pedal, Benchmark Symbols and Angle Setter</t>
        </is>
      </c>
      <c r="E426" s="2">
        <f>HYPERLINK("https://www.amazon.com/Klein-Tools-51603-Conduit-Features/dp/B08W6GJTHW/ref=sr_1_6?keywords=Klein+Tools+51611+1%2F2-Inch+Angle+Setter%E2%84%A2&amp;qid=1695174192&amp;sr=8-6", "https://www.amazon.com/Klein-Tools-51603-Conduit-Features/dp/B08W6GJTHW/ref=sr_1_6?keywords=Klein+Tools+51611+1%2F2-Inch+Angle+Setter%E2%84%A2&amp;qid=1695174192&amp;sr=8-6")</f>
        <v/>
      </c>
      <c r="F426" t="inlineStr">
        <is>
          <t>B08W6GJTHW</t>
        </is>
      </c>
      <c r="G426">
        <f>_xludf.IMAGE("https://edmondsonsupply.com/cdn/shop/products/51611.jpg?v=1661976456")</f>
        <v/>
      </c>
      <c r="H426">
        <f>_xludf.IMAGE("https://m.media-amazon.com/images/I/31lf3y-9bSL._AC_UL320_.jpg")</f>
        <v/>
      </c>
      <c r="I426" t="inlineStr">
        <is>
          <t>9.97</t>
        </is>
      </c>
      <c r="J426" t="n">
        <v>59.99</v>
      </c>
      <c r="K426" s="3" t="inlineStr">
        <is>
          <t>501.71%</t>
        </is>
      </c>
      <c r="L426" t="n">
        <v>4.9</v>
      </c>
      <c r="M426" t="n">
        <v>31</v>
      </c>
      <c r="O426" t="inlineStr">
        <is>
          <t>InStock</t>
        </is>
      </c>
      <c r="P426" t="inlineStr">
        <is>
          <t>12.96</t>
        </is>
      </c>
      <c r="Q426" t="inlineStr">
        <is>
          <t>7798377840856</t>
        </is>
      </c>
    </row>
    <row r="427">
      <c r="A427" s="2">
        <f>HYPERLINK("https://edmondsonsupply.com/collections/electricians-tools/products/klein-tools-mag2-magnetizer-demagnetizer", "https://edmondsonsupply.com/collections/electricians-tools/products/klein-tools-mag2-magnetizer-demagnetizer")</f>
        <v/>
      </c>
      <c r="B427" s="2">
        <f>HYPERLINK("https://edmondsonsupply.com/products/klein-tools-mag2-magnetizer-demagnetizer", "https://edmondsonsupply.com/products/klein-tools-mag2-magnetizer-demagnetizer")</f>
        <v/>
      </c>
      <c r="C427" t="inlineStr">
        <is>
          <t>Klein Tools MAG2 Magnetizer / Demagnetizer</t>
        </is>
      </c>
      <c r="D427" t="inlineStr">
        <is>
          <t>Klein Tools 32288 Insulated Screwdriver, 8-in-1 Screwdriver Set &amp; MAG2 Demagnetizer/Magnetizer for Screwdriver Bits and Tips, Makes Tools Magnetic with Powerful Rare-Earth Magnet</t>
        </is>
      </c>
      <c r="E427" s="2">
        <f>HYPERLINK("https://www.amazon.com/Klein-Tools-Screwdriver-Demagnetizer-Magnetizer/dp/B0BXK8RB9N/ref=sr_1_7?keywords=Klein+Tools+MAG2+Magnetizer+%2F+Demagnetizer&amp;qid=1695173850&amp;sr=8-7", "https://www.amazon.com/Klein-Tools-Screwdriver-Demagnetizer-Magnetizer/dp/B0BXK8RB9N/ref=sr_1_7?keywords=Klein+Tools+MAG2+Magnetizer+%2F+Demagnetizer&amp;qid=1695173850&amp;sr=8-7")</f>
        <v/>
      </c>
      <c r="F427" t="inlineStr">
        <is>
          <t>B0BXK8RB9N</t>
        </is>
      </c>
      <c r="G427">
        <f>_xludf.IMAGE("https://edmondsonsupply.com/cdn/shop/products/mag2.jpg?v=1587145008")</f>
        <v/>
      </c>
      <c r="H427">
        <f>_xludf.IMAGE("https://m.media-amazon.com/images/I/51OwgO9uq9L._AC_UL320_.jpg")</f>
        <v/>
      </c>
      <c r="I427" t="inlineStr">
        <is>
          <t>9.97</t>
        </is>
      </c>
      <c r="J427" t="n">
        <v>59.96</v>
      </c>
      <c r="K427" s="3" t="inlineStr">
        <is>
          <t>501.40%</t>
        </is>
      </c>
      <c r="L427" t="n">
        <v>4.5</v>
      </c>
      <c r="M427" t="n">
        <v>11</v>
      </c>
      <c r="O427" t="inlineStr">
        <is>
          <t>InStock</t>
        </is>
      </c>
      <c r="P427" t="inlineStr">
        <is>
          <t>13.96</t>
        </is>
      </c>
      <c r="Q427" t="inlineStr">
        <is>
          <t>1706086858852</t>
        </is>
      </c>
    </row>
    <row r="428">
      <c r="A428" s="2">
        <f>HYPERLINK("https://edmondsonsupply.com/collections/electricians-tools/products/klein-tools-69410-replacement-test-lead-set-right-angle", "https://edmondsonsupply.com/collections/electricians-tools/products/klein-tools-69410-replacement-test-lead-set-right-angle")</f>
        <v/>
      </c>
      <c r="B428" s="2">
        <f>HYPERLINK("https://edmondsonsupply.com/products/klein-tools-69410-replacement-test-lead-set-right-angle", "https://edmondsonsupply.com/products/klein-tools-69410-replacement-test-lead-set-right-angle")</f>
        <v/>
      </c>
      <c r="C428" t="inlineStr">
        <is>
          <t>Klein Tools 69410 Replacement Test Lead Set, Right Angle</t>
        </is>
      </c>
      <c r="D428" t="inlineStr">
        <is>
          <t>Klein Tools MM700 Multimeter, Electrical Tester is Autoranging, for AC/DC, LOZ, Temp, Capacitance, Resistance, Frequency, and More, 1000V &amp; Test Lead Set, Right Angle Klein Tools 69410</t>
        </is>
      </c>
      <c r="E428" s="2">
        <f>HYPERLINK("https://www.amazon.com/Klein-Tools-Multimeter-Autoranging-Capacitance/dp/B0BD3XZ29K/ref=sr_1_9?keywords=Klein+Tools+69410+Replacement+Test+Lead+Set%2C+Right+Angle&amp;qid=1695173944&amp;sr=8-9", "https://www.amazon.com/Klein-Tools-Multimeter-Autoranging-Capacitance/dp/B0BD3XZ29K/ref=sr_1_9?keywords=Klein+Tools+69410+Replacement+Test+Lead+Set%2C+Right+Angle&amp;qid=1695173944&amp;sr=8-9")</f>
        <v/>
      </c>
      <c r="F428" t="inlineStr">
        <is>
          <t>B0BD3XZ29K</t>
        </is>
      </c>
      <c r="G428">
        <f>_xludf.IMAGE("https://edmondsonsupply.com/cdn/shop/products/69410.jpg?v=1587143393")</f>
        <v/>
      </c>
      <c r="H428">
        <f>_xludf.IMAGE("https://m.media-amazon.com/images/I/61J30bl5fxL._AC_UY218_.jpg")</f>
        <v/>
      </c>
      <c r="I428" t="inlineStr">
        <is>
          <t>19.97</t>
        </is>
      </c>
      <c r="J428" t="n">
        <v>119.94</v>
      </c>
      <c r="K428" s="3" t="inlineStr">
        <is>
          <t>500.60%</t>
        </is>
      </c>
      <c r="L428" t="n">
        <v>4.8</v>
      </c>
      <c r="M428" t="n">
        <v>5</v>
      </c>
      <c r="O428" t="inlineStr">
        <is>
          <t>InStock</t>
        </is>
      </c>
      <c r="P428" t="inlineStr">
        <is>
          <t>27.1</t>
        </is>
      </c>
      <c r="Q428" t="inlineStr">
        <is>
          <t>4274171543652</t>
        </is>
      </c>
    </row>
    <row r="429">
      <c r="A429" s="2">
        <f>HYPERLINK("https://edmondsonsupply.com/collections/electricians-tools/products/klein-tools-69410-replacement-test-lead-set-right-angle", "https://edmondsonsupply.com/collections/electricians-tools/products/klein-tools-69410-replacement-test-lead-set-right-angle")</f>
        <v/>
      </c>
      <c r="B429" s="2">
        <f>HYPERLINK("https://edmondsonsupply.com/products/klein-tools-69410-replacement-test-lead-set-right-angle", "https://edmondsonsupply.com/products/klein-tools-69410-replacement-test-lead-set-right-angle")</f>
        <v/>
      </c>
      <c r="C429" t="inlineStr">
        <is>
          <t>Klein Tools 69410 Replacement Test Lead Set, Right Angle</t>
        </is>
      </c>
      <c r="D429" t="inlineStr">
        <is>
          <t>Klein Tools MM720 Digital Multimeter, Auto-Ranging TRMS, Low Impedance (LOZ), 1000V AC/DC Voltage, 10A AC/DC Current, 60 MOhms Resistance,Orange/Black &amp; 69410 Replacement Test Lead Set, Right Angle</t>
        </is>
      </c>
      <c r="E429" s="2">
        <f>HYPERLINK("https://www.amazon.com/Klein-Tools-Auto-Ranging-MOhms-Resistance-Replacement/dp/B0C7QB94HG/ref=sr_1_8?keywords=Klein+Tools+69410+Replacement+Test+Lead+Set%2C+Right+Angle&amp;qid=1695173944&amp;sr=8-8", "https://www.amazon.com/Klein-Tools-Auto-Ranging-MOhms-Resistance-Replacement/dp/B0C7QB94HG/ref=sr_1_8?keywords=Klein+Tools+69410+Replacement+Test+Lead+Set%2C+Right+Angle&amp;qid=1695173944&amp;sr=8-8")</f>
        <v/>
      </c>
      <c r="F429" t="inlineStr">
        <is>
          <t>B0C7QB94HG</t>
        </is>
      </c>
      <c r="G429">
        <f>_xludf.IMAGE("https://edmondsonsupply.com/cdn/shop/products/69410.jpg?v=1587143393")</f>
        <v/>
      </c>
      <c r="H429">
        <f>_xludf.IMAGE("https://m.media-amazon.com/images/I/51iZGkiWnZL._AC_UY218_.jpg")</f>
        <v/>
      </c>
      <c r="I429" t="inlineStr">
        <is>
          <t>19.97</t>
        </is>
      </c>
      <c r="J429" t="n">
        <v>119.94</v>
      </c>
      <c r="K429" s="3" t="inlineStr">
        <is>
          <t>500.60%</t>
        </is>
      </c>
      <c r="L429" t="n">
        <v>5</v>
      </c>
      <c r="M429" t="n">
        <v>1</v>
      </c>
      <c r="O429" t="inlineStr">
        <is>
          <t>InStock</t>
        </is>
      </c>
      <c r="P429" t="inlineStr">
        <is>
          <t>27.1</t>
        </is>
      </c>
      <c r="Q429" t="inlineStr">
        <is>
          <t>4274171543652</t>
        </is>
      </c>
    </row>
    <row r="430">
      <c r="A430" s="2">
        <f>HYPERLINK("https://edmondsonsupply.com/collections/electricians-tools/products/klein-tools-56119-illuminated-fish-rod-tip", "https://edmondsonsupply.com/collections/electricians-tools/products/klein-tools-56119-illuminated-fish-rod-tip")</f>
        <v/>
      </c>
      <c r="B430" s="2">
        <f>HYPERLINK("https://edmondsonsupply.com/products/klein-tools-56119-illuminated-fish-rod-tip", "https://edmondsonsupply.com/products/klein-tools-56119-illuminated-fish-rod-tip")</f>
        <v/>
      </c>
      <c r="C430" t="inlineStr">
        <is>
          <t>Klein Tools 56119 Illuminated Fish Rod Tip</t>
        </is>
      </c>
      <c r="D430" t="inlineStr">
        <is>
          <t>Klein Tools 50660 Glow In The Dark Fish Tape, Fiberglass with Nylon Tip and Stainless-Steel Connector for Fish Rod Attachments, 40-Foot</t>
        </is>
      </c>
      <c r="E430" s="2">
        <f>HYPERLINK("https://www.amazon.com/Klein-Tools-50660-Stainless-Steel-Attachments/dp/B0BVJXRH9J/ref=sr_1_7?keywords=Klein+Tools+56119+Illuminated+Fish+Rod+Tip&amp;qid=1695174323&amp;sr=8-7", "https://www.amazon.com/Klein-Tools-50660-Stainless-Steel-Attachments/dp/B0BVJXRH9J/ref=sr_1_7?keywords=Klein+Tools+56119+Illuminated+Fish+Rod+Tip&amp;qid=1695174323&amp;sr=8-7")</f>
        <v/>
      </c>
      <c r="F430" t="inlineStr">
        <is>
          <t>B0BVJXRH9J</t>
        </is>
      </c>
      <c r="G430">
        <f>_xludf.IMAGE("https://edmondsonsupply.com/cdn/shop/products/56119.jpg?v=1633030794")</f>
        <v/>
      </c>
      <c r="H430">
        <f>_xludf.IMAGE("https://m.media-amazon.com/images/I/61TfZQjceGL._AC_UL320_.jpg")</f>
        <v/>
      </c>
      <c r="I430" t="inlineStr">
        <is>
          <t>9.99</t>
        </is>
      </c>
      <c r="J430" t="n">
        <v>59.97</v>
      </c>
      <c r="K430" s="3" t="inlineStr">
        <is>
          <t>500.30%</t>
        </is>
      </c>
      <c r="L430" t="n">
        <v>4.1</v>
      </c>
      <c r="M430" t="n">
        <v>6</v>
      </c>
      <c r="O430" t="inlineStr">
        <is>
          <t>InStock</t>
        </is>
      </c>
      <c r="P430" t="inlineStr">
        <is>
          <t>14.02</t>
        </is>
      </c>
      <c r="Q430" t="inlineStr">
        <is>
          <t>5990222266536</t>
        </is>
      </c>
    </row>
    <row r="431">
      <c r="A431" s="2">
        <f>HYPERLINK("https://edmondsonsupply.com/collections/electricians-tools/products/diablo-tools-d0724da-7-1-4-in-24-tooth-%E2%84%A2-framing-demolition-saw-blade", "https://edmondsonsupply.com/collections/electricians-tools/products/diablo-tools-d0724da-7-1-4-in-24-tooth-%E2%84%A2-framing-demolition-saw-blade")</f>
        <v/>
      </c>
      <c r="B431" s="2">
        <f>HYPERLINK("https://edmondsonsupply.com/products/diablo-tools-d0724da-7-1-4-in-24-tooth-%e2%84%a2-framing-demolition-saw-blade", "https://edmondsonsupply.com/products/diablo-tools-d0724da-7-1-4-in-24-tooth-%e2%84%a2-framing-demolition-saw-blade")</f>
        <v/>
      </c>
      <c r="C431" t="inlineStr">
        <is>
          <t>Diablo Tools D0724DA 7-1/4 in. 24-Tooth ™ Framing/Demolition Saw Blade</t>
        </is>
      </c>
      <c r="D431" t="inlineStr">
        <is>
          <t>Diablo D0724A 7-1/4" 24T Diablo™ Circular Saw Framing Blade</t>
        </is>
      </c>
      <c r="E431" s="2">
        <f>HYPERLINK("https://www.amazon.com/Diablo-D0724A-Circular-Framing-Blade/dp/B00M9IDPD0/ref=sr_1_7?keywords=Diablo+Tools+D0724DA+7-1%2F4+in.+24-Tooth+%E2%84%A2+Framing%2FDemolition+Saw+Blade&amp;qid=1695174061&amp;sr=8-7", "https://www.amazon.com/Diablo-D0724A-Circular-Framing-Blade/dp/B00M9IDPD0/ref=sr_1_7?keywords=Diablo+Tools+D0724DA+7-1%2F4+in.+24-Tooth+%E2%84%A2+Framing%2FDemolition+Saw+Blade&amp;qid=1695174061&amp;sr=8-7")</f>
        <v/>
      </c>
      <c r="F431" t="inlineStr">
        <is>
          <t>B00M9IDPD0</t>
        </is>
      </c>
      <c r="G431">
        <f>_xludf.IMAGE("https://edmondsonsupply.com/cdn/shop/products/ms7ofgpqtqo0aptxxu1k.webp?v=1678973703")</f>
        <v/>
      </c>
      <c r="H431">
        <f>_xludf.IMAGE("https://m.media-amazon.com/images/I/71DFvox7T1L._AC_UL320_.jpg")</f>
        <v/>
      </c>
      <c r="I431" t="inlineStr">
        <is>
          <t>14.97</t>
        </is>
      </c>
      <c r="J431" t="n">
        <v>88.86</v>
      </c>
      <c r="K431" s="3" t="inlineStr">
        <is>
          <t>493.59%</t>
        </is>
      </c>
      <c r="L431" t="n">
        <v>4.6</v>
      </c>
      <c r="M431" t="n">
        <v>861</v>
      </c>
      <c r="O431" t="inlineStr">
        <is>
          <t>InStock</t>
        </is>
      </c>
      <c r="P431" t="inlineStr">
        <is>
          <t>22.22</t>
        </is>
      </c>
      <c r="Q431" t="inlineStr">
        <is>
          <t>7962610204888</t>
        </is>
      </c>
    </row>
    <row r="432">
      <c r="A432" s="2">
        <f>HYPERLINK("https://edmondsonsupply.com/collections/electricians-tools/products/channellock-804", "https://edmondsonsupply.com/collections/electricians-tools/products/channellock-804")</f>
        <v/>
      </c>
      <c r="B432" s="2">
        <f>HYPERLINK("https://edmondsonsupply.com/products/channellock-804", "https://edmondsonsupply.com/products/channellock-804")</f>
        <v/>
      </c>
      <c r="C432" t="inlineStr">
        <is>
          <t>Channellock 804 4-Inch Chrome Adjustable Wrench</t>
        </is>
      </c>
      <c r="D432" t="inlineStr">
        <is>
          <t>CHANNELLOCK® VWS-4 Chrome Adjustable Wrench Set, 4-Piece | 4, 6, 10, 12-Inch | Wide Jaw Capacity | Precise Jaw Design Grips Tight in Confined Space | Laser-Etched Measurement Scales</t>
        </is>
      </c>
      <c r="E432" s="2">
        <f>HYPERLINK("https://www.amazon.com/CHANNELLOCK-Adjustable-Capacity-Laser-Etched-Measurement/dp/B0891JNCRL/ref=sr_1_2?keywords=Channellock+804+4-Inch+Chrome+Adjustable+Wrench&amp;qid=1695173945&amp;sr=8-2", "https://www.amazon.com/CHANNELLOCK-Adjustable-Capacity-Laser-Etched-Measurement/dp/B0891JNCRL/ref=sr_1_2?keywords=Channellock+804+4-Inch+Chrome+Adjustable+Wrench&amp;qid=1695173945&amp;sr=8-2")</f>
        <v/>
      </c>
      <c r="F432" t="inlineStr">
        <is>
          <t>B0891JNCRL</t>
        </is>
      </c>
      <c r="G432">
        <f>_xludf.IMAGE("https://edmondsonsupply.com/cdn/shop/products/804-683x1024.jpg?v=1587145853")</f>
        <v/>
      </c>
      <c r="H432">
        <f>_xludf.IMAGE("https://m.media-amazon.com/images/I/51-CWTrf9CL._AC_UL320_.jpg")</f>
        <v/>
      </c>
      <c r="I432" t="inlineStr">
        <is>
          <t>16.95</t>
        </is>
      </c>
      <c r="J432" t="n">
        <v>97.88</v>
      </c>
      <c r="K432" s="3" t="inlineStr">
        <is>
          <t>477.46%</t>
        </is>
      </c>
      <c r="L432" t="n">
        <v>4.8</v>
      </c>
      <c r="M432" t="n">
        <v>10</v>
      </c>
      <c r="O432" t="inlineStr">
        <is>
          <t>InStock</t>
        </is>
      </c>
      <c r="P432" t="inlineStr">
        <is>
          <t>26.62</t>
        </is>
      </c>
      <c r="Q432" t="inlineStr">
        <is>
          <t>4094611488868</t>
        </is>
      </c>
    </row>
    <row r="433">
      <c r="A433" s="2">
        <f>HYPERLINK("https://edmondsonsupply.com/collections/electricians-tools/products/klein-tools-ncvt-2pkit-dual-range-non-contact-voltage-tester-with-receptacle-tester", "https://edmondsonsupply.com/collections/electricians-tools/products/klein-tools-ncvt-2pkit-dual-range-non-contact-voltage-tester-with-receptacle-tester")</f>
        <v/>
      </c>
      <c r="B433" s="2">
        <f>HYPERLINK("https://edmondsonsupply.com/products/klein-tools-ncvt-2pkit-dual-range-non-contact-voltage-tester-with-receptacle-tester", "https://edmondsonsupply.com/products/klein-tools-ncvt-2pkit-dual-range-non-contact-voltage-tester-with-receptacle-tester")</f>
        <v/>
      </c>
      <c r="C433" t="inlineStr">
        <is>
          <t>Klein Tools NCVT-2PKIT Dual Range Non-Contact Voltage Tester with Receptacle Tester</t>
        </is>
      </c>
      <c r="D433" t="inlineStr">
        <is>
          <t>Klein Tools HVNCVT-1 Dual-Range Non-Contact High-Voltage Tester, Dual-Range, Audio/Visual Indicators, Water Resistant, With Case and Battery, Black</t>
        </is>
      </c>
      <c r="E433" s="2">
        <f>HYPERLINK("https://www.amazon.com/Voltage-Tester-Klein-Tools-HVNCVT-1/dp/B015KU2EXU/ref=sr_1_8?keywords=Klein+Tools+NCVT-2PKIT+Dual+Range+Non-Contact+Voltage+Tester+with+Receptacle+Tester&amp;qid=1695173953&amp;sr=8-8", "https://www.amazon.com/Voltage-Tester-Klein-Tools-HVNCVT-1/dp/B015KU2EXU/ref=sr_1_8?keywords=Klein+Tools+NCVT-2PKIT+Dual+Range+Non-Contact+Voltage+Tester+with+Receptacle+Tester&amp;qid=1695173953&amp;sr=8-8")</f>
        <v/>
      </c>
      <c r="F433" t="inlineStr">
        <is>
          <t>B015KU2EXU</t>
        </is>
      </c>
      <c r="G433">
        <f>_xludf.IMAGE("https://edmondsonsupply.com/cdn/shop/products/ncvt2pkit.jpg?v=1633030827")</f>
        <v/>
      </c>
      <c r="H433">
        <f>_xludf.IMAGE("https://m.media-amazon.com/images/I/51vp8USEpSL._AC_UL320_.jpg")</f>
        <v/>
      </c>
      <c r="I433" t="inlineStr">
        <is>
          <t>29.99</t>
        </is>
      </c>
      <c r="J433" t="n">
        <v>168.19</v>
      </c>
      <c r="K433" s="3" t="inlineStr">
        <is>
          <t>460.82%</t>
        </is>
      </c>
      <c r="L433" t="n">
        <v>4.4</v>
      </c>
      <c r="M433" t="n">
        <v>86</v>
      </c>
      <c r="O433" t="inlineStr">
        <is>
          <t>InStock</t>
        </is>
      </c>
      <c r="P433" t="inlineStr">
        <is>
          <t>41.28</t>
        </is>
      </c>
      <c r="Q433" t="inlineStr">
        <is>
          <t>6082146238637</t>
        </is>
      </c>
    </row>
    <row r="434">
      <c r="A434" s="2">
        <f>HYPERLINK("https://edmondsonsupply.com/collections/electricians-tools/products/klein-tools-jth9m5-4-mm-hex-key-journeyman-t-handle-9-inch", "https://edmondsonsupply.com/collections/electricians-tools/products/klein-tools-jth9m5-4-mm-hex-key-journeyman-t-handle-9-inch")</f>
        <v/>
      </c>
      <c r="B434" s="2">
        <f>HYPERLINK("https://edmondsonsupply.com/products/klein-tools-jth9m5-4-mm-hex-key-journeyman-t-handle-9-inch", "https://edmondsonsupply.com/products/klein-tools-jth9m5-4-mm-hex-key-journeyman-t-handle-9-inch")</f>
        <v/>
      </c>
      <c r="C434" t="inlineStr">
        <is>
          <t>Klein Tools JTH9M4 4 mm Hex Key, Journeyman T-Handle, 9-Inch</t>
        </is>
      </c>
      <c r="D434" t="inlineStr">
        <is>
          <t>Klein Tools JTH9E17 1/2-Inch Hex Key, Journeyman T-Handle, 9-Inch</t>
        </is>
      </c>
      <c r="E434" s="2">
        <f>HYPERLINK("https://www.amazon.com/Journeyman-T-Handle-Klein-Tools-JTH9E17/dp/B004QV6NL4/ref=sr_1_8?keywords=Klein+Tools+JTH9M4+4+mm+Hex+Key%2C+Journeyman+T-Handle%2C+9-Inch&amp;qid=1695174234&amp;sr=8-8", "https://www.amazon.com/Journeyman-T-Handle-Klein-Tools-JTH9E17/dp/B004QV6NL4/ref=sr_1_8?keywords=Klein+Tools+JTH9M4+4+mm+Hex+Key%2C+Journeyman+T-Handle%2C+9-Inch&amp;qid=1695174234&amp;sr=8-8")</f>
        <v/>
      </c>
      <c r="F434" t="inlineStr">
        <is>
          <t>B004QV6NL4</t>
        </is>
      </c>
      <c r="G434">
        <f>_xludf.IMAGE("https://edmondsonsupply.com/cdn/shop/products/jth9m_fa8a641d-d03f-4191-ab24-b9045963e4f7.jpg?v=1640191121")</f>
        <v/>
      </c>
      <c r="H434">
        <f>_xludf.IMAGE("https://m.media-amazon.com/images/I/51Yb8h41vLL._AC_UL320_.jpg")</f>
        <v/>
      </c>
      <c r="I434" t="inlineStr">
        <is>
          <t>4.49</t>
        </is>
      </c>
      <c r="J434" t="n">
        <v>23.99</v>
      </c>
      <c r="K434" s="3" t="inlineStr">
        <is>
          <t>434.30%</t>
        </is>
      </c>
      <c r="L434" t="n">
        <v>4.8</v>
      </c>
      <c r="M434" t="n">
        <v>194</v>
      </c>
      <c r="O434" t="inlineStr">
        <is>
          <t>InStock</t>
        </is>
      </c>
      <c r="P434" t="inlineStr">
        <is>
          <t>6.8</t>
        </is>
      </c>
      <c r="Q434" t="inlineStr">
        <is>
          <t>7555980656856</t>
        </is>
      </c>
    </row>
    <row r="435">
      <c r="A435" s="2">
        <f>HYPERLINK("https://edmondsonsupply.com/collections/electricians-tools/products/klein-tools-66078-flip-impact-socket-adapter-large-1-2-to-1-2-inch", "https://edmondsonsupply.com/collections/electricians-tools/products/klein-tools-66078-flip-impact-socket-adapter-large-1-2-to-1-2-inch")</f>
        <v/>
      </c>
      <c r="B435" s="2">
        <f>HYPERLINK("https://edmondsonsupply.com/products/klein-tools-66078-flip-impact-socket-adapter-large-1-2-to-1-2-inch", "https://edmondsonsupply.com/products/klein-tools-66078-flip-impact-socket-adapter-large-1-2-to-1-2-inch")</f>
        <v/>
      </c>
      <c r="C435" t="inlineStr">
        <is>
          <t>Klein Tools 66078 Flip Impact Socket Adapter, Large, 1/2 to 1/2-Inch</t>
        </is>
      </c>
      <c r="D435" t="inlineStr">
        <is>
          <t>Klein Tools 66031 3-in-1 Slotted Impact Socket, 12-Point Deep Sockets, Coaxial Spring Loaded, 3/4 and 9/16-Inch Hex Sizes, 1/2-Inch Drive</t>
        </is>
      </c>
      <c r="E435" s="2">
        <f>HYPERLINK("https://www.amazon.com/Klein-Tools-66031-Slotted-12-Point/dp/B08R6FL5P8/ref=sr_1_8?keywords=Klein+Tools+66078+Flip+Impact+Socket+Adapter%2C+Large%2C+1%2F2+to+1%2F2-Inch&amp;qid=1695174159&amp;sr=8-8", "https://www.amazon.com/Klein-Tools-66031-Slotted-12-Point/dp/B08R6FL5P8/ref=sr_1_8?keywords=Klein+Tools+66078+Flip+Impact+Socket+Adapter%2C+Large%2C+1%2F2+to+1%2F2-Inch&amp;qid=1695174159&amp;sr=8-8")</f>
        <v/>
      </c>
      <c r="F435" t="inlineStr">
        <is>
          <t>B08R6FL5P8</t>
        </is>
      </c>
      <c r="G435">
        <f>_xludf.IMAGE("https://edmondsonsupply.com/cdn/shop/products/66078.jpg?v=1674145294")</f>
        <v/>
      </c>
      <c r="H435">
        <f>_xludf.IMAGE("https://m.media-amazon.com/images/I/51mIf57QKuL._AC_UL320_.jpg")</f>
        <v/>
      </c>
      <c r="I435" t="inlineStr">
        <is>
          <t>9.36</t>
        </is>
      </c>
      <c r="J435" t="n">
        <v>49.99</v>
      </c>
      <c r="K435" s="3" t="inlineStr">
        <is>
          <t>434.08%</t>
        </is>
      </c>
      <c r="L435" t="n">
        <v>4.8</v>
      </c>
      <c r="M435" t="n">
        <v>662</v>
      </c>
      <c r="O435" t="inlineStr">
        <is>
          <t>InStock</t>
        </is>
      </c>
      <c r="P435" t="inlineStr">
        <is>
          <t>15.6</t>
        </is>
      </c>
      <c r="Q435" t="inlineStr">
        <is>
          <t>7814086361304</t>
        </is>
      </c>
    </row>
    <row r="436">
      <c r="A436" s="2">
        <f>HYPERLINK("https://edmondsonsupply.com/collections/electricians-tools/products/klein-tools-66078-flip-impact-socket-adapter-large-1-2-to-1-2-inch", "https://edmondsonsupply.com/collections/electricians-tools/products/klein-tools-66078-flip-impact-socket-adapter-large-1-2-to-1-2-inch")</f>
        <v/>
      </c>
      <c r="B436" s="2">
        <f>HYPERLINK("https://edmondsonsupply.com/products/klein-tools-66078-flip-impact-socket-adapter-large-1-2-to-1-2-inch", "https://edmondsonsupply.com/products/klein-tools-66078-flip-impact-socket-adapter-large-1-2-to-1-2-inch")</f>
        <v/>
      </c>
      <c r="C436" t="inlineStr">
        <is>
          <t>Klein Tools 66078 Flip Impact Socket Adapter, Large, 1/2 to 1/2-Inch</t>
        </is>
      </c>
      <c r="D436" t="inlineStr">
        <is>
          <t>Klein Tools 66070 Impact Socket Set, Impact Driver Flip Socket, Five Sockets with 1/4-Inch Hex and 1/2-Inch Square Socket Adapters, 7-Piece</t>
        </is>
      </c>
      <c r="E436" s="2">
        <f>HYPERLINK("https://www.amazon.com/Klein-Tools-66070-Sockets-Adapters/dp/B0B33XLXD1/ref=sr_1_3?keywords=Klein+Tools+66078+Flip+Impact+Socket+Adapter%2C+Large%2C+1%2F2+to+1%2F2-Inch&amp;qid=1695174159&amp;sr=8-3", "https://www.amazon.com/Klein-Tools-66070-Sockets-Adapters/dp/B0B33XLXD1/ref=sr_1_3?keywords=Klein+Tools+66078+Flip+Impact+Socket+Adapter%2C+Large%2C+1%2F2+to+1%2F2-Inch&amp;qid=1695174159&amp;sr=8-3")</f>
        <v/>
      </c>
      <c r="F436" t="inlineStr">
        <is>
          <t>B0B33XLXD1</t>
        </is>
      </c>
      <c r="G436">
        <f>_xludf.IMAGE("https://edmondsonsupply.com/cdn/shop/products/66078.jpg?v=1674145294")</f>
        <v/>
      </c>
      <c r="H436">
        <f>_xludf.IMAGE("https://m.media-amazon.com/images/I/71D23SffznL._AC_UL320_.jpg")</f>
        <v/>
      </c>
      <c r="I436" t="inlineStr">
        <is>
          <t>9.36</t>
        </is>
      </c>
      <c r="J436" t="n">
        <v>49.97</v>
      </c>
      <c r="K436" s="3" t="inlineStr">
        <is>
          <t>433.87%</t>
        </is>
      </c>
      <c r="L436" t="n">
        <v>4.8</v>
      </c>
      <c r="M436" t="n">
        <v>1158</v>
      </c>
      <c r="O436" t="inlineStr">
        <is>
          <t>InStock</t>
        </is>
      </c>
      <c r="P436" t="inlineStr">
        <is>
          <t>15.6</t>
        </is>
      </c>
      <c r="Q436" t="inlineStr">
        <is>
          <t>7814086361304</t>
        </is>
      </c>
    </row>
    <row r="437">
      <c r="A437" s="2">
        <f>HYPERLINK("https://edmondsonsupply.com/collections/electricians-tools/products/diablo-tools-dmarg1010-1-8-in-x-2-in-x-3-in-speedemon%E2%84%A2-red-granite-carbide-tipped-hammer-drill-bit", "https://edmondsonsupply.com/collections/electricians-tools/products/diablo-tools-dmarg1010-1-8-in-x-2-in-x-3-in-speedemon%E2%84%A2-red-granite-carbide-tipped-hammer-drill-bit")</f>
        <v/>
      </c>
      <c r="B437" s="2">
        <f>HYPERLINK("https://edmondsonsupply.com/products/diablo-tools-dmarg1010-1-8-in-x-2-in-x-3-in-speedemon%e2%84%a2-red-granite-carbide-tipped-hammer-drill-bit", "https://edmondsonsupply.com/products/diablo-tools-dmarg1010-1-8-in-x-2-in-x-3-in-speedemon%e2%84%a2-red-granite-carbide-tipped-hammer-drill-bit")</f>
        <v/>
      </c>
      <c r="C437" t="inlineStr">
        <is>
          <t>Diablo Tools DMARG1010 1/8 in. x 2 in. x 3 in. SPEEDemon™ Red Granite Carbide Tipped Hammer Drill Bit</t>
        </is>
      </c>
      <c r="D437" t="inlineStr">
        <is>
          <t>Diablo 5/8" x 10"x12" SPEEDemon™ Red Granite Carbide Tipped Hammer Drill Bit</t>
        </is>
      </c>
      <c r="E437" s="2">
        <f>HYPERLINK("https://www.amazon.com/Diablo-SPEEDemon-Granite-Carbide-Tipped/dp/B089LG6VXL/ref=sr_1_3?keywords=Diablo+Tools+DMARG1010+1%2F8+in.+x+2+in.+x+3+in.+SPEEDemon%E2%84%A2+Red+Granite+Carbide+Tipped+Hammer+Drill+Bit&amp;qid=1695174243&amp;sr=8-3", "https://www.amazon.com/Diablo-SPEEDemon-Granite-Carbide-Tipped/dp/B089LG6VXL/ref=sr_1_3?keywords=Diablo+Tools+DMARG1010+1%2F8+in.+x+2+in.+x+3+in.+SPEEDemon%E2%84%A2+Red+Granite+Carbide+Tipped+Hammer+Drill+Bit&amp;qid=1695174243&amp;sr=8-3")</f>
        <v/>
      </c>
      <c r="F437" t="inlineStr">
        <is>
          <t>B089LG6VXL</t>
        </is>
      </c>
      <c r="G437">
        <f>_xludf.IMAGE("https://edmondsonsupply.com/cdn/shop/products/DMARG1010_Main-Image20200706.png?v=1633031180")</f>
        <v/>
      </c>
      <c r="H437">
        <f>_xludf.IMAGE("https://m.media-amazon.com/images/I/61oQS6tt6EL._AC_UL320_.jpg")</f>
        <v/>
      </c>
      <c r="I437" t="inlineStr">
        <is>
          <t>2.99</t>
        </is>
      </c>
      <c r="J437" t="n">
        <v>15.53</v>
      </c>
      <c r="K437" s="3" t="inlineStr">
        <is>
          <t>419.40%</t>
        </is>
      </c>
      <c r="L437" t="n">
        <v>4.7</v>
      </c>
      <c r="M437" t="n">
        <v>5</v>
      </c>
      <c r="O437" t="inlineStr">
        <is>
          <t>InStock</t>
        </is>
      </c>
      <c r="P437" t="inlineStr">
        <is>
          <t>3.86</t>
        </is>
      </c>
      <c r="Q437" t="inlineStr">
        <is>
          <t>6917972099245</t>
        </is>
      </c>
    </row>
    <row r="438">
      <c r="A438" s="2">
        <f>HYPERLINK("https://edmondsonsupply.com/collections/electricians-tools/products/klein-tools-vdv500-123-probe-pro-tracing-probe", "https://edmondsonsupply.com/collections/electricians-tools/products/klein-tools-vdv500-123-probe-pro-tracing-probe")</f>
        <v/>
      </c>
      <c r="B438" s="2">
        <f>HYPERLINK("https://edmondsonsupply.com/products/klein-tools-vdv500-123-probe-pro-tracing-probe", "https://edmondsonsupply.com/products/klein-tools-vdv500-123-probe-pro-tracing-probe")</f>
        <v/>
      </c>
      <c r="C438" t="inlineStr">
        <is>
          <t>Klein Tools VDV500-123 Probe-PRO Tracing Probe</t>
        </is>
      </c>
      <c r="D438" t="inlineStr">
        <is>
          <t>Klein Tools VDV501-852 Cable Tester &amp; VDV500-123 Cable Tracer Probe-Pro Tracing Probe with Replaceable Non-Metallic, Conductive Tip and a Light for Use in Dark Spaces</t>
        </is>
      </c>
      <c r="E438" s="2">
        <f>HYPERLINK("https://www.amazon.com/Klein-Tools-VDV501-852-Replaceable-Non-Metallic/dp/B09T71P1V2/ref=sr_1_6?keywords=Klein+Tools+VDV500-123+Probe-PRO+Tracing+Probe&amp;qid=1695173898&amp;sr=8-6", "https://www.amazon.com/Klein-Tools-VDV501-852-Replaceable-Non-Metallic/dp/B09T71P1V2/ref=sr_1_6?keywords=Klein+Tools+VDV500-123+Probe-PRO+Tracing+Probe&amp;qid=1695173898&amp;sr=8-6")</f>
        <v/>
      </c>
      <c r="F438" t="inlineStr">
        <is>
          <t>B09T71P1V2</t>
        </is>
      </c>
      <c r="G438">
        <f>_xludf.IMAGE("https://edmondsonsupply.com/cdn/shop/products/vdv500123.jpg?v=1587142783")</f>
        <v/>
      </c>
      <c r="H438">
        <f>_xludf.IMAGE("https://m.media-amazon.com/images/I/51z8wwfmzML._AC_UY218_.jpg")</f>
        <v/>
      </c>
      <c r="I438" t="inlineStr">
        <is>
          <t>44.99</t>
        </is>
      </c>
      <c r="J438" t="n">
        <v>229.98</v>
      </c>
      <c r="K438" s="3" t="inlineStr">
        <is>
          <t>411.18%</t>
        </is>
      </c>
      <c r="L438" t="n">
        <v>4.7</v>
      </c>
      <c r="M438" t="n">
        <v>4</v>
      </c>
      <c r="O438" t="inlineStr">
        <is>
          <t>InStock</t>
        </is>
      </c>
      <c r="P438" t="inlineStr">
        <is>
          <t>63.0</t>
        </is>
      </c>
      <c r="Q438" t="inlineStr">
        <is>
          <t>4274361466980</t>
        </is>
      </c>
    </row>
    <row r="439">
      <c r="A439" s="2">
        <f>HYPERLINK("https://edmondsonsupply.com/collections/electricians-tools/products/klein-tools-mag2-magnetizer-demagnetizer", "https://edmondsonsupply.com/collections/electricians-tools/products/klein-tools-mag2-magnetizer-demagnetizer")</f>
        <v/>
      </c>
      <c r="B439" s="2">
        <f>HYPERLINK("https://edmondsonsupply.com/products/klein-tools-mag2-magnetizer-demagnetizer", "https://edmondsonsupply.com/products/klein-tools-mag2-magnetizer-demagnetizer")</f>
        <v/>
      </c>
      <c r="C439" t="inlineStr">
        <is>
          <t>Klein Tools MAG2 Magnetizer / Demagnetizer</t>
        </is>
      </c>
      <c r="D439" t="inlineStr">
        <is>
          <t>Klein Tools AEPJS2 Bluetooth Speaker, Wireless Portable Jobsite Speaker Plays Audio &amp; MAG2 Demagnetizer/Magnetizer for Screwdriver Bits and Tips, Makes Tools Magnetic</t>
        </is>
      </c>
      <c r="E439" s="2">
        <f>HYPERLINK("https://www.amazon.com/Klein-Tools-Demagnetizer-Magnetizer-Screwdriver/dp/B09Z918LTW/ref=sr_1_8?keywords=Klein+Tools+MAG2+Magnetizer+%2F+Demagnetizer&amp;qid=1695173850&amp;sr=8-8", "https://www.amazon.com/Klein-Tools-Demagnetizer-Magnetizer-Screwdriver/dp/B09Z918LTW/ref=sr_1_8?keywords=Klein+Tools+MAG2+Magnetizer+%2F+Demagnetizer&amp;qid=1695173850&amp;sr=8-8")</f>
        <v/>
      </c>
      <c r="F439" t="inlineStr">
        <is>
          <t>B09Z918LTW</t>
        </is>
      </c>
      <c r="G439">
        <f>_xludf.IMAGE("https://edmondsonsupply.com/cdn/shop/products/mag2.jpg?v=1587145008")</f>
        <v/>
      </c>
      <c r="H439">
        <f>_xludf.IMAGE("https://m.media-amazon.com/images/I/51W0D7+MmSL._AC_UL320_.jpg")</f>
        <v/>
      </c>
      <c r="I439" t="inlineStr">
        <is>
          <t>9.97</t>
        </is>
      </c>
      <c r="J439" t="n">
        <v>49.94</v>
      </c>
      <c r="K439" s="3" t="inlineStr">
        <is>
          <t>400.90%</t>
        </is>
      </c>
      <c r="L439" t="n">
        <v>5</v>
      </c>
      <c r="M439" t="n">
        <v>2</v>
      </c>
      <c r="O439" t="inlineStr">
        <is>
          <t>InStock</t>
        </is>
      </c>
      <c r="P439" t="inlineStr">
        <is>
          <t>13.96</t>
        </is>
      </c>
      <c r="Q439" t="inlineStr">
        <is>
          <t>1706086858852</t>
        </is>
      </c>
    </row>
    <row r="440">
      <c r="A440" s="2">
        <f>HYPERLINK("https://edmondsonsupply.com/collections/electricians-tools/products/klein-tools-56119-illuminated-fish-rod-tip", "https://edmondsonsupply.com/collections/electricians-tools/products/klein-tools-56119-illuminated-fish-rod-tip")</f>
        <v/>
      </c>
      <c r="B440" s="2">
        <f>HYPERLINK("https://edmondsonsupply.com/products/klein-tools-56119-illuminated-fish-rod-tip", "https://edmondsonsupply.com/products/klein-tools-56119-illuminated-fish-rod-tip")</f>
        <v/>
      </c>
      <c r="C440" t="inlineStr">
        <is>
          <t>Klein Tools 56119 Illuminated Fish Rod Tip</t>
        </is>
      </c>
      <c r="D440" t="inlineStr">
        <is>
          <t>Klein Tools 80050 Fish Tape, Glow Fish Tape Kit with 20-Foot Fiberglass Tape, Illuminated Fish Rod Tip and Fish Rod Attachments, 6-Piece</t>
        </is>
      </c>
      <c r="E440" s="2">
        <f>HYPERLINK("https://www.amazon.com/Illuminated-Attachments-Klein-Tools-80050/dp/B09FRBGCZD/ref=sr_1_4?keywords=Klein+Tools+56119+Illuminated+Fish+Rod+Tip&amp;qid=1695174323&amp;sr=8-4", "https://www.amazon.com/Illuminated-Attachments-Klein-Tools-80050/dp/B09FRBGCZD/ref=sr_1_4?keywords=Klein+Tools+56119+Illuminated+Fish+Rod+Tip&amp;qid=1695174323&amp;sr=8-4")</f>
        <v/>
      </c>
      <c r="F440" t="inlineStr">
        <is>
          <t>B09FRBGCZD</t>
        </is>
      </c>
      <c r="G440">
        <f>_xludf.IMAGE("https://edmondsonsupply.com/cdn/shop/products/56119.jpg?v=1633030794")</f>
        <v/>
      </c>
      <c r="H440">
        <f>_xludf.IMAGE("https://m.media-amazon.com/images/I/51K8WFeudSL._AC_UL320_.jpg")</f>
        <v/>
      </c>
      <c r="I440" t="inlineStr">
        <is>
          <t>9.99</t>
        </is>
      </c>
      <c r="J440" t="n">
        <v>49.99</v>
      </c>
      <c r="K440" s="3" t="inlineStr">
        <is>
          <t>400.40%</t>
        </is>
      </c>
      <c r="L440" t="n">
        <v>4.3</v>
      </c>
      <c r="M440" t="n">
        <v>22</v>
      </c>
      <c r="O440" t="inlineStr">
        <is>
          <t>InStock</t>
        </is>
      </c>
      <c r="P440" t="inlineStr">
        <is>
          <t>14.02</t>
        </is>
      </c>
      <c r="Q440" t="inlineStr">
        <is>
          <t>5990222266536</t>
        </is>
      </c>
    </row>
    <row r="441">
      <c r="A441" s="2">
        <f>HYPERLINK("https://edmondsonsupply.com/collections/electricians-tools/products/klein-tools-25964-step-drill-bit-spiral-double-fluted-1-8-inch-to-1-2-inch-vaco", "https://edmondsonsupply.com/collections/electricians-tools/products/klein-tools-25964-step-drill-bit-spiral-double-fluted-1-8-inch-to-1-2-inch-vaco")</f>
        <v/>
      </c>
      <c r="B441" s="2">
        <f>HYPERLINK("https://edmondsonsupply.com/products/klein-tools-25964-step-drill-bit-spiral-double-fluted-1-8-inch-to-1-2-inch-vaco", "https://edmondsonsupply.com/products/klein-tools-25964-step-drill-bit-spiral-double-fluted-1-8-inch-to-1-2-inch-vaco")</f>
        <v/>
      </c>
      <c r="C441" t="inlineStr">
        <is>
          <t>Klein Tools 25964 Step Drill Bit, Spiral Double-Fluted, 1/8-Inch to 1/2-Inch, VACO</t>
        </is>
      </c>
      <c r="D441" t="inlineStr">
        <is>
          <t>Klein Tools 25951 Electrician's Step Drill Bit Set, Spiral Double Fluted, Titanium Nitride Coating, 1/4-Inch Impact Shank, Case, 3-Piece</t>
        </is>
      </c>
      <c r="E441" s="2">
        <f>HYPERLINK("https://www.amazon.com/Klein-Tools-25951-Electricians-Titanium/dp/B0BLFRJLDX/ref=sr_1_1?keywords=Klein+Tools+25964+Step+Drill+Bit%2C+Spiral+Double-Fluted%2C+1%2F8-Inch+to+1%2F2-Inch%2C+VACO&amp;qid=1695174098&amp;sr=8-1", "https://www.amazon.com/Klein-Tools-25951-Electricians-Titanium/dp/B0BLFRJLDX/ref=sr_1_1?keywords=Klein+Tools+25964+Step+Drill+Bit%2C+Spiral+Double-Fluted%2C+1%2F8-Inch+to+1%2F2-Inch%2C+VACO&amp;qid=1695174098&amp;sr=8-1")</f>
        <v/>
      </c>
      <c r="F441" t="inlineStr">
        <is>
          <t>B0BLFRJLDX</t>
        </is>
      </c>
      <c r="G441">
        <f>_xludf.IMAGE("https://edmondsonsupply.com/cdn/shop/products/25964_b.jpg?v=1670940646")</f>
        <v/>
      </c>
      <c r="H441">
        <f>_xludf.IMAGE("https://m.media-amazon.com/images/I/61dZd3WvlgL._AC_UY218_.jpg")</f>
        <v/>
      </c>
      <c r="I441" t="inlineStr">
        <is>
          <t>19.99</t>
        </is>
      </c>
      <c r="J441" t="n">
        <v>99.98999999999999</v>
      </c>
      <c r="K441" s="3" t="inlineStr">
        <is>
          <t>400.20%</t>
        </is>
      </c>
      <c r="L441" t="n">
        <v>3.8</v>
      </c>
      <c r="M441" t="n">
        <v>6</v>
      </c>
      <c r="O441" t="inlineStr">
        <is>
          <t>InStock</t>
        </is>
      </c>
      <c r="P441" t="inlineStr">
        <is>
          <t>29.96</t>
        </is>
      </c>
      <c r="Q441" t="inlineStr">
        <is>
          <t>7903946670296</t>
        </is>
      </c>
    </row>
    <row r="442">
      <c r="A442" s="2">
        <f>HYPERLINK("https://edmondsonsupply.com/collections/electricians-tools/products/klein-tools-630-3-8-3-8-inch-nut-driver-with-3-inch-hollow-shaft", "https://edmondsonsupply.com/collections/electricians-tools/products/klein-tools-630-3-8-3-8-inch-nut-driver-with-3-inch-hollow-shaft")</f>
        <v/>
      </c>
      <c r="B442" s="2">
        <f>HYPERLINK("https://edmondsonsupply.com/products/klein-tools-630-3-8-3-8-inch-nut-driver-with-3-inch-hollow-shaft", "https://edmondsonsupply.com/products/klein-tools-630-3-8-3-8-inch-nut-driver-with-3-inch-hollow-shaft")</f>
        <v/>
      </c>
      <c r="C442" t="inlineStr">
        <is>
          <t>Klein Tools 630-3/8 3/8-Inch Nut Driver with 3-Inch Hollow Shaft</t>
        </is>
      </c>
      <c r="D442" t="inlineStr">
        <is>
          <t>Klein Tools 633 Tool Set, Nut Driver Set with Driver Sizes 1/4, 5/16, 3/8, 9/16-Inch on 3-Inch Full Hollow Shaft, w/Cushion Grips, 4-Piece</t>
        </is>
      </c>
      <c r="E442" s="2">
        <f>HYPERLINK("https://www.amazon.com/Cushion-4-Piece-Klein-Tools-633/dp/B00508QS5I/ref=sr_1_10?keywords=Klein+Tools+630-3%2F8+3%2F8-Inch+Nut+Driver+with+3-Inch+Hollow+Shaft&amp;qid=1695174289&amp;sr=8-10", "https://www.amazon.com/Cushion-4-Piece-Klein-Tools-633/dp/B00508QS5I/ref=sr_1_10?keywords=Klein+Tools+630-3%2F8+3%2F8-Inch+Nut+Driver+with+3-Inch+Hollow+Shaft&amp;qid=1695174289&amp;sr=8-10")</f>
        <v/>
      </c>
      <c r="F442" t="inlineStr">
        <is>
          <t>B00508QS5I</t>
        </is>
      </c>
      <c r="G442">
        <f>_xludf.IMAGE("https://edmondsonsupply.com/cdn/shop/products/630-1-2_e23f9fbd-a282-44d7-b743-2cfe0f84edfa.jpg?v=1633030906")</f>
        <v/>
      </c>
      <c r="H442">
        <f>_xludf.IMAGE("https://m.media-amazon.com/images/I/61yug3exhUS._AC_UL320_.jpg")</f>
        <v/>
      </c>
      <c r="I442" t="inlineStr">
        <is>
          <t>8.99</t>
        </is>
      </c>
      <c r="J442" t="n">
        <v>44.05</v>
      </c>
      <c r="K442" s="3" t="inlineStr">
        <is>
          <t>389.99%</t>
        </is>
      </c>
      <c r="L442" t="n">
        <v>4.8</v>
      </c>
      <c r="M442" t="n">
        <v>735</v>
      </c>
      <c r="O442" t="inlineStr">
        <is>
          <t>InStock</t>
        </is>
      </c>
      <c r="P442" t="inlineStr">
        <is>
          <t>11.74</t>
        </is>
      </c>
      <c r="Q442" t="inlineStr">
        <is>
          <t>6244382376109</t>
        </is>
      </c>
    </row>
    <row r="443">
      <c r="A443" s="2">
        <f>HYPERLINK("https://edmondsonsupply.com/collections/electricians-tools/products/klein-tools-450-001-staples-1-4-inch-x-5-16-inch-insulated", "https://edmondsonsupply.com/collections/electricians-tools/products/klein-tools-450-001-staples-1-4-inch-x-5-16-inch-insulated")</f>
        <v/>
      </c>
      <c r="B443" s="2">
        <f>HYPERLINK("https://edmondsonsupply.com/products/klein-tools-450-001-staples-1-4-inch-x-5-16-inch-insulated", "https://edmondsonsupply.com/products/klein-tools-450-001-staples-1-4-inch-x-5-16-inch-insulated")</f>
        <v/>
      </c>
      <c r="C443" t="inlineStr">
        <is>
          <t>Klein Tools 450-001 Staples, 1/4-Inch x 5/16-Inch Insulated</t>
        </is>
      </c>
      <c r="D443" t="inlineStr">
        <is>
          <t>Klein Tools 450-002 Heavy Duty Staples, 5/16 x 5/16-Inch Insulated Staples &amp; 450-100 Heavy Duty Stapler for Voice, Data, Video and Nonmetallic Sheathed (Romex)</t>
        </is>
      </c>
      <c r="E443" s="2">
        <f>HYPERLINK("https://www.amazon.com/Klein-Tools-Insulated-Nonmetallic-Sheathed/dp/B0C1BZK9RJ/ref=sr_1_2?keywords=Klein+Tools+450-001+Staples%2C+1%2F4-Inch+x+5%2F16-Inch+Insulated&amp;qid=1695173921&amp;sr=8-2", "https://www.amazon.com/Klein-Tools-Insulated-Nonmetallic-Sheathed/dp/B0C1BZK9RJ/ref=sr_1_2?keywords=Klein+Tools+450-001+Staples%2C+1%2F4-Inch+x+5%2F16-Inch+Insulated&amp;qid=1695173921&amp;sr=8-2")</f>
        <v/>
      </c>
      <c r="F443" t="inlineStr">
        <is>
          <t>B0C1BZK9RJ</t>
        </is>
      </c>
      <c r="G443">
        <f>_xludf.IMAGE("https://edmondsonsupply.com/cdn/shop/products/450001.jpg?v=1633030470")</f>
        <v/>
      </c>
      <c r="H443">
        <f>_xludf.IMAGE("https://m.media-amazon.com/images/I/51fityOLgOL._AC_UL320_.jpg")</f>
        <v/>
      </c>
      <c r="I443" t="inlineStr">
        <is>
          <t>9.99</t>
        </is>
      </c>
      <c r="J443" t="n">
        <v>48.6</v>
      </c>
      <c r="K443" s="3" t="inlineStr">
        <is>
          <t>386.49%</t>
        </is>
      </c>
      <c r="L443" t="n">
        <v>5</v>
      </c>
      <c r="M443" t="n">
        <v>1</v>
      </c>
      <c r="O443" t="inlineStr">
        <is>
          <t>InStock</t>
        </is>
      </c>
      <c r="P443" t="inlineStr">
        <is>
          <t>14.38</t>
        </is>
      </c>
      <c r="Q443" t="inlineStr">
        <is>
          <t>5365258715304</t>
        </is>
      </c>
    </row>
    <row r="444">
      <c r="A444" s="2">
        <f>HYPERLINK("https://edmondsonsupply.com/collections/electricians-tools/products/klein-tools-450-002-staples-5-16-inch-x-5-16-inch-insulated", "https://edmondsonsupply.com/collections/electricians-tools/products/klein-tools-450-002-staples-5-16-inch-x-5-16-inch-insulated")</f>
        <v/>
      </c>
      <c r="B444" s="2">
        <f>HYPERLINK("https://edmondsonsupply.com/products/klein-tools-450-002-staples-5-16-inch-x-5-16-inch-insulated", "https://edmondsonsupply.com/products/klein-tools-450-002-staples-5-16-inch-x-5-16-inch-insulated")</f>
        <v/>
      </c>
      <c r="C444" t="inlineStr">
        <is>
          <t>Klein Tools 450-002 Staples, 5/16-Inch x 5/16-Inch Insulated</t>
        </is>
      </c>
      <c r="D444" t="inlineStr">
        <is>
          <t>Klein Tools 450-002 Heavy Duty Staples, 5/16 x 5/16-Inch Insulated Staples &amp; 450-100 Heavy Duty Stapler for Voice, Data, Video and Nonmetallic Sheathed (Romex)</t>
        </is>
      </c>
      <c r="E444" s="2">
        <f>HYPERLINK("https://www.amazon.com/Klein-Tools-Insulated-Nonmetallic-Sheathed/dp/B0C1BZK9RJ/ref=sr_1_2?keywords=Klein+Tools+450-002+Staples%2C+5%2F16-Inch+x+5%2F16-Inch+Insulated&amp;qid=1695173921&amp;sr=8-2", "https://www.amazon.com/Klein-Tools-Insulated-Nonmetallic-Sheathed/dp/B0C1BZK9RJ/ref=sr_1_2?keywords=Klein+Tools+450-002+Staples%2C+5%2F16-Inch+x+5%2F16-Inch+Insulated&amp;qid=1695173921&amp;sr=8-2")</f>
        <v/>
      </c>
      <c r="F444" t="inlineStr">
        <is>
          <t>B0C1BZK9RJ</t>
        </is>
      </c>
      <c r="G444">
        <f>_xludf.IMAGE("https://edmondsonsupply.com/cdn/shop/products/450002.jpg?v=1633030471")</f>
        <v/>
      </c>
      <c r="H444">
        <f>_xludf.IMAGE("https://m.media-amazon.com/images/I/51fityOLgOL._AC_UL320_.jpg")</f>
        <v/>
      </c>
      <c r="I444" t="inlineStr">
        <is>
          <t>9.99</t>
        </is>
      </c>
      <c r="J444" t="n">
        <v>48.6</v>
      </c>
      <c r="K444" s="3" t="inlineStr">
        <is>
          <t>386.49%</t>
        </is>
      </c>
      <c r="L444" t="n">
        <v>5</v>
      </c>
      <c r="M444" t="n">
        <v>1</v>
      </c>
      <c r="O444" t="inlineStr">
        <is>
          <t>InStock</t>
        </is>
      </c>
      <c r="P444" t="inlineStr">
        <is>
          <t>14.38</t>
        </is>
      </c>
      <c r="Q444" t="inlineStr">
        <is>
          <t>5365322612904</t>
        </is>
      </c>
    </row>
    <row r="445">
      <c r="A445" s="2">
        <f>HYPERLINK("https://edmondsonsupply.com/collections/electricians-tools/products/wiha-tools-70486-6-piece-color-coded-magnetic-nut-setter-sae-set", "https://edmondsonsupply.com/collections/electricians-tools/products/wiha-tools-70486-6-piece-color-coded-magnetic-nut-setter-sae-set")</f>
        <v/>
      </c>
      <c r="B445" s="2">
        <f>HYPERLINK("https://edmondsonsupply.com/products/wiha-tools-70486-6-piece-color-coded-magnetic-nut-setter-sae-set", "https://edmondsonsupply.com/products/wiha-tools-70486-6-piece-color-coded-magnetic-nut-setter-sae-set")</f>
        <v/>
      </c>
      <c r="C445" t="inlineStr">
        <is>
          <t>Wiha Tools 70486 6 Piece Color Coded Magnetic Nut Setter SAE Set</t>
        </is>
      </c>
      <c r="D445" t="inlineStr">
        <is>
          <t>Wiha 32095 Slotted and Phillips Insulated Screwdriver Set, 1000 Volt, 19 Piece &amp; 70486 | 6 Piece Color Coded Magnetic Nut Setter Set</t>
        </is>
      </c>
      <c r="E445" s="2">
        <f>HYPERLINK("https://www.amazon.com/Wiha-Phillips-Insulated-Screwdriver-Magnetic/dp/B0CB14SYQX/ref=sr_1_9?keywords=Wiha+Tools+70486+6+Piece+Color+Coded+Magnetic+Nut+Setter+SAE+Set&amp;qid=1695173976&amp;sr=8-9", "https://www.amazon.com/Wiha-Phillips-Insulated-Screwdriver-Magnetic/dp/B0CB14SYQX/ref=sr_1_9?keywords=Wiha+Tools+70486+6+Piece+Color+Coded+Magnetic+Nut+Setter+SAE+Set&amp;qid=1695173976&amp;sr=8-9")</f>
        <v/>
      </c>
      <c r="F445" t="inlineStr">
        <is>
          <t>B0CB14SYQX</t>
        </is>
      </c>
      <c r="G445">
        <f>_xludf.IMAGE("https://edmondsonsupply.com/cdn/shop/files/yd5nbnqyuwli1mnwhztl_1000x_327efac2-5e06-44b8-a018-f96fc21e85ad.webp?v=1690908507")</f>
        <v/>
      </c>
      <c r="H445">
        <f>_xludf.IMAGE("https://m.media-amazon.com/images/I/511D0NYOQgL._AC_UL320_.jpg")</f>
        <v/>
      </c>
      <c r="I445" t="inlineStr">
        <is>
          <t>39.98</t>
        </is>
      </c>
      <c r="J445" t="n">
        <v>192.85</v>
      </c>
      <c r="K445" s="3" t="inlineStr">
        <is>
          <t>382.37%</t>
        </is>
      </c>
      <c r="L445" t="n">
        <v>4.8</v>
      </c>
      <c r="M445" t="n">
        <v>58</v>
      </c>
      <c r="O445" t="inlineStr">
        <is>
          <t>InStock</t>
        </is>
      </c>
      <c r="P445" t="inlineStr">
        <is>
          <t>57.18</t>
        </is>
      </c>
      <c r="Q445" t="inlineStr">
        <is>
          <t>8023447011544</t>
        </is>
      </c>
    </row>
    <row r="446">
      <c r="A446" s="2">
        <f>HYPERLINK("https://edmondsonsupply.com/collections/electricians-tools/products/klein-tools-jth9m5-5-mm-hex-key-journeyman-t-handle-9-inch", "https://edmondsonsupply.com/collections/electricians-tools/products/klein-tools-jth9m5-5-mm-hex-key-journeyman-t-handle-9-inch")</f>
        <v/>
      </c>
      <c r="B446" s="2">
        <f>HYPERLINK("https://edmondsonsupply.com/products/klein-tools-jth9m5-5-mm-hex-key-journeyman-t-handle-9-inch", "https://edmondsonsupply.com/products/klein-tools-jth9m5-5-mm-hex-key-journeyman-t-handle-9-inch")</f>
        <v/>
      </c>
      <c r="C446" t="inlineStr">
        <is>
          <t>Klein Tools JTH9M5 5 mm Hex Key, Journeyman T-Handle 9-Inch</t>
        </is>
      </c>
      <c r="D446" t="inlineStr">
        <is>
          <t>Klein Tools JTH9E17 1/2-Inch Hex Key, Journeyman T-Handle, 9-Inch</t>
        </is>
      </c>
      <c r="E446" s="2">
        <f>HYPERLINK("https://www.amazon.com/Journeyman-T-Handle-Klein-Tools-JTH9E17/dp/B004QV6NL4/ref=sr_1_8?keywords=Klein+Tools+JTH9M5+5+mm+Hex+Key%2C+Journeyman+T-Handle+9-Inch&amp;qid=1695174264&amp;sr=8-8", "https://www.amazon.com/Journeyman-T-Handle-Klein-Tools-JTH9E17/dp/B004QV6NL4/ref=sr_1_8?keywords=Klein+Tools+JTH9M5+5+mm+Hex+Key%2C+Journeyman+T-Handle+9-Inch&amp;qid=1695174264&amp;sr=8-8")</f>
        <v/>
      </c>
      <c r="F446" t="inlineStr">
        <is>
          <t>B004QV6NL4</t>
        </is>
      </c>
      <c r="G446">
        <f>_xludf.IMAGE("https://edmondsonsupply.com/cdn/shop/products/jth9m_84ad507b-889a-4b5c-80a2-9633c898cd48.jpg?v=1633031048")</f>
        <v/>
      </c>
      <c r="H446">
        <f>_xludf.IMAGE("https://m.media-amazon.com/images/I/51Yb8h41vLL._AC_UL320_.jpg")</f>
        <v/>
      </c>
      <c r="I446" t="inlineStr">
        <is>
          <t>4.99</t>
        </is>
      </c>
      <c r="J446" t="n">
        <v>23.99</v>
      </c>
      <c r="K446" s="3" t="inlineStr">
        <is>
          <t>380.76%</t>
        </is>
      </c>
      <c r="L446" t="n">
        <v>4.8</v>
      </c>
      <c r="M446" t="n">
        <v>194</v>
      </c>
      <c r="O446" t="inlineStr">
        <is>
          <t>InStock</t>
        </is>
      </c>
      <c r="P446" t="inlineStr">
        <is>
          <t>7.58</t>
        </is>
      </c>
      <c r="Q446" t="inlineStr">
        <is>
          <t>6772921532589</t>
        </is>
      </c>
    </row>
    <row r="447">
      <c r="A447" s="2">
        <f>HYPERLINK("https://edmondsonsupply.com/collections/electricians-tools/products/klein-tools-69417-rare-earth-magnetic-meter-hanger", "https://edmondsonsupply.com/collections/electricians-tools/products/klein-tools-69417-rare-earth-magnetic-meter-hanger")</f>
        <v/>
      </c>
      <c r="B447" s="2">
        <f>HYPERLINK("https://edmondsonsupply.com/products/klein-tools-69417-rare-earth-magnetic-meter-hanger", "https://edmondsonsupply.com/products/klein-tools-69417-rare-earth-magnetic-meter-hanger")</f>
        <v/>
      </c>
      <c r="C447" t="inlineStr">
        <is>
          <t>Klein Tools 69417 Rare Earth Magnetic Meter Hanger, with Strap</t>
        </is>
      </c>
      <c r="D447" t="inlineStr">
        <is>
          <t>Digital Multimeter Electrical Test Kit, Non-Contact Voltage Tester, Receptacle Tester, Carrying Case and Batteries Klein Tools MM320KIT &amp; 69417 Rare-Earth Magnetic Hanger, with Strap</t>
        </is>
      </c>
      <c r="E447" s="2">
        <f>HYPERLINK("https://www.amazon.com/Multimeter-Electrical-Non-Contact-Klein-Tools/dp/B0CF2CFS1D/ref=sr_1_2?keywords=Klein+Tools+69417+Rare+Earth+Magnetic+Meter+Hanger%2C+with+Strap&amp;qid=1695173948&amp;sr=8-2", "https://www.amazon.com/Multimeter-Electrical-Non-Contact-Klein-Tools/dp/B0CF2CFS1D/ref=sr_1_2?keywords=Klein+Tools+69417+Rare+Earth+Magnetic+Meter+Hanger%2C+with+Strap&amp;qid=1695173948&amp;sr=8-2")</f>
        <v/>
      </c>
      <c r="F447" t="inlineStr">
        <is>
          <t>B0CF2CFS1D</t>
        </is>
      </c>
      <c r="G447">
        <f>_xludf.IMAGE("https://edmondsonsupply.com/cdn/shop/products/69417.jpg?v=1587150163")</f>
        <v/>
      </c>
      <c r="H447">
        <f>_xludf.IMAGE("https://m.media-amazon.com/images/I/5182bo0BHaL._AC_UL320_.jpg")</f>
        <v/>
      </c>
      <c r="I447" t="inlineStr">
        <is>
          <t>13.99</t>
        </is>
      </c>
      <c r="J447" t="n">
        <v>66.48</v>
      </c>
      <c r="K447" s="3" t="inlineStr">
        <is>
          <t>375.20%</t>
        </is>
      </c>
      <c r="L447" t="n">
        <v>4.8</v>
      </c>
      <c r="M447" t="n">
        <v>1458</v>
      </c>
      <c r="O447" t="inlineStr">
        <is>
          <t>InStock</t>
        </is>
      </c>
      <c r="P447" t="inlineStr">
        <is>
          <t>20.0</t>
        </is>
      </c>
      <c r="Q447" t="inlineStr">
        <is>
          <t>1778073731172</t>
        </is>
      </c>
    </row>
    <row r="448">
      <c r="A448" s="2">
        <f>HYPERLINK("https://edmondsonsupply.com/collections/electricians-tools/products/klein-tools-66076-flip-impact-socket-9-16-and-1-2-inch", "https://edmondsonsupply.com/collections/electricians-tools/products/klein-tools-66076-flip-impact-socket-9-16-and-1-2-inch")</f>
        <v/>
      </c>
      <c r="B448" s="2">
        <f>HYPERLINK("https://edmondsonsupply.com/products/klein-tools-66076-flip-impact-socket-9-16-and-1-2-inch", "https://edmondsonsupply.com/products/klein-tools-66076-flip-impact-socket-9-16-and-1-2-inch")</f>
        <v/>
      </c>
      <c r="C448" t="inlineStr">
        <is>
          <t>Klein Tools 66076 Flip Impact Socket, 9/16 and 1/2-Inch</t>
        </is>
      </c>
      <c r="D448" t="inlineStr">
        <is>
          <t>Klein Tools 66031 3-in-1 Slotted Impact Socket, 12-Point Deep Sockets, Coaxial Spring Loaded, 3/4 and 9/16-Inch Hex Sizes, 1/2-Inch Drive</t>
        </is>
      </c>
      <c r="E448" s="2">
        <f>HYPERLINK("https://www.amazon.com/Klein-Tools-66031-Slotted-12-Point/dp/B08R6FL5P8/ref=sr_1_4?keywords=Klein+Tools+66076+Flip+Impact+Socket%2C+9%2F16+and+1%2F2-Inch&amp;qid=1695174172&amp;sr=8-4", "https://www.amazon.com/Klein-Tools-66031-Slotted-12-Point/dp/B08R6FL5P8/ref=sr_1_4?keywords=Klein+Tools+66076+Flip+Impact+Socket%2C+9%2F16+and+1%2F2-Inch&amp;qid=1695174172&amp;sr=8-4")</f>
        <v/>
      </c>
      <c r="F448" t="inlineStr">
        <is>
          <t>B08R6FL5P8</t>
        </is>
      </c>
      <c r="G448">
        <f>_xludf.IMAGE("https://edmondsonsupply.com/cdn/shop/products/66076.jpg?v=1663083814")</f>
        <v/>
      </c>
      <c r="H448">
        <f>_xludf.IMAGE("https://m.media-amazon.com/images/I/51mIf57QKuL._AC_UL320_.jpg")</f>
        <v/>
      </c>
      <c r="I448" t="inlineStr">
        <is>
          <t>10.71</t>
        </is>
      </c>
      <c r="J448" t="n">
        <v>49.99</v>
      </c>
      <c r="K448" s="3" t="inlineStr">
        <is>
          <t>366.76%</t>
        </is>
      </c>
      <c r="L448" t="n">
        <v>4.8</v>
      </c>
      <c r="M448" t="n">
        <v>662</v>
      </c>
      <c r="O448" t="inlineStr">
        <is>
          <t>InStock</t>
        </is>
      </c>
      <c r="P448" t="inlineStr">
        <is>
          <t>15.0</t>
        </is>
      </c>
      <c r="Q448" t="inlineStr">
        <is>
          <t>7814133874904</t>
        </is>
      </c>
    </row>
    <row r="449">
      <c r="A449" s="2">
        <f>HYPERLINK("https://edmondsonsupply.com/collections/electricians-tools/products/klein-tools-66076-flip-impact-socket-9-16-and-1-2-inch", "https://edmondsonsupply.com/collections/electricians-tools/products/klein-tools-66076-flip-impact-socket-9-16-and-1-2-inch")</f>
        <v/>
      </c>
      <c r="B449" s="2">
        <f>HYPERLINK("https://edmondsonsupply.com/products/klein-tools-66076-flip-impact-socket-9-16-and-1-2-inch", "https://edmondsonsupply.com/products/klein-tools-66076-flip-impact-socket-9-16-and-1-2-inch")</f>
        <v/>
      </c>
      <c r="C449" t="inlineStr">
        <is>
          <t>Klein Tools 66076 Flip Impact Socket, 9/16 and 1/2-Inch</t>
        </is>
      </c>
      <c r="D449" t="inlineStr">
        <is>
          <t>Klein Tools 66070 Impact Socket Set, Impact Driver Flip Socket, Five Sockets with 1/4-Inch Hex and 1/2-Inch Square Socket Adapters, 7-Piece</t>
        </is>
      </c>
      <c r="E449" s="2">
        <f>HYPERLINK("https://www.amazon.com/Klein-Tools-66070-Sockets-Adapters/dp/B0B33XLXD1/ref=sr_1_1?keywords=Klein+Tools+66076+Flip+Impact+Socket%2C+9%2F16+and+1%2F2-Inch&amp;qid=1695174172&amp;sr=8-1", "https://www.amazon.com/Klein-Tools-66070-Sockets-Adapters/dp/B0B33XLXD1/ref=sr_1_1?keywords=Klein+Tools+66076+Flip+Impact+Socket%2C+9%2F16+and+1%2F2-Inch&amp;qid=1695174172&amp;sr=8-1")</f>
        <v/>
      </c>
      <c r="F449" t="inlineStr">
        <is>
          <t>B0B33XLXD1</t>
        </is>
      </c>
      <c r="G449">
        <f>_xludf.IMAGE("https://edmondsonsupply.com/cdn/shop/products/66076.jpg?v=1663083814")</f>
        <v/>
      </c>
      <c r="H449">
        <f>_xludf.IMAGE("https://m.media-amazon.com/images/I/71D23SffznL._AC_UL320_.jpg")</f>
        <v/>
      </c>
      <c r="I449" t="inlineStr">
        <is>
          <t>10.71</t>
        </is>
      </c>
      <c r="J449" t="n">
        <v>49.97</v>
      </c>
      <c r="K449" s="3" t="inlineStr">
        <is>
          <t>366.57%</t>
        </is>
      </c>
      <c r="L449" t="n">
        <v>4.8</v>
      </c>
      <c r="M449" t="n">
        <v>1158</v>
      </c>
      <c r="O449" t="inlineStr">
        <is>
          <t>InStock</t>
        </is>
      </c>
      <c r="P449" t="inlineStr">
        <is>
          <t>15.0</t>
        </is>
      </c>
      <c r="Q449" t="inlineStr">
        <is>
          <t>7814133874904</t>
        </is>
      </c>
    </row>
    <row r="450">
      <c r="A450" s="2">
        <f>HYPERLINK("https://edmondsonsupply.com/collections/electricians-tools/products/greenlee-608-1-2-foam-conduit-piston", "https://edmondsonsupply.com/collections/electricians-tools/products/greenlee-608-1-2-foam-conduit-piston")</f>
        <v/>
      </c>
      <c r="B450" s="2">
        <f>HYPERLINK("https://edmondsonsupply.com/products/greenlee-608-1-2-foam-conduit-piston", "https://edmondsonsupply.com/products/greenlee-608-1-2-foam-conduit-piston")</f>
        <v/>
      </c>
      <c r="C450" t="inlineStr">
        <is>
          <t>Greenlee 608 1/2" Foam Conduit Piston</t>
        </is>
      </c>
      <c r="D450" t="inlineStr">
        <is>
          <t>Greenlee 608-5 Piston, Foam, 1/2 In, Pk5</t>
        </is>
      </c>
      <c r="E450" s="2">
        <f>HYPERLINK("https://www.amazon.com/Greenlee-608-5-Piston-Conduit-Types/dp/B002KLW92E/ref=sr_1_1?keywords=Greenlee+608+1%2F2%22+Foam+Conduit+Piston&amp;qid=1695173994&amp;sr=8-1", "https://www.amazon.com/Greenlee-608-5-Piston-Conduit-Types/dp/B002KLW92E/ref=sr_1_1?keywords=Greenlee+608+1%2F2%22+Foam+Conduit+Piston&amp;qid=1695173994&amp;sr=8-1")</f>
        <v/>
      </c>
      <c r="F450" t="inlineStr">
        <is>
          <t>B002KLW92E</t>
        </is>
      </c>
      <c r="G450">
        <f>_xludf.IMAGE("https://edmondsonsupply.com/cdn/shop/files/608_2.png?v=1687446700")</f>
        <v/>
      </c>
      <c r="H450">
        <f>_xludf.IMAGE("https://m.media-amazon.com/images/I/91OtGaHrzYL._AC_UL320_.jpg")</f>
        <v/>
      </c>
      <c r="I450" t="inlineStr">
        <is>
          <t>5.99</t>
        </is>
      </c>
      <c r="J450" t="n">
        <v>27.35</v>
      </c>
      <c r="K450" s="3" t="inlineStr">
        <is>
          <t>356.59%</t>
        </is>
      </c>
      <c r="L450" t="n">
        <v>4.5</v>
      </c>
      <c r="M450" t="n">
        <v>24</v>
      </c>
      <c r="O450" t="inlineStr">
        <is>
          <t>InStock</t>
        </is>
      </c>
      <c r="P450" t="inlineStr">
        <is>
          <t>undefined</t>
        </is>
      </c>
      <c r="Q450" t="inlineStr">
        <is>
          <t>8007982285016</t>
        </is>
      </c>
    </row>
    <row r="451">
      <c r="A451" s="2">
        <f>HYPERLINK("https://edmondsonsupply.com/collections/electricians-tools/products/klein-tools-51611-1-2-inch-angle-setter%E2%84%A2", "https://edmondsonsupply.com/collections/electricians-tools/products/klein-tools-51611-1-2-inch-angle-setter%E2%84%A2")</f>
        <v/>
      </c>
      <c r="B451" s="2">
        <f>HYPERLINK("https://edmondsonsupply.com/products/klein-tools-51611-1-2-inch-angle-setter%e2%84%a2", "https://edmondsonsupply.com/products/klein-tools-51611-1-2-inch-angle-setter%e2%84%a2")</f>
        <v/>
      </c>
      <c r="C451" t="inlineStr">
        <is>
          <t>Klein Tools 51611 1/2-Inch Angle Setter™</t>
        </is>
      </c>
      <c r="D451" t="inlineStr">
        <is>
          <t>Klein Tools 51607 Aluminum Conduit Bender Full Assembly, 3/4-Inch EMT, 1/2-Inch Rigid, Wide Foot Pedal, Benchmark Symbols and Angle Setter</t>
        </is>
      </c>
      <c r="E451" s="2">
        <f>HYPERLINK("https://www.amazon.com/Aluminum-Benchmark-Technology-Klein-Tools/dp/B08L41G5G5/ref=sr_1_7?keywords=Klein+Tools+51611+1%2F2-Inch+Angle+Setter%E2%84%A2&amp;qid=1695174192&amp;sr=8-7", "https://www.amazon.com/Aluminum-Benchmark-Technology-Klein-Tools/dp/B08L41G5G5/ref=sr_1_7?keywords=Klein+Tools+51611+1%2F2-Inch+Angle+Setter%E2%84%A2&amp;qid=1695174192&amp;sr=8-7")</f>
        <v/>
      </c>
      <c r="F451" t="inlineStr">
        <is>
          <t>B08L41G5G5</t>
        </is>
      </c>
      <c r="G451">
        <f>_xludf.IMAGE("https://edmondsonsupply.com/cdn/shop/products/51611.jpg?v=1661976456")</f>
        <v/>
      </c>
      <c r="H451">
        <f>_xludf.IMAGE("https://m.media-amazon.com/images/I/419ZjlOD69L._AC_UL320_.jpg")</f>
        <v/>
      </c>
      <c r="I451" t="inlineStr">
        <is>
          <t>9.97</t>
        </is>
      </c>
      <c r="J451" t="n">
        <v>44.99</v>
      </c>
      <c r="K451" s="3" t="inlineStr">
        <is>
          <t>351.25%</t>
        </is>
      </c>
      <c r="L451" t="n">
        <v>4.7</v>
      </c>
      <c r="M451" t="n">
        <v>343</v>
      </c>
      <c r="O451" t="inlineStr">
        <is>
          <t>InStock</t>
        </is>
      </c>
      <c r="P451" t="inlineStr">
        <is>
          <t>12.96</t>
        </is>
      </c>
      <c r="Q451" t="inlineStr">
        <is>
          <t>7798377840856</t>
        </is>
      </c>
    </row>
    <row r="452">
      <c r="A452" s="2">
        <f>HYPERLINK("https://edmondsonsupply.com/collections/electricians-tools/products/klein-tools-51612-3-4-inch-angle-setter%E2%84%A2", "https://edmondsonsupply.com/collections/electricians-tools/products/klein-tools-51612-3-4-inch-angle-setter%E2%84%A2")</f>
        <v/>
      </c>
      <c r="B452" s="2">
        <f>HYPERLINK("https://edmondsonsupply.com/products/klein-tools-51612-3-4-inch-angle-setter%e2%84%a2", "https://edmondsonsupply.com/products/klein-tools-51612-3-4-inch-angle-setter%e2%84%a2")</f>
        <v/>
      </c>
      <c r="C452" t="inlineStr">
        <is>
          <t>Klein Tools 51612 3/4-Inch Angle Setter™</t>
        </is>
      </c>
      <c r="D452" t="inlineStr">
        <is>
          <t>Klein Tools 51609 Iron Conduit Bender Head, for 3/4-Inch EMT or 1/2-Inch Rigid IMC, use with Klein Tools Angle Setter (Cat. No. 51612)</t>
        </is>
      </c>
      <c r="E452" s="2">
        <f>HYPERLINK("https://www.amazon.com/Conduit-Bender-Klein-Tools-51609/dp/B08VYFHL9J/ref=sr_1_2?keywords=Klein+Tools+51612+3%2F4-Inch+Angle+Setter%E2%84%A2&amp;qid=1695174172&amp;sr=8-2", "https://www.amazon.com/Conduit-Bender-Klein-Tools-51609/dp/B08VYFHL9J/ref=sr_1_2?keywords=Klein+Tools+51612+3%2F4-Inch+Angle+Setter%E2%84%A2&amp;qid=1695174172&amp;sr=8-2")</f>
        <v/>
      </c>
      <c r="F452" t="inlineStr">
        <is>
          <t>B08VYFHL9J</t>
        </is>
      </c>
      <c r="G452">
        <f>_xludf.IMAGE("https://edmondsonsupply.com/cdn/shop/products/51612.jpg?v=1661977736")</f>
        <v/>
      </c>
      <c r="H452">
        <f>_xludf.IMAGE("https://m.media-amazon.com/images/I/61KifnC2xML._AC_UL320_.jpg")</f>
        <v/>
      </c>
      <c r="I452" t="inlineStr">
        <is>
          <t>9.97</t>
        </is>
      </c>
      <c r="J452" t="n">
        <v>44.99</v>
      </c>
      <c r="K452" s="3" t="inlineStr">
        <is>
          <t>351.25%</t>
        </is>
      </c>
      <c r="L452" t="n">
        <v>4.2</v>
      </c>
      <c r="M452" t="n">
        <v>31</v>
      </c>
      <c r="O452" t="inlineStr">
        <is>
          <t>InStock</t>
        </is>
      </c>
      <c r="P452" t="inlineStr">
        <is>
          <t>12.96</t>
        </is>
      </c>
      <c r="Q452" t="inlineStr">
        <is>
          <t>7798382756056</t>
        </is>
      </c>
    </row>
    <row r="453">
      <c r="A453" s="2">
        <f>HYPERLINK("https://edmondsonsupply.com/collections/electricians-tools/products/klein-tools-31918-bi-metal-hole-saw-1-1-8-inch", "https://edmondsonsupply.com/collections/electricians-tools/products/klein-tools-31918-bi-metal-hole-saw-1-1-8-inch")</f>
        <v/>
      </c>
      <c r="B453" s="2">
        <f>HYPERLINK("https://edmondsonsupply.com/products/klein-tools-31918-bi-metal-hole-saw-1-1-8-inch", "https://edmondsonsupply.com/products/klein-tools-31918-bi-metal-hole-saw-1-1-8-inch")</f>
        <v/>
      </c>
      <c r="C453" t="inlineStr">
        <is>
          <t>Klein Tools 31918 Bi-Metal Hole Saw, 1-1/8-Inch</t>
        </is>
      </c>
      <c r="D453" t="inlineStr">
        <is>
          <t>Klein Tools 31856 Heavy Duty Hole Cutter, 1-1/8-Inch Carbide Hole Cutter Cuts Stainless Steel, Mild Steel, Iron, and Copper</t>
        </is>
      </c>
      <c r="E453" s="2">
        <f>HYPERLINK("https://www.amazon.com/8-Inch-Carbide-Klein-Tools-31856/dp/B00776T2XQ/ref=sr_1_2?keywords=Klein+Tools+31918+Bi-Metal+Hole+Saw%2C+1-1%2F8-Inch&amp;qid=1695174116&amp;sr=8-2", "https://www.amazon.com/8-Inch-Carbide-Klein-Tools-31856/dp/B00776T2XQ/ref=sr_1_2?keywords=Klein+Tools+31918+Bi-Metal+Hole+Saw%2C+1-1%2F8-Inch&amp;qid=1695174116&amp;sr=8-2")</f>
        <v/>
      </c>
      <c r="F453" t="inlineStr">
        <is>
          <t>B00776T2XQ</t>
        </is>
      </c>
      <c r="G453">
        <f>_xludf.IMAGE("https://edmondsonsupply.com/cdn/shop/products/31918.jpg?v=1669739998")</f>
        <v/>
      </c>
      <c r="H453">
        <f>_xludf.IMAGE("https://m.media-amazon.com/images/I/41TKex1GIjL._AC_UL320_.jpg")</f>
        <v/>
      </c>
      <c r="I453" t="inlineStr">
        <is>
          <t>7.99</t>
        </is>
      </c>
      <c r="J453" t="n">
        <v>34.99</v>
      </c>
      <c r="K453" s="3" t="inlineStr">
        <is>
          <t>337.92%</t>
        </is>
      </c>
      <c r="L453" t="n">
        <v>4.5</v>
      </c>
      <c r="M453" t="n">
        <v>473</v>
      </c>
      <c r="O453" t="inlineStr">
        <is>
          <t>InStock</t>
        </is>
      </c>
      <c r="P453" t="inlineStr">
        <is>
          <t>11.2</t>
        </is>
      </c>
      <c r="Q453" t="inlineStr">
        <is>
          <t>7896138678488</t>
        </is>
      </c>
    </row>
    <row r="454">
      <c r="A454" s="2">
        <f>HYPERLINK("https://edmondsonsupply.com/collections/electricians-tools/products/klein-tools-69417-rare-earth-magnetic-meter-hanger", "https://edmondsonsupply.com/collections/electricians-tools/products/klein-tools-69417-rare-earth-magnetic-meter-hanger")</f>
        <v/>
      </c>
      <c r="B454" s="2">
        <f>HYPERLINK("https://edmondsonsupply.com/products/klein-tools-69417-rare-earth-magnetic-meter-hanger", "https://edmondsonsupply.com/products/klein-tools-69417-rare-earth-magnetic-meter-hanger")</f>
        <v/>
      </c>
      <c r="C454" t="inlineStr">
        <is>
          <t>Klein Tools 69417 Rare Earth Magnetic Meter Hanger, with Strap</t>
        </is>
      </c>
      <c r="D454" t="inlineStr">
        <is>
          <t>Klein Tools MM400 Multimeter, Digital Auto Ranging, AC/DC Voltage, Current, Capacitance, Frequency, Duty-Cycle, Diode, Continuity, Temp 600V &amp; 69417 Rare-Earth Magnetic Hanger, with Strap</t>
        </is>
      </c>
      <c r="E454" s="2">
        <f>HYPERLINK("https://www.amazon.com/Klein-Tools-Multimeter-Auto-Ranging-Magnetic/dp/B095RFF319/ref=sr_1_8?keywords=Klein+Tools+69417+Rare+Earth+Magnetic+Meter+Hanger%2C+with+Strap&amp;qid=1695173948&amp;sr=8-8", "https://www.amazon.com/Klein-Tools-Multimeter-Auto-Ranging-Magnetic/dp/B095RFF319/ref=sr_1_8?keywords=Klein+Tools+69417+Rare+Earth+Magnetic+Meter+Hanger%2C+with+Strap&amp;qid=1695173948&amp;sr=8-8")</f>
        <v/>
      </c>
      <c r="F454" t="inlineStr">
        <is>
          <t>B095RFF319</t>
        </is>
      </c>
      <c r="G454">
        <f>_xludf.IMAGE("https://edmondsonsupply.com/cdn/shop/products/69417.jpg?v=1587150163")</f>
        <v/>
      </c>
      <c r="H454">
        <f>_xludf.IMAGE("https://m.media-amazon.com/images/I/51JeRgf8UeS._AC_UL320_.jpg")</f>
        <v/>
      </c>
      <c r="I454" t="inlineStr">
        <is>
          <t>13.99</t>
        </is>
      </c>
      <c r="J454" t="n">
        <v>60.89</v>
      </c>
      <c r="K454" s="3" t="inlineStr">
        <is>
          <t>335.24%</t>
        </is>
      </c>
      <c r="L454" t="n">
        <v>4.8</v>
      </c>
      <c r="M454" t="n">
        <v>37</v>
      </c>
      <c r="O454" t="inlineStr">
        <is>
          <t>InStock</t>
        </is>
      </c>
      <c r="P454" t="inlineStr">
        <is>
          <t>20.0</t>
        </is>
      </c>
      <c r="Q454" t="inlineStr">
        <is>
          <t>1778073731172</t>
        </is>
      </c>
    </row>
    <row r="455">
      <c r="A455" s="2">
        <f>HYPERLINK("https://edmondsonsupply.com/collections/electricians-tools/products/klein-tools-32900-7-in-1-impact-flip-socket-with-handle", "https://edmondsonsupply.com/collections/electricians-tools/products/klein-tools-32900-7-in-1-impact-flip-socket-with-handle")</f>
        <v/>
      </c>
      <c r="B455" s="2">
        <f>HYPERLINK("https://edmondsonsupply.com/products/klein-tools-32900-7-in-1-impact-flip-socket-with-handle", "https://edmondsonsupply.com/products/klein-tools-32900-7-in-1-impact-flip-socket-with-handle")</f>
        <v/>
      </c>
      <c r="C455" t="inlineStr">
        <is>
          <t>Klein Tools 32900 7-in-1 Impact Flip Socket with Handle</t>
        </is>
      </c>
      <c r="D455" t="inlineStr">
        <is>
          <t>Klein Tools 80021 Tool Set, Screwdriver and Nut Driver Tool Kit with Assorted Tips &amp; 32900 Impact Driver, 7-in-1 Impact Flip Socket Set with Handle, 6 Hex Driver Sizes</t>
        </is>
      </c>
      <c r="E455" s="2">
        <f>HYPERLINK("https://www.amazon.com/Klein-Tools-Screwdriver-Driver-Assorted/dp/B0CF29SBCM/ref=sr_1_8?keywords=Klein+Tools+32900+7-in-1+Impact+Flip+Socket+with+Handle&amp;qid=1695174143&amp;sr=8-8", "https://www.amazon.com/Klein-Tools-Screwdriver-Driver-Assorted/dp/B0CF29SBCM/ref=sr_1_8?keywords=Klein+Tools+32900+7-in-1+Impact+Flip+Socket+with+Handle&amp;qid=1695174143&amp;sr=8-8")</f>
        <v/>
      </c>
      <c r="F455" t="inlineStr">
        <is>
          <t>B0CF29SBCM</t>
        </is>
      </c>
      <c r="G455">
        <f>_xludf.IMAGE("https://edmondsonsupply.com/cdn/shop/products/32900_b.jpg?v=1666024787")</f>
        <v/>
      </c>
      <c r="H455">
        <f>_xludf.IMAGE("https://m.media-amazon.com/images/I/51h9TffKWqL._AC_UL320_.jpg")</f>
        <v/>
      </c>
      <c r="I455" t="inlineStr">
        <is>
          <t>29.97</t>
        </is>
      </c>
      <c r="J455" t="n">
        <v>129.96</v>
      </c>
      <c r="K455" s="3" t="inlineStr">
        <is>
          <t>333.63%</t>
        </is>
      </c>
      <c r="L455" t="n">
        <v>4.9</v>
      </c>
      <c r="M455" t="n">
        <v>1819</v>
      </c>
      <c r="O455" t="inlineStr">
        <is>
          <t>InStock</t>
        </is>
      </c>
      <c r="P455" t="inlineStr">
        <is>
          <t>45.0</t>
        </is>
      </c>
      <c r="Q455" t="inlineStr">
        <is>
          <t>7856651239640</t>
        </is>
      </c>
    </row>
    <row r="456">
      <c r="A456" s="2">
        <f>HYPERLINK("https://edmondsonsupply.com/collections/electricians-tools/products/milwaukee-49-56-0082-1-1-2-hole-dozer%E2%84%A2-hole-saw-bi-metal-cup", "https://edmondsonsupply.com/collections/electricians-tools/products/milwaukee-49-56-0082-1-1-2-hole-dozer%E2%84%A2-hole-saw-bi-metal-cup")</f>
        <v/>
      </c>
      <c r="B456" s="2">
        <f>HYPERLINK("https://edmondsonsupply.com/products/milwaukee-49-56-0082-1-1-2-hole-dozer%e2%84%a2-hole-saw-bi-metal-cup", "https://edmondsonsupply.com/products/milwaukee-49-56-0082-1-1-2-hole-dozer%e2%84%a2-hole-saw-bi-metal-cup")</f>
        <v/>
      </c>
      <c r="C456" t="inlineStr">
        <is>
          <t>Milwaukee 49-56-0082 1-1/2" HOLE DOZER™ Hole Saw Bi-Metal Cup</t>
        </is>
      </c>
      <c r="D456" t="inlineStr">
        <is>
          <t>Milwaukee Electric Tool 49-56-0233 Electric Bi-Metal Hole Saw, 4-1/2"</t>
        </is>
      </c>
      <c r="E456" s="2">
        <f>HYPERLINK("https://www.amazon.com/Milwaukee-49-56-0233-2-Inch-Hardened-Hole/dp/B0017WPX5M/ref=sr_1_7?keywords=Milwaukee+49-56-0082+1-1%2F2%22+HOLE+DOZER%E2%84%A2+Hole+Saw+Bi-Metal+Cup&amp;qid=1695174052&amp;sr=8-7", "https://www.amazon.com/Milwaukee-49-56-0233-2-Inch-Hardened-Hole/dp/B0017WPX5M/ref=sr_1_7?keywords=Milwaukee+49-56-0082+1-1%2F2%22+HOLE+DOZER%E2%84%A2+Hole+Saw+Bi-Metal+Cup&amp;qid=1695174052&amp;sr=8-7")</f>
        <v/>
      </c>
      <c r="F456" t="inlineStr">
        <is>
          <t>B0017WPX5M</t>
        </is>
      </c>
      <c r="G456">
        <f>_xludf.IMAGE("https://edmondsonsupply.com/cdn/shop/products/49-56-0052_101_2_3e59b3b5-5134-4f73-a3fb-157d3c19d4d7.webp?v=1679416989")</f>
        <v/>
      </c>
      <c r="H456">
        <f>_xludf.IMAGE("https://m.media-amazon.com/images/I/513LvIL5ILL._AC_UL320_.jpg")</f>
        <v/>
      </c>
      <c r="I456" t="inlineStr">
        <is>
          <t>6.99</t>
        </is>
      </c>
      <c r="J456" t="n">
        <v>29.99</v>
      </c>
      <c r="K456" s="3" t="inlineStr">
        <is>
          <t>329.04%</t>
        </is>
      </c>
      <c r="L456" t="n">
        <v>4.8</v>
      </c>
      <c r="M456" t="n">
        <v>201</v>
      </c>
      <c r="O456" t="inlineStr">
        <is>
          <t>InStock</t>
        </is>
      </c>
      <c r="P456" t="inlineStr">
        <is>
          <t>13.3</t>
        </is>
      </c>
      <c r="Q456" t="inlineStr">
        <is>
          <t>7965257498840</t>
        </is>
      </c>
    </row>
    <row r="457">
      <c r="A457" s="2">
        <f>HYPERLINK("https://edmondsonsupply.com/collections/electricians-tools/products/klein-tools-86602-3-8-inch-magnetic-hex-drivers-3-pack", "https://edmondsonsupply.com/collections/electricians-tools/products/klein-tools-86602-3-8-inch-magnetic-hex-drivers-3-pack")</f>
        <v/>
      </c>
      <c r="B457" s="2">
        <f>HYPERLINK("https://edmondsonsupply.com/products/klein-tools-86602-3-8-inch-magnetic-hex-drivers-3-pack", "https://edmondsonsupply.com/products/klein-tools-86602-3-8-inch-magnetic-hex-drivers-3-pack")</f>
        <v/>
      </c>
      <c r="C457" t="inlineStr">
        <is>
          <t>Klein Tools 86602 3/8-Inch Magnetic Hex Drivers, 3-Pack</t>
        </is>
      </c>
      <c r="D457" t="inlineStr">
        <is>
          <t>Klein Tools 32807MAG 7-in-1 Nut Driver, Magnetic Driver has SAE Hex Nut Sizes 1/4 to 9/16-Inch, Cushion Grip Handle for Added Torque</t>
        </is>
      </c>
      <c r="E457" s="2">
        <f>HYPERLINK("https://www.amazon.com/Driver-Magnetic-Klein-Tools-32807MAG/dp/B07D4M51DQ/ref=sr_1_8?keywords=Klein+Tools+86602+3%2F8-Inch+Magnetic+Hex+Drivers%2C+3-Pack&amp;qid=1695174145&amp;sr=8-8", "https://www.amazon.com/Driver-Magnetic-Klein-Tools-32807MAG/dp/B07D4M51DQ/ref=sr_1_8?keywords=Klein+Tools+86602+3%2F8-Inch+Magnetic+Hex+Drivers%2C+3-Pack&amp;qid=1695174145&amp;sr=8-8")</f>
        <v/>
      </c>
      <c r="F457" t="inlineStr">
        <is>
          <t>B07D4M51DQ</t>
        </is>
      </c>
      <c r="G457">
        <f>_xludf.IMAGE("https://edmondsonsupply.com/cdn/shop/products/86602.jpg?v=1664460860")</f>
        <v/>
      </c>
      <c r="H457">
        <f>_xludf.IMAGE("https://m.media-amazon.com/images/I/61gwAJBzDAL._AC_UL320_.jpg")</f>
        <v/>
      </c>
      <c r="I457" t="inlineStr">
        <is>
          <t>6.99</t>
        </is>
      </c>
      <c r="J457" t="n">
        <v>29.97</v>
      </c>
      <c r="K457" s="3" t="inlineStr">
        <is>
          <t>328.76%</t>
        </is>
      </c>
      <c r="L457" t="n">
        <v>4.7</v>
      </c>
      <c r="M457" t="n">
        <v>9161</v>
      </c>
      <c r="O457" t="inlineStr">
        <is>
          <t>InStock</t>
        </is>
      </c>
      <c r="P457" t="inlineStr">
        <is>
          <t>10.6</t>
        </is>
      </c>
      <c r="Q457" t="inlineStr">
        <is>
          <t>7833497960664</t>
        </is>
      </c>
    </row>
    <row r="458">
      <c r="A458" s="2">
        <f>HYPERLINK("https://edmondsonsupply.com/collections/electricians-tools/products/greenlee-608-1-2-foam-conduit-piston", "https://edmondsonsupply.com/collections/electricians-tools/products/greenlee-608-1-2-foam-conduit-piston")</f>
        <v/>
      </c>
      <c r="B458" s="2">
        <f>HYPERLINK("https://edmondsonsupply.com/products/greenlee-608-1-2-foam-conduit-piston", "https://edmondsonsupply.com/products/greenlee-608-1-2-foam-conduit-piston")</f>
        <v/>
      </c>
      <c r="C458" t="inlineStr">
        <is>
          <t>Greenlee 608 1/2" Foam Conduit Piston</t>
        </is>
      </c>
      <c r="D458" t="inlineStr">
        <is>
          <t>Greenlee - Piston,2-1/2" Conduit, Fishing (614)</t>
        </is>
      </c>
      <c r="E458" s="2">
        <f>HYPERLINK("https://www.amazon.com/Greenlee-614-Piston-2-1-Conduit/dp/B0042T01W2/ref=sr_1_9?keywords=Greenlee+608+1%2F2%22+Foam+Conduit+Piston&amp;qid=1695173994&amp;sr=8-9", "https://www.amazon.com/Greenlee-614-Piston-2-1-Conduit/dp/B0042T01W2/ref=sr_1_9?keywords=Greenlee+608+1%2F2%22+Foam+Conduit+Piston&amp;qid=1695173994&amp;sr=8-9")</f>
        <v/>
      </c>
      <c r="F458" t="inlineStr">
        <is>
          <t>B0042T01W2</t>
        </is>
      </c>
      <c r="G458">
        <f>_xludf.IMAGE("https://edmondsonsupply.com/cdn/shop/files/608_2.png?v=1687446700")</f>
        <v/>
      </c>
      <c r="H458">
        <f>_xludf.IMAGE("https://m.media-amazon.com/images/I/A1x3jV0pkfL._AC_UL320_.jpg")</f>
        <v/>
      </c>
      <c r="I458" t="inlineStr">
        <is>
          <t>5.99</t>
        </is>
      </c>
      <c r="J458" t="n">
        <v>25.56</v>
      </c>
      <c r="K458" s="3" t="inlineStr">
        <is>
          <t>326.71%</t>
        </is>
      </c>
      <c r="L458" t="n">
        <v>4.3</v>
      </c>
      <c r="M458" t="n">
        <v>11</v>
      </c>
      <c r="O458" t="inlineStr">
        <is>
          <t>InStock</t>
        </is>
      </c>
      <c r="P458" t="inlineStr">
        <is>
          <t>undefined</t>
        </is>
      </c>
      <c r="Q458" t="inlineStr">
        <is>
          <t>8007982285016</t>
        </is>
      </c>
    </row>
    <row r="459">
      <c r="A459" s="2">
        <f>HYPERLINK("https://edmondsonsupply.com/collections/electricians-tools/products/klein-tools-pnd-12-5-1-2-inch-power-nut-driver-5-inch-length", "https://edmondsonsupply.com/collections/electricians-tools/products/klein-tools-pnd-12-5-1-2-inch-power-nut-driver-5-inch-length")</f>
        <v/>
      </c>
      <c r="B459" s="2">
        <f>HYPERLINK("https://edmondsonsupply.com/products/klein-tools-pnd-12-5-1-2-inch-power-nut-driver-5-inch-length", "https://edmondsonsupply.com/products/klein-tools-pnd-12-5-1-2-inch-power-nut-driver-5-inch-length")</f>
        <v/>
      </c>
      <c r="C459" t="inlineStr">
        <is>
          <t>Klein Tools PND-12-5 1/2-Inch Power Nut Driver 5-Inch Length</t>
        </is>
      </c>
      <c r="D459" t="inlineStr">
        <is>
          <t>Klein Tools 635-6 Tool Set, Heavy Duty Magnetic Nut Drivers SAE Sizes 1/4, 5/16, 3/8, 7/16, 1/2, and 9/16-Inch Hex, 6-Inch, 6-Piece</t>
        </is>
      </c>
      <c r="E459" s="2">
        <f>HYPERLINK("https://www.amazon.com/Heavy-Duty-Driver-6-Piece-Klein-Tools/dp/B01DKNDHGM/ref=sr_1_8?keywords=Klein+Tools+PND-12-5+1%2F2-Inch+Power+Nut+Driver+5-Inch+Length&amp;qid=1695173880&amp;sr=8-8", "https://www.amazon.com/Heavy-Duty-Driver-6-Piece-Klein-Tools/dp/B01DKNDHGM/ref=sr_1_8?keywords=Klein+Tools+PND-12-5+1%2F2-Inch+Power+Nut+Driver+5-Inch+Length&amp;qid=1695173880&amp;sr=8-8")</f>
        <v/>
      </c>
      <c r="F459" t="inlineStr">
        <is>
          <t>B01DKNDHGM</t>
        </is>
      </c>
      <c r="G459">
        <f>_xludf.IMAGE("https://edmondsonsupply.com/cdn/shop/products/pnd125.jpg?v=1633031028")</f>
        <v/>
      </c>
      <c r="H459">
        <f>_xludf.IMAGE("https://m.media-amazon.com/images/I/61eypCy1RLL._AC_UL320_.jpg")</f>
        <v/>
      </c>
      <c r="I459" t="inlineStr">
        <is>
          <t>18.99</t>
        </is>
      </c>
      <c r="J459" t="n">
        <v>79.98999999999999</v>
      </c>
      <c r="K459" s="3" t="inlineStr">
        <is>
          <t>321.22%</t>
        </is>
      </c>
      <c r="L459" t="n">
        <v>4.7</v>
      </c>
      <c r="M459" t="n">
        <v>943</v>
      </c>
      <c r="O459" t="inlineStr">
        <is>
          <t>InStock</t>
        </is>
      </c>
      <c r="P459" t="inlineStr">
        <is>
          <t>30.98</t>
        </is>
      </c>
      <c r="Q459" t="inlineStr">
        <is>
          <t>6729466445997</t>
        </is>
      </c>
    </row>
    <row r="460">
      <c r="A460" s="2">
        <f>HYPERLINK("https://edmondsonsupply.com/collections/electricians-tools/products/klein-tools-630m-magnetic-nut-driver-set-3-inch-shafts-2-piece", "https://edmondsonsupply.com/collections/electricians-tools/products/klein-tools-630m-magnetic-nut-driver-set-3-inch-shafts-2-piece")</f>
        <v/>
      </c>
      <c r="B460" s="2">
        <f>HYPERLINK("https://edmondsonsupply.com/products/klein-tools-630m-magnetic-nut-driver-set-3-inch-shafts-2-piece", "https://edmondsonsupply.com/products/klein-tools-630m-magnetic-nut-driver-set-3-inch-shafts-2-piece")</f>
        <v/>
      </c>
      <c r="C460" t="inlineStr">
        <is>
          <t>Klein Tools 630M Magnetic Nut Driver Set, 3-Inch Shafts, 2-Piece</t>
        </is>
      </c>
      <c r="D460" t="inlineStr">
        <is>
          <t>Klein Tools 647M Tool Set, Magnetic Nut Drivers Sizes 3/16, 1/4, 5/16, 11/32, 3/8, 7/16, 1/2-Inch, 6-Inch Hollow Shafts, 7-Piece</t>
        </is>
      </c>
      <c r="E460" s="2">
        <f>HYPERLINK("https://www.amazon.com/Klein-Tools-647M-Magnetic-7-Piece/dp/B000MKIUYQ/ref=sr_1_6?keywords=Klein+Tools+630M+Magnetic+Nut+Driver+Set%2C+3-Inch+Shafts%2C+2-Piece&amp;qid=1695173928&amp;sr=8-6", "https://www.amazon.com/Klein-Tools-647M-Magnetic-7-Piece/dp/B000MKIUYQ/ref=sr_1_6?keywords=Klein+Tools+630M+Magnetic+Nut+Driver+Set%2C+3-Inch+Shafts%2C+2-Piece&amp;qid=1695173928&amp;sr=8-6")</f>
        <v/>
      </c>
      <c r="F460" t="inlineStr">
        <is>
          <t>B000MKIUYQ</t>
        </is>
      </c>
      <c r="G460">
        <f>_xludf.IMAGE("https://edmondsonsupply.com/cdn/shop/products/630m.jpg?v=1587143237")</f>
        <v/>
      </c>
      <c r="H460">
        <f>_xludf.IMAGE("https://m.media-amazon.com/images/I/61PNUE211uL._AC_UL320_.jpg")</f>
        <v/>
      </c>
      <c r="I460" t="inlineStr">
        <is>
          <t>18.99</t>
        </is>
      </c>
      <c r="J460" t="n">
        <v>79.98999999999999</v>
      </c>
      <c r="K460" s="3" t="inlineStr">
        <is>
          <t>321.22%</t>
        </is>
      </c>
      <c r="L460" t="n">
        <v>4.8</v>
      </c>
      <c r="M460" t="n">
        <v>985</v>
      </c>
      <c r="O460" t="inlineStr">
        <is>
          <t>InStock</t>
        </is>
      </c>
      <c r="P460" t="inlineStr">
        <is>
          <t>28.78</t>
        </is>
      </c>
      <c r="Q460" t="inlineStr">
        <is>
          <t>4508216787044</t>
        </is>
      </c>
    </row>
    <row r="461">
      <c r="A461" s="2">
        <f>HYPERLINK("https://edmondsonsupply.com/collections/electricians-tools/products/klein-tools-rt250-gfci-receptacle-tester-with-lcd", "https://edmondsonsupply.com/collections/electricians-tools/products/klein-tools-rt250-gfci-receptacle-tester-with-lcd")</f>
        <v/>
      </c>
      <c r="B461" s="2">
        <f>HYPERLINK("https://edmondsonsupply.com/products/klein-tools-rt250-gfci-receptacle-tester-with-lcd", "https://edmondsonsupply.com/products/klein-tools-rt250-gfci-receptacle-tester-with-lcd")</f>
        <v/>
      </c>
      <c r="C461" t="inlineStr">
        <is>
          <t>Klein Tools RT250 GFCI Receptacle Tester with LCD</t>
        </is>
      </c>
      <c r="D461" t="inlineStr">
        <is>
          <t>Klein Tools ET310 AC Circuit Breaker Finder, Electric Tester with Integrated GFCI Outlet Tester &amp; RT250 GFCI Outlet Tester with LCD Display &amp; Klein Tools 69411 Circuit Breaker Finder Accessory Kit</t>
        </is>
      </c>
      <c r="E461" s="2">
        <f>HYPERLINK("https://www.amazon.com/Klein-Tools-Electric-Integrated-Accessory/dp/B0C9999Y7J/ref=sr_1_8?keywords=Klein+Tools+RT250+GFCI+Receptacle+Tester+with+LCD&amp;qid=1695174176&amp;sr=8-8", "https://www.amazon.com/Klein-Tools-Electric-Integrated-Accessory/dp/B0C9999Y7J/ref=sr_1_8?keywords=Klein+Tools+RT250+GFCI+Receptacle+Tester+with+LCD&amp;qid=1695174176&amp;sr=8-8")</f>
        <v/>
      </c>
      <c r="F461" t="inlineStr">
        <is>
          <t>B0C9999Y7J</t>
        </is>
      </c>
      <c r="G461">
        <f>_xludf.IMAGE("https://edmondsonsupply.com/cdn/shop/products/rt250_photo_c.jpg?v=1661363824")</f>
        <v/>
      </c>
      <c r="H461">
        <f>_xludf.IMAGE("https://m.media-amazon.com/images/I/612+A-jAqtL._AC_UL320_.jpg")</f>
        <v/>
      </c>
      <c r="I461" t="inlineStr">
        <is>
          <t>21.97</t>
        </is>
      </c>
      <c r="J461" t="n">
        <v>91.37</v>
      </c>
      <c r="K461" s="3" t="inlineStr">
        <is>
          <t>315.89%</t>
        </is>
      </c>
      <c r="L461" t="n">
        <v>4.7</v>
      </c>
      <c r="M461" t="n">
        <v>7</v>
      </c>
      <c r="O461" t="inlineStr">
        <is>
          <t>InStock</t>
        </is>
      </c>
      <c r="P461" t="inlineStr">
        <is>
          <t>30.78</t>
        </is>
      </c>
      <c r="Q461" t="inlineStr">
        <is>
          <t>7793138729176</t>
        </is>
      </c>
    </row>
    <row r="462">
      <c r="A462" s="2">
        <f>HYPERLINK("https://edmondsonsupply.com/collections/electricians-tools/products/klein-tools-et45-ac-dc-voltage-tester", "https://edmondsonsupply.com/collections/electricians-tools/products/klein-tools-et45-ac-dc-voltage-tester")</f>
        <v/>
      </c>
      <c r="B462" s="2">
        <f>HYPERLINK("https://edmondsonsupply.com/products/klein-tools-et45-ac-dc-voltage-tester", "https://edmondsonsupply.com/products/klein-tools-et45-ac-dc-voltage-tester")</f>
        <v/>
      </c>
      <c r="C462" t="inlineStr">
        <is>
          <t>Klein Tools ET45 AC/DC Voltage Tester</t>
        </is>
      </c>
      <c r="D462" t="inlineStr">
        <is>
          <t>Klein Tools Voltage Tester Kit with Electronic AC/DC Voltage Tester, GFCI Outlet Tester and Non-Contact Voltage Tester Pen, 3-Piece</t>
        </is>
      </c>
      <c r="E462" s="2">
        <f>HYPERLINK("https://www.amazon.com/Klein-Tools-Voltage-Electronic-Non-Contact/dp/B0C8JZWTZY/ref=sr_1_9?keywords=Klein+Tools+ET45+AC%2FDC+Voltage+Tester&amp;qid=1695174290&amp;sr=8-9", "https://www.amazon.com/Klein-Tools-Voltage-Electronic-Non-Contact/dp/B0C8JZWTZY/ref=sr_1_9?keywords=Klein+Tools+ET45+AC%2FDC+Voltage+Tester&amp;qid=1695174290&amp;sr=8-9")</f>
        <v/>
      </c>
      <c r="F462" t="inlineStr">
        <is>
          <t>B0C8JZWTZY</t>
        </is>
      </c>
      <c r="G462">
        <f>_xludf.IMAGE("https://edmondsonsupply.com/cdn/shop/products/et45.jpg?v=1647786270")</f>
        <v/>
      </c>
      <c r="H462">
        <f>_xludf.IMAGE("https://m.media-amazon.com/images/I/31V2UrptDcL._AC_UL320_.jpg")</f>
        <v/>
      </c>
      <c r="I462" t="inlineStr">
        <is>
          <t>11.99</t>
        </is>
      </c>
      <c r="J462" t="n">
        <v>49.66</v>
      </c>
      <c r="K462" s="3" t="inlineStr">
        <is>
          <t>314.18%</t>
        </is>
      </c>
      <c r="L462" t="n">
        <v>4.8</v>
      </c>
      <c r="M462" t="n">
        <v>7922</v>
      </c>
      <c r="O462" t="inlineStr">
        <is>
          <t>InStock</t>
        </is>
      </c>
      <c r="P462" t="inlineStr">
        <is>
          <t>16.72</t>
        </is>
      </c>
      <c r="Q462" t="inlineStr">
        <is>
          <t>3688633630820</t>
        </is>
      </c>
    </row>
    <row r="463">
      <c r="A463" s="2">
        <f>HYPERLINK("https://edmondsonsupply.com/collections/electricians-tools/products/klein-tools-29025-modular-battery-for-klein-tools-cat-no-60155-hard-hat-cooling-fan", "https://edmondsonsupply.com/collections/electricians-tools/products/klein-tools-29025-modular-battery-for-klein-tools-cat-no-60155-hard-hat-cooling-fan")</f>
        <v/>
      </c>
      <c r="B463" s="2">
        <f>HYPERLINK("https://edmondsonsupply.com/products/klein-tools-29025-modular-battery-for-klein-tools-cat-no-60155-hard-hat-cooling-fan", "https://edmondsonsupply.com/products/klein-tools-29025-modular-battery-for-klein-tools-cat-no-60155-hard-hat-cooling-fan")</f>
        <v/>
      </c>
      <c r="C463" t="inlineStr">
        <is>
          <t>Klein Tools 29025 Modular Battery for Klein Tools Cat. No. 60155 Hard Hat Cooling Fan</t>
        </is>
      </c>
      <c r="D463" t="inlineStr">
        <is>
          <t>Klein Tools 60347 Hard Hat, Vented Full Brim, Class C &amp; 29025 Rechargeable Lithium-ion Portable Battery to Power Klein Tools Hard Hat Cooling Fan Cat. No. 60155</t>
        </is>
      </c>
      <c r="E463" s="2">
        <f>HYPERLINK("https://www.amazon.com/Klein-Tools-Rechargeable-Lithium-ion-Portable/dp/B0B56RS25Q/ref=sr_1_4?keywords=Klein+Tools+29025+Modular+Battery+for+Klein+Tools+Cat.+No.+60155+Hard+Hat+Cooling+Fan&amp;qid=1695174158&amp;sr=8-4", "https://www.amazon.com/Klein-Tools-Rechargeable-Lithium-ion-Portable/dp/B0B56RS25Q/ref=sr_1_4?keywords=Klein+Tools+29025+Modular+Battery+for+Klein+Tools+Cat.+No.+60155+Hard+Hat+Cooling+Fan&amp;qid=1695174158&amp;sr=8-4")</f>
        <v/>
      </c>
      <c r="F463" t="inlineStr">
        <is>
          <t>B0B56RS25Q</t>
        </is>
      </c>
      <c r="G463">
        <f>_xludf.IMAGE("https://edmondsonsupply.com/cdn/shop/products/29025.jpg?v=1664802987")</f>
        <v/>
      </c>
      <c r="H463">
        <f>_xludf.IMAGE("https://m.media-amazon.com/images/I/512adTKjRAL._AC_UL320_.jpg")</f>
        <v/>
      </c>
      <c r="I463" t="inlineStr">
        <is>
          <t>36.99</t>
        </is>
      </c>
      <c r="J463" t="n">
        <v>151.87</v>
      </c>
      <c r="K463" s="3" t="inlineStr">
        <is>
          <t>310.57%</t>
        </is>
      </c>
      <c r="L463" t="n">
        <v>4.2</v>
      </c>
      <c r="M463" t="n">
        <v>10</v>
      </c>
      <c r="O463" t="inlineStr">
        <is>
          <t>InStock</t>
        </is>
      </c>
      <c r="P463" t="inlineStr">
        <is>
          <t>51.78</t>
        </is>
      </c>
      <c r="Q463" t="inlineStr">
        <is>
          <t>7837556965592</t>
        </is>
      </c>
    </row>
    <row r="464">
      <c r="A464" s="2">
        <f>HYPERLINK("https://edmondsonsupply.com/collections/electricians-tools/products/klein-tools-51611-1-2-inch-angle-setter%E2%84%A2", "https://edmondsonsupply.com/collections/electricians-tools/products/klein-tools-51611-1-2-inch-angle-setter%E2%84%A2")</f>
        <v/>
      </c>
      <c r="B464" s="2">
        <f>HYPERLINK("https://edmondsonsupply.com/products/klein-tools-51611-1-2-inch-angle-setter%e2%84%a2", "https://edmondsonsupply.com/products/klein-tools-51611-1-2-inch-angle-setter%e2%84%a2")</f>
        <v/>
      </c>
      <c r="C464" t="inlineStr">
        <is>
          <t>Klein Tools 51611 1/2-Inch Angle Setter™</t>
        </is>
      </c>
      <c r="D464" t="inlineStr">
        <is>
          <t>Klein Tools 51608 Iron Conduit Bender Head, for 1/2-Inch EMT, Compatible with Klein Tools Angle Setter (Cat. No. 51611)</t>
        </is>
      </c>
      <c r="E464" s="2">
        <f>HYPERLINK("https://www.amazon.com/Conduit-Compatible-Klein-Tools-51608/dp/B08VYJMT3R/ref=sr_1_2?keywords=Klein+Tools+51611+1%2F2-Inch+Angle+Setter%E2%84%A2&amp;qid=1695174192&amp;sr=8-2", "https://www.amazon.com/Conduit-Compatible-Klein-Tools-51608/dp/B08VYJMT3R/ref=sr_1_2?keywords=Klein+Tools+51611+1%2F2-Inch+Angle+Setter%E2%84%A2&amp;qid=1695174192&amp;sr=8-2")</f>
        <v/>
      </c>
      <c r="F464" t="inlineStr">
        <is>
          <t>B08VYJMT3R</t>
        </is>
      </c>
      <c r="G464">
        <f>_xludf.IMAGE("https://edmondsonsupply.com/cdn/shop/products/51611.jpg?v=1661976456")</f>
        <v/>
      </c>
      <c r="H464">
        <f>_xludf.IMAGE("https://m.media-amazon.com/images/I/61mnVTiX18L._AC_UL320_.jpg")</f>
        <v/>
      </c>
      <c r="I464" t="inlineStr">
        <is>
          <t>9.97</t>
        </is>
      </c>
      <c r="J464" t="n">
        <v>40.91</v>
      </c>
      <c r="K464" s="3" t="inlineStr">
        <is>
          <t>310.33%</t>
        </is>
      </c>
      <c r="L464" t="n">
        <v>4.3</v>
      </c>
      <c r="M464" t="n">
        <v>17</v>
      </c>
      <c r="O464" t="inlineStr">
        <is>
          <t>InStock</t>
        </is>
      </c>
      <c r="P464" t="inlineStr">
        <is>
          <t>12.96</t>
        </is>
      </c>
      <c r="Q464" t="inlineStr">
        <is>
          <t>7798377840856</t>
        </is>
      </c>
    </row>
    <row r="465">
      <c r="A465" s="2">
        <f>HYPERLINK("https://edmondsonsupply.com/collections/electricians-tools/products/klein-tools-rt110-receptacle-tester", "https://edmondsonsupply.com/collections/electricians-tools/products/klein-tools-rt110-receptacle-tester")</f>
        <v/>
      </c>
      <c r="B465" s="2">
        <f>HYPERLINK("https://edmondsonsupply.com/products/klein-tools-rt110-receptacle-tester", "https://edmondsonsupply.com/products/klein-tools-rt110-receptacle-tester")</f>
        <v/>
      </c>
      <c r="C465" t="inlineStr">
        <is>
          <t>Klein Tools RT110 Receptacle Tester</t>
        </is>
      </c>
      <c r="D465" t="inlineStr">
        <is>
          <t>Klein Tools RT310 Outlet Tester, AFCI and GFCI Receptacle Tester for North American AC Electrical Outlets</t>
        </is>
      </c>
      <c r="E465" s="2">
        <f>HYPERLINK("https://www.amazon.com/Klein-Tools-RT310-Electrical-Receptacles/dp/B07PMDRHXB/ref=sr_1_6?keywords=Klein+Tools+RT110+Receptacle+Tester&amp;qid=1695174267&amp;sr=8-6", "https://www.amazon.com/Klein-Tools-RT310-Electrical-Receptacles/dp/B07PMDRHXB/ref=sr_1_6?keywords=Klein+Tools+RT110+Receptacle+Tester&amp;qid=1695174267&amp;sr=8-6")</f>
        <v/>
      </c>
      <c r="F465" t="inlineStr">
        <is>
          <t>B07PMDRHXB</t>
        </is>
      </c>
      <c r="G465">
        <f>_xludf.IMAGE("https://edmondsonsupply.com/cdn/shop/products/rt110.jpg?v=1633031036")</f>
        <v/>
      </c>
      <c r="H465">
        <f>_xludf.IMAGE("https://m.media-amazon.com/images/I/51C46-kDFFL._AC_UL320_.jpg")</f>
        <v/>
      </c>
      <c r="I465" t="inlineStr">
        <is>
          <t>9.97</t>
        </is>
      </c>
      <c r="J465" t="n">
        <v>39.97</v>
      </c>
      <c r="K465" s="3" t="inlineStr">
        <is>
          <t>300.90%</t>
        </is>
      </c>
      <c r="L465" t="n">
        <v>4.7</v>
      </c>
      <c r="M465" t="n">
        <v>1607</v>
      </c>
      <c r="O465" t="inlineStr">
        <is>
          <t>InStock</t>
        </is>
      </c>
      <c r="P465" t="inlineStr">
        <is>
          <t>12.12</t>
        </is>
      </c>
      <c r="Q465" t="inlineStr">
        <is>
          <t>6740486619309</t>
        </is>
      </c>
    </row>
    <row r="466">
      <c r="A466" s="2">
        <f>HYPERLINK("https://edmondsonsupply.com/collections/electricians-tools/products/klein-tools-51611-1-2-inch-angle-setter%E2%84%A2", "https://edmondsonsupply.com/collections/electricians-tools/products/klein-tools-51611-1-2-inch-angle-setter%E2%84%A2")</f>
        <v/>
      </c>
      <c r="B466" s="2">
        <f>HYPERLINK("https://edmondsonsupply.com/products/klein-tools-51611-1-2-inch-angle-setter%e2%84%a2", "https://edmondsonsupply.com/products/klein-tools-51611-1-2-inch-angle-setter%e2%84%a2")</f>
        <v/>
      </c>
      <c r="C466" t="inlineStr">
        <is>
          <t>Klein Tools 51611 1/2-Inch Angle Setter™</t>
        </is>
      </c>
      <c r="D466" t="inlineStr">
        <is>
          <t>Klein Tools 51606 Aluminum Conduit Bender Full Assembly, 1/2-Inch EMT, Wide Food Pedal, Benchmark Symbols and Angle Setter</t>
        </is>
      </c>
      <c r="E466" s="2">
        <f>HYPERLINK("https://www.amazon.com/Aluminum-Benchmark-Technology-Klein-Tools/dp/B08L41DC9N/ref=sr_1_4?keywords=Klein+Tools+51611+1%2F2-Inch+Angle+Setter%E2%84%A2&amp;qid=1695174192&amp;sr=8-4", "https://www.amazon.com/Aluminum-Benchmark-Technology-Klein-Tools/dp/B08L41DC9N/ref=sr_1_4?keywords=Klein+Tools+51611+1%2F2-Inch+Angle+Setter%E2%84%A2&amp;qid=1695174192&amp;sr=8-4")</f>
        <v/>
      </c>
      <c r="F466" t="inlineStr">
        <is>
          <t>B08L41DC9N</t>
        </is>
      </c>
      <c r="G466">
        <f>_xludf.IMAGE("https://edmondsonsupply.com/cdn/shop/products/51611.jpg?v=1661976456")</f>
        <v/>
      </c>
      <c r="H466">
        <f>_xludf.IMAGE("https://m.media-amazon.com/images/I/41JBDxEE8NL._AC_UL320_.jpg")</f>
        <v/>
      </c>
      <c r="I466" t="inlineStr">
        <is>
          <t>9.97</t>
        </is>
      </c>
      <c r="J466" t="n">
        <v>39.97</v>
      </c>
      <c r="K466" s="3" t="inlineStr">
        <is>
          <t>300.90%</t>
        </is>
      </c>
      <c r="L466" t="n">
        <v>4.8</v>
      </c>
      <c r="M466" t="n">
        <v>258</v>
      </c>
      <c r="O466" t="inlineStr">
        <is>
          <t>InStock</t>
        </is>
      </c>
      <c r="P466" t="inlineStr">
        <is>
          <t>12.96</t>
        </is>
      </c>
      <c r="Q466" t="inlineStr">
        <is>
          <t>7798377840856</t>
        </is>
      </c>
    </row>
    <row r="467">
      <c r="A467" s="2">
        <f>HYPERLINK("https://edmondsonsupply.com/collections/electricians-tools/products/klein-tools-rt310-afci-gfci-outlet-tester", "https://edmondsonsupply.com/collections/electricians-tools/products/klein-tools-rt310-afci-gfci-outlet-tester")</f>
        <v/>
      </c>
      <c r="B467" s="2">
        <f>HYPERLINK("https://edmondsonsupply.com/products/klein-tools-rt310-afci-gfci-outlet-tester", "https://edmondsonsupply.com/products/klein-tools-rt310-afci-gfci-outlet-tester")</f>
        <v/>
      </c>
      <c r="C467" t="inlineStr">
        <is>
          <t>Klein Tools RT310 AFCI / GFCI Outlet Tester</t>
        </is>
      </c>
      <c r="D467" t="inlineStr">
        <is>
          <t>Klein Tools ET110 CO Meter, Carbon Monoxide Tester and Detector &amp; RT310 Receptacle Tester, AFCI and GFCI Outlet and Device Tester for North American AC Electrical Outlet Receptacles</t>
        </is>
      </c>
      <c r="E467" s="2">
        <f>HYPERLINK("https://www.amazon.com/Klein-Tools-Receptacle-Electrical-Receptacles/dp/B09Q65CGHR/ref=sr_1_8?keywords=Klein+Tools+RT310+AFCI+%2F+GFCI+Outlet+Tester&amp;qid=1695173970&amp;sr=8-8", "https://www.amazon.com/Klein-Tools-Receptacle-Electrical-Receptacles/dp/B09Q65CGHR/ref=sr_1_8?keywords=Klein+Tools+RT310+AFCI+%2F+GFCI+Outlet+Tester&amp;qid=1695173970&amp;sr=8-8")</f>
        <v/>
      </c>
      <c r="F467" t="inlineStr">
        <is>
          <t>B09Q65CGHR</t>
        </is>
      </c>
      <c r="G467">
        <f>_xludf.IMAGE("https://edmondsonsupply.com/cdn/shop/products/rt310.jpg?v=1587148552")</f>
        <v/>
      </c>
      <c r="H467">
        <f>_xludf.IMAGE("https://m.media-amazon.com/images/I/41MPamqttZL._AC_UL320_.jpg")</f>
        <v/>
      </c>
      <c r="I467" t="inlineStr">
        <is>
          <t>39.97</t>
        </is>
      </c>
      <c r="J467" t="n">
        <v>159.96</v>
      </c>
      <c r="K467" s="3" t="inlineStr">
        <is>
          <t>300.20%</t>
        </is>
      </c>
      <c r="L467" t="n">
        <v>4.8</v>
      </c>
      <c r="M467" t="n">
        <v>28</v>
      </c>
      <c r="O467" t="inlineStr">
        <is>
          <t>InStock</t>
        </is>
      </c>
      <c r="P467" t="inlineStr">
        <is>
          <t>57.9</t>
        </is>
      </c>
      <c r="Q467" t="inlineStr">
        <is>
          <t>3372527779940</t>
        </is>
      </c>
    </row>
    <row r="468">
      <c r="A468" s="2">
        <f>HYPERLINK("https://edmondsonsupply.com/collections/electricians-tools/products/klein-tools-25963-step-drill-bit-spiral-double-fluted-1-4-inch-to-3-4-inch-vaco", "https://edmondsonsupply.com/collections/electricians-tools/products/klein-tools-25963-step-drill-bit-spiral-double-fluted-1-4-inch-to-3-4-inch-vaco")</f>
        <v/>
      </c>
      <c r="B468" s="2">
        <f>HYPERLINK("https://edmondsonsupply.com/products/klein-tools-25963-step-drill-bit-spiral-double-fluted-1-4-inch-to-3-4-inch-vaco", "https://edmondsonsupply.com/products/klein-tools-25963-step-drill-bit-spiral-double-fluted-1-4-inch-to-3-4-inch-vaco")</f>
        <v/>
      </c>
      <c r="C468" t="inlineStr">
        <is>
          <t>Klein Tools 25963 Step Drill Bit, Spiral Double-Fluted, 1/4-Inch to 3/4-Inch, VACO</t>
        </is>
      </c>
      <c r="D468" t="inlineStr">
        <is>
          <t>Klein Tools 25951 Electrician's Step Drill Bit Set, Spiral Double Fluted, Titanium Nitride Coating, 1/4-Inch Impact Shank, Case, 3-Piece</t>
        </is>
      </c>
      <c r="E468" s="2">
        <f>HYPERLINK("https://www.amazon.com/Klein-Tools-25951-Electricians-Titanium/dp/B0BLFRJLDX/ref=sr_1_1?keywords=Klein+Tools+25963+Step+Drill+Bit%2C+Spiral+Double-Fluted%2C+1%2F4-Inch+to+3%2F4-Inch%2C+VACO&amp;qid=1695174099&amp;sr=8-1", "https://www.amazon.com/Klein-Tools-25951-Electricians-Titanium/dp/B0BLFRJLDX/ref=sr_1_1?keywords=Klein+Tools+25963+Step+Drill+Bit%2C+Spiral+Double-Fluted%2C+1%2F4-Inch+to+3%2F4-Inch%2C+VACO&amp;qid=1695174099&amp;sr=8-1")</f>
        <v/>
      </c>
      <c r="F468" t="inlineStr">
        <is>
          <t>B0BLFRJLDX</t>
        </is>
      </c>
      <c r="G468">
        <f>_xludf.IMAGE("https://edmondsonsupply.com/cdn/shop/products/25963_b.jpg?v=1670524306")</f>
        <v/>
      </c>
      <c r="H468">
        <f>_xludf.IMAGE("https://m.media-amazon.com/images/I/61dZd3WvlgL._AC_UY218_.jpg")</f>
        <v/>
      </c>
      <c r="I468" t="inlineStr">
        <is>
          <t>24.99</t>
        </is>
      </c>
      <c r="J468" t="n">
        <v>99.98999999999999</v>
      </c>
      <c r="K468" s="3" t="inlineStr">
        <is>
          <t>300.12%</t>
        </is>
      </c>
      <c r="L468" t="n">
        <v>3.8</v>
      </c>
      <c r="M468" t="n">
        <v>6</v>
      </c>
      <c r="O468" t="inlineStr">
        <is>
          <t>InStock</t>
        </is>
      </c>
      <c r="P468" t="inlineStr">
        <is>
          <t>37.48</t>
        </is>
      </c>
      <c r="Q468" t="inlineStr">
        <is>
          <t>7901318971608</t>
        </is>
      </c>
    </row>
    <row r="469">
      <c r="A469" s="2">
        <f>HYPERLINK("https://edmondsonsupply.com/collections/electricians-tools/products/klein-tools-51610-1-iron-conduit-bender-head", "https://edmondsonsupply.com/collections/electricians-tools/products/klein-tools-51610-1-iron-conduit-bender-head")</f>
        <v/>
      </c>
      <c r="B469" s="2">
        <f>HYPERLINK("https://edmondsonsupply.com/products/klein-tools-51610-1-iron-conduit-bender-head", "https://edmondsonsupply.com/products/klein-tools-51610-1-iron-conduit-bender-head")</f>
        <v/>
      </c>
      <c r="C469" t="inlineStr">
        <is>
          <t>Klein Tools 51610 1" Iron Conduit Bender Head</t>
        </is>
      </c>
      <c r="D469" t="inlineStr">
        <is>
          <t>Klein Tools 56211 Iron Conduit Bender Head, 1-1/4-Inch EMT</t>
        </is>
      </c>
      <c r="E469" s="2">
        <f>HYPERLINK("https://www.amazon.com/Conduit-Bender-Klein-Tools-56211/dp/B00BEZWIBY/ref=sr_1_8?keywords=Klein+Tools+51610+1%22+Iron+Conduit+Bender+Head&amp;qid=1695174168&amp;sr=8-8", "https://www.amazon.com/Conduit-Bender-Klein-Tools-56211/dp/B00BEZWIBY/ref=sr_1_8?keywords=Klein+Tools+51610+1%22+Iron+Conduit+Bender+Head&amp;qid=1695174168&amp;sr=8-8")</f>
        <v/>
      </c>
      <c r="F469" t="inlineStr">
        <is>
          <t>B00BEZWIBY</t>
        </is>
      </c>
      <c r="G469">
        <f>_xludf.IMAGE("https://edmondsonsupply.com/cdn/shop/products/51610.jpg?v=1661975879")</f>
        <v/>
      </c>
      <c r="H469">
        <f>_xludf.IMAGE("https://m.media-amazon.com/images/I/61PCC7U22PL._AC_UL320_.jpg")</f>
        <v/>
      </c>
      <c r="I469" t="inlineStr">
        <is>
          <t>74.99</t>
        </is>
      </c>
      <c r="J469" t="n">
        <v>299.99</v>
      </c>
      <c r="K469" s="3" t="inlineStr">
        <is>
          <t>300.04%</t>
        </is>
      </c>
      <c r="L469" t="n">
        <v>4.5</v>
      </c>
      <c r="M469" t="n">
        <v>7</v>
      </c>
      <c r="O469" t="inlineStr">
        <is>
          <t>InStock</t>
        </is>
      </c>
      <c r="P469" t="inlineStr">
        <is>
          <t>113.68</t>
        </is>
      </c>
      <c r="Q469" t="inlineStr">
        <is>
          <t>7798372630744</t>
        </is>
      </c>
    </row>
    <row r="470">
      <c r="A470" s="2">
        <f>HYPERLINK("https://edmondsonsupply.com/collections/electricians-tools/products/klein-tools-jth4e09-9-64-inch-hex-key-journeyman-t-handle-4-inch", "https://edmondsonsupply.com/collections/electricians-tools/products/klein-tools-jth4e09-9-64-inch-hex-key-journeyman-t-handle-4-inch")</f>
        <v/>
      </c>
      <c r="B470" s="2">
        <f>HYPERLINK("https://edmondsonsupply.com/products/klein-tools-jth4e09-9-64-inch-hex-key-journeyman-t-handle-4-inch", "https://edmondsonsupply.com/products/klein-tools-jth4e09-9-64-inch-hex-key-journeyman-t-handle-4-inch")</f>
        <v/>
      </c>
      <c r="C470" t="inlineStr">
        <is>
          <t>Klein Tools JTH4E09 9/64-Inch Hex Key Journeyman T-Handle 4-Inch</t>
        </is>
      </c>
      <c r="D470" t="inlineStr">
        <is>
          <t>Klein Tools JTH9M10 10 mm Hex Key with Journeyman T-Handle, 9-Inch</t>
        </is>
      </c>
      <c r="E470" s="2">
        <f>HYPERLINK("https://www.amazon.com/Journeyman-T-Handle-Klein-Tools-JTH9M10/dp/B005G3HIA6/ref=sr_1_10?keywords=Klein+Tools+JTH4E09+9%2F64-Inch+Hex+Key+Journeyman+T-Handle+4-Inch&amp;qid=1695174238&amp;sr=8-10", "https://www.amazon.com/Journeyman-T-Handle-Klein-Tools-JTH9M10/dp/B005G3HIA6/ref=sr_1_10?keywords=Klein+Tools+JTH4E09+9%2F64-Inch+Hex+Key+Journeyman+T-Handle+4-Inch&amp;qid=1695174238&amp;sr=8-10")</f>
        <v/>
      </c>
      <c r="F470" t="inlineStr">
        <is>
          <t>B005G3HIA6</t>
        </is>
      </c>
      <c r="G470">
        <f>_xludf.IMAGE("https://edmondsonsupply.com/cdn/shop/products/jth4e06_be5118a6-2e9d-44f5-81ad-c027572dd2d3.jpg?v=1635981570")</f>
        <v/>
      </c>
      <c r="H470">
        <f>_xludf.IMAGE("https://m.media-amazon.com/images/I/51+1x0vz9XL._AC_UL320_.jpg")</f>
        <v/>
      </c>
      <c r="I470" t="inlineStr">
        <is>
          <t>3.79</t>
        </is>
      </c>
      <c r="J470" t="n">
        <v>15.15</v>
      </c>
      <c r="K470" s="3" t="inlineStr">
        <is>
          <t>299.74%</t>
        </is>
      </c>
      <c r="L470" t="n">
        <v>5</v>
      </c>
      <c r="M470" t="n">
        <v>2</v>
      </c>
      <c r="O470" t="inlineStr">
        <is>
          <t>InStock</t>
        </is>
      </c>
      <c r="P470" t="inlineStr">
        <is>
          <t>5.76</t>
        </is>
      </c>
      <c r="Q470" t="inlineStr">
        <is>
          <t>7434795876568</t>
        </is>
      </c>
    </row>
    <row r="471">
      <c r="A471" s="2">
        <f>HYPERLINK("https://edmondsonsupply.com/collections/electricians-tools/products/klein-tools-ncvt1pkit-non-contact-voltage-and-gfci-receptacle-test-kit", "https://edmondsonsupply.com/collections/electricians-tools/products/klein-tools-ncvt1pkit-non-contact-voltage-and-gfci-receptacle-test-kit")</f>
        <v/>
      </c>
      <c r="B471" s="2">
        <f>HYPERLINK("https://edmondsonsupply.com/products/klein-tools-ncvt1pkit-non-contact-voltage-and-gfci-receptacle-test-kit", "https://edmondsonsupply.com/products/klein-tools-ncvt1pkit-non-contact-voltage-and-gfci-receptacle-test-kit")</f>
        <v/>
      </c>
      <c r="C471" t="inlineStr">
        <is>
          <t>Klein Tools NCVT1PKIT Non-Contact Voltage and GFCI Receptacle Test Kit</t>
        </is>
      </c>
      <c r="D471" t="inlineStr">
        <is>
          <t>Klein Tools RT250KIT Non-Contact Voltage Tester and GFCI Receptacle Tester &amp; 80016 Circuit Breaker Finder Tool Kit with Accessories, 2-Piece Set, Includes Cat. No. ET310 and Cat. No. 69411</t>
        </is>
      </c>
      <c r="E471" s="2">
        <f>HYPERLINK("https://www.amazon.com/Klein-Tools-Non-Contact-Receptacle-Accessories/dp/B0BC86DZ9N/ref=sr_1_10?keywords=Klein+Tools+NCVT1PKIT+Non-Contact+Voltage+and+GFCI+Receptacle+Test+Kit&amp;qid=1695174067&amp;sr=8-10", "https://www.amazon.com/Klein-Tools-Non-Contact-Receptacle-Accessories/dp/B0BC86DZ9N/ref=sr_1_10?keywords=Klein+Tools+NCVT1PKIT+Non-Contact+Voltage+and+GFCI+Receptacle+Test+Kit&amp;qid=1695174067&amp;sr=8-10")</f>
        <v/>
      </c>
      <c r="F471" t="inlineStr">
        <is>
          <t>B0BC86DZ9N</t>
        </is>
      </c>
      <c r="G471">
        <f>_xludf.IMAGE("https://edmondsonsupply.com/cdn/shop/products/ncvt1pkit.jpg?v=1677682920")</f>
        <v/>
      </c>
      <c r="H471">
        <f>_xludf.IMAGE("https://m.media-amazon.com/images/I/516iLL0IaEL._AC_UL320_.jpg")</f>
        <v/>
      </c>
      <c r="I471" t="inlineStr">
        <is>
          <t>24.97</t>
        </is>
      </c>
      <c r="J471" t="n">
        <v>99.53</v>
      </c>
      <c r="K471" s="3" t="inlineStr">
        <is>
          <t>298.60%</t>
        </is>
      </c>
      <c r="L471" t="n">
        <v>4.7</v>
      </c>
      <c r="M471" t="n">
        <v>32</v>
      </c>
      <c r="O471" t="inlineStr">
        <is>
          <t>InStock</t>
        </is>
      </c>
      <c r="P471" t="inlineStr">
        <is>
          <t>35.38</t>
        </is>
      </c>
      <c r="Q471" t="inlineStr">
        <is>
          <t>7953960698072</t>
        </is>
      </c>
    </row>
    <row r="472">
      <c r="A472" s="2">
        <f>HYPERLINK("https://edmondsonsupply.com/collections/electricians-tools/products/klein-tools-32308-8-in-1-multi-bit-adjustable-length-stubby-screwdriver", "https://edmondsonsupply.com/collections/electricians-tools/products/klein-tools-32308-8-in-1-multi-bit-adjustable-length-stubby-screwdriver")</f>
        <v/>
      </c>
      <c r="B472" s="2">
        <f>HYPERLINK("https://edmondsonsupply.com/products/klein-tools-32308-8-in-1-multi-bit-adjustable-length-stubby-screwdriver", "https://edmondsonsupply.com/products/klein-tools-32308-8-in-1-multi-bit-adjustable-length-stubby-screwdriver")</f>
        <v/>
      </c>
      <c r="C472" t="inlineStr">
        <is>
          <t>Klein Tools 32308 8-in-1 Multi-Bit Adjustable Length Stubby Screwdriver</t>
        </is>
      </c>
      <c r="D472" t="inlineStr">
        <is>
          <t>Klein Tools 32288 Insulated Screwdriver, 8-in-1 Screwdriver Set &amp; 32308 Multi-bit Stubby Screwdriver, Impact Rated 8-in-1 Adjustable Magnetic Tool with Phillips, Slotted, Square and Nut Driver</t>
        </is>
      </c>
      <c r="E472" s="2">
        <f>HYPERLINK("https://www.amazon.com/Klein-Tools-Insulated-Screwdriver-Adjustable/dp/B09Y7XVMRK/ref=sr_1_6?keywords=Klein+Tools+32308+8-in-1+Multi-Bit+Adjustable+Length+Stubby+Screwdriver&amp;qid=1695174224&amp;sr=8-6", "https://www.amazon.com/Klein-Tools-Insulated-Screwdriver-Adjustable/dp/B09Y7XVMRK/ref=sr_1_6?keywords=Klein+Tools+32308+8-in-1+Multi-Bit+Adjustable+Length+Stubby+Screwdriver&amp;qid=1695174224&amp;sr=8-6")</f>
        <v/>
      </c>
      <c r="F472" t="inlineStr">
        <is>
          <t>B09Y7XVMRK</t>
        </is>
      </c>
      <c r="G472">
        <f>_xludf.IMAGE("https://edmondsonsupply.com/cdn/shop/products/32308_b.jpg?v=1647348209")</f>
        <v/>
      </c>
      <c r="H472">
        <f>_xludf.IMAGE("https://m.media-amazon.com/images/I/51vjWT86y0L._AC_UL320_.jpg")</f>
        <v/>
      </c>
      <c r="I472" t="inlineStr">
        <is>
          <t>16.97</t>
        </is>
      </c>
      <c r="J472" t="n">
        <v>66.95999999999999</v>
      </c>
      <c r="K472" s="3" t="inlineStr">
        <is>
          <t>294.58%</t>
        </is>
      </c>
      <c r="L472" t="n">
        <v>4.7</v>
      </c>
      <c r="M472" t="n">
        <v>7</v>
      </c>
      <c r="O472" t="inlineStr">
        <is>
          <t>InStock</t>
        </is>
      </c>
      <c r="P472" t="inlineStr">
        <is>
          <t>23.78</t>
        </is>
      </c>
      <c r="Q472" t="inlineStr">
        <is>
          <t>7637271445720</t>
        </is>
      </c>
    </row>
    <row r="473">
      <c r="A473" s="2">
        <f>HYPERLINK("https://edmondsonsupply.com/collections/electricians-tools/products/klein-tools-66074-flip-impact-socket-3-4-and-13-16-inch", "https://edmondsonsupply.com/collections/electricians-tools/products/klein-tools-66074-flip-impact-socket-3-4-and-13-16-inch")</f>
        <v/>
      </c>
      <c r="B473" s="2">
        <f>HYPERLINK("https://edmondsonsupply.com/products/klein-tools-66074-flip-impact-socket-3-4-and-13-16-inch", "https://edmondsonsupply.com/products/klein-tools-66074-flip-impact-socket-3-4-and-13-16-inch")</f>
        <v/>
      </c>
      <c r="C473" t="inlineStr">
        <is>
          <t>Klein Tools 66074 Flip Impact Socket, 3/4 and 13/16-Inch</t>
        </is>
      </c>
      <c r="D473" t="inlineStr">
        <is>
          <t>Klein Tools 66031 3-in-1 Slotted Impact Socket, 12-Point Deep Sockets, Coaxial Spring Loaded, 3/4 and 9/16-Inch Hex Sizes, 1/2-Inch Drive</t>
        </is>
      </c>
      <c r="E473" s="2">
        <f>HYPERLINK("https://www.amazon.com/Klein-Tools-66031-Slotted-12-Point/dp/B08R6FL5P8/ref=sr_1_4?keywords=Klein+Tools+66074+Flip+Impact+Socket%2C+3%2F4+and+13%2F16-Inch&amp;qid=1695174170&amp;sr=8-4", "https://www.amazon.com/Klein-Tools-66031-Slotted-12-Point/dp/B08R6FL5P8/ref=sr_1_4?keywords=Klein+Tools+66074+Flip+Impact+Socket%2C+3%2F4+and+13%2F16-Inch&amp;qid=1695174170&amp;sr=8-4")</f>
        <v/>
      </c>
      <c r="F473" t="inlineStr">
        <is>
          <t>B08R6FL5P8</t>
        </is>
      </c>
      <c r="G473">
        <f>_xludf.IMAGE("https://edmondsonsupply.com/cdn/shop/products/66074.jpg?v=1663249251")</f>
        <v/>
      </c>
      <c r="H473">
        <f>_xludf.IMAGE("https://m.media-amazon.com/images/I/51mIf57QKuL._AC_UL320_.jpg")</f>
        <v/>
      </c>
      <c r="I473" t="inlineStr">
        <is>
          <t>12.71</t>
        </is>
      </c>
      <c r="J473" t="n">
        <v>49.99</v>
      </c>
      <c r="K473" s="3" t="inlineStr">
        <is>
          <t>293.31%</t>
        </is>
      </c>
      <c r="L473" t="n">
        <v>4.8</v>
      </c>
      <c r="M473" t="n">
        <v>662</v>
      </c>
      <c r="O473" t="inlineStr">
        <is>
          <t>InStock</t>
        </is>
      </c>
      <c r="P473" t="inlineStr">
        <is>
          <t>17.8</t>
        </is>
      </c>
      <c r="Q473" t="inlineStr">
        <is>
          <t>7817341534424</t>
        </is>
      </c>
    </row>
    <row r="474">
      <c r="A474" s="2">
        <f>HYPERLINK("https://edmondsonsupply.com/collections/electricians-tools/products/klein-tools-31932-bi-metal-hole-saw-2-inch", "https://edmondsonsupply.com/collections/electricians-tools/products/klein-tools-31932-bi-metal-hole-saw-2-inch")</f>
        <v/>
      </c>
      <c r="B474" s="2">
        <f>HYPERLINK("https://edmondsonsupply.com/products/klein-tools-31932-bi-metal-hole-saw-2-inch", "https://edmondsonsupply.com/products/klein-tools-31932-bi-metal-hole-saw-2-inch")</f>
        <v/>
      </c>
      <c r="C474" t="inlineStr">
        <is>
          <t>Klein Tools 31932 Bi-Metal Hole Saw, 2-Inch</t>
        </is>
      </c>
      <c r="D474" t="inlineStr">
        <is>
          <t>Klein Tools 31900 Bi-Metal Hole Saw, 6-3/8-Inch, For Drywall-Ceiling Tile-Steel-Wood-Plastic, Stainless Steel, Recessed Lighting</t>
        </is>
      </c>
      <c r="E474" s="2">
        <f>HYPERLINK("https://www.amazon.com/Bi-Metal-8-Inch-Klein-Tools-31900/dp/B0171X0FXU/ref=sr_1_6?keywords=Klein+Tools+31932+Bi-Metal+Hole+Saw%2C+2-Inch&amp;qid=1695174279&amp;sr=8-6", "https://www.amazon.com/Bi-Metal-8-Inch-Klein-Tools-31900/dp/B0171X0FXU/ref=sr_1_6?keywords=Klein+Tools+31932+Bi-Metal+Hole+Saw%2C+2-Inch&amp;qid=1695174279&amp;sr=8-6")</f>
        <v/>
      </c>
      <c r="F474" t="inlineStr">
        <is>
          <t>B0171X0FXU</t>
        </is>
      </c>
      <c r="G474">
        <f>_xludf.IMAGE("https://edmondsonsupply.com/cdn/shop/products/31932.jpg?v=1633030939")</f>
        <v/>
      </c>
      <c r="H474">
        <f>_xludf.IMAGE("https://m.media-amazon.com/images/I/51mfU+Jrr7L._AC_UL320_.jpg")</f>
        <v/>
      </c>
      <c r="I474" t="inlineStr">
        <is>
          <t>10.99</t>
        </is>
      </c>
      <c r="J474" t="n">
        <v>42.99</v>
      </c>
      <c r="K474" s="3" t="inlineStr">
        <is>
          <t>291.17%</t>
        </is>
      </c>
      <c r="L474" t="n">
        <v>4.5</v>
      </c>
      <c r="M474" t="n">
        <v>211</v>
      </c>
      <c r="O474" t="inlineStr">
        <is>
          <t>InStock</t>
        </is>
      </c>
      <c r="P474" t="inlineStr">
        <is>
          <t>15.42</t>
        </is>
      </c>
      <c r="Q474" t="inlineStr">
        <is>
          <t>6572814434477</t>
        </is>
      </c>
    </row>
    <row r="475">
      <c r="A475" s="2">
        <f>HYPERLINK("https://edmondsonsupply.com/collections/electricians-tools/products/klein-tools-65200-electricians-mini-ratchet-set-5-piece", "https://edmondsonsupply.com/collections/electricians-tools/products/klein-tools-65200-electricians-mini-ratchet-set-5-piece")</f>
        <v/>
      </c>
      <c r="B475" s="2">
        <f>HYPERLINK("https://edmondsonsupply.com/products/klein-tools-65200-electricians-mini-ratchet-set-5-piece", "https://edmondsonsupply.com/products/klein-tools-65200-electricians-mini-ratchet-set-5-piece")</f>
        <v/>
      </c>
      <c r="C475" t="inlineStr">
        <is>
          <t>Klein Tools 65200 Slim-Profile Mini Ratchet Set, 5-Piece</t>
        </is>
      </c>
      <c r="D475" t="inlineStr">
        <is>
          <t>Sunex 9732 44Pc 1/4" Dr Mini Dual Flex Head RATCHET W Socket &amp; Bit Set &amp; Klein Tools 65200 Ratchet Set, 5-Piece Mini Ratchet Set with Phillips, Slotted, and Adapter for Other Socket Sizes</t>
        </is>
      </c>
      <c r="E475" s="2">
        <f>HYPERLINK("https://www.amazon.com/Sunex-RATCHET-Tools-Ratchet-Phillips/dp/B0C5TJQVQ5/ref=sr_1_7?keywords=Klein+Tools+65200+Slim-Profile+Mini+Ratchet+Set%2C+5-Piece&amp;qid=1695173845&amp;sr=8-7", "https://www.amazon.com/Sunex-RATCHET-Tools-Ratchet-Phillips/dp/B0C5TJQVQ5/ref=sr_1_7?keywords=Klein+Tools+65200+Slim-Profile+Mini+Ratchet+Set%2C+5-Piece&amp;qid=1695173845&amp;sr=8-7")</f>
        <v/>
      </c>
      <c r="F475" t="inlineStr">
        <is>
          <t>B0C5TJQVQ5</t>
        </is>
      </c>
      <c r="G475">
        <f>_xludf.IMAGE("https://edmondsonsupply.com/cdn/shop/products/65200.jpg?v=1633030630")</f>
        <v/>
      </c>
      <c r="H475">
        <f>_xludf.IMAGE("https://m.media-amazon.com/images/I/512MIGy+pyL._AC_UL320_.jpg")</f>
        <v/>
      </c>
      <c r="I475" t="inlineStr">
        <is>
          <t>15.97</t>
        </is>
      </c>
      <c r="J475" t="n">
        <v>62.31</v>
      </c>
      <c r="K475" s="3" t="inlineStr">
        <is>
          <t>290.17%</t>
        </is>
      </c>
      <c r="L475" t="n">
        <v>4.7</v>
      </c>
      <c r="M475" t="n">
        <v>1236</v>
      </c>
      <c r="O475" t="inlineStr">
        <is>
          <t>InStock</t>
        </is>
      </c>
      <c r="P475" t="inlineStr">
        <is>
          <t>20.96</t>
        </is>
      </c>
      <c r="Q475" t="inlineStr">
        <is>
          <t>5694440964264</t>
        </is>
      </c>
    </row>
    <row r="476">
      <c r="A476" s="2">
        <f>HYPERLINK("https://edmondsonsupply.com/collections/electricians-tools/products/malco-mshc-2-inch-c-rhex-cleanable-reversible-magnetic-hex-driver-1-4-5-16", "https://edmondsonsupply.com/collections/electricians-tools/products/malco-mshc-2-inch-c-rhex-cleanable-reversible-magnetic-hex-driver-1-4-5-16")</f>
        <v/>
      </c>
      <c r="B476" s="2">
        <f>HYPERLINK("https://edmondsonsupply.com/products/malco-mshc-2-inch-c-rhex-cleanable-reversible-magnetic-hex-driver-1-4-5-16", "https://edmondsonsupply.com/products/malco-mshc-2-inch-c-rhex-cleanable-reversible-magnetic-hex-driver-1-4-5-16")</f>
        <v/>
      </c>
      <c r="C476" t="inlineStr">
        <is>
          <t>Malco Tools MSHC 2-Inch C-Rhex Cleanable, Reversible Magnetic Hex Driver, 1/4" &amp; 5/16"</t>
        </is>
      </c>
      <c r="D476" t="inlineStr">
        <is>
          <t>Malco MSH2XLC2 C-RHEX® Building Construction Series Cleanable, Reversible Magnetic Hex Driver (1/4" &amp; 5/16")</t>
        </is>
      </c>
      <c r="E476" s="2">
        <f>HYPERLINK("https://www.amazon.com/Malco-MSH2XLC2-Construction-Cleanable-Reversible/dp/B0BX79N2BV/ref=sr_1_7?keywords=Malco+Tools+MSHC+2-Inch+C-Rhex+Cleanable%2C+Reversible+Magnetic+Hex+Driver%2C+1%2F4&amp;qid=1695173843&amp;sr=8-7", "https://www.amazon.com/Malco-MSH2XLC2-Construction-Cleanable-Reversible/dp/B0BX79N2BV/ref=sr_1_7?keywords=Malco+Tools+MSHC+2-Inch+C-Rhex+Cleanable%2C+Reversible+Magnetic+Hex+Driver%2C+1%2F4&amp;qid=1695173843&amp;sr=8-7")</f>
        <v/>
      </c>
      <c r="F476" t="inlineStr">
        <is>
          <t>B0BX79N2BV</t>
        </is>
      </c>
      <c r="G476">
        <f>_xludf.IMAGE("https://edmondsonsupply.com/cdn/shop/products/Malco-MSHC-CRHEX-Slim-Design.jpg?v=1646614493")</f>
        <v/>
      </c>
      <c r="H476">
        <f>_xludf.IMAGE("https://m.media-amazon.com/images/I/31odlSGS4kL._AC_UL320_.jpg")</f>
        <v/>
      </c>
      <c r="I476" t="inlineStr">
        <is>
          <t>5.89</t>
        </is>
      </c>
      <c r="J476" t="n">
        <v>22.86</v>
      </c>
      <c r="K476" s="3" t="inlineStr">
        <is>
          <t>288.12%</t>
        </is>
      </c>
      <c r="L476" t="n">
        <v>5</v>
      </c>
      <c r="M476" t="n">
        <v>1</v>
      </c>
      <c r="O476" t="inlineStr">
        <is>
          <t>InStock</t>
        </is>
      </c>
      <c r="P476" t="inlineStr">
        <is>
          <t>undefined</t>
        </is>
      </c>
      <c r="Q476" t="inlineStr">
        <is>
          <t>4102600753252</t>
        </is>
      </c>
    </row>
    <row r="477">
      <c r="A477" s="2">
        <f>HYPERLINK("https://edmondsonsupply.com/collections/electricians-tools/products/klein-tools-60162-professional-safety-glasses-gray-lens", "https://edmondsonsupply.com/collections/electricians-tools/products/klein-tools-60162-professional-safety-glasses-gray-lens")</f>
        <v/>
      </c>
      <c r="B477" s="2">
        <f>HYPERLINK("https://edmondsonsupply.com/products/klein-tools-60162-professional-safety-glasses-gray-lens", "https://edmondsonsupply.com/products/klein-tools-60162-professional-safety-glasses-gray-lens")</f>
        <v/>
      </c>
      <c r="C477" t="inlineStr">
        <is>
          <t>Klein Tools 60162 Professional Safety Glasses, Gray Lens</t>
        </is>
      </c>
      <c r="D477" t="inlineStr">
        <is>
          <t>Klein Tools 80055 Safety Glasses Kit, Professional Safety Glasses with Full Frame, Gray Lens and Breakaway Lanyard, 8-Piece</t>
        </is>
      </c>
      <c r="E477" s="2">
        <f>HYPERLINK("https://www.amazon.com/Klein-80055-Glasses-Professional-Breakaway/dp/B09HR9RV4H/ref=sr_1_4?keywords=Klein+Tools+60162+Professional+Safety+Glasses%2C+Gray+Lens&amp;qid=1695174302&amp;sr=8-4", "https://www.amazon.com/Klein-80055-Glasses-Professional-Breakaway/dp/B09HR9RV4H/ref=sr_1_4?keywords=Klein+Tools+60162+Professional+Safety+Glasses%2C+Gray+Lens&amp;qid=1695174302&amp;sr=8-4")</f>
        <v/>
      </c>
      <c r="F477" t="inlineStr">
        <is>
          <t>B09HR9RV4H</t>
        </is>
      </c>
      <c r="G477">
        <f>_xludf.IMAGE("https://edmondsonsupply.com/cdn/shop/products/60162.jpg?v=1633030847")</f>
        <v/>
      </c>
      <c r="H477">
        <f>_xludf.IMAGE("https://m.media-amazon.com/images/I/61L5l7dmmiL._AC_UL320_.jpg")</f>
        <v/>
      </c>
      <c r="I477" t="inlineStr">
        <is>
          <t>12.99</t>
        </is>
      </c>
      <c r="J477" t="n">
        <v>49.99</v>
      </c>
      <c r="K477" s="3" t="inlineStr">
        <is>
          <t>284.83%</t>
        </is>
      </c>
      <c r="L477" t="n">
        <v>4.5</v>
      </c>
      <c r="M477" t="n">
        <v>13</v>
      </c>
      <c r="O477" t="inlineStr">
        <is>
          <t>InStock</t>
        </is>
      </c>
      <c r="P477" t="inlineStr">
        <is>
          <t>18.0</t>
        </is>
      </c>
      <c r="Q477" t="inlineStr">
        <is>
          <t>6092128747693</t>
        </is>
      </c>
    </row>
    <row r="478">
      <c r="A478" s="2">
        <f>HYPERLINK("https://edmondsonsupply.com/collections/electricians-tools/products/klein-tools-32900-7-in-1-impact-flip-socket-with-handle", "https://edmondsonsupply.com/collections/electricians-tools/products/klein-tools-32900-7-in-1-impact-flip-socket-with-handle")</f>
        <v/>
      </c>
      <c r="B478" s="2">
        <f>HYPERLINK("https://edmondsonsupply.com/products/klein-tools-32900-7-in-1-impact-flip-socket-with-handle", "https://edmondsonsupply.com/products/klein-tools-32900-7-in-1-impact-flip-socket-with-handle")</f>
        <v/>
      </c>
      <c r="C478" t="inlineStr">
        <is>
          <t>Klein Tools 32900 7-in-1 Impact Flip Socket with Handle</t>
        </is>
      </c>
      <c r="D478" t="inlineStr">
        <is>
          <t>KNIPEX Tools - 2 Piece Mini Pliers Wrench Set (9K0080121US) &amp; Klein Tools 32900 Impact Driver, 7-in-1 Impact Flip Socket Set with Handle, 6 Hex Driver Sizes plus a 1/4-Inch Bit Holder</t>
        </is>
      </c>
      <c r="E478" s="2">
        <f>HYPERLINK("https://www.amazon.com/KNIPEX-Tools-9K0080121US-7-1/dp/B0CB142X56/ref=sr_1_2?keywords=Klein+Tools+32900+7-in-1+Impact+Flip+Socket+with+Handle&amp;qid=1695174143&amp;sr=8-2", "https://www.amazon.com/KNIPEX-Tools-9K0080121US-7-1/dp/B0CB142X56/ref=sr_1_2?keywords=Klein+Tools+32900+7-in-1+Impact+Flip+Socket+with+Handle&amp;qid=1695174143&amp;sr=8-2")</f>
        <v/>
      </c>
      <c r="F478" t="inlineStr">
        <is>
          <t>B0CB142X56</t>
        </is>
      </c>
      <c r="G478">
        <f>_xludf.IMAGE("https://edmondsonsupply.com/cdn/shop/products/32900_b.jpg?v=1666024787")</f>
        <v/>
      </c>
      <c r="H478">
        <f>_xludf.IMAGE("https://m.media-amazon.com/images/I/51f4IxPp8rL._AC_UL320_.jpg")</f>
        <v/>
      </c>
      <c r="I478" t="inlineStr">
        <is>
          <t>29.97</t>
        </is>
      </c>
      <c r="J478" t="n">
        <v>114.03</v>
      </c>
      <c r="K478" s="3" t="inlineStr">
        <is>
          <t>280.48%</t>
        </is>
      </c>
      <c r="L478" t="n">
        <v>4.8</v>
      </c>
      <c r="M478" t="n">
        <v>1148</v>
      </c>
      <c r="O478" t="inlineStr">
        <is>
          <t>InStock</t>
        </is>
      </c>
      <c r="P478" t="inlineStr">
        <is>
          <t>45.0</t>
        </is>
      </c>
      <c r="Q478" t="inlineStr">
        <is>
          <t>7856651239640</t>
        </is>
      </c>
    </row>
    <row r="479">
      <c r="A479" s="2">
        <f>HYPERLINK("https://edmondsonsupply.com/collections/electricians-tools/products/klein-tools-ir1-infrared-digital-thermometer-with-targeting-laser-10-1", "https://edmondsonsupply.com/collections/electricians-tools/products/klein-tools-ir1-infrared-digital-thermometer-with-targeting-laser-10-1")</f>
        <v/>
      </c>
      <c r="B479" s="2">
        <f>HYPERLINK("https://edmondsonsupply.com/products/klein-tools-ir1-infrared-digital-thermometer-with-targeting-laser-10-1", "https://edmondsonsupply.com/products/klein-tools-ir1-infrared-digital-thermometer-with-targeting-laser-10-1")</f>
        <v/>
      </c>
      <c r="C479" t="inlineStr">
        <is>
          <t>Klein Tools IR1 Infrared Digital Thermometer with Targeting Laser, 10:1</t>
        </is>
      </c>
      <c r="D479" t="inlineStr">
        <is>
          <t>Klein Tools IR10 Infrared Thermometer, Digital Thermometer Gun with Dual Targeting Laser, 20:1 &amp; ET10 Magnetic Digital Pocket Thermometer</t>
        </is>
      </c>
      <c r="E479" s="2">
        <f>HYPERLINK("https://www.amazon.com/Klein-Tools-Infrared-Thermometer-Targeting/dp/B0BGJ6JX2Q/ref=sr_1_10?keywords=Klein+Tools+IR1+Infrared+Digital+Thermometer+with+Targeting+Laser%2C+10%3A1&amp;qid=1695174178&amp;sr=8-10", "https://www.amazon.com/Klein-Tools-Infrared-Thermometer-Targeting/dp/B0BGJ6JX2Q/ref=sr_1_10?keywords=Klein+Tools+IR1+Infrared+Digital+Thermometer+with+Targeting+Laser%2C+10%3A1&amp;qid=1695174178&amp;sr=8-10")</f>
        <v/>
      </c>
      <c r="F479" t="inlineStr">
        <is>
          <t>B0BGJ6JX2Q</t>
        </is>
      </c>
      <c r="G479">
        <f>_xludf.IMAGE("https://edmondsonsupply.com/cdn/shop/products/ir1.jpg?v=1659112251")</f>
        <v/>
      </c>
      <c r="H479">
        <f>_xludf.IMAGE("https://m.media-amazon.com/images/I/51I0Gu41RPL._AC_UY218_.jpg")</f>
        <v/>
      </c>
      <c r="I479" t="inlineStr">
        <is>
          <t>32.99</t>
        </is>
      </c>
      <c r="J479" t="n">
        <v>123.98</v>
      </c>
      <c r="K479" s="3" t="inlineStr">
        <is>
          <t>275.81%</t>
        </is>
      </c>
      <c r="L479" t="n">
        <v>5</v>
      </c>
      <c r="M479" t="n">
        <v>2</v>
      </c>
      <c r="O479" t="inlineStr">
        <is>
          <t>InStock</t>
        </is>
      </c>
      <c r="P479" t="inlineStr">
        <is>
          <t>48.5</t>
        </is>
      </c>
      <c r="Q479" t="inlineStr">
        <is>
          <t>7766524231896</t>
        </is>
      </c>
    </row>
    <row r="480">
      <c r="A480" s="2">
        <f>HYPERLINK("https://edmondsonsupply.com/collections/electricians-tools/products/klein-tools-66076-flip-impact-socket-9-16-and-1-2-inch", "https://edmondsonsupply.com/collections/electricians-tools/products/klein-tools-66076-flip-impact-socket-9-16-and-1-2-inch")</f>
        <v/>
      </c>
      <c r="B480" s="2">
        <f>HYPERLINK("https://edmondsonsupply.com/products/klein-tools-66076-flip-impact-socket-9-16-and-1-2-inch", "https://edmondsonsupply.com/products/klein-tools-66076-flip-impact-socket-9-16-and-1-2-inch")</f>
        <v/>
      </c>
      <c r="C480" t="inlineStr">
        <is>
          <t>Klein Tools 66076 Flip Impact Socket, 9/16 and 1/2-Inch</t>
        </is>
      </c>
      <c r="D480" t="inlineStr">
        <is>
          <t>Klein Tools 66001 2-in-1 Impact Socket, Socket Wrench Sizes 3/4-Inch and 9/16-Inch Hex, 12-Point Deep Socket with 1/2-Inch Drive</t>
        </is>
      </c>
      <c r="E480" s="2">
        <f>HYPERLINK("https://www.amazon.com/Klein-Tools-66001-12-Point-16-Inch/dp/B078NHVXWK/ref=sr_1_6?keywords=Klein+Tools+66076+Flip+Impact+Socket%2C+9%2F16+and+1%2F2-Inch&amp;qid=1695174172&amp;sr=8-6", "https://www.amazon.com/Klein-Tools-66001-12-Point-16-Inch/dp/B078NHVXWK/ref=sr_1_6?keywords=Klein+Tools+66076+Flip+Impact+Socket%2C+9%2F16+and+1%2F2-Inch&amp;qid=1695174172&amp;sr=8-6")</f>
        <v/>
      </c>
      <c r="F480" t="inlineStr">
        <is>
          <t>B078NHVXWK</t>
        </is>
      </c>
      <c r="G480">
        <f>_xludf.IMAGE("https://edmondsonsupply.com/cdn/shop/products/66076.jpg?v=1663083814")</f>
        <v/>
      </c>
      <c r="H480">
        <f>_xludf.IMAGE("https://m.media-amazon.com/images/I/31AlECG12iL._AC_UL320_.jpg")</f>
        <v/>
      </c>
      <c r="I480" t="inlineStr">
        <is>
          <t>10.71</t>
        </is>
      </c>
      <c r="J480" t="n">
        <v>39.99</v>
      </c>
      <c r="K480" s="3" t="inlineStr">
        <is>
          <t>273.39%</t>
        </is>
      </c>
      <c r="L480" t="n">
        <v>4.8</v>
      </c>
      <c r="M480" t="n">
        <v>753</v>
      </c>
      <c r="O480" t="inlineStr">
        <is>
          <t>InStock</t>
        </is>
      </c>
      <c r="P480" t="inlineStr">
        <is>
          <t>15.0</t>
        </is>
      </c>
      <c r="Q480" t="inlineStr">
        <is>
          <t>7814133874904</t>
        </is>
      </c>
    </row>
    <row r="481">
      <c r="A481" s="2">
        <f>HYPERLINK("https://edmondsonsupply.com/collections/electricians-tools/products/klein-tools-31902-bi-metal-hole-saw-kit-8-piece", "https://edmondsonsupply.com/collections/electricians-tools/products/klein-tools-31902-bi-metal-hole-saw-kit-8-piece")</f>
        <v/>
      </c>
      <c r="B481" s="2">
        <f>HYPERLINK("https://edmondsonsupply.com/products/klein-tools-31902-bi-metal-hole-saw-kit-8-piece", "https://edmondsonsupply.com/products/klein-tools-31902-bi-metal-hole-saw-kit-8-piece")</f>
        <v/>
      </c>
      <c r="C481" t="inlineStr">
        <is>
          <t>Klein Tools 31902 Bi-Metal Hole Saw Kit, 8-Piece</t>
        </is>
      </c>
      <c r="D481" t="inlineStr">
        <is>
          <t>Klein Tools 31873 Heavy Duty Hole Cutter Kit, Includes Carbide Hole Cutters and 2 Pilot Bits in Rust-Proof Molded Plastic Case, 8-Piece</t>
        </is>
      </c>
      <c r="E481" s="2">
        <f>HYPERLINK("https://www.amazon.com/Electricians-8-Piece-Klein-Tools-31873/dp/B003CCRCM2/ref=sr_1_2?keywords=Klein+Tools+31902+Bi-Metal+Hole+Saw+Kit%2C+8-Piece&amp;qid=1695174040&amp;sr=8-2", "https://www.amazon.com/Electricians-8-Piece-Klein-Tools-31873/dp/B003CCRCM2/ref=sr_1_2?keywords=Klein+Tools+31902+Bi-Metal+Hole+Saw+Kit%2C+8-Piece&amp;qid=1695174040&amp;sr=8-2")</f>
        <v/>
      </c>
      <c r="F481" t="inlineStr">
        <is>
          <t>B003CCRCM2</t>
        </is>
      </c>
      <c r="G481">
        <f>_xludf.IMAGE("https://edmondsonsupply.com/cdn/shop/products/31902.jpg?v=1679665390")</f>
        <v/>
      </c>
      <c r="H481">
        <f>_xludf.IMAGE("https://m.media-amazon.com/images/I/61G-oQvGZTL._AC_UL320_.jpg")</f>
        <v/>
      </c>
      <c r="I481" t="inlineStr">
        <is>
          <t>74.99</t>
        </is>
      </c>
      <c r="J481" t="n">
        <v>279.99</v>
      </c>
      <c r="K481" s="3" t="inlineStr">
        <is>
          <t>273.37%</t>
        </is>
      </c>
      <c r="L481" t="n">
        <v>4.6</v>
      </c>
      <c r="M481" t="n">
        <v>64</v>
      </c>
      <c r="O481" t="inlineStr">
        <is>
          <t>InStock</t>
        </is>
      </c>
      <c r="P481" t="inlineStr">
        <is>
          <t>105.24</t>
        </is>
      </c>
      <c r="Q481" t="inlineStr">
        <is>
          <t>7966205673688</t>
        </is>
      </c>
    </row>
    <row r="482">
      <c r="A482" s="2">
        <f>HYPERLINK("https://edmondsonsupply.com/collections/electricians-tools/products/klein-tools-ktsb01-step-drill-bit-double-fluted-1-1-8-to-1-2-inch", "https://edmondsonsupply.com/collections/electricians-tools/products/klein-tools-ktsb01-step-drill-bit-double-fluted-1-1-8-to-1-2-inch")</f>
        <v/>
      </c>
      <c r="B482" s="2">
        <f>HYPERLINK("https://edmondsonsupply.com/products/klein-tools-ktsb01-step-drill-bit-double-fluted-1-1-8-to-1-2-inch", "https://edmondsonsupply.com/products/klein-tools-ktsb01-step-drill-bit-double-fluted-1-1-8-to-1-2-inch")</f>
        <v/>
      </c>
      <c r="C482" t="inlineStr">
        <is>
          <t>Klein Tools KTSB01 Step Drill Bit Double-Fluted #1, 1/8 to 1/2-Inch</t>
        </is>
      </c>
      <c r="D482" t="inlineStr">
        <is>
          <t>Klein Tools 25951 Electrician's Step Drill Bit Set, Spiral Double Fluted, Titanium Nitride Coating, 1/4-Inch Impact Shank, Case, 3-Piece</t>
        </is>
      </c>
      <c r="E482" s="2">
        <f>HYPERLINK("https://www.amazon.com/Klein-Tools-25951-Electricians-Titanium/dp/B0BLFRJLDX/ref=sr_1_3?keywords=Klein+Tools+KTSB01+Step+Drill+Bit+Double-Fluted+%231%2C+1%2F8+to+1%2F2-Inch&amp;qid=1695174255&amp;sr=8-3", "https://www.amazon.com/Klein-Tools-25951-Electricians-Titanium/dp/B0BLFRJLDX/ref=sr_1_3?keywords=Klein+Tools+KTSB01+Step+Drill+Bit+Double-Fluted+%231%2C+1%2F8+to+1%2F2-Inch&amp;qid=1695174255&amp;sr=8-3")</f>
        <v/>
      </c>
      <c r="F482" t="inlineStr">
        <is>
          <t>B0BLFRJLDX</t>
        </is>
      </c>
      <c r="G482">
        <f>_xludf.IMAGE("https://edmondsonsupply.com/cdn/shop/products/ktsb01.jpg?v=1633903640")</f>
        <v/>
      </c>
      <c r="H482">
        <f>_xludf.IMAGE("https://m.media-amazon.com/images/I/61dZd3WvlgL._AC_UY218_.jpg")</f>
        <v/>
      </c>
      <c r="I482" t="inlineStr">
        <is>
          <t>26.99</t>
        </is>
      </c>
      <c r="J482" t="n">
        <v>99.98999999999999</v>
      </c>
      <c r="K482" s="3" t="inlineStr">
        <is>
          <t>270.47%</t>
        </is>
      </c>
      <c r="L482" t="n">
        <v>3.8</v>
      </c>
      <c r="M482" t="n">
        <v>6</v>
      </c>
      <c r="O482" t="inlineStr">
        <is>
          <t>InStock</t>
        </is>
      </c>
      <c r="P482" t="inlineStr">
        <is>
          <t>36.48</t>
        </is>
      </c>
      <c r="Q482" t="inlineStr">
        <is>
          <t>7007793774765</t>
        </is>
      </c>
    </row>
    <row r="483">
      <c r="A483" s="2">
        <f>HYPERLINK("https://edmondsonsupply.com/collections/electricians-tools/products/klein-tools-31922-bi-metal-hole-saw-1-3-8-inch", "https://edmondsonsupply.com/collections/electricians-tools/products/klein-tools-31922-bi-metal-hole-saw-1-3-8-inch")</f>
        <v/>
      </c>
      <c r="B483" s="2">
        <f>HYPERLINK("https://edmondsonsupply.com/products/klein-tools-31922-bi-metal-hole-saw-1-3-8-inch", "https://edmondsonsupply.com/products/klein-tools-31922-bi-metal-hole-saw-1-3-8-inch")</f>
        <v/>
      </c>
      <c r="C483" t="inlineStr">
        <is>
          <t>Klein Tools 31922 Bi-Metal Hole Saw, 1-3/8-Inch</t>
        </is>
      </c>
      <c r="D483" t="inlineStr">
        <is>
          <t>Klein Tools 31860 Heavy Duty Hole Cutter, 1-3/8-Inch Carbide Hole Cutter Cuts Stainless Steel, Mild Steel, Iron, and Copper</t>
        </is>
      </c>
      <c r="E483" s="2">
        <f>HYPERLINK("https://www.amazon.com/Carbide-Cutter-Klein-Tools-31860/dp/B0061J5B2Q/ref=sr_1_3?keywords=Klein+Tools+31922+Bi-Metal+Hole+Saw%2C+1-3%2F8-Inch&amp;qid=1695174231&amp;sr=8-3", "https://www.amazon.com/Carbide-Cutter-Klein-Tools-31860/dp/B0061J5B2Q/ref=sr_1_3?keywords=Klein+Tools+31922+Bi-Metal+Hole+Saw%2C+1-3%2F8-Inch&amp;qid=1695174231&amp;sr=8-3")</f>
        <v/>
      </c>
      <c r="F483" t="inlineStr">
        <is>
          <t>B0061J5B2Q</t>
        </is>
      </c>
      <c r="G483">
        <f>_xludf.IMAGE("https://edmondsonsupply.com/cdn/shop/products/31922.jpg?v=1663943738")</f>
        <v/>
      </c>
      <c r="H483">
        <f>_xludf.IMAGE("https://m.media-amazon.com/images/I/71zW61z+LYL._AC_UL320_.jpg")</f>
        <v/>
      </c>
      <c r="I483" t="inlineStr">
        <is>
          <t>9.99</t>
        </is>
      </c>
      <c r="J483" t="n">
        <v>36.99</v>
      </c>
      <c r="K483" s="3" t="inlineStr">
        <is>
          <t>270.27%</t>
        </is>
      </c>
      <c r="L483" t="n">
        <v>4.5</v>
      </c>
      <c r="M483" t="n">
        <v>473</v>
      </c>
      <c r="O483" t="inlineStr">
        <is>
          <t>InStock</t>
        </is>
      </c>
      <c r="P483" t="inlineStr">
        <is>
          <t>14.0</t>
        </is>
      </c>
      <c r="Q483" t="inlineStr">
        <is>
          <t>7827257819352</t>
        </is>
      </c>
    </row>
    <row r="484">
      <c r="A484" s="2">
        <f>HYPERLINK("https://edmondsonsupply.com/collections/electricians-tools/products/klein-tools-jth9e13-1-4-inch-hex-key-with-journeyman-t-handle-9-inch", "https://edmondsonsupply.com/collections/electricians-tools/products/klein-tools-jth9e13-1-4-inch-hex-key-with-journeyman-t-handle-9-inch")</f>
        <v/>
      </c>
      <c r="B484" s="2">
        <f>HYPERLINK("https://edmondsonsupply.com/products/klein-tools-jth9e13-1-4-inch-hex-key-with-journeyman-t-handle-9-inch", "https://edmondsonsupply.com/products/klein-tools-jth9e13-1-4-inch-hex-key-with-journeyman-t-handle-9-inch")</f>
        <v/>
      </c>
      <c r="C484" t="inlineStr">
        <is>
          <t>Klein Tools JTH9E13 1/4-Inch Hex Key with Journeyman T-Handle, 9-Inch</t>
        </is>
      </c>
      <c r="D484" t="inlineStr">
        <is>
          <t>Klein Tools JTH9E17 1/2-Inch Hex Key, Journeyman T-Handle, 9-Inch</t>
        </is>
      </c>
      <c r="E484" s="2">
        <f>HYPERLINK("https://www.amazon.com/Journeyman-T-Handle-Klein-Tools-JTH9E17/dp/B004QV6NL4/ref=sr_1_7?keywords=Klein+Tools+JTH9E13+1%2F4-Inch+Hex+Key+with+Journeyman+T-Handle%2C+9-Inch&amp;qid=1695174307&amp;sr=8-7", "https://www.amazon.com/Journeyman-T-Handle-Klein-Tools-JTH9E17/dp/B004QV6NL4/ref=sr_1_7?keywords=Klein+Tools+JTH9E13+1%2F4-Inch+Hex+Key+with+Journeyman+T-Handle%2C+9-Inch&amp;qid=1695174307&amp;sr=8-7")</f>
        <v/>
      </c>
      <c r="F484" t="inlineStr">
        <is>
          <t>B004QV6NL4</t>
        </is>
      </c>
      <c r="G484">
        <f>_xludf.IMAGE("https://edmondsonsupply.com/cdn/shop/products/jth9e12_7dcdbf9a-5acd-4824-8919-6aeb4a790072.jpg?v=1604060723")</f>
        <v/>
      </c>
      <c r="H484">
        <f>_xludf.IMAGE("https://m.media-amazon.com/images/I/51Yb8h41vLL._AC_UL320_.jpg")</f>
        <v/>
      </c>
      <c r="I484" t="inlineStr">
        <is>
          <t>6.49</t>
        </is>
      </c>
      <c r="J484" t="n">
        <v>23.99</v>
      </c>
      <c r="K484" s="3" t="inlineStr">
        <is>
          <t>269.65%</t>
        </is>
      </c>
      <c r="L484" t="n">
        <v>4.8</v>
      </c>
      <c r="M484" t="n">
        <v>194</v>
      </c>
      <c r="O484" t="inlineStr">
        <is>
          <t>InStock</t>
        </is>
      </c>
      <c r="P484" t="inlineStr">
        <is>
          <t>9.84</t>
        </is>
      </c>
      <c r="Q484" t="inlineStr">
        <is>
          <t>5999069462696</t>
        </is>
      </c>
    </row>
    <row r="485">
      <c r="A485" s="2">
        <f>HYPERLINK("https://edmondsonsupply.com/collections/electricians-tools/products/klein-tools-vdv770-126-carrying-case-for-scout%C2%AE-pro-3-tester-and-locator-remotes", "https://edmondsonsupply.com/collections/electricians-tools/products/klein-tools-vdv770-126-carrying-case-for-scout%C2%AE-pro-3-tester-and-locator-remotes")</f>
        <v/>
      </c>
      <c r="B485" s="2">
        <f>HYPERLINK("https://edmondsonsupply.com/products/klein-tools-vdv770-126-carrying-case-for-scout%c2%ae-pro-3-tester-and-locator-remotes", "https://edmondsonsupply.com/products/klein-tools-vdv770-126-carrying-case-for-scout%c2%ae-pro-3-tester-and-locator-remotes")</f>
        <v/>
      </c>
      <c r="C485" t="inlineStr">
        <is>
          <t>Klein Tools VDV770-126 Carrying Case for Scout® Pro 3 Tester and Locator Remotes</t>
        </is>
      </c>
      <c r="D485" t="inlineStr">
        <is>
          <t>Klein Tools VDV501-851 Cable Tester Kit, 5 Locator Remotes &amp; Klein Tools VDV770-126 Replacement Carrying Case for Scout Pro 3 Series Testers and Locator Remotes, Black</t>
        </is>
      </c>
      <c r="E485" s="2">
        <f>HYPERLINK("https://www.amazon.com/Klein-Tools-VDV501-851-VDV770-126-Replacement/dp/B09T6YN1YB/ref=sr_1_2?keywords=Klein+Tools+VDV770-126+Carrying+Case+for+Scout%C2%AE+Pro+3+Tester+and+Locator+Remotes&amp;qid=1695174229&amp;sr=8-2", "https://www.amazon.com/Klein-Tools-VDV501-851-VDV770-126-Replacement/dp/B09T6YN1YB/ref=sr_1_2?keywords=Klein+Tools+VDV770-126+Carrying+Case+for+Scout%C2%AE+Pro+3+Tester+and+Locator+Remotes&amp;qid=1695174229&amp;sr=8-2")</f>
        <v/>
      </c>
      <c r="F485" t="inlineStr">
        <is>
          <t>B09T6YN1YB</t>
        </is>
      </c>
      <c r="G485">
        <f>_xludf.IMAGE("https://edmondsonsupply.com/cdn/shop/products/vdv770126.jpg?v=1646011163")</f>
        <v/>
      </c>
      <c r="H485">
        <f>_xludf.IMAGE("https://m.media-amazon.com/images/I/51nHnWIj1JL._AC_UL320_.jpg")</f>
        <v/>
      </c>
      <c r="I485" t="inlineStr">
        <is>
          <t>32.49</t>
        </is>
      </c>
      <c r="J485" t="n">
        <v>118.73</v>
      </c>
      <c r="K485" s="3" t="inlineStr">
        <is>
          <t>265.44%</t>
        </is>
      </c>
      <c r="L485" t="n">
        <v>5</v>
      </c>
      <c r="M485" t="n">
        <v>6</v>
      </c>
      <c r="O485" t="inlineStr">
        <is>
          <t>InStock</t>
        </is>
      </c>
      <c r="P485" t="inlineStr">
        <is>
          <t>48.14</t>
        </is>
      </c>
      <c r="Q485" t="inlineStr">
        <is>
          <t>7620077256920</t>
        </is>
      </c>
    </row>
    <row r="486">
      <c r="A486" s="2">
        <f>HYPERLINK("https://edmondsonsupply.com/collections/electricians-tools/products/klein-tools-60245-p100-half-mask-respirator-replacement-filter", "https://edmondsonsupply.com/collections/electricians-tools/products/klein-tools-60245-p100-half-mask-respirator-replacement-filter")</f>
        <v/>
      </c>
      <c r="B486" s="2">
        <f>HYPERLINK("https://edmondsonsupply.com/products/klein-tools-60245-p100-half-mask-respirator-replacement-filter", "https://edmondsonsupply.com/products/klein-tools-60245-p100-half-mask-respirator-replacement-filter")</f>
        <v/>
      </c>
      <c r="C486" t="inlineStr">
        <is>
          <t>Klein Tools 60245 P100 Half-Mask Respirator Replacement Filter</t>
        </is>
      </c>
      <c r="D486" t="inlineStr">
        <is>
          <t>Klein Tools 80044 Face Mask, P100 Half-Mask Respirator Kit with P100 Mask and Replacement Filters For Dust, Metal Fumes, and Mists, Size M/L</t>
        </is>
      </c>
      <c r="E486" s="2">
        <f>HYPERLINK("https://www.amazon.com/Klein-80044-Half-Mask-Respirator-Replacement/dp/B09FW2FRX8/ref=sr_1_1?keywords=Klein+Tools+60245+P100+Half-Mask+Respirator+Replacement+Filter&amp;qid=1695174164&amp;sr=8-1", "https://www.amazon.com/Klein-80044-Half-Mask-Respirator-Replacement/dp/B09FW2FRX8/ref=sr_1_1?keywords=Klein+Tools+60245+P100+Half-Mask+Respirator+Replacement+Filter&amp;qid=1695174164&amp;sr=8-1")</f>
        <v/>
      </c>
      <c r="F486" t="inlineStr">
        <is>
          <t>B09FW2FRX8</t>
        </is>
      </c>
      <c r="G486">
        <f>_xludf.IMAGE("https://edmondsonsupply.com/cdn/shop/products/60245_0999043a-829a-4bfc-9587-43bf26330e2f.jpg?v=1661863973")</f>
        <v/>
      </c>
      <c r="H486">
        <f>_xludf.IMAGE("https://m.media-amazon.com/images/I/61kQgRHQL4L._AC_UL320_.jpg")</f>
        <v/>
      </c>
      <c r="I486" t="inlineStr">
        <is>
          <t>13.99</t>
        </is>
      </c>
      <c r="J486" t="n">
        <v>50.35</v>
      </c>
      <c r="K486" s="3" t="inlineStr">
        <is>
          <t>259.90%</t>
        </is>
      </c>
      <c r="L486" t="n">
        <v>4.5</v>
      </c>
      <c r="M486" t="n">
        <v>21</v>
      </c>
      <c r="O486" t="inlineStr">
        <is>
          <t>OutOfStock</t>
        </is>
      </c>
      <c r="P486" t="inlineStr">
        <is>
          <t>20.0</t>
        </is>
      </c>
      <c r="Q486" t="inlineStr">
        <is>
          <t>7797345157336</t>
        </is>
      </c>
    </row>
    <row r="487">
      <c r="A487" s="2">
        <f>HYPERLINK("https://edmondsonsupply.com/collections/electricians-tools/products/klein-tools-vdv427-300-impact-punchdown-tool-66-110-blade", "https://edmondsonsupply.com/collections/electricians-tools/products/klein-tools-vdv427-300-impact-punchdown-tool-66-110-blade")</f>
        <v/>
      </c>
      <c r="B487" s="2">
        <f>HYPERLINK("https://edmondsonsupply.com/products/klein-tools-vdv427-300-impact-punchdown-tool-66-110-blade", "https://edmondsonsupply.com/products/klein-tools-vdv427-300-impact-punchdown-tool-66-110-blade")</f>
        <v/>
      </c>
      <c r="C487" t="inlineStr">
        <is>
          <t>Klein Tools VDV427-300 Impact Punchdown Tool, 66/110 Blade</t>
        </is>
      </c>
      <c r="D487" t="inlineStr">
        <is>
          <t>Klein Tools 80072 RJ45 Cable Tester Kit with LAN Scout Jr. 2, Coax Crimper/Stripper/Cutter Tool and Pass-Thru Modular Data Plug &amp; VDV427-300 Impact Punchdown Tool, 66/110 Blade</t>
        </is>
      </c>
      <c r="E487" s="2">
        <f>HYPERLINK("https://www.amazon.com/Klein-Tools-Pass-Thru-VDV427-300-Punchdown/dp/B0BVGDFVMZ/ref=sr_1_9?keywords=Klein+Tools+VDV427-300+Impact+Punchdown+Tool%2C+66%2F110+Blade&amp;qid=1695174221&amp;sr=8-9", "https://www.amazon.com/Klein-Tools-Pass-Thru-VDV427-300-Punchdown/dp/B0BVGDFVMZ/ref=sr_1_9?keywords=Klein+Tools+VDV427-300+Impact+Punchdown+Tool%2C+66%2F110+Blade&amp;qid=1695174221&amp;sr=8-9")</f>
        <v/>
      </c>
      <c r="F487" t="inlineStr">
        <is>
          <t>B0BVGDFVMZ</t>
        </is>
      </c>
      <c r="G487">
        <f>_xludf.IMAGE("https://edmondsonsupply.com/cdn/shop/products/vdv427300.jpg?v=1646010568")</f>
        <v/>
      </c>
      <c r="H487">
        <f>_xludf.IMAGE("https://m.media-amazon.com/images/I/51UORY238lL._AC_UL320_.jpg")</f>
        <v/>
      </c>
      <c r="I487" t="inlineStr">
        <is>
          <t>39.97</t>
        </is>
      </c>
      <c r="J487" t="n">
        <v>141.88</v>
      </c>
      <c r="K487" s="3" t="inlineStr">
        <is>
          <t>254.97%</t>
        </is>
      </c>
      <c r="L487" t="n">
        <v>5</v>
      </c>
      <c r="M487" t="n">
        <v>1</v>
      </c>
      <c r="O487" t="inlineStr">
        <is>
          <t>InStock</t>
        </is>
      </c>
      <c r="P487" t="inlineStr">
        <is>
          <t>55.98</t>
        </is>
      </c>
      <c r="Q487" t="inlineStr">
        <is>
          <t>7620069818584</t>
        </is>
      </c>
    </row>
    <row r="488">
      <c r="A488" s="2">
        <f>HYPERLINK("https://edmondsonsupply.com/collections/electricians-tools/products/klein-tools-32305-15-in-1-multi-bit-ratcheting-screwdriver", "https://edmondsonsupply.com/collections/electricians-tools/products/klein-tools-32305-15-in-1-multi-bit-ratcheting-screwdriver")</f>
        <v/>
      </c>
      <c r="B488" s="2">
        <f>HYPERLINK("https://edmondsonsupply.com/products/klein-tools-32305-15-in-1-multi-bit-ratcheting-screwdriver", "https://edmondsonsupply.com/products/klein-tools-32305-15-in-1-multi-bit-ratcheting-screwdriver")</f>
        <v/>
      </c>
      <c r="C488" t="inlineStr">
        <is>
          <t>Klein Tools 32305 15-in-1 Multi-Bit Ratcheting Screwdriver</t>
        </is>
      </c>
      <c r="D488" t="inlineStr">
        <is>
          <t>Automatic Wire Stripper 10-24 AWG &amp; Klein Tools 32305 Multi-bit Ratcheting Screwdriver, 15-in-1 Tool with Phillips, Slotted, Square, Torx and Combo Bits and 1/4-Inch Nut Driver</t>
        </is>
      </c>
      <c r="E488" s="2">
        <f>HYPERLINK("https://www.amazon.com/Automatic-Stripper-Multi-bit-Ratcheting-Screwdriver/dp/B0BM42HWSD/ref=sr_1_7?keywords=Klein+Tools+32305+15-in-1+Multi-Bit+Ratcheting+Screwdriver&amp;qid=1695174215&amp;sr=8-7", "https://www.amazon.com/Automatic-Stripper-Multi-bit-Ratcheting-Screwdriver/dp/B0BM42HWSD/ref=sr_1_7?keywords=Klein+Tools+32305+15-in-1+Multi-Bit+Ratcheting+Screwdriver&amp;qid=1695174215&amp;sr=8-7")</f>
        <v/>
      </c>
      <c r="F488" t="inlineStr">
        <is>
          <t>B0BM42HWSD</t>
        </is>
      </c>
      <c r="G488">
        <f>_xludf.IMAGE("https://edmondsonsupply.com/cdn/shop/products/32305.jpg?v=1646965475")</f>
        <v/>
      </c>
      <c r="H488">
        <f>_xludf.IMAGE("https://m.media-amazon.com/images/I/41cK1PhKaLL._AC_UL320_.jpg")</f>
        <v/>
      </c>
      <c r="I488" t="inlineStr">
        <is>
          <t>21.97</t>
        </is>
      </c>
      <c r="J488" t="n">
        <v>76.98</v>
      </c>
      <c r="K488" s="3" t="inlineStr">
        <is>
          <t>250.39%</t>
        </is>
      </c>
      <c r="L488" t="n">
        <v>4.6</v>
      </c>
      <c r="M488" t="n">
        <v>1243</v>
      </c>
      <c r="O488" t="inlineStr">
        <is>
          <t>InStock</t>
        </is>
      </c>
      <c r="P488" t="inlineStr">
        <is>
          <t>30.78</t>
        </is>
      </c>
      <c r="Q488" t="inlineStr">
        <is>
          <t>7632426598616</t>
        </is>
      </c>
    </row>
    <row r="489">
      <c r="A489" s="2">
        <f>HYPERLINK("https://edmondsonsupply.com/collections/electricians-tools/products/klein-tools-31870-carbide-hole-cutter-2-1-2-inch", "https://edmondsonsupply.com/collections/electricians-tools/products/klein-tools-31870-carbide-hole-cutter-2-1-2-inch")</f>
        <v/>
      </c>
      <c r="B489" s="2">
        <f>HYPERLINK("https://edmondsonsupply.com/products/klein-tools-31870-carbide-hole-cutter-2-1-2-inch", "https://edmondsonsupply.com/products/klein-tools-31870-carbide-hole-cutter-2-1-2-inch")</f>
        <v/>
      </c>
      <c r="C489" t="inlineStr">
        <is>
          <t>Klein Tools 31870 Carbide Hole Cutter, 2-1/2-Inch</t>
        </is>
      </c>
      <c r="D489" t="inlineStr">
        <is>
          <t>Klein Tools 31873 Heavy Duty Hole Cutter Kit, Includes Carbide Hole Cutters and 2 Pilot Bits in Rust-Proof Molded Plastic Case, 8-Piece</t>
        </is>
      </c>
      <c r="E489" s="2">
        <f>HYPERLINK("https://www.amazon.com/Electricians-8-Piece-Klein-Tools-31873/dp/B003CCRCM2/ref=sr_1_5?keywords=Klein+Tools+31870+Carbide+Hole+Cutter%2C+2-1%2F2-Inch&amp;qid=1695174279&amp;sr=8-5", "https://www.amazon.com/Electricians-8-Piece-Klein-Tools-31873/dp/B003CCRCM2/ref=sr_1_5?keywords=Klein+Tools+31870+Carbide+Hole+Cutter%2C+2-1%2F2-Inch&amp;qid=1695174279&amp;sr=8-5")</f>
        <v/>
      </c>
      <c r="F489" t="inlineStr">
        <is>
          <t>B003CCRCM2</t>
        </is>
      </c>
      <c r="G489">
        <f>_xludf.IMAGE("https://edmondsonsupply.com/cdn/shop/products/31870_alt1.jpg?v=1633030999")</f>
        <v/>
      </c>
      <c r="H489">
        <f>_xludf.IMAGE("https://m.media-amazon.com/images/I/61G-oQvGZTL._AC_UL320_.jpg")</f>
        <v/>
      </c>
      <c r="I489" t="inlineStr">
        <is>
          <t>79.99</t>
        </is>
      </c>
      <c r="J489" t="n">
        <v>279.99</v>
      </c>
      <c r="K489" s="3" t="inlineStr">
        <is>
          <t>250.03%</t>
        </is>
      </c>
      <c r="L489" t="n">
        <v>4.6</v>
      </c>
      <c r="M489" t="n">
        <v>64</v>
      </c>
      <c r="O489" t="inlineStr">
        <is>
          <t>InStock</t>
        </is>
      </c>
      <c r="P489" t="inlineStr">
        <is>
          <t>121.2</t>
        </is>
      </c>
      <c r="Q489" t="inlineStr">
        <is>
          <t>6680619974829</t>
        </is>
      </c>
    </row>
    <row r="490">
      <c r="A490" s="2">
        <f>HYPERLINK("https://edmondsonsupply.com/collections/electricians-tools/products/channellock-428", "https://edmondsonsupply.com/collections/electricians-tools/products/channellock-428")</f>
        <v/>
      </c>
      <c r="B490" s="2">
        <f>HYPERLINK("https://edmondsonsupply.com/products/channellock-428", "https://edmondsonsupply.com/products/channellock-428")</f>
        <v/>
      </c>
      <c r="C490" t="inlineStr">
        <is>
          <t>Channellock 428 8-Inch Straight Jaw Tongue &amp; Groove Pliers</t>
        </is>
      </c>
      <c r="D490" t="inlineStr">
        <is>
          <t>Channellock 480 BIGAZZ Tongue and Groove Pliers | 20.25-Inch Straight Jaw Groove Joint Plier | 5.5-Inch Jaw Capacity | Laser Heat-Treated 90° Teeth| Forged High Carbon Steel | Made in USA</t>
        </is>
      </c>
      <c r="E490" s="2">
        <f>HYPERLINK("https://www.amazon.com/Channellock-480-2-Inch-Capacity-20-Inch/dp/B00004SBCX/ref=sr_1_8?keywords=Channellock+428+8-Inch+Straight+Jaw+Tongue+%26+Groove+Pliers&amp;qid=1695173963&amp;sr=8-8", "https://www.amazon.com/Channellock-480-2-Inch-Capacity-20-Inch/dp/B00004SBCX/ref=sr_1_8?keywords=Channellock+428+8-Inch+Straight+Jaw+Tongue+%26+Groove+Pliers&amp;qid=1695173963&amp;sr=8-8")</f>
        <v/>
      </c>
      <c r="F490" t="inlineStr">
        <is>
          <t>B00004SBCX</t>
        </is>
      </c>
      <c r="G490">
        <f>_xludf.IMAGE("https://edmondsonsupply.com/cdn/shop/products/428-683x1024.jpg?v=1587145854")</f>
        <v/>
      </c>
      <c r="H490">
        <f>_xludf.IMAGE("https://m.media-amazon.com/images/I/612L+6BugaL._AC_UL320_.jpg")</f>
        <v/>
      </c>
      <c r="I490" t="inlineStr">
        <is>
          <t>16.95</t>
        </is>
      </c>
      <c r="J490" t="n">
        <v>58.95</v>
      </c>
      <c r="K490" s="3" t="inlineStr">
        <is>
          <t>247.79%</t>
        </is>
      </c>
      <c r="L490" t="n">
        <v>4.8</v>
      </c>
      <c r="M490" t="n">
        <v>872</v>
      </c>
      <c r="O490" t="inlineStr">
        <is>
          <t>InStock</t>
        </is>
      </c>
      <c r="P490" t="inlineStr">
        <is>
          <t>25.06</t>
        </is>
      </c>
      <c r="Q490" t="inlineStr">
        <is>
          <t>3523408527460</t>
        </is>
      </c>
    </row>
    <row r="491">
      <c r="A491" s="2">
        <f>HYPERLINK("https://edmondsonsupply.com/collections/electricians-tools/products/klein-tools-203-6-eins-long-nose-side-cutter-pliers-6-inch-slim-insulated", "https://edmondsonsupply.com/collections/electricians-tools/products/klein-tools-203-6-eins-long-nose-side-cutter-pliers-6-inch-slim-insulated")</f>
        <v/>
      </c>
      <c r="B491" s="2">
        <f>HYPERLINK("https://edmondsonsupply.com/products/klein-tools-203-6-eins-long-nose-side-cutter-pliers-6-inch-slim-insulated", "https://edmondsonsupply.com/products/klein-tools-203-6-eins-long-nose-side-cutter-pliers-6-inch-slim-insulated")</f>
        <v/>
      </c>
      <c r="C491" t="inlineStr">
        <is>
          <t>Klein Tools 2036EINS Long Nose Side Cutter Pliers 6-Inch Slim Insulated</t>
        </is>
      </c>
      <c r="D491" t="inlineStr">
        <is>
          <t>Klein Tools 94130 1000V Insulated Screwdriver Tool Set &amp; 2038EINS Long Nose Side Cutter Insulated Pliers with Slim Induction Hardened Cutting Knives for Long Life, 8-Inch</t>
        </is>
      </c>
      <c r="E491" s="2">
        <f>HYPERLINK("https://www.amazon.com/Klein-Tools-Insulated-Screwdriver-Induction/dp/B0B56XS25D/ref=sr_1_2?keywords=Klein+Tools+2036EINS+Long+Nose+Side+Cutter+Pliers+6-Inch+Slim+Insulated&amp;qid=1695174256&amp;sr=8-2", "https://www.amazon.com/Klein-Tools-Insulated-Screwdriver-Induction/dp/B0B56XS25D/ref=sr_1_2?keywords=Klein+Tools+2036EINS+Long+Nose+Side+Cutter+Pliers+6-Inch+Slim+Insulated&amp;qid=1695174256&amp;sr=8-2")</f>
        <v/>
      </c>
      <c r="F491" t="inlineStr">
        <is>
          <t>B0B56XS25D</t>
        </is>
      </c>
      <c r="G491">
        <f>_xludf.IMAGE("https://edmondsonsupply.com/cdn/shop/products/2036eins.jpg?v=1633031077")</f>
        <v/>
      </c>
      <c r="H491">
        <f>_xludf.IMAGE("https://m.media-amazon.com/images/I/51WnIkIfzdL._AC_UL320_.jpg")</f>
        <v/>
      </c>
      <c r="I491" t="inlineStr">
        <is>
          <t>46.99</t>
        </is>
      </c>
      <c r="J491" t="n">
        <v>162.96</v>
      </c>
      <c r="K491" s="3" t="inlineStr">
        <is>
          <t>246.80%</t>
        </is>
      </c>
      <c r="L491" t="n">
        <v>4.9</v>
      </c>
      <c r="M491" t="n">
        <v>11</v>
      </c>
      <c r="O491" t="inlineStr">
        <is>
          <t>InStock</t>
        </is>
      </c>
      <c r="P491" t="inlineStr">
        <is>
          <t>71.2</t>
        </is>
      </c>
      <c r="Q491" t="inlineStr">
        <is>
          <t>6829261029549</t>
        </is>
      </c>
    </row>
    <row r="492">
      <c r="A492" s="2">
        <f>HYPERLINK("https://edmondsonsupply.com/collections/electricians-tools/products/milwaukee-48-22-6625-compact-tape-measure-25ft", "https://edmondsonsupply.com/collections/electricians-tools/products/milwaukee-48-22-6625-compact-tape-measure-25ft")</f>
        <v/>
      </c>
      <c r="B492" s="2">
        <f>HYPERLINK("https://edmondsonsupply.com/products/milwaukee-48-22-6625-compact-tape-measure-25ft", "https://edmondsonsupply.com/products/milwaukee-48-22-6625-compact-tape-measure-25ft")</f>
        <v/>
      </c>
      <c r="C492" t="inlineStr">
        <is>
          <t>Milwaukee 48-22-6625 Compact Tape Measure, 25ft</t>
        </is>
      </c>
      <c r="D492" t="inlineStr">
        <is>
          <t>Milwaukee Electric Tool 48-22-6625G Heavy Duty, Compact Measuring Tapes (2 Piece), 25'</t>
        </is>
      </c>
      <c r="E492" s="2">
        <f>HYPERLINK("https://www.amazon.com/Milwaukee-Electric-Tool-48-22-6625G-Measuring/dp/B005NSO6TA/ref=sr_1_2?keywords=Milwaukee+48-22-6625+Compact+Tape+Measure%2C+25ft&amp;qid=1695174071&amp;sr=8-2", "https://www.amazon.com/Milwaukee-Electric-Tool-48-22-6625G-Measuring/dp/B005NSO6TA/ref=sr_1_2?keywords=Milwaukee+48-22-6625+Compact+Tape+Measure%2C+25ft&amp;qid=1695174071&amp;sr=8-2")</f>
        <v/>
      </c>
      <c r="F492" t="inlineStr">
        <is>
          <t>B005NSO6TA</t>
        </is>
      </c>
      <c r="G492">
        <f>_xludf.IMAGE("https://edmondsonsupply.com/cdn/shop/products/48-22-6625_1.png?v=1675692460")</f>
        <v/>
      </c>
      <c r="H492">
        <f>_xludf.IMAGE("https://m.media-amazon.com/images/I/41aR2qwAuBL._AC_UL320_.jpg")</f>
        <v/>
      </c>
      <c r="I492" t="inlineStr">
        <is>
          <t>16.97</t>
        </is>
      </c>
      <c r="J492" t="n">
        <v>58.11</v>
      </c>
      <c r="K492" s="3" t="inlineStr">
        <is>
          <t>242.43%</t>
        </is>
      </c>
      <c r="L492" t="n">
        <v>4.5</v>
      </c>
      <c r="M492" t="n">
        <v>286</v>
      </c>
      <c r="O492" t="inlineStr">
        <is>
          <t>InStock</t>
        </is>
      </c>
      <c r="P492" t="inlineStr">
        <is>
          <t>27.5</t>
        </is>
      </c>
      <c r="Q492" t="inlineStr">
        <is>
          <t>7940063396056</t>
        </is>
      </c>
    </row>
    <row r="493">
      <c r="A493" s="2">
        <f>HYPERLINK("https://edmondsonsupply.com/collections/electricians-tools/products/greenlee-611-1-1-4-foam-conduit-piston", "https://edmondsonsupply.com/collections/electricians-tools/products/greenlee-611-1-1-4-foam-conduit-piston")</f>
        <v/>
      </c>
      <c r="B493" s="2">
        <f>HYPERLINK("https://edmondsonsupply.com/products/greenlee-611-1-1-4-foam-conduit-piston", "https://edmondsonsupply.com/products/greenlee-611-1-1-4-foam-conduit-piston")</f>
        <v/>
      </c>
      <c r="C493" t="inlineStr">
        <is>
          <t>Greenlee 611 1-1/4" Foam Conduit Piston</t>
        </is>
      </c>
      <c r="D493" t="inlineStr">
        <is>
          <t>Greenlee - Piston,4" Conduit, Fishing (617)</t>
        </is>
      </c>
      <c r="E493" s="2">
        <f>HYPERLINK("https://www.amazon.com/Greenlee-617-Piston-Conduit-Rigid/dp/B000E2JVR2/ref=sr_1_4?keywords=Greenlee+611+1-1%2F4%22+Foam+Conduit+Piston&amp;qid=1695174011&amp;sr=8-4", "https://www.amazon.com/Greenlee-617-Piston-Conduit-Rigid/dp/B000E2JVR2/ref=sr_1_4?keywords=Greenlee+611+1-1%2F4%22+Foam+Conduit+Piston&amp;qid=1695174011&amp;sr=8-4")</f>
        <v/>
      </c>
      <c r="F493" t="inlineStr">
        <is>
          <t>B000E2JVR2</t>
        </is>
      </c>
      <c r="G493">
        <f>_xludf.IMAGE("https://edmondsonsupply.com/cdn/shop/files/Greenlee-611_1.jpg?v=1687449194")</f>
        <v/>
      </c>
      <c r="H493">
        <f>_xludf.IMAGE("https://m.media-amazon.com/images/I/61MOecOeXpL._AC_UL320_.jpg")</f>
        <v/>
      </c>
      <c r="I493" t="inlineStr">
        <is>
          <t>8.89</t>
        </is>
      </c>
      <c r="J493" t="n">
        <v>30.19</v>
      </c>
      <c r="K493" s="3" t="inlineStr">
        <is>
          <t>239.60%</t>
        </is>
      </c>
      <c r="L493" t="n">
        <v>4.7</v>
      </c>
      <c r="M493" t="n">
        <v>11</v>
      </c>
      <c r="O493" t="inlineStr">
        <is>
          <t>InStock</t>
        </is>
      </c>
      <c r="P493" t="inlineStr">
        <is>
          <t>9.25</t>
        </is>
      </c>
      <c r="Q493" t="inlineStr">
        <is>
          <t>8007992017112</t>
        </is>
      </c>
    </row>
    <row r="494">
      <c r="A494" s="2">
        <f>HYPERLINK("https://edmondsonsupply.com/collections/electricians-tools/products/klein-tools-29025-modular-battery-for-klein-tools-cat-no-60155-hard-hat-cooling-fan", "https://edmondsonsupply.com/collections/electricians-tools/products/klein-tools-29025-modular-battery-for-klein-tools-cat-no-60155-hard-hat-cooling-fan")</f>
        <v/>
      </c>
      <c r="B494" s="2">
        <f>HYPERLINK("https://edmondsonsupply.com/products/klein-tools-29025-modular-battery-for-klein-tools-cat-no-60155-hard-hat-cooling-fan", "https://edmondsonsupply.com/products/klein-tools-29025-modular-battery-for-klein-tools-cat-no-60155-hard-hat-cooling-fan")</f>
        <v/>
      </c>
      <c r="C494" t="inlineStr">
        <is>
          <t>Klein Tools 29025 Modular Battery for Klein Tools Cat. No. 60155 Hard Hat Cooling Fan</t>
        </is>
      </c>
      <c r="D494" t="inlineStr">
        <is>
          <t>Klein Tools 60346 Hard Hat, Non-Vented Full Brim &amp; 29025 Rechargeable Lithium-ion Portable Battery to Power Klein Tools Hard Hat Cooling Fan Cat. No. 60155</t>
        </is>
      </c>
      <c r="E494" s="2">
        <f>HYPERLINK("https://www.amazon.com/Klein-Tools-Non-Vented-Rechargeable-Lithium-ion/dp/B0B7MR6XWH/ref=sr_1_2?keywords=Klein+Tools+29025+Modular+Battery+for+Klein+Tools+Cat.+No.+60155+Hard+Hat+Cooling+Fan&amp;qid=1695174158&amp;sr=8-2", "https://www.amazon.com/Klein-Tools-Non-Vented-Rechargeable-Lithium-ion/dp/B0B7MR6XWH/ref=sr_1_2?keywords=Klein+Tools+29025+Modular+Battery+for+Klein+Tools+Cat.+No.+60155+Hard+Hat+Cooling+Fan&amp;qid=1695174158&amp;sr=8-2")</f>
        <v/>
      </c>
      <c r="F494" t="inlineStr">
        <is>
          <t>B0B7MR6XWH</t>
        </is>
      </c>
      <c r="G494">
        <f>_xludf.IMAGE("https://edmondsonsupply.com/cdn/shop/products/29025.jpg?v=1664802987")</f>
        <v/>
      </c>
      <c r="H494">
        <f>_xludf.IMAGE("https://m.media-amazon.com/images/I/5186Hi+TUJL._AC_UL320_.jpg")</f>
        <v/>
      </c>
      <c r="I494" t="inlineStr">
        <is>
          <t>36.99</t>
        </is>
      </c>
      <c r="J494" t="n">
        <v>124.98</v>
      </c>
      <c r="K494" s="3" t="inlineStr">
        <is>
          <t>237.88%</t>
        </is>
      </c>
      <c r="L494" t="n">
        <v>4.7</v>
      </c>
      <c r="M494" t="n">
        <v>4</v>
      </c>
      <c r="O494" t="inlineStr">
        <is>
          <t>InStock</t>
        </is>
      </c>
      <c r="P494" t="inlineStr">
        <is>
          <t>51.78</t>
        </is>
      </c>
      <c r="Q494" t="inlineStr">
        <is>
          <t>7837556965592</t>
        </is>
      </c>
    </row>
    <row r="495">
      <c r="A495" s="2">
        <f>HYPERLINK("https://edmondsonsupply.com/collections/electricians-tools/products/milwaukee-2880-20-m18-fuel%E2%84%A2-4-1-2-5-grinder-paddle-switch-no-lock", "https://edmondsonsupply.com/collections/electricians-tools/products/milwaukee-2880-20-m18-fuel%E2%84%A2-4-1-2-5-grinder-paddle-switch-no-lock")</f>
        <v/>
      </c>
      <c r="B495" s="2">
        <f>HYPERLINK("https://edmondsonsupply.com/products/milwaukee-2880-20-m18-fuel%e2%84%a2-4-1-2-5-grinder-paddle-switch-no-lock", "https://edmondsonsupply.com/products/milwaukee-2880-20-m18-fuel%e2%84%a2-4-1-2-5-grinder-paddle-switch-no-lock")</f>
        <v/>
      </c>
      <c r="C495" t="inlineStr">
        <is>
          <t>Milwaukee 2880-20 M18 FUEL™ 4-1/2" / 5" Grinder Paddle Switch, No-Lock</t>
        </is>
      </c>
      <c r="D495" t="inlineStr">
        <is>
          <t>Milwaukee 2780-22 M18 Fuel 4-1/2" / 5" Grinder, Paddle Switch No-Lock</t>
        </is>
      </c>
      <c r="E495" s="2">
        <f>HYPERLINK("https://www.amazon.com/Milwaukee-2780-22-Grinder-Paddle-No-Lock/dp/B01N45B1K5/ref=sr_1_5?keywords=Milwaukee+2880-20+M18+FUEL%E2%84%A2+4-1%2F2%22+%2F+5%22+Grinder+Paddle+Switch%2C+No-Lock&amp;qid=1695174165&amp;sr=8-5", "https://www.amazon.com/Milwaukee-2780-22-Grinder-Paddle-No-Lock/dp/B01N45B1K5/ref=sr_1_5?keywords=Milwaukee+2880-20+M18+FUEL%E2%84%A2+4-1%2F2%22+%2F+5%22+Grinder+Paddle+Switch%2C+No-Lock&amp;qid=1695174165&amp;sr=8-5")</f>
        <v/>
      </c>
      <c r="F495" t="inlineStr">
        <is>
          <t>B01N45B1K5</t>
        </is>
      </c>
      <c r="G495">
        <f>_xludf.IMAGE("https://edmondsonsupply.com/cdn/shop/products/2880-20_1.webp?v=1661698933")</f>
        <v/>
      </c>
      <c r="H495">
        <f>_xludf.IMAGE("https://m.media-amazon.com/images/I/61hjyVlQ1pL._AC_UL320_.jpg")</f>
        <v/>
      </c>
      <c r="I495" t="inlineStr">
        <is>
          <t>199.0</t>
        </is>
      </c>
      <c r="J495" t="n">
        <v>669.99</v>
      </c>
      <c r="K495" s="3" t="inlineStr">
        <is>
          <t>236.68%</t>
        </is>
      </c>
      <c r="L495" t="n">
        <v>5</v>
      </c>
      <c r="M495" t="n">
        <v>2</v>
      </c>
      <c r="O495" t="inlineStr">
        <is>
          <t>InStock</t>
        </is>
      </c>
      <c r="P495" t="inlineStr">
        <is>
          <t>330.0</t>
        </is>
      </c>
      <c r="Q495" t="inlineStr">
        <is>
          <t>7795852411096</t>
        </is>
      </c>
    </row>
    <row r="496">
      <c r="A496" s="2">
        <f>HYPERLINK("https://edmondsonsupply.com/collections/electricians-tools/products/klein-tools-32907-7-in-1-impact-flip-socket-set-no-handle", "https://edmondsonsupply.com/collections/electricians-tools/products/klein-tools-32907-7-in-1-impact-flip-socket-set-no-handle")</f>
        <v/>
      </c>
      <c r="B496" s="2">
        <f>HYPERLINK("https://edmondsonsupply.com/products/klein-tools-32907-7-in-1-impact-flip-socket-set-no-handle", "https://edmondsonsupply.com/products/klein-tools-32907-7-in-1-impact-flip-socket-set-no-handle")</f>
        <v/>
      </c>
      <c r="C496" t="inlineStr">
        <is>
          <t>Klein Tools 32907 7-in-1 Impact Flip Socket Set, No Handle</t>
        </is>
      </c>
      <c r="D496" t="inlineStr">
        <is>
          <t>Klein Tools 66070 Impact Socket Set, Impact Driver Flip Socket, Five Sockets with 1/4-Inch Hex and 1/2-Inch Square Socket Adapters, 7-Piece</t>
        </is>
      </c>
      <c r="E496" s="2">
        <f>HYPERLINK("https://www.amazon.com/Klein-Tools-66070-Impact-7-Piece/dp/B0BGZPWNJQ/ref=sr_1_5?keywords=Klein+Tools+32907+7-in-1+Impact+Flip+Socket+Set%2C+No+Handle&amp;qid=1695173886&amp;sr=8-5", "https://www.amazon.com/Klein-Tools-66070-Impact-7-Piece/dp/B0BGZPWNJQ/ref=sr_1_5?keywords=Klein+Tools+32907+7-in-1+Impact+Flip+Socket+Set%2C+No+Handle&amp;qid=1695173886&amp;sr=8-5")</f>
        <v/>
      </c>
      <c r="F496" t="inlineStr">
        <is>
          <t>B0BGZPWNJQ</t>
        </is>
      </c>
      <c r="G496">
        <f>_xludf.IMAGE("https://edmondsonsupply.com/cdn/shop/products/32907_b.jpg?v=1666025282")</f>
        <v/>
      </c>
      <c r="H496">
        <f>_xludf.IMAGE("https://m.media-amazon.com/images/I/519cDb-A9oL._AC_UL320_.jpg")</f>
        <v/>
      </c>
      <c r="I496" t="inlineStr">
        <is>
          <t>19.99</t>
        </is>
      </c>
      <c r="J496" t="n">
        <v>66.94</v>
      </c>
      <c r="K496" s="3" t="inlineStr">
        <is>
          <t>234.87%</t>
        </is>
      </c>
      <c r="L496" t="n">
        <v>4.8</v>
      </c>
      <c r="M496" t="n">
        <v>18</v>
      </c>
      <c r="O496" t="inlineStr">
        <is>
          <t>InStock</t>
        </is>
      </c>
      <c r="P496" t="inlineStr">
        <is>
          <t>29.18</t>
        </is>
      </c>
      <c r="Q496" t="inlineStr">
        <is>
          <t>7856653009112</t>
        </is>
      </c>
    </row>
    <row r="497">
      <c r="A497" s="2">
        <f>HYPERLINK("https://edmondsonsupply.com/collections/electricians-tools/products/klein-tools-60163-professional-safety-glasses-full-frame-clear-lens", "https://edmondsonsupply.com/collections/electricians-tools/products/klein-tools-60163-professional-safety-glasses-full-frame-clear-lens")</f>
        <v/>
      </c>
      <c r="B497" s="2">
        <f>HYPERLINK("https://edmondsonsupply.com/products/klein-tools-60163-professional-safety-glasses-full-frame-clear-lens", "https://edmondsonsupply.com/products/klein-tools-60163-professional-safety-glasses-full-frame-clear-lens")</f>
        <v/>
      </c>
      <c r="C497" t="inlineStr">
        <is>
          <t>Klein Tools 60163 Professional Safety Glasses, Full Frame, Clear Lens</t>
        </is>
      </c>
      <c r="D497" t="inlineStr">
        <is>
          <t>Klein Tools 80055 Safety Glasses Kit, Professional Safety Glasses with Full Frame, Gray Lens and Breakaway Lanyard, 8-Piece</t>
        </is>
      </c>
      <c r="E497" s="2">
        <f>HYPERLINK("https://www.amazon.com/Klein-80055-Glasses-Professional-Breakaway/dp/B09HR9RV4H/ref=sr_1_7?keywords=Klein+Tools+60163+Professional+Safety+Glasses%2C+Full+Frame%2C+Clear+Lens&amp;qid=1695174311&amp;sr=8-7", "https://www.amazon.com/Klein-80055-Glasses-Professional-Breakaway/dp/B09HR9RV4H/ref=sr_1_7?keywords=Klein+Tools+60163+Professional+Safety+Glasses%2C+Full+Frame%2C+Clear+Lens&amp;qid=1695174311&amp;sr=8-7")</f>
        <v/>
      </c>
      <c r="F497" t="inlineStr">
        <is>
          <t>B09HR9RV4H</t>
        </is>
      </c>
      <c r="G497">
        <f>_xludf.IMAGE("https://edmondsonsupply.com/cdn/shop/products/60163.jpg?v=1633030848")</f>
        <v/>
      </c>
      <c r="H497">
        <f>_xludf.IMAGE("https://m.media-amazon.com/images/I/61L5l7dmmiL._AC_UL320_.jpg")</f>
        <v/>
      </c>
      <c r="I497" t="inlineStr">
        <is>
          <t>14.99</t>
        </is>
      </c>
      <c r="J497" t="n">
        <v>49.99</v>
      </c>
      <c r="K497" s="3" t="inlineStr">
        <is>
          <t>233.49%</t>
        </is>
      </c>
      <c r="L497" t="n">
        <v>4.5</v>
      </c>
      <c r="M497" t="n">
        <v>13</v>
      </c>
      <c r="O497" t="inlineStr">
        <is>
          <t>InStock</t>
        </is>
      </c>
      <c r="P497" t="inlineStr">
        <is>
          <t>20.98</t>
        </is>
      </c>
      <c r="Q497" t="inlineStr">
        <is>
          <t>6094353039533</t>
        </is>
      </c>
    </row>
    <row r="498">
      <c r="A498" s="2">
        <f>HYPERLINK("https://edmondsonsupply.com/collections/electricians-tools/products/klein-tools-60164-professional-safety-glasses-full-frame-gray-lens", "https://edmondsonsupply.com/collections/electricians-tools/products/klein-tools-60164-professional-safety-glasses-full-frame-gray-lens")</f>
        <v/>
      </c>
      <c r="B498" s="2">
        <f>HYPERLINK("https://edmondsonsupply.com/products/klein-tools-60164-professional-safety-glasses-full-frame-gray-lens", "https://edmondsonsupply.com/products/klein-tools-60164-professional-safety-glasses-full-frame-gray-lens")</f>
        <v/>
      </c>
      <c r="C498" t="inlineStr">
        <is>
          <t>Klein Tools 60164 Professional Safety Glasses, Full Frame, Gray Lens</t>
        </is>
      </c>
      <c r="D498" t="inlineStr">
        <is>
          <t>Klein Tools 80055 Safety Glasses Kit, Professional Safety Glasses with Full Frame, Gray Lens and Breakaway Lanyard, 8-Piece</t>
        </is>
      </c>
      <c r="E498" s="2">
        <f>HYPERLINK("https://www.amazon.com/Klein-80055-Glasses-Professional-Breakaway/dp/B09HR9RV4H/ref=sr_1_2?keywords=Klein+Tools+60164+Professional+Safety+Glasses%2C+Full+Frame%2C+Gray+Lens&amp;qid=1695173933&amp;sr=8-2", "https://www.amazon.com/Klein-80055-Glasses-Professional-Breakaway/dp/B09HR9RV4H/ref=sr_1_2?keywords=Klein+Tools+60164+Professional+Safety+Glasses%2C+Full+Frame%2C+Gray+Lens&amp;qid=1695173933&amp;sr=8-2")</f>
        <v/>
      </c>
      <c r="F498" t="inlineStr">
        <is>
          <t>B09HR9RV4H</t>
        </is>
      </c>
      <c r="G498">
        <f>_xludf.IMAGE("https://edmondsonsupply.com/cdn/shop/products/60164.jpg?v=1633030851")</f>
        <v/>
      </c>
      <c r="H498">
        <f>_xludf.IMAGE("https://m.media-amazon.com/images/I/61L5l7dmmiL._AC_UL320_.jpg")</f>
        <v/>
      </c>
      <c r="I498" t="inlineStr">
        <is>
          <t>14.99</t>
        </is>
      </c>
      <c r="J498" t="n">
        <v>49.99</v>
      </c>
      <c r="K498" s="3" t="inlineStr">
        <is>
          <t>233.49%</t>
        </is>
      </c>
      <c r="L498" t="n">
        <v>4.5</v>
      </c>
      <c r="M498" t="n">
        <v>13</v>
      </c>
      <c r="O498" t="inlineStr">
        <is>
          <t>InStock</t>
        </is>
      </c>
      <c r="P498" t="inlineStr">
        <is>
          <t>20.98</t>
        </is>
      </c>
      <c r="Q498" t="inlineStr">
        <is>
          <t>6103189520557</t>
        </is>
      </c>
    </row>
    <row r="499">
      <c r="A499" s="2">
        <f>HYPERLINK("https://edmondsonsupply.com/collections/electricians-tools/products/milwaukee-48-22-9429-7pc-sae-flex-head-combination-wrenches", "https://edmondsonsupply.com/collections/electricians-tools/products/milwaukee-48-22-9429-7pc-sae-flex-head-combination-wrenches")</f>
        <v/>
      </c>
      <c r="B499" s="2">
        <f>HYPERLINK("https://edmondsonsupply.com/products/milwaukee-48-22-9429-7pc-sae-flex-head-combination-wrenches", "https://edmondsonsupply.com/products/milwaukee-48-22-9429-7pc-sae-flex-head-combination-wrenches")</f>
        <v/>
      </c>
      <c r="C499" t="inlineStr">
        <is>
          <t>Milwaukee 48-22-9429 7pc SAE Flex Head Combination Wrenches</t>
        </is>
      </c>
      <c r="D499" t="inlineStr">
        <is>
          <t>Milwaukee Flex Head Ratcheting Combination Wrench Set Bundel - 2 Items - Metric (8mm - 22mm) - SAE (1/4" - 1") 48-22-9513 48-22-9413</t>
        </is>
      </c>
      <c r="E499" s="2">
        <f>HYPERLINK("https://www.amazon.com/Milwaukee-Ratcheting-Combination-Wrench-Bundel/dp/B09HN752MW/ref=sr_1_4?keywords=Milwaukee+48-22-9429+7pc+SAE+Flex+Head+Combination+Wrenches&amp;qid=1695174128&amp;sr=8-4", "https://www.amazon.com/Milwaukee-Ratcheting-Combination-Wrench-Bundel/dp/B09HN752MW/ref=sr_1_4?keywords=Milwaukee+48-22-9429+7pc+SAE+Flex+Head+Combination+Wrenches&amp;qid=1695174128&amp;sr=8-4")</f>
        <v/>
      </c>
      <c r="F499" t="inlineStr">
        <is>
          <t>B09HN752MW</t>
        </is>
      </c>
      <c r="G499">
        <f>_xludf.IMAGE("https://edmondsonsupply.com/cdn/shop/products/48-22-9429_1.webp?v=1668435785")</f>
        <v/>
      </c>
      <c r="H499">
        <f>_xludf.IMAGE("https://m.media-amazon.com/images/I/71197bqjKiL._AC_UL320_.jpg")</f>
        <v/>
      </c>
      <c r="I499" t="inlineStr">
        <is>
          <t>179.97</t>
        </is>
      </c>
      <c r="J499" t="n">
        <v>599</v>
      </c>
      <c r="K499" s="3" t="inlineStr">
        <is>
          <t>232.83%</t>
        </is>
      </c>
      <c r="L499" t="n">
        <v>5</v>
      </c>
      <c r="M499" t="n">
        <v>3</v>
      </c>
      <c r="O499" t="inlineStr">
        <is>
          <t>InStock</t>
        </is>
      </c>
      <c r="P499" t="inlineStr">
        <is>
          <t>273.0</t>
        </is>
      </c>
      <c r="Q499" t="inlineStr">
        <is>
          <t>7884342034648</t>
        </is>
      </c>
    </row>
    <row r="500">
      <c r="A500" s="2">
        <f>HYPERLINK("https://edmondsonsupply.com/collections/electricians-tools/products/milwaukee-48-22-9529-7pc-metric-flex-head-ratcheting-combination-wrench", "https://edmondsonsupply.com/collections/electricians-tools/products/milwaukee-48-22-9529-7pc-metric-flex-head-ratcheting-combination-wrench")</f>
        <v/>
      </c>
      <c r="B500" s="2">
        <f>HYPERLINK("https://edmondsonsupply.com/products/milwaukee-48-22-9529-7pc-metric-flex-head-ratcheting-combination-wrench", "https://edmondsonsupply.com/products/milwaukee-48-22-9529-7pc-metric-flex-head-ratcheting-combination-wrench")</f>
        <v/>
      </c>
      <c r="C500" t="inlineStr">
        <is>
          <t>Milwaukee 48-22-9529 7pc Metric Flex Head Ratcheting Combination Wrench</t>
        </is>
      </c>
      <c r="D500" t="inlineStr">
        <is>
          <t>Milwaukee Flex Head Ratcheting Combination Wrench Set Bundel - 2 Items - Metric (8mm - 22mm) - SAE (1/4" - 1") 48-22-9513 48-22-9413</t>
        </is>
      </c>
      <c r="E500" s="2">
        <f>HYPERLINK("https://www.amazon.com/Milwaukee-Ratcheting-Combination-Wrench-Bundel/dp/B09HN752MW/ref=sr_1_4?keywords=Milwaukee+48-22-9529+7pc+Metric+Flex+Head+Ratcheting+Combination+Wrench&amp;qid=1695174120&amp;sr=8-4", "https://www.amazon.com/Milwaukee-Ratcheting-Combination-Wrench-Bundel/dp/B09HN752MW/ref=sr_1_4?keywords=Milwaukee+48-22-9529+7pc+Metric+Flex+Head+Ratcheting+Combination+Wrench&amp;qid=1695174120&amp;sr=8-4")</f>
        <v/>
      </c>
      <c r="F500" t="inlineStr">
        <is>
          <t>B09HN752MW</t>
        </is>
      </c>
      <c r="G500">
        <f>_xludf.IMAGE("https://edmondsonsupply.com/cdn/shop/products/48-22-9529_1.png?v=1668437310")</f>
        <v/>
      </c>
      <c r="H500">
        <f>_xludf.IMAGE("https://m.media-amazon.com/images/I/71197bqjKiL._AC_UL320_.jpg")</f>
        <v/>
      </c>
      <c r="I500" t="inlineStr">
        <is>
          <t>179.97</t>
        </is>
      </c>
      <c r="J500" t="n">
        <v>599</v>
      </c>
      <c r="K500" s="3" t="inlineStr">
        <is>
          <t>232.83%</t>
        </is>
      </c>
      <c r="L500" t="n">
        <v>5</v>
      </c>
      <c r="M500" t="n">
        <v>3</v>
      </c>
      <c r="O500" t="inlineStr">
        <is>
          <t>InStock</t>
        </is>
      </c>
      <c r="P500" t="inlineStr">
        <is>
          <t>270.4</t>
        </is>
      </c>
      <c r="Q500" t="inlineStr">
        <is>
          <t>7884351045848</t>
        </is>
      </c>
    </row>
    <row r="501">
      <c r="A501" s="2">
        <f>HYPERLINK("https://edmondsonsupply.com/collections/electricians-tools/products/klein-tools-vdv500-123-probe-pro-tracing-probe", "https://edmondsonsupply.com/collections/electricians-tools/products/klein-tools-vdv500-123-probe-pro-tracing-probe")</f>
        <v/>
      </c>
      <c r="B501" s="2">
        <f>HYPERLINK("https://edmondsonsupply.com/products/klein-tools-vdv500-123-probe-pro-tracing-probe", "https://edmondsonsupply.com/products/klein-tools-vdv500-123-probe-pro-tracing-probe")</f>
        <v/>
      </c>
      <c r="C501" t="inlineStr">
        <is>
          <t>Klein Tools VDV500-123 Probe-PRO Tracing Probe</t>
        </is>
      </c>
      <c r="D501" t="inlineStr">
        <is>
          <t>Klein Tools 80072 RJ45 Cable Tester Kit with LAN Scout Jr. 2, Coax Crimper/Stripper/Cutter Tool and Pass-Thru Modular Data Plug &amp; VDV500-123 Cable Tracer Probe-Pro Tracing Probe</t>
        </is>
      </c>
      <c r="E501" s="2">
        <f>HYPERLINK("https://www.amazon.com/Klein-Tools-Pass-Thru-VDV500-123-Probe-Pro/dp/B0BVG9VVZR/ref=sr_1_9?keywords=Klein+Tools+VDV500-123+Probe-PRO+Tracing+Probe&amp;qid=1695173898&amp;sr=8-9", "https://www.amazon.com/Klein-Tools-Pass-Thru-VDV500-123-Probe-Pro/dp/B0BVG9VVZR/ref=sr_1_9?keywords=Klein+Tools+VDV500-123+Probe-PRO+Tracing+Probe&amp;qid=1695173898&amp;sr=8-9")</f>
        <v/>
      </c>
      <c r="F501" t="inlineStr">
        <is>
          <t>B0BVG9VVZR</t>
        </is>
      </c>
      <c r="G501">
        <f>_xludf.IMAGE("https://edmondsonsupply.com/cdn/shop/products/vdv500123.jpg?v=1587142783")</f>
        <v/>
      </c>
      <c r="H501">
        <f>_xludf.IMAGE("https://m.media-amazon.com/images/I/51zx3GIQY6L._AC_UY218_.jpg")</f>
        <v/>
      </c>
      <c r="I501" t="inlineStr">
        <is>
          <t>44.99</t>
        </is>
      </c>
      <c r="J501" t="n">
        <v>148.77</v>
      </c>
      <c r="K501" s="3" t="inlineStr">
        <is>
          <t>230.67%</t>
        </is>
      </c>
      <c r="L501" t="n">
        <v>5</v>
      </c>
      <c r="M501" t="n">
        <v>1</v>
      </c>
      <c r="O501" t="inlineStr">
        <is>
          <t>InStock</t>
        </is>
      </c>
      <c r="P501" t="inlineStr">
        <is>
          <t>63.0</t>
        </is>
      </c>
      <c r="Q501" t="inlineStr">
        <is>
          <t>4274361466980</t>
        </is>
      </c>
    </row>
    <row r="502">
      <c r="A502" s="2">
        <f>HYPERLINK("https://edmondsonsupply.com/collections/electricians-tools/products/klein-tools-32791-pro-impact-power-bit-extension-1-4-inch-hex", "https://edmondsonsupply.com/collections/electricians-tools/products/klein-tools-32791-pro-impact-power-bit-extension-1-4-inch-hex")</f>
        <v/>
      </c>
      <c r="B502" s="2">
        <f>HYPERLINK("https://edmondsonsupply.com/products/klein-tools-32791-pro-impact-power-bit-extension-1-4-inch-hex", "https://edmondsonsupply.com/products/klein-tools-32791-pro-impact-power-bit-extension-1-4-inch-hex")</f>
        <v/>
      </c>
      <c r="C502" t="inlineStr">
        <is>
          <t>Klein Tools 32791 Pro Impact Power Bit Extension 1/4-Inch Hex</t>
        </is>
      </c>
      <c r="D502" t="inlineStr">
        <is>
          <t>WORKPRO 9-Piece Socket Adapter Extension Set, 1/4, 3/8, 1/2-Inch Drive, 1/4-Inch Hex Shank, Impact Grade Extension Bit with Holder for Power Drill &amp; Impact Driver</t>
        </is>
      </c>
      <c r="E502" s="2">
        <f>HYPERLINK("https://www.amazon.com/WORKPRO-9-Piece-Socket-Adapter-Extension/dp/B0B6YYSZ6N/ref=sr_1_4?keywords=Klein+Tools+32791+Pro+Impact+Power+Bit+Extension+1%2F4-Inch+Hex&amp;qid=1695173960&amp;sr=8-4", "https://www.amazon.com/WORKPRO-9-Piece-Socket-Adapter-Extension/dp/B0B6YYSZ6N/ref=sr_1_4?keywords=Klein+Tools+32791+Pro+Impact+Power+Bit+Extension+1%2F4-Inch+Hex&amp;qid=1695173960&amp;sr=8-4")</f>
        <v/>
      </c>
      <c r="F502" t="inlineStr">
        <is>
          <t>B0B6YYSZ6N</t>
        </is>
      </c>
      <c r="G502">
        <f>_xludf.IMAGE("https://edmondsonsupply.com/cdn/shop/products/32791.jpg?v=1587145614")</f>
        <v/>
      </c>
      <c r="H502">
        <f>_xludf.IMAGE("https://m.media-amazon.com/images/I/61f5WFB-N1L._AC_UL320_.jpg")</f>
        <v/>
      </c>
      <c r="I502" t="inlineStr">
        <is>
          <t>6.99</t>
        </is>
      </c>
      <c r="J502" t="n">
        <v>22.97</v>
      </c>
      <c r="K502" s="3" t="inlineStr">
        <is>
          <t>228.61%</t>
        </is>
      </c>
      <c r="L502" t="n">
        <v>4.7</v>
      </c>
      <c r="M502" t="n">
        <v>199</v>
      </c>
      <c r="O502" t="inlineStr">
        <is>
          <t>InStock</t>
        </is>
      </c>
      <c r="P502" t="inlineStr">
        <is>
          <t>9.82</t>
        </is>
      </c>
      <c r="Q502" t="inlineStr">
        <is>
          <t>3500862570596</t>
        </is>
      </c>
    </row>
    <row r="503">
      <c r="A503" s="2">
        <f>HYPERLINK("https://edmondsonsupply.com/collections/electricians-tools/products/klein-tools-jth9m5-5-mm-hex-key-journeyman-t-handle-9-inch", "https://edmondsonsupply.com/collections/electricians-tools/products/klein-tools-jth9m5-5-mm-hex-key-journeyman-t-handle-9-inch")</f>
        <v/>
      </c>
      <c r="B503" s="2">
        <f>HYPERLINK("https://edmondsonsupply.com/products/klein-tools-jth9m5-5-mm-hex-key-journeyman-t-handle-9-inch", "https://edmondsonsupply.com/products/klein-tools-jth9m5-5-mm-hex-key-journeyman-t-handle-9-inch")</f>
        <v/>
      </c>
      <c r="C503" t="inlineStr">
        <is>
          <t>Klein Tools JTH9M5 5 mm Hex Key, Journeyman T-Handle 9-Inch</t>
        </is>
      </c>
      <c r="D503" t="inlineStr">
        <is>
          <t>Klein Tools JTH9M8 8 mm Hex Key with Journeyman T-Handle, 9-Inch</t>
        </is>
      </c>
      <c r="E503" s="2">
        <f>HYPERLINK("https://www.amazon.com/Journeyman-T-Handle-Klein-Tools-JTH9M8/dp/B005G3HJSC/ref=sr_1_10?keywords=Klein+Tools+JTH9M5+5+mm+Hex+Key%2C+Journeyman+T-Handle+9-Inch&amp;qid=1695174264&amp;sr=8-10", "https://www.amazon.com/Journeyman-T-Handle-Klein-Tools-JTH9M8/dp/B005G3HJSC/ref=sr_1_10?keywords=Klein+Tools+JTH9M5+5+mm+Hex+Key%2C+Journeyman+T-Handle+9-Inch&amp;qid=1695174264&amp;sr=8-10")</f>
        <v/>
      </c>
      <c r="F503" t="inlineStr">
        <is>
          <t>B005G3HJSC</t>
        </is>
      </c>
      <c r="G503">
        <f>_xludf.IMAGE("https://edmondsonsupply.com/cdn/shop/products/jth9m_84ad507b-889a-4b5c-80a2-9633c898cd48.jpg?v=1633031048")</f>
        <v/>
      </c>
      <c r="H503">
        <f>_xludf.IMAGE("https://m.media-amazon.com/images/I/51+1x0vz9XL._AC_UL320_.jpg")</f>
        <v/>
      </c>
      <c r="I503" t="inlineStr">
        <is>
          <t>4.99</t>
        </is>
      </c>
      <c r="J503" t="n">
        <v>16.27</v>
      </c>
      <c r="K503" s="3" t="inlineStr">
        <is>
          <t>226.05%</t>
        </is>
      </c>
      <c r="L503" t="n">
        <v>5</v>
      </c>
      <c r="M503" t="n">
        <v>4</v>
      </c>
      <c r="O503" t="inlineStr">
        <is>
          <t>InStock</t>
        </is>
      </c>
      <c r="P503" t="inlineStr">
        <is>
          <t>7.58</t>
        </is>
      </c>
      <c r="Q503" t="inlineStr">
        <is>
          <t>6772921532589</t>
        </is>
      </c>
    </row>
    <row r="504">
      <c r="A504" s="2">
        <f>HYPERLINK("https://edmondsonsupply.com/collections/electricians-tools/products/klein-tools-jth4e17-1-2-inch-hex-key-journeyman-t-handle-4-inch", "https://edmondsonsupply.com/collections/electricians-tools/products/klein-tools-jth4e17-1-2-inch-hex-key-journeyman-t-handle-4-inch")</f>
        <v/>
      </c>
      <c r="B504" s="2">
        <f>HYPERLINK("https://edmondsonsupply.com/products/klein-tools-jth4e17-1-2-inch-hex-key-journeyman-t-handle-4-inch", "https://edmondsonsupply.com/products/klein-tools-jth4e17-1-2-inch-hex-key-journeyman-t-handle-4-inch")</f>
        <v/>
      </c>
      <c r="C504" t="inlineStr">
        <is>
          <t>Klein Tools JTH4E11 3/16-Inch Hex Key with Journeyman T-Handle, 4-Inch</t>
        </is>
      </c>
      <c r="D504" t="inlineStr">
        <is>
          <t>Klein Tools JTH9M8 8 mm Hex Key with Journeyman T-Handle, 9-Inch</t>
        </is>
      </c>
      <c r="E504" s="2">
        <f>HYPERLINK("https://www.amazon.com/Journeyman-T-Handle-Klein-Tools-JTH9M8/dp/B005G3HJSC/ref=sr_1_9?keywords=Klein+Tools+JTH4E11+3%2F16-Inch+Hex+Key+with+Journeyman+T-Handle%2C+4-Inch&amp;qid=1695173897&amp;sr=8-9", "https://www.amazon.com/Journeyman-T-Handle-Klein-Tools-JTH9M8/dp/B005G3HJSC/ref=sr_1_9?keywords=Klein+Tools+JTH4E11+3%2F16-Inch+Hex+Key+with+Journeyman+T-Handle%2C+4-Inch&amp;qid=1695173897&amp;sr=8-9")</f>
        <v/>
      </c>
      <c r="F504" t="inlineStr">
        <is>
          <t>B005G3HJSC</t>
        </is>
      </c>
      <c r="G504">
        <f>_xludf.IMAGE("https://edmondsonsupply.com/cdn/shop/products/jth4e17.jpg?v=1587144836")</f>
        <v/>
      </c>
      <c r="H504">
        <f>_xludf.IMAGE("https://m.media-amazon.com/images/I/51+1x0vz9XL._AC_UL320_.jpg")</f>
        <v/>
      </c>
      <c r="I504" t="inlineStr">
        <is>
          <t>4.99</t>
        </is>
      </c>
      <c r="J504" t="n">
        <v>16.27</v>
      </c>
      <c r="K504" s="3" t="inlineStr">
        <is>
          <t>226.05%</t>
        </is>
      </c>
      <c r="L504" t="n">
        <v>5</v>
      </c>
      <c r="M504" t="n">
        <v>4</v>
      </c>
      <c r="O504" t="inlineStr">
        <is>
          <t>InStock</t>
        </is>
      </c>
      <c r="P504" t="inlineStr">
        <is>
          <t>7.6</t>
        </is>
      </c>
      <c r="Q504" t="inlineStr">
        <is>
          <t>4432217964644</t>
        </is>
      </c>
    </row>
    <row r="505">
      <c r="A505" s="2">
        <f>HYPERLINK("https://edmondsonsupply.com/collections/electricians-tools/products/klein-tools-rt250-gfci-receptacle-tester-with-lcd", "https://edmondsonsupply.com/collections/electricians-tools/products/klein-tools-rt250-gfci-receptacle-tester-with-lcd")</f>
        <v/>
      </c>
      <c r="B505" s="2">
        <f>HYPERLINK("https://edmondsonsupply.com/products/klein-tools-rt250-gfci-receptacle-tester-with-lcd", "https://edmondsonsupply.com/products/klein-tools-rt250-gfci-receptacle-tester-with-lcd")</f>
        <v/>
      </c>
      <c r="C505" t="inlineStr">
        <is>
          <t>Klein Tools RT250 GFCI Receptacle Tester with LCD</t>
        </is>
      </c>
      <c r="D505" t="inlineStr">
        <is>
          <t>Klein Tools ET310 AC Circuit Breaker Finder with Integrated GFCI Outlet Tester &amp; RT250 GFCI Receptacle Tester with LCD Display, for Standard 3-Wire 120V Electrical Outlets</t>
        </is>
      </c>
      <c r="E505" s="2">
        <f>HYPERLINK("https://www.amazon.com/Klein-Tools-Integrated-Receptacle-Electrical/dp/B09P85276K/ref=sr_1_5?keywords=Klein+Tools+RT250+GFCI+Receptacle+Tester+with+LCD&amp;qid=1695174176&amp;sr=8-5", "https://www.amazon.com/Klein-Tools-Integrated-Receptacle-Electrical/dp/B09P85276K/ref=sr_1_5?keywords=Klein+Tools+RT250+GFCI+Receptacle+Tester+with+LCD&amp;qid=1695174176&amp;sr=8-5")</f>
        <v/>
      </c>
      <c r="F505" t="inlineStr">
        <is>
          <t>B09P85276K</t>
        </is>
      </c>
      <c r="G505">
        <f>_xludf.IMAGE("https://edmondsonsupply.com/cdn/shop/products/rt250_photo_c.jpg?v=1661363824")</f>
        <v/>
      </c>
      <c r="H505">
        <f>_xludf.IMAGE("https://m.media-amazon.com/images/I/51AwhghGlRL._AC_UL320_.jpg")</f>
        <v/>
      </c>
      <c r="I505" t="inlineStr">
        <is>
          <t>21.97</t>
        </is>
      </c>
      <c r="J505" t="n">
        <v>71.40000000000001</v>
      </c>
      <c r="K505" s="3" t="inlineStr">
        <is>
          <t>224.99%</t>
        </is>
      </c>
      <c r="L505" t="n">
        <v>4.8</v>
      </c>
      <c r="M505" t="n">
        <v>235</v>
      </c>
      <c r="O505" t="inlineStr">
        <is>
          <t>InStock</t>
        </is>
      </c>
      <c r="P505" t="inlineStr">
        <is>
          <t>30.78</t>
        </is>
      </c>
      <c r="Q505" t="inlineStr">
        <is>
          <t>7793138729176</t>
        </is>
      </c>
    </row>
    <row r="506">
      <c r="A506" s="2">
        <f>HYPERLINK("https://edmondsonsupply.com/collections/electricians-tools/products/copy-of-klein-tools-55918-tradesman-pro%E2%84%A2-modular-tool-belt", "https://edmondsonsupply.com/collections/electricians-tools/products/copy-of-klein-tools-55918-tradesman-pro%E2%84%A2-modular-tool-belt")</f>
        <v/>
      </c>
      <c r="B506" s="2">
        <f>HYPERLINK("https://edmondsonsupply.com/products/copy-of-klein-tools-55918-tradesman-pro%e2%84%a2-modular-tool-belt", "https://edmondsonsupply.com/products/copy-of-klein-tools-55918-tradesman-pro%e2%84%a2-modular-tool-belt")</f>
        <v/>
      </c>
      <c r="C506" t="inlineStr">
        <is>
          <t>Klein Tools 55919 Tradesman Pro™ Modular Tool Belt - L</t>
        </is>
      </c>
      <c r="D506" t="inlineStr">
        <is>
          <t>Klein Tools 55428 Tradesman Pro Electrician's Padded Tool Belt and Tool Pouch Combo for Long-wear Comfort and Durability Size Large, Black</t>
        </is>
      </c>
      <c r="E506" s="2">
        <f>HYPERLINK("https://www.amazon.com/Klein-Tools-55428-Electricians-Durability/dp/B00BZXA376/ref=sr_1_4?keywords=Klein+Tools+55919+Tradesman+Pro%E2%84%A2+Modular+Tool+Belt+-+L&amp;qid=1695173932&amp;sr=8-4", "https://www.amazon.com/Klein-Tools-55428-Electricians-Durability/dp/B00BZXA376/ref=sr_1_4?keywords=Klein+Tools+55919+Tradesman+Pro%E2%84%A2+Modular+Tool+Belt+-+L&amp;qid=1695173932&amp;sr=8-4")</f>
        <v/>
      </c>
      <c r="F506" t="inlineStr">
        <is>
          <t>B00BZXA376</t>
        </is>
      </c>
      <c r="G506">
        <f>_xludf.IMAGE("https://edmondsonsupply.com/cdn/shop/products/55919_6b1c1646-91d8-4915-b7bf-b52c8c6994c7.jpg?v=1587143413")</f>
        <v/>
      </c>
      <c r="H506">
        <f>_xludf.IMAGE("https://m.media-amazon.com/images/I/61hBX21HbTL._AC_UL320_.jpg")</f>
        <v/>
      </c>
      <c r="I506" t="inlineStr">
        <is>
          <t>35.99</t>
        </is>
      </c>
      <c r="J506" t="n">
        <v>115.99</v>
      </c>
      <c r="K506" s="3" t="inlineStr">
        <is>
          <t>222.28%</t>
        </is>
      </c>
      <c r="L506" t="n">
        <v>4.3</v>
      </c>
      <c r="M506" t="n">
        <v>529</v>
      </c>
      <c r="O506" t="inlineStr">
        <is>
          <t>InStock</t>
        </is>
      </c>
      <c r="P506" t="inlineStr">
        <is>
          <t>50.58</t>
        </is>
      </c>
      <c r="Q506" t="inlineStr">
        <is>
          <t>4498961760356</t>
        </is>
      </c>
    </row>
    <row r="507">
      <c r="A507" s="2">
        <f>HYPERLINK("https://edmondsonsupply.com/collections/electricians-tools/products/klein-tools-vdv427-300-impact-punchdown-tool-66-110-blade", "https://edmondsonsupply.com/collections/electricians-tools/products/klein-tools-vdv427-300-impact-punchdown-tool-66-110-blade")</f>
        <v/>
      </c>
      <c r="B507" s="2">
        <f>HYPERLINK("https://edmondsonsupply.com/products/klein-tools-vdv427-300-impact-punchdown-tool-66-110-blade", "https://edmondsonsupply.com/products/klein-tools-vdv427-300-impact-punchdown-tool-66-110-blade")</f>
        <v/>
      </c>
      <c r="C507" t="inlineStr">
        <is>
          <t>Klein Tools VDV427-300 Impact Punchdown Tool, 66/110 Blade</t>
        </is>
      </c>
      <c r="D507" t="inlineStr">
        <is>
          <t>Klein Tools VDV501-851 Cable Tester Kit &amp; VDV427-300 Impact Punchdown Tool, 66/110 Blade</t>
        </is>
      </c>
      <c r="E507" s="2">
        <f>HYPERLINK("https://www.amazon.com/Klein-Tools-VDV501-851-VDV427-300-Punchdown/dp/B09Q66V8VH/ref=sr_1_6?keywords=Klein+Tools+VDV427-300+Impact+Punchdown+Tool%2C+66%2F110+Blade&amp;qid=1695174221&amp;sr=8-6", "https://www.amazon.com/Klein-Tools-VDV501-851-VDV427-300-Punchdown/dp/B09Q66V8VH/ref=sr_1_6?keywords=Klein+Tools+VDV427-300+Impact+Punchdown+Tool%2C+66%2F110+Blade&amp;qid=1695174221&amp;sr=8-6")</f>
        <v/>
      </c>
      <c r="F507" t="inlineStr">
        <is>
          <t>B09Q66V8VH</t>
        </is>
      </c>
      <c r="G507">
        <f>_xludf.IMAGE("https://edmondsonsupply.com/cdn/shop/products/vdv427300.jpg?v=1646010568")</f>
        <v/>
      </c>
      <c r="H507">
        <f>_xludf.IMAGE("https://m.media-amazon.com/images/I/5179dKa9RLL._AC_UL320_.jpg")</f>
        <v/>
      </c>
      <c r="I507" t="inlineStr">
        <is>
          <t>39.97</t>
        </is>
      </c>
      <c r="J507" t="n">
        <v>128.07</v>
      </c>
      <c r="K507" s="3" t="inlineStr">
        <is>
          <t>220.42%</t>
        </is>
      </c>
      <c r="L507" t="n">
        <v>4.7</v>
      </c>
      <c r="M507" t="n">
        <v>75</v>
      </c>
      <c r="O507" t="inlineStr">
        <is>
          <t>InStock</t>
        </is>
      </c>
      <c r="P507" t="inlineStr">
        <is>
          <t>55.98</t>
        </is>
      </c>
      <c r="Q507" t="inlineStr">
        <is>
          <t>7620069818584</t>
        </is>
      </c>
    </row>
    <row r="508">
      <c r="A508" s="2">
        <f>HYPERLINK("https://edmondsonsupply.com/collections/electricians-tools/products/klein-tools-ncvt1xt-non-contact-voltage-tester-70-to-1000v-ac", "https://edmondsonsupply.com/collections/electricians-tools/products/klein-tools-ncvt1xt-non-contact-voltage-tester-70-to-1000v-ac")</f>
        <v/>
      </c>
      <c r="B508" s="2">
        <f>HYPERLINK("https://edmondsonsupply.com/products/klein-tools-ncvt1xt-non-contact-voltage-tester-70-to-1000v-ac", "https://edmondsonsupply.com/products/klein-tools-ncvt1xt-non-contact-voltage-tester-70-to-1000v-ac")</f>
        <v/>
      </c>
      <c r="C508" t="inlineStr">
        <is>
          <t>Klein Tools NCVT1XT Non-Contact Voltage Tester, 70 to 1000V AC</t>
        </is>
      </c>
      <c r="D508" t="inlineStr">
        <is>
          <t>Klein Tools NCVT-4IR Non-Contact Volt Tester, 12-1000V AC Pen with IR Thermometer -22 to 482 deg F, LED and Audible Alarms, Pocket Clip &amp; 14-in-1 Adjustable Screwdriver</t>
        </is>
      </c>
      <c r="E508" s="2">
        <f>HYPERLINK("https://www.amazon.com/Klein-Tools-NCVT-4IR-Non-Contact-Tester/dp/B0BD41QXCP/ref=sr_1_7?keywords=Klein+Tools+NCVT1XT+Non-Contact+Voltage+Tester%2C+70+to+1000V+AC&amp;qid=1695174075&amp;sr=8-7", "https://www.amazon.com/Klein-Tools-NCVT-4IR-Non-Contact-Tester/dp/B0BD41QXCP/ref=sr_1_7?keywords=Klein+Tools+NCVT1XT+Non-Contact+Voltage+Tester%2C+70+to+1000V+AC&amp;qid=1695174075&amp;sr=8-7")</f>
        <v/>
      </c>
      <c r="F508" t="inlineStr">
        <is>
          <t>B0BD41QXCP</t>
        </is>
      </c>
      <c r="G508">
        <f>_xludf.IMAGE("https://edmondsonsupply.com/cdn/shop/products/ncvt1xt.jpg?v=1674496568")</f>
        <v/>
      </c>
      <c r="H508">
        <f>_xludf.IMAGE("https://m.media-amazon.com/images/I/418deU9NDfL._AC_UL320_.jpg")</f>
        <v/>
      </c>
      <c r="I508" t="inlineStr">
        <is>
          <t>19.97</t>
        </is>
      </c>
      <c r="J508" t="n">
        <v>63.65</v>
      </c>
      <c r="K508" s="3" t="inlineStr">
        <is>
          <t>218.73%</t>
        </is>
      </c>
      <c r="L508" t="n">
        <v>5</v>
      </c>
      <c r="M508" t="n">
        <v>1</v>
      </c>
      <c r="O508" t="inlineStr">
        <is>
          <t>InStock</t>
        </is>
      </c>
      <c r="P508" t="inlineStr">
        <is>
          <t>26.32</t>
        </is>
      </c>
      <c r="Q508" t="inlineStr">
        <is>
          <t>7931947155672</t>
        </is>
      </c>
    </row>
    <row r="509">
      <c r="A509" s="2">
        <f>HYPERLINK("https://edmondsonsupply.com/collections/electricians-tools/products/milwaukee-48-22-2930-4-in-1-precision-multi-bit-screwdriver", "https://edmondsonsupply.com/collections/electricians-tools/products/milwaukee-48-22-2930-4-in-1-precision-multi-bit-screwdriver")</f>
        <v/>
      </c>
      <c r="B509" s="2">
        <f>HYPERLINK("https://edmondsonsupply.com/products/milwaukee-48-22-2930-4-in-1-precision-multi-bit-screwdriver", "https://edmondsonsupply.com/products/milwaukee-48-22-2930-4-in-1-precision-multi-bit-screwdriver")</f>
        <v/>
      </c>
      <c r="C509" t="inlineStr">
        <is>
          <t>Milwaukee 48-22-2930 4-in-1 Precision Multi-Bit Screwdriver</t>
        </is>
      </c>
      <c r="D509" t="inlineStr">
        <is>
          <t>Milwaukee 11-in-1 Multi-Tip Screwdriver with Square Drive Bits and 13-in-1 Multi-Tip Cushion Grip Screwdriver Sets (48-22-2880-2761)</t>
        </is>
      </c>
      <c r="E509" s="2">
        <f>HYPERLINK("https://www.amazon.com/Milwaukee-Multi-Tip-Screwdriver-Cushion-48-22-2880-2761/dp/B0BS435YZ2/ref=sr_1_2?keywords=Milwaukee+48-22-2930+4-in-1+Precision+Multi-Bit+Screwdriver&amp;qid=1695173899&amp;sr=8-2", "https://www.amazon.com/Milwaukee-Multi-Tip-Screwdriver-Cushion-48-22-2880-2761/dp/B0BS435YZ2/ref=sr_1_2?keywords=Milwaukee+48-22-2930+4-in-1+Precision+Multi-Bit+Screwdriver&amp;qid=1695173899&amp;sr=8-2")</f>
        <v/>
      </c>
      <c r="F509" t="inlineStr">
        <is>
          <t>B0BS435YZ2</t>
        </is>
      </c>
      <c r="G509">
        <f>_xludf.IMAGE("https://edmondsonsupply.com/cdn/shop/files/48-22-2930_PrimaryImage_WEB.webp?v=1686154438")</f>
        <v/>
      </c>
      <c r="H509">
        <f>_xludf.IMAGE("https://m.media-amazon.com/images/I/6147KLqShzL._AC_UL320_.jpg")</f>
        <v/>
      </c>
      <c r="I509" t="inlineStr">
        <is>
          <t>12.97</t>
        </is>
      </c>
      <c r="J509" t="n">
        <v>40.99</v>
      </c>
      <c r="K509" s="3" t="inlineStr">
        <is>
          <t>216.04%</t>
        </is>
      </c>
      <c r="L509" t="n">
        <v>5</v>
      </c>
      <c r="M509" t="n">
        <v>4</v>
      </c>
      <c r="O509" t="inlineStr">
        <is>
          <t>InStock</t>
        </is>
      </c>
      <c r="P509" t="inlineStr">
        <is>
          <t>17.3</t>
        </is>
      </c>
      <c r="Q509" t="inlineStr">
        <is>
          <t>7970427142360</t>
        </is>
      </c>
    </row>
    <row r="510">
      <c r="A510" s="2">
        <f>HYPERLINK("https://edmondsonsupply.com/collections/electricians-tools/products/klein-tools-jth9e10-5-32-inch-hex-key-journeyman-t-handle-9-inch", "https://edmondsonsupply.com/collections/electricians-tools/products/klein-tools-jth9e10-5-32-inch-hex-key-journeyman-t-handle-9-inch")</f>
        <v/>
      </c>
      <c r="B510" s="2">
        <f>HYPERLINK("https://edmondsonsupply.com/products/klein-tools-jth9e10-5-32-inch-hex-key-journeyman-t-handle-9-inch", "https://edmondsonsupply.com/products/klein-tools-jth9e10-5-32-inch-hex-key-journeyman-t-handle-9-inch")</f>
        <v/>
      </c>
      <c r="C510" t="inlineStr">
        <is>
          <t>Klein Tools JTH9E10 5/32-Inch Hex Key, Journeyman T-Handle, 9-Inch</t>
        </is>
      </c>
      <c r="D510" t="inlineStr">
        <is>
          <t>Klein Tools JTH9E17 1/2-Inch Hex Key, Journeyman T-Handle, 9-Inch</t>
        </is>
      </c>
      <c r="E510" s="2">
        <f>HYPERLINK("https://www.amazon.com/Journeyman-T-Handle-Klein-Tools-JTH9E17/dp/B004QV6NL4/ref=sr_1_6?keywords=Klein+Tools+JTH9E10+5%2F32-Inch+Hex+Key%2C+Journeyman+T-Handle%2C+9-Inch&amp;qid=1695174218&amp;sr=8-6", "https://www.amazon.com/Journeyman-T-Handle-Klein-Tools-JTH9E17/dp/B004QV6NL4/ref=sr_1_6?keywords=Klein+Tools+JTH9E10+5%2F32-Inch+Hex+Key%2C+Journeyman+T-Handle%2C+9-Inch&amp;qid=1695174218&amp;sr=8-6")</f>
        <v/>
      </c>
      <c r="F510" t="inlineStr">
        <is>
          <t>B004QV6NL4</t>
        </is>
      </c>
      <c r="G510">
        <f>_xludf.IMAGE("https://edmondsonsupply.com/cdn/shop/products/jth9e12_37b16542-2f59-465e-8bba-0a543803dfd0.jpg?v=1647892900")</f>
        <v/>
      </c>
      <c r="H510">
        <f>_xludf.IMAGE("https://m.media-amazon.com/images/I/51Yb8h41vLL._AC_UL320_.jpg")</f>
        <v/>
      </c>
      <c r="I510" t="inlineStr">
        <is>
          <t>7.6</t>
        </is>
      </c>
      <c r="J510" t="n">
        <v>23.99</v>
      </c>
      <c r="K510" s="3" t="inlineStr">
        <is>
          <t>215.66%</t>
        </is>
      </c>
      <c r="L510" t="n">
        <v>4.8</v>
      </c>
      <c r="M510" t="n">
        <v>194</v>
      </c>
      <c r="O510" t="inlineStr">
        <is>
          <t>OutOfStock</t>
        </is>
      </c>
      <c r="P510" t="inlineStr">
        <is>
          <t>undefined</t>
        </is>
      </c>
      <c r="Q510" t="inlineStr">
        <is>
          <t>7640873205976</t>
        </is>
      </c>
    </row>
    <row r="511">
      <c r="A511" s="2">
        <f>HYPERLINK("https://edmondsonsupply.com/collections/electricians-tools/products/klein-tools-66074-flip-impact-socket-3-4-and-13-16-inch", "https://edmondsonsupply.com/collections/electricians-tools/products/klein-tools-66074-flip-impact-socket-3-4-and-13-16-inch")</f>
        <v/>
      </c>
      <c r="B511" s="2">
        <f>HYPERLINK("https://edmondsonsupply.com/products/klein-tools-66074-flip-impact-socket-3-4-and-13-16-inch", "https://edmondsonsupply.com/products/klein-tools-66074-flip-impact-socket-3-4-and-13-16-inch")</f>
        <v/>
      </c>
      <c r="C511" t="inlineStr">
        <is>
          <t>Klein Tools 66074 Flip Impact Socket, 3/4 and 13/16-Inch</t>
        </is>
      </c>
      <c r="D511" t="inlineStr">
        <is>
          <t>Klein Tools 66001 2-in-1 Impact Socket, Socket Wrench Sizes 3/4-Inch and 9/16-Inch Hex, 12-Point Deep Socket with 1/2-Inch Drive</t>
        </is>
      </c>
      <c r="E511" s="2">
        <f>HYPERLINK("https://www.amazon.com/Klein-Tools-66001-12-Point-16-Inch/dp/B078NHVXWK/ref=sr_1_5?keywords=Klein+Tools+66074+Flip+Impact+Socket%2C+3%2F4+and+13%2F16-Inch&amp;qid=1695174170&amp;sr=8-5", "https://www.amazon.com/Klein-Tools-66001-12-Point-16-Inch/dp/B078NHVXWK/ref=sr_1_5?keywords=Klein+Tools+66074+Flip+Impact+Socket%2C+3%2F4+and+13%2F16-Inch&amp;qid=1695174170&amp;sr=8-5")</f>
        <v/>
      </c>
      <c r="F511" t="inlineStr">
        <is>
          <t>B078NHVXWK</t>
        </is>
      </c>
      <c r="G511">
        <f>_xludf.IMAGE("https://edmondsonsupply.com/cdn/shop/products/66074.jpg?v=1663249251")</f>
        <v/>
      </c>
      <c r="H511">
        <f>_xludf.IMAGE("https://m.media-amazon.com/images/I/31AlECG12iL._AC_UL320_.jpg")</f>
        <v/>
      </c>
      <c r="I511" t="inlineStr">
        <is>
          <t>12.71</t>
        </is>
      </c>
      <c r="J511" t="n">
        <v>39.99</v>
      </c>
      <c r="K511" s="3" t="inlineStr">
        <is>
          <t>214.63%</t>
        </is>
      </c>
      <c r="L511" t="n">
        <v>4.8</v>
      </c>
      <c r="M511" t="n">
        <v>753</v>
      </c>
      <c r="O511" t="inlineStr">
        <is>
          <t>InStock</t>
        </is>
      </c>
      <c r="P511" t="inlineStr">
        <is>
          <t>17.8</t>
        </is>
      </c>
      <c r="Q511" t="inlineStr">
        <is>
          <t>7817341534424</t>
        </is>
      </c>
    </row>
    <row r="512">
      <c r="A512" s="2">
        <f>HYPERLINK("https://edmondsonsupply.com/collections/electricians-tools/products/klein-tools-646-5-16-5-16-inch-nut-driver-6-inch-hollow-shaft", "https://edmondsonsupply.com/collections/electricians-tools/products/klein-tools-646-5-16-5-16-inch-nut-driver-6-inch-hollow-shaft")</f>
        <v/>
      </c>
      <c r="B512" s="2">
        <f>HYPERLINK("https://edmondsonsupply.com/products/klein-tools-646-5-16-5-16-inch-nut-driver-6-inch-hollow-shaft", "https://edmondsonsupply.com/products/klein-tools-646-5-16-5-16-inch-nut-driver-6-inch-hollow-shaft")</f>
        <v/>
      </c>
      <c r="C512" t="inlineStr">
        <is>
          <t>Klein Tools 646-5/16 5/16-Inch Nut Driver, 6-Inch Hollow Shaft</t>
        </is>
      </c>
      <c r="D512" t="inlineStr">
        <is>
          <t>Klein Tools 646M Tool Set, Magnetic Nut Drivers Sizes 1/4 and 5/16-Inch, 6-Inch Shafts, 2-Piece</t>
        </is>
      </c>
      <c r="E512" s="2">
        <f>HYPERLINK("https://www.amazon.com/Magnetic-16-Inch-Klein-Tools-646M/dp/B000936QV0/ref=sr_1_5?keywords=Klein+Tools+646-5%2F16+5%2F16-Inch+Nut+Driver%2C+6-Inch+Hollow+Shaft&amp;qid=1695173904&amp;sr=8-5", "https://www.amazon.com/Magnetic-16-Inch-Klein-Tools-646M/dp/B000936QV0/ref=sr_1_5?keywords=Klein+Tools+646-5%2F16+5%2F16-Inch+Nut+Driver%2C+6-Inch+Hollow+Shaft&amp;qid=1695173904&amp;sr=8-5")</f>
        <v/>
      </c>
      <c r="F512" t="inlineStr">
        <is>
          <t>B000936QV0</t>
        </is>
      </c>
      <c r="G512">
        <f>_xludf.IMAGE("https://edmondsonsupply.com/cdn/shop/products/646-1-2_e1540905-f750-4509-90c5-74ff653e4d83.jpg?v=1587145119")</f>
        <v/>
      </c>
      <c r="H512">
        <f>_xludf.IMAGE("https://m.media-amazon.com/images/I/41lkJ6KRq9L._AC_UL320_.jpg")</f>
        <v/>
      </c>
      <c r="I512" t="inlineStr">
        <is>
          <t>7.99</t>
        </is>
      </c>
      <c r="J512" t="n">
        <v>24.99</v>
      </c>
      <c r="K512" s="3" t="inlineStr">
        <is>
          <t>212.77%</t>
        </is>
      </c>
      <c r="L512" t="n">
        <v>4.8</v>
      </c>
      <c r="M512" t="n">
        <v>1654</v>
      </c>
      <c r="O512" t="inlineStr">
        <is>
          <t>InStock</t>
        </is>
      </c>
      <c r="P512" t="inlineStr">
        <is>
          <t>12.1</t>
        </is>
      </c>
      <c r="Q512" t="inlineStr">
        <is>
          <t>4395303272548</t>
        </is>
      </c>
    </row>
    <row r="513">
      <c r="A513" s="2">
        <f>HYPERLINK("https://edmondsonsupply.com/collections/electricians-tools/products/klein-tools-646-1-4-1-4-inch-nut-driver-with-6-inch-hollow-shaft", "https://edmondsonsupply.com/collections/electricians-tools/products/klein-tools-646-1-4-1-4-inch-nut-driver-with-6-inch-hollow-shaft")</f>
        <v/>
      </c>
      <c r="B513" s="2">
        <f>HYPERLINK("https://edmondsonsupply.com/products/klein-tools-646-1-4-1-4-inch-nut-driver-with-6-inch-hollow-shaft", "https://edmondsonsupply.com/products/klein-tools-646-1-4-1-4-inch-nut-driver-with-6-inch-hollow-shaft")</f>
        <v/>
      </c>
      <c r="C513" t="inlineStr">
        <is>
          <t>Klein Tools 646-1/4 1/4-Inch Nut Driver with 6-Inch Hollow Shaft</t>
        </is>
      </c>
      <c r="D513" t="inlineStr">
        <is>
          <t>Klein Tools 646M Tool Set, Magnetic Nut Drivers Sizes 1/4 and 5/16-Inch, 6-Inch Shafts, 2-Piece</t>
        </is>
      </c>
      <c r="E513" s="2">
        <f>HYPERLINK("https://www.amazon.com/Magnetic-16-Inch-Klein-Tools-646M/dp/B000936QV0/ref=sr_1_5?keywords=Klein+Tools+646-1%2F4+1%2F4-Inch+Nut+Driver+with+6-Inch+Hollow+Shaft&amp;qid=1695173897&amp;sr=8-5", "https://www.amazon.com/Magnetic-16-Inch-Klein-Tools-646M/dp/B000936QV0/ref=sr_1_5?keywords=Klein+Tools+646-1%2F4+1%2F4-Inch+Nut+Driver+with+6-Inch+Hollow+Shaft&amp;qid=1695173897&amp;sr=8-5")</f>
        <v/>
      </c>
      <c r="F513" t="inlineStr">
        <is>
          <t>B000936QV0</t>
        </is>
      </c>
      <c r="G513">
        <f>_xludf.IMAGE("https://edmondsonsupply.com/cdn/shop/products/646-1-2_08d87fa9-eac4-4869-8d3b-bb680d4b1d53.jpg?v=1587150676")</f>
        <v/>
      </c>
      <c r="H513">
        <f>_xludf.IMAGE("https://m.media-amazon.com/images/I/41lkJ6KRq9L._AC_UL320_.jpg")</f>
        <v/>
      </c>
      <c r="I513" t="inlineStr">
        <is>
          <t>7.99</t>
        </is>
      </c>
      <c r="J513" t="n">
        <v>24.99</v>
      </c>
      <c r="K513" s="3" t="inlineStr">
        <is>
          <t>212.77%</t>
        </is>
      </c>
      <c r="L513" t="n">
        <v>4.8</v>
      </c>
      <c r="M513" t="n">
        <v>1654</v>
      </c>
      <c r="O513" t="inlineStr">
        <is>
          <t>InStock</t>
        </is>
      </c>
      <c r="P513" t="inlineStr">
        <is>
          <t>12.1</t>
        </is>
      </c>
      <c r="Q513" t="inlineStr">
        <is>
          <t>4439433740388</t>
        </is>
      </c>
    </row>
    <row r="514">
      <c r="A514" s="2">
        <f>HYPERLINK("https://edmondsonsupply.com/collections/electricians-tools/products/klein-tools-60471-professional-full-frame-gasket-safety-glasses-gray-lens", "https://edmondsonsupply.com/collections/electricians-tools/products/klein-tools-60471-professional-full-frame-gasket-safety-glasses-gray-lens")</f>
        <v/>
      </c>
      <c r="B514" s="2">
        <f>HYPERLINK("https://edmondsonsupply.com/products/klein-tools-60471-professional-full-frame-gasket-safety-glasses-gray-lens", "https://edmondsonsupply.com/products/klein-tools-60471-professional-full-frame-gasket-safety-glasses-gray-lens")</f>
        <v/>
      </c>
      <c r="C514" t="inlineStr">
        <is>
          <t>Klein Tools 60471 Professional Full-Frame Gasket Safety Glasses, Gray Lens</t>
        </is>
      </c>
      <c r="D514" t="inlineStr">
        <is>
          <t>Klein Tools 80055 Safety Glasses Kit, Professional Safety Glasses with Full Frame, Gray Lens and Breakaway Lanyard, 8-Piece</t>
        </is>
      </c>
      <c r="E514" s="2">
        <f>HYPERLINK("https://www.amazon.com/Klein-80055-Glasses-Professional-Breakaway/dp/B09HR9RV4H/ref=sr_1_3?keywords=Klein+Tools+60471+Professional+Full-Frame+Gasket+Safety+Glasses%2C+Gray+Lens&amp;qid=1695174157&amp;sr=8-3", "https://www.amazon.com/Klein-80055-Glasses-Professional-Breakaway/dp/B09HR9RV4H/ref=sr_1_3?keywords=Klein+Tools+60471+Professional+Full-Frame+Gasket+Safety+Glasses%2C+Gray+Lens&amp;qid=1695174157&amp;sr=8-3")</f>
        <v/>
      </c>
      <c r="F514" t="inlineStr">
        <is>
          <t>B09HR9RV4H</t>
        </is>
      </c>
      <c r="G514">
        <f>_xludf.IMAGE("https://edmondsonsupply.com/cdn/shop/products/60471.jpg?v=1663257501")</f>
        <v/>
      </c>
      <c r="H514">
        <f>_xludf.IMAGE("https://m.media-amazon.com/images/I/61L5l7dmmiL._AC_UL320_.jpg")</f>
        <v/>
      </c>
      <c r="I514" t="inlineStr">
        <is>
          <t>15.99</t>
        </is>
      </c>
      <c r="J514" t="n">
        <v>49.99</v>
      </c>
      <c r="K514" s="3" t="inlineStr">
        <is>
          <t>212.63%</t>
        </is>
      </c>
      <c r="L514" t="n">
        <v>4.5</v>
      </c>
      <c r="M514" t="n">
        <v>13</v>
      </c>
      <c r="O514" t="inlineStr">
        <is>
          <t>InStock</t>
        </is>
      </c>
      <c r="P514" t="inlineStr">
        <is>
          <t>21.98</t>
        </is>
      </c>
      <c r="Q514" t="inlineStr">
        <is>
          <t>7817587785944</t>
        </is>
      </c>
    </row>
    <row r="515">
      <c r="A515" s="2">
        <f>HYPERLINK("https://edmondsonsupply.com/collections/electricians-tools/products/klein-tools-ir1-infrared-digital-thermometer-with-targeting-laser-10-1", "https://edmondsonsupply.com/collections/electricians-tools/products/klein-tools-ir1-infrared-digital-thermometer-with-targeting-laser-10-1")</f>
        <v/>
      </c>
      <c r="B515" s="2">
        <f>HYPERLINK("https://edmondsonsupply.com/products/klein-tools-ir1-infrared-digital-thermometer-with-targeting-laser-10-1", "https://edmondsonsupply.com/products/klein-tools-ir1-infrared-digital-thermometer-with-targeting-laser-10-1")</f>
        <v/>
      </c>
      <c r="C515" t="inlineStr">
        <is>
          <t>Klein Tools IR1 Infrared Digital Thermometer with Targeting Laser, 10:1</t>
        </is>
      </c>
      <c r="D515" t="inlineStr">
        <is>
          <t>Klein Tools IR10 Infrared Thermometer, Digital Thermometer Gun with Dual Targeting Laser, 20:1</t>
        </is>
      </c>
      <c r="E515" s="2">
        <f>HYPERLINK("https://www.amazon.com/Klein-Tools-IR10-Thermometer-Targeting/dp/B07K1JB9TQ/ref=sr_1_4?keywords=Klein+Tools+IR1+Infrared+Digital+Thermometer+with+Targeting+Laser%2C+10%3A1&amp;qid=1695174178&amp;sr=8-4", "https://www.amazon.com/Klein-Tools-IR10-Thermometer-Targeting/dp/B07K1JB9TQ/ref=sr_1_4?keywords=Klein+Tools+IR1+Infrared+Digital+Thermometer+with+Targeting+Laser%2C+10%3A1&amp;qid=1695174178&amp;sr=8-4")</f>
        <v/>
      </c>
      <c r="F515" t="inlineStr">
        <is>
          <t>B07K1JB9TQ</t>
        </is>
      </c>
      <c r="G515">
        <f>_xludf.IMAGE("https://edmondsonsupply.com/cdn/shop/products/ir1.jpg?v=1659112251")</f>
        <v/>
      </c>
      <c r="H515">
        <f>_xludf.IMAGE("https://m.media-amazon.com/images/I/71gXtP6kZ0L._AC_UY218_.jpg")</f>
        <v/>
      </c>
      <c r="I515" t="inlineStr">
        <is>
          <t>32.99</t>
        </is>
      </c>
      <c r="J515" t="n">
        <v>101.99</v>
      </c>
      <c r="K515" s="3" t="inlineStr">
        <is>
          <t>209.15%</t>
        </is>
      </c>
      <c r="L515" t="n">
        <v>4.6</v>
      </c>
      <c r="M515" t="n">
        <v>300</v>
      </c>
      <c r="O515" t="inlineStr">
        <is>
          <t>InStock</t>
        </is>
      </c>
      <c r="P515" t="inlineStr">
        <is>
          <t>48.5</t>
        </is>
      </c>
      <c r="Q515" t="inlineStr">
        <is>
          <t>7766524231896</t>
        </is>
      </c>
    </row>
    <row r="516">
      <c r="A516" s="2">
        <f>HYPERLINK("https://edmondsonsupply.com/collections/electricians-tools/products/klein-tools-630m-magnetic-nut-driver-set-3-inch-shafts-2-piece", "https://edmondsonsupply.com/collections/electricians-tools/products/klein-tools-630m-magnetic-nut-driver-set-3-inch-shafts-2-piece")</f>
        <v/>
      </c>
      <c r="B516" s="2">
        <f>HYPERLINK("https://edmondsonsupply.com/products/klein-tools-630m-magnetic-nut-driver-set-3-inch-shafts-2-piece", "https://edmondsonsupply.com/products/klein-tools-630m-magnetic-nut-driver-set-3-inch-shafts-2-piece")</f>
        <v/>
      </c>
      <c r="C516" t="inlineStr">
        <is>
          <t>Klein Tools 630M Magnetic Nut Driver Set, 3-Inch Shafts, 2-Piece</t>
        </is>
      </c>
      <c r="D516" t="inlineStr">
        <is>
          <t>Klein Tools 647 Tool Set, Nut Drivers Sizes 3/16, 1/4, 5/16, 11/32, 3/8, 7/16, 1/2-Inch, Chrome-Plated 6-Inch Shafts, Cushion Grip, 7-Piece</t>
        </is>
      </c>
      <c r="E516" s="2">
        <f>HYPERLINK("https://www.amazon.com/Driver-6-Inch-Klein-Tools-647/dp/B0014KRVXO/ref=sr_1_7?keywords=Klein+Tools+630M+Magnetic+Nut+Driver+Set%2C+3-Inch+Shafts%2C+2-Piece&amp;qid=1695173928&amp;sr=8-7", "https://www.amazon.com/Driver-6-Inch-Klein-Tools-647/dp/B0014KRVXO/ref=sr_1_7?keywords=Klein+Tools+630M+Magnetic+Nut+Driver+Set%2C+3-Inch+Shafts%2C+2-Piece&amp;qid=1695173928&amp;sr=8-7")</f>
        <v/>
      </c>
      <c r="F516" t="inlineStr">
        <is>
          <t>B0014KRVXO</t>
        </is>
      </c>
      <c r="G516">
        <f>_xludf.IMAGE("https://edmondsonsupply.com/cdn/shop/products/630m.jpg?v=1587143237")</f>
        <v/>
      </c>
      <c r="H516">
        <f>_xludf.IMAGE("https://m.media-amazon.com/images/I/51usUk-EpGL._AC_UL320_.jpg")</f>
        <v/>
      </c>
      <c r="I516" t="inlineStr">
        <is>
          <t>18.99</t>
        </is>
      </c>
      <c r="J516" t="n">
        <v>57.99</v>
      </c>
      <c r="K516" s="3" t="inlineStr">
        <is>
          <t>205.37%</t>
        </is>
      </c>
      <c r="L516" t="n">
        <v>4.8</v>
      </c>
      <c r="M516" t="n">
        <v>735</v>
      </c>
      <c r="O516" t="inlineStr">
        <is>
          <t>InStock</t>
        </is>
      </c>
      <c r="P516" t="inlineStr">
        <is>
          <t>28.78</t>
        </is>
      </c>
      <c r="Q516" t="inlineStr">
        <is>
          <t>4508216787044</t>
        </is>
      </c>
    </row>
    <row r="517">
      <c r="A517" s="2">
        <f>HYPERLINK("https://edmondsonsupply.com/collections/electricians-tools/products/wiha-tools-32267-5-16-insulated-softfinish-nut-driver", "https://edmondsonsupply.com/collections/electricians-tools/products/wiha-tools-32267-5-16-insulated-softfinish-nut-driver")</f>
        <v/>
      </c>
      <c r="B517" s="2">
        <f>HYPERLINK("https://edmondsonsupply.com/products/wiha-tools-32267-5-16-insulated-softfinish-nut-driver", "https://edmondsonsupply.com/products/wiha-tools-32267-5-16-insulated-softfinish-nut-driver")</f>
        <v/>
      </c>
      <c r="C517" t="inlineStr">
        <is>
          <t>Wiha Tools 32267 5/16" Insulated SoftFinish Nut Driver</t>
        </is>
      </c>
      <c r="D517" t="inlineStr">
        <is>
          <t>Wiha Tools - Softfinish Insulated Nut Drivers Insulated Nut Driver 9/16 X 125Mm: 817-32278 - insulated nut driver 9/16 x 125mm</t>
        </is>
      </c>
      <c r="E517" s="2">
        <f>HYPERLINK("https://www.amazon.com/Wiha-Tools-Softfinish-Insulated-817-32278/dp/B00462C2Q8/ref=sr_1_5?keywords=Wiha+Tools+32267+5%2F16%22+Insulated+SoftFinish+Nut+Driver&amp;qid=1695173967&amp;sr=8-5", "https://www.amazon.com/Wiha-Tools-Softfinish-Insulated-817-32278/dp/B00462C2Q8/ref=sr_1_5?keywords=Wiha+Tools+32267+5%2F16%22+Insulated+SoftFinish+Nut+Driver&amp;qid=1695173967&amp;sr=8-5")</f>
        <v/>
      </c>
      <c r="F517" t="inlineStr">
        <is>
          <t>B00462C2Q8</t>
        </is>
      </c>
      <c r="G517">
        <f>_xludf.IMAGE("https://edmondsonsupply.com/cdn/shop/files/rciu0sq7tzs63xknaigt_1000x_e86d418b-6e53-4045-8f98-eeef581842a3.webp?v=1690929607")</f>
        <v/>
      </c>
      <c r="H517">
        <f>_xludf.IMAGE("https://m.media-amazon.com/images/I/21iQCrsshfL._AC_UL320_.jpg")</f>
        <v/>
      </c>
      <c r="I517" t="inlineStr">
        <is>
          <t>11.92</t>
        </is>
      </c>
      <c r="J517" t="n">
        <v>35.8</v>
      </c>
      <c r="K517" s="3" t="inlineStr">
        <is>
          <t>200.34%</t>
        </is>
      </c>
      <c r="L517" t="n">
        <v>5</v>
      </c>
      <c r="M517" t="n">
        <v>2</v>
      </c>
      <c r="O517" t="inlineStr">
        <is>
          <t>InStock</t>
        </is>
      </c>
      <c r="P517" t="inlineStr">
        <is>
          <t>15.9</t>
        </is>
      </c>
      <c r="Q517" t="inlineStr">
        <is>
          <t>8023582146776</t>
        </is>
      </c>
    </row>
    <row r="518">
      <c r="A518" s="2">
        <f>HYPERLINK("https://edmondsonsupply.com/collections/electricians-tools/products/klein-tools-mag2-magnetizer-demagnetizer", "https://edmondsonsupply.com/collections/electricians-tools/products/klein-tools-mag2-magnetizer-demagnetizer")</f>
        <v/>
      </c>
      <c r="B518" s="2">
        <f>HYPERLINK("https://edmondsonsupply.com/products/klein-tools-mag2-magnetizer-demagnetizer", "https://edmondsonsupply.com/products/klein-tools-mag2-magnetizer-demagnetizer")</f>
        <v/>
      </c>
      <c r="C518" t="inlineStr">
        <is>
          <t>Klein Tools MAG2 Magnetizer / Demagnetizer</t>
        </is>
      </c>
      <c r="D518" t="inlineStr">
        <is>
          <t>Klein ToolsKlein Tools 55895 Magnetic Wristband &amp; MAG2 Demagnetizer/Magnetizer for Screwdriver Bits and Tips, Makes Tools Magnetic with Powerful Rare-Earth MagnetKlein Tools</t>
        </is>
      </c>
      <c r="E518" s="2">
        <f>HYPERLINK("https://www.amazon.com/Klein-Tools-Demagnetizer-Screwdriver-MagnetKlein/dp/B0BSKR7CQX/ref=sr_1_4?keywords=Klein+Tools+MAG2+Magnetizer+%2F+Demagnetizer&amp;qid=1695173850&amp;sr=8-4", "https://www.amazon.com/Klein-Tools-Demagnetizer-Screwdriver-MagnetKlein/dp/B0BSKR7CQX/ref=sr_1_4?keywords=Klein+Tools+MAG2+Magnetizer+%2F+Demagnetizer&amp;qid=1695173850&amp;sr=8-4")</f>
        <v/>
      </c>
      <c r="F518" t="inlineStr">
        <is>
          <t>B0BSKR7CQX</t>
        </is>
      </c>
      <c r="G518">
        <f>_xludf.IMAGE("https://edmondsonsupply.com/cdn/shop/products/mag2.jpg?v=1587145008")</f>
        <v/>
      </c>
      <c r="H518">
        <f>_xludf.IMAGE("https://m.media-amazon.com/images/I/415MdIpH5SL._AC_UL320_.jpg")</f>
        <v/>
      </c>
      <c r="I518" t="inlineStr">
        <is>
          <t>9.97</t>
        </is>
      </c>
      <c r="J518" t="n">
        <v>29.94</v>
      </c>
      <c r="K518" s="3" t="inlineStr">
        <is>
          <t>200.30%</t>
        </is>
      </c>
      <c r="L518" t="n">
        <v>5</v>
      </c>
      <c r="M518" t="n">
        <v>2</v>
      </c>
      <c r="O518" t="inlineStr">
        <is>
          <t>InStock</t>
        </is>
      </c>
      <c r="P518" t="inlineStr">
        <is>
          <t>13.96</t>
        </is>
      </c>
      <c r="Q518" t="inlineStr">
        <is>
          <t>1706086858852</t>
        </is>
      </c>
    </row>
    <row r="519">
      <c r="A519" s="2">
        <f>HYPERLINK("https://edmondsonsupply.com/collections/electricians-tools/products/klein-tools-935dag-digital-angle-gauge-and-level", "https://edmondsonsupply.com/collections/electricians-tools/products/klein-tools-935dag-digital-angle-gauge-and-level")</f>
        <v/>
      </c>
      <c r="B519" s="2">
        <f>HYPERLINK("https://edmondsonsupply.com/products/klein-tools-935dag-digital-angle-gauge-and-level", "https://edmondsonsupply.com/products/klein-tools-935dag-digital-angle-gauge-and-level")</f>
        <v/>
      </c>
      <c r="C519" t="inlineStr">
        <is>
          <t>Klein Tools 935DAG Digital Angle Gauge and Level</t>
        </is>
      </c>
      <c r="D519" t="inlineStr">
        <is>
          <t>Klein Tools 935DAGL Digital Level Angle Finder &amp; 935DAG Digital Electronic Level and Angle Gauge, Measures 0-90 and 0-180 Degree Ranges, Measures and Sets Angles</t>
        </is>
      </c>
      <c r="E519" s="2">
        <f>HYPERLINK("https://www.amazon.com/Klein-Tools-935DAGL-Electronic-Measures/dp/B0BNL46JTV/ref=sr_1_7?keywords=Klein+Tools+935DAG+Digital+Angle+Gauge+and+Level&amp;qid=1695173893&amp;sr=8-7", "https://www.amazon.com/Klein-Tools-935DAGL-Electronic-Measures/dp/B0BNL46JTV/ref=sr_1_7?keywords=Klein+Tools+935DAG+Digital+Angle+Gauge+and+Level&amp;qid=1695173893&amp;sr=8-7")</f>
        <v/>
      </c>
      <c r="F519" t="inlineStr">
        <is>
          <t>B0BNL46JTV</t>
        </is>
      </c>
      <c r="G519">
        <f>_xludf.IMAGE("https://edmondsonsupply.com/cdn/shop/products/935dag.jpg?v=1587145032")</f>
        <v/>
      </c>
      <c r="H519">
        <f>_xludf.IMAGE("https://m.media-amazon.com/images/I/518pZRTQawL._AC_UL320_.jpg")</f>
        <v/>
      </c>
      <c r="I519" t="inlineStr">
        <is>
          <t>29.97</t>
        </is>
      </c>
      <c r="J519" t="n">
        <v>89.94</v>
      </c>
      <c r="K519" s="3" t="inlineStr">
        <is>
          <t>200.10%</t>
        </is>
      </c>
      <c r="L519" t="n">
        <v>4.7</v>
      </c>
      <c r="M519" t="n">
        <v>5</v>
      </c>
      <c r="O519" t="inlineStr">
        <is>
          <t>InStock</t>
        </is>
      </c>
      <c r="P519" t="inlineStr">
        <is>
          <t>45.0</t>
        </is>
      </c>
      <c r="Q519" t="inlineStr">
        <is>
          <t>4167487094884</t>
        </is>
      </c>
    </row>
    <row r="520">
      <c r="A520" s="2">
        <f>HYPERLINK("https://edmondsonsupply.com/collections/electricians-tools/products/klein-tools-32288-8-in-1-insulated-interchangeable-screwdriver-set", "https://edmondsonsupply.com/collections/electricians-tools/products/klein-tools-32288-8-in-1-insulated-interchangeable-screwdriver-set")</f>
        <v/>
      </c>
      <c r="B520" s="2">
        <f>HYPERLINK("https://edmondsonsupply.com/products/klein-tools-32288-8-in-1-insulated-interchangeable-screwdriver-set", "https://edmondsonsupply.com/products/klein-tools-32288-8-in-1-insulated-interchangeable-screwdriver-set")</f>
        <v/>
      </c>
      <c r="C520" t="inlineStr">
        <is>
          <t>Klein Tools 32288 8-in-1 Insulated Interchangeable Screwdriver Set</t>
        </is>
      </c>
      <c r="D520" t="inlineStr">
        <is>
          <t>Klein Tools 94130 1000V Insulated Screwdriver Tool Set &amp; 32288 Insulated Screwdriver, 8-in-1 Screwdriver Set with Interchangeable Blades, 3 Phillips, 3 Slotted and 2 Square Tips</t>
        </is>
      </c>
      <c r="E520" s="2">
        <f>HYPERLINK("https://www.amazon.com/Klein-Tools-Insulated-Screwdriver-Interchangeable/dp/B0B56RT7PC/ref=sr_1_9?keywords=Klein+Tools+32288+8-in-1+Insulated+Interchangeable+Screwdriver+Set&amp;qid=1695173864&amp;sr=8-9", "https://www.amazon.com/Klein-Tools-Insulated-Screwdriver-Interchangeable/dp/B0B56RT7PC/ref=sr_1_9?keywords=Klein+Tools+32288+8-in-1+Insulated+Interchangeable+Screwdriver+Set&amp;qid=1695173864&amp;sr=8-9")</f>
        <v/>
      </c>
      <c r="F520" t="inlineStr">
        <is>
          <t>B0B56RT7PC</t>
        </is>
      </c>
      <c r="G520">
        <f>_xludf.IMAGE("https://edmondsonsupply.com/cdn/shop/products/32288.jpg?v=1587146849")</f>
        <v/>
      </c>
      <c r="H520">
        <f>_xludf.IMAGE("https://m.media-amazon.com/images/I/51AO210bApL._AC_UL320_.jpg")</f>
        <v/>
      </c>
      <c r="I520" t="inlineStr">
        <is>
          <t>49.99</t>
        </is>
      </c>
      <c r="J520" t="n">
        <v>149.98</v>
      </c>
      <c r="K520" s="3" t="inlineStr">
        <is>
          <t>200.02%</t>
        </is>
      </c>
      <c r="L520" t="n">
        <v>4.9</v>
      </c>
      <c r="M520" t="n">
        <v>11</v>
      </c>
      <c r="O520" t="inlineStr">
        <is>
          <t>InStock</t>
        </is>
      </c>
      <c r="P520" t="inlineStr">
        <is>
          <t>69.98</t>
        </is>
      </c>
      <c r="Q520" t="inlineStr">
        <is>
          <t>4094849613924</t>
        </is>
      </c>
    </row>
    <row r="521">
      <c r="A521" s="2">
        <f>HYPERLINK("https://edmondsonsupply.com/collections/electricians-tools/products/klein-tools-33736ins", "https://edmondsonsupply.com/collections/electricians-tools/products/klein-tools-33736ins")</f>
        <v/>
      </c>
      <c r="B521" s="2">
        <f>HYPERLINK("https://edmondsonsupply.com/products/klein-tools-33736ins", "https://edmondsonsupply.com/products/klein-tools-33736ins")</f>
        <v/>
      </c>
      <c r="C521" t="inlineStr">
        <is>
          <t>Klein Tools 33736INS Screwdriver Set, 1000V Slim-Tip Insulated and Magnetizer, 6-Piece</t>
        </is>
      </c>
      <c r="D521" t="inlineStr">
        <is>
          <t>Klein Tools 94130 1000V Insulated Screwdriver Tool Set &amp; 33736INS Klein Tools 33736INS Insulated Screwdriver Set, 1000V Slim-Tip Driver with Phillips, 6-Piece</t>
        </is>
      </c>
      <c r="E521" s="2">
        <f>HYPERLINK("https://www.amazon.com/Klein-Tools-Insulated-Screwdriver-33736INS/dp/B0B68LYZC5/ref=sr_1_8?keywords=Klein+Tools+33736INS+Screwdriver+Set%2C+1000V+Slim-Tip+Insulated+and+Magnetizer%2C+6-Piece&amp;qid=1695173911&amp;sr=8-8", "https://www.amazon.com/Klein-Tools-Insulated-Screwdriver-33736INS/dp/B0B68LYZC5/ref=sr_1_8?keywords=Klein+Tools+33736INS+Screwdriver+Set%2C+1000V+Slim-Tip+Insulated+and+Magnetizer%2C+6-Piece&amp;qid=1695173911&amp;sr=8-8")</f>
        <v/>
      </c>
      <c r="F521" t="inlineStr">
        <is>
          <t>B0B68LYZC5</t>
        </is>
      </c>
      <c r="G521">
        <f>_xludf.IMAGE("https://edmondsonsupply.com/cdn/shop/products/33736ins.jpg?v=1664807705")</f>
        <v/>
      </c>
      <c r="H521">
        <f>_xludf.IMAGE("https://m.media-amazon.com/images/I/51pS8BxuJGL._AC_UL320_.jpg")</f>
        <v/>
      </c>
      <c r="I521" t="inlineStr">
        <is>
          <t>49.99</t>
        </is>
      </c>
      <c r="J521" t="n">
        <v>149.98</v>
      </c>
      <c r="K521" s="3" t="inlineStr">
        <is>
          <t>200.02%</t>
        </is>
      </c>
      <c r="L521" t="n">
        <v>4.9</v>
      </c>
      <c r="M521" t="n">
        <v>11</v>
      </c>
      <c r="O521" t="inlineStr">
        <is>
          <t>InStock</t>
        </is>
      </c>
      <c r="P521" t="inlineStr">
        <is>
          <t>73.98</t>
        </is>
      </c>
      <c r="Q521" t="inlineStr">
        <is>
          <t>7837641375960</t>
        </is>
      </c>
    </row>
    <row r="522">
      <c r="A522" s="2">
        <f>HYPERLINK("https://edmondsonsupply.com/collections/electricians-tools/products/klein-tools-vdv500-123-probe-pro-tracing-probe", "https://edmondsonsupply.com/collections/electricians-tools/products/klein-tools-vdv500-123-probe-pro-tracing-probe")</f>
        <v/>
      </c>
      <c r="B522" s="2">
        <f>HYPERLINK("https://edmondsonsupply.com/products/klein-tools-vdv500-123-probe-pro-tracing-probe", "https://edmondsonsupply.com/products/klein-tools-vdv500-123-probe-pro-tracing-probe")</f>
        <v/>
      </c>
      <c r="C522" t="inlineStr">
        <is>
          <t>Klein Tools VDV500-123 Probe-PRO Tracing Probe</t>
        </is>
      </c>
      <c r="D522" t="inlineStr">
        <is>
          <t>Klein Tools VDV501-851 Cable Tester Kit &amp; VDV500-123 Cable Tracer Probe-Pro Tracing Probe with Replaceable Non-Metallic, Conductive Tip and a Light for Use in Dark Spaces</t>
        </is>
      </c>
      <c r="E522" s="2">
        <f>HYPERLINK("https://www.amazon.com/Klein-Tools-VDV501-851-Replaceable-Non-Metallic/dp/B09H38G69B/ref=sr_1_3?keywords=Klein+Tools+VDV500-123+Probe-PRO+Tracing+Probe&amp;qid=1695173898&amp;sr=8-3", "https://www.amazon.com/Klein-Tools-VDV501-851-Replaceable-Non-Metallic/dp/B09H38G69B/ref=sr_1_3?keywords=Klein+Tools+VDV500-123+Probe-PRO+Tracing+Probe&amp;qid=1695173898&amp;sr=8-3")</f>
        <v/>
      </c>
      <c r="F522" t="inlineStr">
        <is>
          <t>B09H38G69B</t>
        </is>
      </c>
      <c r="G522">
        <f>_xludf.IMAGE("https://edmondsonsupply.com/cdn/shop/products/vdv500123.jpg?v=1587142783")</f>
        <v/>
      </c>
      <c r="H522">
        <f>_xludf.IMAGE("https://m.media-amazon.com/images/I/51xMoR99Q8L._AC_UY218_.jpg")</f>
        <v/>
      </c>
      <c r="I522" t="inlineStr">
        <is>
          <t>44.99</t>
        </is>
      </c>
      <c r="J522" t="n">
        <v>134.96</v>
      </c>
      <c r="K522" s="3" t="inlineStr">
        <is>
          <t>199.98%</t>
        </is>
      </c>
      <c r="L522" t="n">
        <v>4.7</v>
      </c>
      <c r="M522" t="n">
        <v>75</v>
      </c>
      <c r="O522" t="inlineStr">
        <is>
          <t>InStock</t>
        </is>
      </c>
      <c r="P522" t="inlineStr">
        <is>
          <t>63.0</t>
        </is>
      </c>
      <c r="Q522" t="inlineStr">
        <is>
          <t>4274361466980</t>
        </is>
      </c>
    </row>
    <row r="523">
      <c r="A523" s="2">
        <f>HYPERLINK("https://edmondsonsupply.com/collections/electricians-tools/products/klein-tools-rt110-receptacle-tester", "https://edmondsonsupply.com/collections/electricians-tools/products/klein-tools-rt110-receptacle-tester")</f>
        <v/>
      </c>
      <c r="B523" s="2">
        <f>HYPERLINK("https://edmondsonsupply.com/products/klein-tools-rt110-receptacle-tester", "https://edmondsonsupply.com/products/klein-tools-rt110-receptacle-tester")</f>
        <v/>
      </c>
      <c r="C523" t="inlineStr">
        <is>
          <t>Klein Tools RT110 Receptacle Tester</t>
        </is>
      </c>
      <c r="D523" t="inlineStr">
        <is>
          <t>Klein Tools NCVT3P Dual Range Non Contact Voltage Tester &amp; RT250 GFCI Receptacle Tester with LCD Display, for Standard 3-Wire 120V Electrical Outlets</t>
        </is>
      </c>
      <c r="E523" s="2">
        <f>HYPERLINK("https://www.amazon.com/Klein-Tools-Receptacle-Standard-Electrical/dp/B0BC861K3W/ref=sr_1_7?keywords=Klein+Tools+RT110+Receptacle+Tester&amp;qid=1695174267&amp;sr=8-7", "https://www.amazon.com/Klein-Tools-Receptacle-Standard-Electrical/dp/B0BC861K3W/ref=sr_1_7?keywords=Klein+Tools+RT110+Receptacle+Tester&amp;qid=1695174267&amp;sr=8-7")</f>
        <v/>
      </c>
      <c r="F523" t="inlineStr">
        <is>
          <t>B0BC861K3W</t>
        </is>
      </c>
      <c r="G523">
        <f>_xludf.IMAGE("https://edmondsonsupply.com/cdn/shop/products/rt110.jpg?v=1633031036")</f>
        <v/>
      </c>
      <c r="H523">
        <f>_xludf.IMAGE("https://m.media-amazon.com/images/I/5145pmsV9+L._AC_UL320_.jpg")</f>
        <v/>
      </c>
      <c r="I523" t="inlineStr">
        <is>
          <t>9.97</t>
        </is>
      </c>
      <c r="J523" t="n">
        <v>29.88</v>
      </c>
      <c r="K523" s="3" t="inlineStr">
        <is>
          <t>199.70%</t>
        </is>
      </c>
      <c r="L523" t="n">
        <v>4.5</v>
      </c>
      <c r="M523" t="n">
        <v>14</v>
      </c>
      <c r="O523" t="inlineStr">
        <is>
          <t>InStock</t>
        </is>
      </c>
      <c r="P523" t="inlineStr">
        <is>
          <t>12.12</t>
        </is>
      </c>
      <c r="Q523" t="inlineStr">
        <is>
          <t>6740486619309</t>
        </is>
      </c>
    </row>
    <row r="524">
      <c r="A524" s="2">
        <f>HYPERLINK("https://edmondsonsupply.com/collections/electricians-tools/products/klein-tools-55580-tradesman-tumbler", "https://edmondsonsupply.com/collections/electricians-tools/products/klein-tools-55580-tradesman-tumbler")</f>
        <v/>
      </c>
      <c r="B524" s="2">
        <f>HYPERLINK("https://edmondsonsupply.com/products/klein-tools-55580-tradesman-tumbler", "https://edmondsonsupply.com/products/klein-tools-55580-tradesman-tumbler")</f>
        <v/>
      </c>
      <c r="C524" t="inlineStr">
        <is>
          <t>Klein Tools 55580 Tradesman Tumbler</t>
        </is>
      </c>
      <c r="D524" t="inlineStr">
        <is>
          <t>Klein Tools 55600 Work Cooler, 17-Quart Lunch Box Holds 18 Cans &amp; Klein Tools 55580 Stainless Steel Tumbler with Flip-top Lid, Insulated 20 oz. Tradesman's Double Wall Vacuum Mug</t>
        </is>
      </c>
      <c r="E524" s="2">
        <f>HYPERLINK("https://www.amazon.com/Klein-Tools-Stainless-Insulated-Tradesmans/dp/B09P846GLG/ref=sr_1_3?keywords=Klein+Tools+55580+Tradesman+Tumbler&amp;qid=1695173884&amp;sr=8-3", "https://www.amazon.com/Klein-Tools-Stainless-Insulated-Tradesmans/dp/B09P846GLG/ref=sr_1_3?keywords=Klein+Tools+55580+Tradesman+Tumbler&amp;qid=1695173884&amp;sr=8-3")</f>
        <v/>
      </c>
      <c r="F524" t="inlineStr">
        <is>
          <t>B09P846GLG</t>
        </is>
      </c>
      <c r="G524">
        <f>_xludf.IMAGE("https://edmondsonsupply.com/cdn/shop/products/55580.jpg?v=1633030612")</f>
        <v/>
      </c>
      <c r="H524">
        <f>_xludf.IMAGE("https://m.media-amazon.com/images/I/51EpNPyb4WL._AC_UL320_.jpg")</f>
        <v/>
      </c>
      <c r="I524" t="inlineStr">
        <is>
          <t>29.97</t>
        </is>
      </c>
      <c r="J524" t="n">
        <v>89.33</v>
      </c>
      <c r="K524" s="3" t="inlineStr">
        <is>
          <t>198.06%</t>
        </is>
      </c>
      <c r="L524" t="n">
        <v>4.7</v>
      </c>
      <c r="M524" t="n">
        <v>33</v>
      </c>
      <c r="O524" t="inlineStr">
        <is>
          <t>InStock</t>
        </is>
      </c>
      <c r="P524" t="inlineStr">
        <is>
          <t>41.98</t>
        </is>
      </c>
      <c r="Q524" t="inlineStr">
        <is>
          <t>5647227846824</t>
        </is>
      </c>
    </row>
    <row r="525">
      <c r="A525" s="2">
        <f>HYPERLINK("https://edmondsonsupply.com/collections/electricians-tools/products/milwaukee-48-03-3015-carbide-bit-spline-to-sds-plus-adapter", "https://edmondsonsupply.com/collections/electricians-tools/products/milwaukee-48-03-3015-carbide-bit-spline-to-sds-plus-adapter")</f>
        <v/>
      </c>
      <c r="B525" s="2">
        <f>HYPERLINK("https://edmondsonsupply.com/products/milwaukee-48-03-3015-carbide-bit-spline-to-sds-plus-adapter", "https://edmondsonsupply.com/products/milwaukee-48-03-3015-carbide-bit-spline-to-sds-plus-adapter")</f>
        <v/>
      </c>
      <c r="C525" t="inlineStr">
        <is>
          <t>Milwaukee 48-03-3015 Spline to SDS-Plus Bit Adapter</t>
        </is>
      </c>
      <c r="D525" t="inlineStr">
        <is>
          <t>Milwaukee 48-03-3012 SDS-Max to Spline Adapter</t>
        </is>
      </c>
      <c r="E525" s="2">
        <f>HYPERLINK("https://www.amazon.com/Milwaukee-48-03-3012-SDS-Max-Spline-Adapter/dp/B00I3PGEOA/ref=sr_1_2?keywords=Milwaukee+48-03-3015+Spline+to+SDS-Plus+Bit+Adapter&amp;qid=1695174101&amp;sr=8-2", "https://www.amazon.com/Milwaukee-48-03-3012-SDS-Max-Spline-Adapter/dp/B00I3PGEOA/ref=sr_1_2?keywords=Milwaukee+48-03-3015+Spline+to+SDS-Plus+Bit+Adapter&amp;qid=1695174101&amp;sr=8-2")</f>
        <v/>
      </c>
      <c r="F525" t="inlineStr">
        <is>
          <t>B00I3PGEOA</t>
        </is>
      </c>
      <c r="G525">
        <f>_xludf.IMAGE("https://edmondsonsupply.com/cdn/shop/products/48-03-3010_1.webp?v=1674076699")</f>
        <v/>
      </c>
      <c r="H525">
        <f>_xludf.IMAGE("https://m.media-amazon.com/images/I/61QrQEYLIrL._AC_UL320_.jpg")</f>
        <v/>
      </c>
      <c r="I525" t="inlineStr">
        <is>
          <t>56.45</t>
        </is>
      </c>
      <c r="J525" t="n">
        <v>166.85</v>
      </c>
      <c r="K525" s="3" t="inlineStr">
        <is>
          <t>195.57%</t>
        </is>
      </c>
      <c r="L525" t="n">
        <v>4.6</v>
      </c>
      <c r="M525" t="n">
        <v>2</v>
      </c>
      <c r="O525" t="inlineStr">
        <is>
          <t>InStock</t>
        </is>
      </c>
      <c r="P525" t="inlineStr">
        <is>
          <t>102.3</t>
        </is>
      </c>
      <c r="Q525" t="inlineStr">
        <is>
          <t>7926202794200</t>
        </is>
      </c>
    </row>
    <row r="526">
      <c r="A526" s="2">
        <f>HYPERLINK("https://edmondsonsupply.com/collections/electricians-tools/products/klein-tools-vdv427-300-impact-punchdown-tool-66-110-blade", "https://edmondsonsupply.com/collections/electricians-tools/products/klein-tools-vdv427-300-impact-punchdown-tool-66-110-blade")</f>
        <v/>
      </c>
      <c r="B526" s="2">
        <f>HYPERLINK("https://edmondsonsupply.com/products/klein-tools-vdv427-300-impact-punchdown-tool-66-110-blade", "https://edmondsonsupply.com/products/klein-tools-vdv427-300-impact-punchdown-tool-66-110-blade")</f>
        <v/>
      </c>
      <c r="C526" t="inlineStr">
        <is>
          <t>Klein Tools VDV427-300 Impact Punchdown Tool, 66/110 Blade</t>
        </is>
      </c>
      <c r="D526" t="inlineStr">
        <is>
          <t>Klein Tools VDV500-820 Cable Tracer with Probe Tone Pro Kit for Telephone, Internet, Video, Data and Communications Cables &amp; Klein Tools VDV427-300 Impact Punchdown Tool, 66/110 Blade</t>
        </is>
      </c>
      <c r="E526" s="2">
        <f>HYPERLINK("https://www.amazon.com/Klein-Tools-VDV500-820-Communications-VDV427-300/dp/B09Q66CDN4/ref=sr_1_5?keywords=Klein+Tools+VDV427-300+Impact+Punchdown+Tool%2C+66%2F110+Blade&amp;qid=1695174221&amp;sr=8-5", "https://www.amazon.com/Klein-Tools-VDV500-820-Communications-VDV427-300/dp/B09Q66CDN4/ref=sr_1_5?keywords=Klein+Tools+VDV427-300+Impact+Punchdown+Tool%2C+66%2F110+Blade&amp;qid=1695174221&amp;sr=8-5")</f>
        <v/>
      </c>
      <c r="F526" t="inlineStr">
        <is>
          <t>B09Q66CDN4</t>
        </is>
      </c>
      <c r="G526">
        <f>_xludf.IMAGE("https://edmondsonsupply.com/cdn/shop/products/vdv427300.jpg?v=1646010568")</f>
        <v/>
      </c>
      <c r="H526">
        <f>_xludf.IMAGE("https://m.media-amazon.com/images/I/519Gcl6PPEL._AC_UL320_.jpg")</f>
        <v/>
      </c>
      <c r="I526" t="inlineStr">
        <is>
          <t>39.97</t>
        </is>
      </c>
      <c r="J526" t="n">
        <v>118.07</v>
      </c>
      <c r="K526" s="3" t="inlineStr">
        <is>
          <t>195.40%</t>
        </is>
      </c>
      <c r="L526" t="n">
        <v>4.7</v>
      </c>
      <c r="M526" t="n">
        <v>3</v>
      </c>
      <c r="O526" t="inlineStr">
        <is>
          <t>InStock</t>
        </is>
      </c>
      <c r="P526" t="inlineStr">
        <is>
          <t>55.98</t>
        </is>
      </c>
      <c r="Q526" t="inlineStr">
        <is>
          <t>7620069818584</t>
        </is>
      </c>
    </row>
    <row r="527">
      <c r="A527" s="2">
        <f>HYPERLINK("https://edmondsonsupply.com/collections/electricians-tools/products/klein-tools-88910-mini-tube-cutter", "https://edmondsonsupply.com/collections/electricians-tools/products/klein-tools-88910-mini-tube-cutter")</f>
        <v/>
      </c>
      <c r="B527" s="2">
        <f>HYPERLINK("https://edmondsonsupply.com/products/klein-tools-88910-mini-tube-cutter", "https://edmondsonsupply.com/products/klein-tools-88910-mini-tube-cutter")</f>
        <v/>
      </c>
      <c r="C527" t="inlineStr">
        <is>
          <t>Klein Tools 88910 Mini Tube Cutter</t>
        </is>
      </c>
      <c r="D527" t="inlineStr">
        <is>
          <t>Klein Tools 88904 Professional Tube Cutter, 4-Roller Tracking System, Accurate Cutting for HVAC, Reaming Tool, Includes Extra Cutting Wheel &amp; 88910 Mini Tube Cutter</t>
        </is>
      </c>
      <c r="E527" s="2">
        <f>HYPERLINK("https://www.amazon.com/Klein-Tools-Professiol-4-Roller-Tracking/dp/B0BHVPRYWJ/ref=sr_1_2?keywords=Klein+Tools+88910+Mini+Tube+Cutter&amp;qid=1695174232&amp;sr=8-2", "https://www.amazon.com/Klein-Tools-Professiol-4-Roller-Tracking/dp/B0BHVPRYWJ/ref=sr_1_2?keywords=Klein+Tools+88910+Mini+Tube+Cutter&amp;qid=1695174232&amp;sr=8-2")</f>
        <v/>
      </c>
      <c r="F527" t="inlineStr">
        <is>
          <t>B0BHVPRYWJ</t>
        </is>
      </c>
      <c r="G527">
        <f>_xludf.IMAGE("https://edmondsonsupply.com/cdn/shop/products/88910.jpg?v=1638577903")</f>
        <v/>
      </c>
      <c r="H527">
        <f>_xludf.IMAGE("https://m.media-amazon.com/images/I/41IGLJnFXYL._AC_UL320_.jpg")</f>
        <v/>
      </c>
      <c r="I527" t="inlineStr">
        <is>
          <t>19.99</t>
        </is>
      </c>
      <c r="J527" t="n">
        <v>58.59</v>
      </c>
      <c r="K527" s="3" t="inlineStr">
        <is>
          <t>193.10%</t>
        </is>
      </c>
      <c r="L527" t="n">
        <v>5</v>
      </c>
      <c r="M527" t="n">
        <v>2</v>
      </c>
      <c r="O527" t="inlineStr">
        <is>
          <t>InStock</t>
        </is>
      </c>
      <c r="P527" t="inlineStr">
        <is>
          <t>27.36</t>
        </is>
      </c>
      <c r="Q527" t="inlineStr">
        <is>
          <t>7539584631000</t>
        </is>
      </c>
    </row>
    <row r="528">
      <c r="A528" s="2">
        <f>HYPERLINK("https://edmondsonsupply.com/collections/electricians-tools/products/klein-tools-et45-ac-dc-voltage-tester", "https://edmondsonsupply.com/collections/electricians-tools/products/klein-tools-et45-ac-dc-voltage-tester")</f>
        <v/>
      </c>
      <c r="B528" s="2">
        <f>HYPERLINK("https://edmondsonsupply.com/products/klein-tools-et45-ac-dc-voltage-tester", "https://edmondsonsupply.com/products/klein-tools-et45-ac-dc-voltage-tester")</f>
        <v/>
      </c>
      <c r="C528" t="inlineStr">
        <is>
          <t>Klein Tools ET45 AC/DC Voltage Tester</t>
        </is>
      </c>
      <c r="D528" t="inlineStr">
        <is>
          <t>Klein Tools NCVT3PKIT Electrical Test Kit, Dual-Range Non-Contact Voltage Tester with Flashlight, AC/DC Voltage Tester</t>
        </is>
      </c>
      <c r="E528" s="2">
        <f>HYPERLINK("https://www.amazon.com/Klein-Tools-NCVT3PKIT-Electrical-Non-Contact/dp/B08SY9XFJK/ref=sr_1_2?keywords=Klein+Tools+ET45+AC%2FDC+Voltage+Tester&amp;qid=1695174290&amp;sr=8-2", "https://www.amazon.com/Klein-Tools-NCVT3PKIT-Electrical-Non-Contact/dp/B08SY9XFJK/ref=sr_1_2?keywords=Klein+Tools+ET45+AC%2FDC+Voltage+Tester&amp;qid=1695174290&amp;sr=8-2")</f>
        <v/>
      </c>
      <c r="F528" t="inlineStr">
        <is>
          <t>B08SY9XFJK</t>
        </is>
      </c>
      <c r="G528">
        <f>_xludf.IMAGE("https://edmondsonsupply.com/cdn/shop/products/et45.jpg?v=1647786270")</f>
        <v/>
      </c>
      <c r="H528">
        <f>_xludf.IMAGE("https://m.media-amazon.com/images/I/519yG6StX0L._AC_UL320_.jpg")</f>
        <v/>
      </c>
      <c r="I528" t="inlineStr">
        <is>
          <t>11.99</t>
        </is>
      </c>
      <c r="J528" t="n">
        <v>34.99</v>
      </c>
      <c r="K528" s="3" t="inlineStr">
        <is>
          <t>191.83%</t>
        </is>
      </c>
      <c r="L528" t="n">
        <v>4.7</v>
      </c>
      <c r="M528" t="n">
        <v>4231</v>
      </c>
      <c r="O528" t="inlineStr">
        <is>
          <t>InStock</t>
        </is>
      </c>
      <c r="P528" t="inlineStr">
        <is>
          <t>16.72</t>
        </is>
      </c>
      <c r="Q528" t="inlineStr">
        <is>
          <t>3688633630820</t>
        </is>
      </c>
    </row>
    <row r="529">
      <c r="A529" s="2">
        <f>HYPERLINK("https://edmondsonsupply.com/collections/electricians-tools/products/klein-tools-31948-bi-metal-hole-saw-3-inch", "https://edmondsonsupply.com/collections/electricians-tools/products/klein-tools-31948-bi-metal-hole-saw-3-inch")</f>
        <v/>
      </c>
      <c r="B529" s="2">
        <f>HYPERLINK("https://edmondsonsupply.com/products/klein-tools-31948-bi-metal-hole-saw-3-inch", "https://edmondsonsupply.com/products/klein-tools-31948-bi-metal-hole-saw-3-inch")</f>
        <v/>
      </c>
      <c r="C529" t="inlineStr">
        <is>
          <t>Klein Tools 31948 Bi-Metal Hole Saw, 3-Inch</t>
        </is>
      </c>
      <c r="D529" t="inlineStr">
        <is>
          <t>Klein Tools 31900 Bi-Metal Hole Saw, 6-3/8-Inch, For Drywall-Ceiling Tile-Steel-Wood-Plastic, Stainless Steel, Recessed Lighting</t>
        </is>
      </c>
      <c r="E529" s="2">
        <f>HYPERLINK("https://www.amazon.com/Bi-Metal-8-Inch-Klein-Tools-31900/dp/B0171X0FXU/ref=sr_1_9?keywords=Klein+Tools+31948+Bi-Metal+Hole+Saw%2C+3-Inch&amp;qid=1695174151&amp;sr=8-9", "https://www.amazon.com/Bi-Metal-8-Inch-Klein-Tools-31900/dp/B0171X0FXU/ref=sr_1_9?keywords=Klein+Tools+31948+Bi-Metal+Hole+Saw%2C+3-Inch&amp;qid=1695174151&amp;sr=8-9")</f>
        <v/>
      </c>
      <c r="F529" t="inlineStr">
        <is>
          <t>B0171X0FXU</t>
        </is>
      </c>
      <c r="G529">
        <f>_xludf.IMAGE("https://edmondsonsupply.com/cdn/shop/products/31948.jpg?v=1663945105")</f>
        <v/>
      </c>
      <c r="H529">
        <f>_xludf.IMAGE("https://m.media-amazon.com/images/I/51mfU+Jrr7L._AC_UL320_.jpg")</f>
        <v/>
      </c>
      <c r="I529" t="inlineStr">
        <is>
          <t>14.99</t>
        </is>
      </c>
      <c r="J529" t="n">
        <v>43.49</v>
      </c>
      <c r="K529" s="3" t="inlineStr">
        <is>
          <t>190.13%</t>
        </is>
      </c>
      <c r="L529" t="n">
        <v>4.5</v>
      </c>
      <c r="M529" t="n">
        <v>211</v>
      </c>
      <c r="O529" t="inlineStr">
        <is>
          <t>InStock</t>
        </is>
      </c>
      <c r="P529" t="inlineStr">
        <is>
          <t>19.62</t>
        </is>
      </c>
      <c r="Q529" t="inlineStr">
        <is>
          <t>7827277185240</t>
        </is>
      </c>
    </row>
    <row r="530">
      <c r="A530" s="2">
        <f>HYPERLINK("https://edmondsonsupply.com/collections/electricians-tools/products/milwaukee-48-22-1500-fastback%E2%84%A2-compact-folding-utility-knife", "https://edmondsonsupply.com/collections/electricians-tools/products/milwaukee-48-22-1500-fastback%E2%84%A2-compact-folding-utility-knife")</f>
        <v/>
      </c>
      <c r="B530" s="2">
        <f>HYPERLINK("https://edmondsonsupply.com/products/milwaukee-48-22-1500-fastback%e2%84%a2-compact-folding-utility-knife", "https://edmondsonsupply.com/products/milwaukee-48-22-1500-fastback%e2%84%a2-compact-folding-utility-knife")</f>
        <v/>
      </c>
      <c r="C530" t="inlineStr">
        <is>
          <t>Milwaukee 48-22-1500 FASTBACK™ Compact Folding Utility Knife</t>
        </is>
      </c>
      <c r="D530" t="inlineStr">
        <is>
          <t>For Milwaukee Tool 48-22-1505 Fastback™ 6In1 Folding Utility Knife</t>
        </is>
      </c>
      <c r="E530" s="2">
        <f>HYPERLINK("https://www.amazon.com/Milwaukee-48-22-1505-FastbackTM-Folding-Utility/dp/B0C69TGH9K/ref=sr_1_4?keywords=Milwaukee+48-22-1500+FASTBACK%E2%84%A2+Compact+Folding+Utility+Knife&amp;qid=1695173917&amp;sr=8-4", "https://www.amazon.com/Milwaukee-48-22-1505-FastbackTM-Folding-Utility/dp/B0C69TGH9K/ref=sr_1_4?keywords=Milwaukee+48-22-1500+FASTBACK%E2%84%A2+Compact+Folding+Utility+Knife&amp;qid=1695173917&amp;sr=8-4")</f>
        <v/>
      </c>
      <c r="F530" t="inlineStr">
        <is>
          <t>B0C69TGH9K</t>
        </is>
      </c>
      <c r="G530">
        <f>_xludf.IMAGE("https://edmondsonsupply.com/cdn/shop/products/48-22-1500_3.png?v=1587142474")</f>
        <v/>
      </c>
      <c r="H530">
        <f>_xludf.IMAGE("https://m.media-amazon.com/images/I/41ZUsUsHByL._AC_UL320_.jpg")</f>
        <v/>
      </c>
      <c r="I530" t="inlineStr">
        <is>
          <t>8.97</t>
        </is>
      </c>
      <c r="J530" t="n">
        <v>26</v>
      </c>
      <c r="K530" s="3" t="inlineStr">
        <is>
          <t>189.86%</t>
        </is>
      </c>
      <c r="L530" t="n">
        <v>4.7</v>
      </c>
      <c r="M530" t="n">
        <v>4</v>
      </c>
      <c r="O530" t="inlineStr">
        <is>
          <t>InStock</t>
        </is>
      </c>
      <c r="P530" t="inlineStr">
        <is>
          <t>13.0</t>
        </is>
      </c>
      <c r="Q530" t="inlineStr">
        <is>
          <t>4342633824356</t>
        </is>
      </c>
    </row>
    <row r="531">
      <c r="A531" s="2">
        <f>HYPERLINK("https://edmondsonsupply.com/collections/electricians-tools/products/milwaukee-49-56-0032-7-8-hole-dozer%E2%84%A2-hole-saw-bi-metal-cup", "https://edmondsonsupply.com/collections/electricians-tools/products/milwaukee-49-56-0032-7-8-hole-dozer%E2%84%A2-hole-saw-bi-metal-cup")</f>
        <v/>
      </c>
      <c r="B531" s="2">
        <f>HYPERLINK("https://edmondsonsupply.com/products/milwaukee-49-56-0032-7-8-hole-dozer%e2%84%a2-hole-saw-bi-metal-cup", "https://edmondsonsupply.com/products/milwaukee-49-56-0032-7-8-hole-dozer%e2%84%a2-hole-saw-bi-metal-cup")</f>
        <v/>
      </c>
      <c r="C531" t="inlineStr">
        <is>
          <t>Milwaukee 49-56-0032 7/8" HOLE DOZER™ Hole Saw Bi-Metal Cup</t>
        </is>
      </c>
      <c r="D531" t="inlineStr">
        <is>
          <t>Milwaukee Electric Tool 49-56-0167 Electric Bi-Metal Hole Saw, 2-7/8"</t>
        </is>
      </c>
      <c r="E531" s="2">
        <f>HYPERLINK("https://www.amazon.com/Milwaukee-49-56-0167-8-Inch-Hardened-Hole/dp/B0017WOBBO/ref=sr_1_3?keywords=Milwaukee+49-56-0032+7%2F8%22+HOLE+DOZER%E2%84%A2+Hole+Saw+Bi-Metal+Cup&amp;qid=1695174046&amp;sr=8-3", "https://www.amazon.com/Milwaukee-49-56-0167-8-Inch-Hardened-Hole/dp/B0017WOBBO/ref=sr_1_3?keywords=Milwaukee+49-56-0032+7%2F8%22+HOLE+DOZER%E2%84%A2+Hole+Saw+Bi-Metal+Cup&amp;qid=1695174046&amp;sr=8-3")</f>
        <v/>
      </c>
      <c r="F531" t="inlineStr">
        <is>
          <t>B0017WOBBO</t>
        </is>
      </c>
      <c r="G531">
        <f>_xludf.IMAGE("https://edmondsonsupply.com/cdn/shop/products/49-56-0052_101_2_e2853eae-f06d-4487-a2f1-f6b9c315f028.webp?v=1679419818")</f>
        <v/>
      </c>
      <c r="H531">
        <f>_xludf.IMAGE("https://m.media-amazon.com/images/I/61csZT8rVjL._AC_UL320_.jpg")</f>
        <v/>
      </c>
      <c r="I531" t="inlineStr">
        <is>
          <t>6.05</t>
        </is>
      </c>
      <c r="J531" t="n">
        <v>17.46</v>
      </c>
      <c r="K531" s="3" t="inlineStr">
        <is>
          <t>188.60%</t>
        </is>
      </c>
      <c r="L531" t="n">
        <v>4.8</v>
      </c>
      <c r="M531" t="n">
        <v>101</v>
      </c>
      <c r="O531" t="inlineStr">
        <is>
          <t>InStock</t>
        </is>
      </c>
      <c r="P531" t="inlineStr">
        <is>
          <t>12.3</t>
        </is>
      </c>
      <c r="Q531" t="inlineStr">
        <is>
          <t>7965277880536</t>
        </is>
      </c>
    </row>
    <row r="532">
      <c r="A532" s="2">
        <f>HYPERLINK("https://edmondsonsupply.com/collections/electricians-tools/products/klein-tools-rt110-receptacle-tester", "https://edmondsonsupply.com/collections/electricians-tools/products/klein-tools-rt110-receptacle-tester")</f>
        <v/>
      </c>
      <c r="B532" s="2">
        <f>HYPERLINK("https://edmondsonsupply.com/products/klein-tools-rt110-receptacle-tester", "https://edmondsonsupply.com/products/klein-tools-rt110-receptacle-tester")</f>
        <v/>
      </c>
      <c r="C532" t="inlineStr">
        <is>
          <t>Klein Tools RT110 Receptacle Tester</t>
        </is>
      </c>
      <c r="D532" t="inlineStr">
        <is>
          <t>Klein Tools NCVT1P Voltage Tester, 50V to 1000V AC, Audible and Flashing LED Alarms, Pocket Clip &amp; RT110 Outlet Tester, AC Electrical Receptacle Tester for North American Outlets</t>
        </is>
      </c>
      <c r="E532" s="2">
        <f>HYPERLINK("https://www.amazon.com/Klein-Tools-Flashing-Electrical-Receptacle/dp/B0BRM9Q8SF/ref=sr_1_2?keywords=Klein+Tools+RT110+Receptacle+Tester&amp;qid=1695174267&amp;sr=8-2", "https://www.amazon.com/Klein-Tools-Flashing-Electrical-Receptacle/dp/B0BRM9Q8SF/ref=sr_1_2?keywords=Klein+Tools+RT110+Receptacle+Tester&amp;qid=1695174267&amp;sr=8-2")</f>
        <v/>
      </c>
      <c r="F532" t="inlineStr">
        <is>
          <t>B0BRM9Q8SF</t>
        </is>
      </c>
      <c r="G532">
        <f>_xludf.IMAGE("https://edmondsonsupply.com/cdn/shop/products/rt110.jpg?v=1633031036")</f>
        <v/>
      </c>
      <c r="H532">
        <f>_xludf.IMAGE("https://m.media-amazon.com/images/I/41xqNIeskEL._AC_UL320_.jpg")</f>
        <v/>
      </c>
      <c r="I532" t="inlineStr">
        <is>
          <t>9.97</t>
        </is>
      </c>
      <c r="J532" t="n">
        <v>28.69</v>
      </c>
      <c r="K532" s="3" t="inlineStr">
        <is>
          <t>187.76%</t>
        </is>
      </c>
      <c r="L532" t="n">
        <v>5</v>
      </c>
      <c r="M532" t="n">
        <v>2</v>
      </c>
      <c r="O532" t="inlineStr">
        <is>
          <t>InStock</t>
        </is>
      </c>
      <c r="P532" t="inlineStr">
        <is>
          <t>12.12</t>
        </is>
      </c>
      <c r="Q532" t="inlineStr">
        <is>
          <t>6740486619309</t>
        </is>
      </c>
    </row>
    <row r="533">
      <c r="A533" s="2">
        <f>HYPERLINK("https://edmondsonsupply.com/collections/electricians-tools/products/klein-tools-65200-electricians-mini-ratchet-set-5-piece", "https://edmondsonsupply.com/collections/electricians-tools/products/klein-tools-65200-electricians-mini-ratchet-set-5-piece")</f>
        <v/>
      </c>
      <c r="B533" s="2">
        <f>HYPERLINK("https://edmondsonsupply.com/products/klein-tools-65200-electricians-mini-ratchet-set-5-piece", "https://edmondsonsupply.com/products/klein-tools-65200-electricians-mini-ratchet-set-5-piece")</f>
        <v/>
      </c>
      <c r="C533" t="inlineStr">
        <is>
          <t>Klein Tools 65200 Slim-Profile Mini Ratchet Set, 5-Piece</t>
        </is>
      </c>
      <c r="D533" t="inlineStr">
        <is>
          <t>Klein Tools 32717 Precision Screwdriver Set with Case &amp; 65200 Ratchet Set, 5-Piece Mini Ratchet Set with Phillips, Slotted, and Adapter for Other Socket Sizes, For Tight Spaces</t>
        </is>
      </c>
      <c r="E533" s="2">
        <f>HYPERLINK("https://www.amazon.com/Klein-Tools-Precision-Screwdriver-Phillips/dp/B0BK4M6YR9/ref=sr_1_6?keywords=Klein+Tools+65200+Slim-Profile+Mini+Ratchet+Set%2C+5-Piece&amp;qid=1695173845&amp;sr=8-6", "https://www.amazon.com/Klein-Tools-Precision-Screwdriver-Phillips/dp/B0BK4M6YR9/ref=sr_1_6?keywords=Klein+Tools+65200+Slim-Profile+Mini+Ratchet+Set%2C+5-Piece&amp;qid=1695173845&amp;sr=8-6")</f>
        <v/>
      </c>
      <c r="F533" t="inlineStr">
        <is>
          <t>B0BK4M6YR9</t>
        </is>
      </c>
      <c r="G533">
        <f>_xludf.IMAGE("https://edmondsonsupply.com/cdn/shop/products/65200.jpg?v=1633030630")</f>
        <v/>
      </c>
      <c r="H533">
        <f>_xludf.IMAGE("https://m.media-amazon.com/images/I/51dEfrYf+TL._AC_UL320_.jpg")</f>
        <v/>
      </c>
      <c r="I533" t="inlineStr">
        <is>
          <t>15.97</t>
        </is>
      </c>
      <c r="J533" t="n">
        <v>45.93</v>
      </c>
      <c r="K533" s="3" t="inlineStr">
        <is>
          <t>187.60%</t>
        </is>
      </c>
      <c r="L533" t="n">
        <v>5</v>
      </c>
      <c r="M533" t="n">
        <v>5</v>
      </c>
      <c r="O533" t="inlineStr">
        <is>
          <t>InStock</t>
        </is>
      </c>
      <c r="P533" t="inlineStr">
        <is>
          <t>20.96</t>
        </is>
      </c>
      <c r="Q533" t="inlineStr">
        <is>
          <t>5694440964264</t>
        </is>
      </c>
    </row>
    <row r="534">
      <c r="A534" s="2">
        <f>HYPERLINK("https://edmondsonsupply.com/collections/electricians-tools/products/klein-tools-ktsb03-step-drill-bit-double-fluted-3-1-4-to-3-4-inch", "https://edmondsonsupply.com/collections/electricians-tools/products/klein-tools-ktsb03-step-drill-bit-double-fluted-3-1-4-to-3-4-inch")</f>
        <v/>
      </c>
      <c r="B534" s="2">
        <f>HYPERLINK("https://edmondsonsupply.com/products/klein-tools-ktsb03-step-drill-bit-double-fluted-3-1-4-to-3-4-inch", "https://edmondsonsupply.com/products/klein-tools-ktsb03-step-drill-bit-double-fluted-3-1-4-to-3-4-inch")</f>
        <v/>
      </c>
      <c r="C534" t="inlineStr">
        <is>
          <t>Klein Tools KTSB03 Step Drill Bit Double Fluted #3, 1/4 to 3/4-Inch</t>
        </is>
      </c>
      <c r="D534" t="inlineStr">
        <is>
          <t>Klein Tools 25951 Electrician's Step Drill Bit Set, Spiral Double Fluted, Titanium Nitride Coating, 1/4-Inch Impact Shank, Case, 3-Piece</t>
        </is>
      </c>
      <c r="E534" s="2">
        <f>HYPERLINK("https://www.amazon.com/Klein-Tools-25951-Electricians-Titanium/dp/B0BLFRJLDX/ref=sr_1_2?keywords=Klein+Tools+KTSB03+Step+Drill+Bit+Double+Fluted&amp;qid=1695173948&amp;sr=8-2", "https://www.amazon.com/Klein-Tools-25951-Electricians-Titanium/dp/B0BLFRJLDX/ref=sr_1_2?keywords=Klein+Tools+KTSB03+Step+Drill+Bit+Double+Fluted&amp;qid=1695173948&amp;sr=8-2")</f>
        <v/>
      </c>
      <c r="F534" t="inlineStr">
        <is>
          <t>B0BLFRJLDX</t>
        </is>
      </c>
      <c r="G534">
        <f>_xludf.IMAGE("https://edmondsonsupply.com/cdn/shop/products/ktsb03.jpg?v=1666012212")</f>
        <v/>
      </c>
      <c r="H534">
        <f>_xludf.IMAGE("https://m.media-amazon.com/images/I/61dZd3WvlgL._AC_UY218_.jpg")</f>
        <v/>
      </c>
      <c r="I534" t="inlineStr">
        <is>
          <t>34.99</t>
        </is>
      </c>
      <c r="J534" t="n">
        <v>99.98999999999999</v>
      </c>
      <c r="K534" s="3" t="inlineStr">
        <is>
          <t>185.77%</t>
        </is>
      </c>
      <c r="L534" t="n">
        <v>3.8</v>
      </c>
      <c r="M534" t="n">
        <v>6</v>
      </c>
      <c r="O534" t="inlineStr">
        <is>
          <t>InStock</t>
        </is>
      </c>
      <c r="P534" t="inlineStr">
        <is>
          <t>47.68</t>
        </is>
      </c>
      <c r="Q534" t="inlineStr">
        <is>
          <t>4174339670116</t>
        </is>
      </c>
    </row>
    <row r="535">
      <c r="A535" s="2">
        <f>HYPERLINK("https://edmondsonsupply.com/collections/electricians-tools/products/klein-tools-60345-hard-hat-earmuffs-full-brim-style", "https://edmondsonsupply.com/collections/electricians-tools/products/klein-tools-60345-hard-hat-earmuffs-full-brim-style")</f>
        <v/>
      </c>
      <c r="B535" s="2">
        <f>HYPERLINK("https://edmondsonsupply.com/products/klein-tools-60345-hard-hat-earmuffs-full-brim-style", "https://edmondsonsupply.com/products/klein-tools-60345-hard-hat-earmuffs-full-brim-style")</f>
        <v/>
      </c>
      <c r="C535" t="inlineStr">
        <is>
          <t>Klein Tools 60502 Hard Hat Earmuffs, Full Brim Style</t>
        </is>
      </c>
      <c r="D535" t="inlineStr">
        <is>
          <t>Klein Tools 60407 Vented Full Brim Hard Hat with Rechargeable Headlamp and Klein Tools 60502 Earmuffs for Full Brim Style - Ultimate Job Site Protection and Comfort</t>
        </is>
      </c>
      <c r="E535" s="2">
        <f>HYPERLINK("https://www.amazon.com/Klein-Tools-Rechargeable-Headlamp-Earmuffs/dp/B0C1PYTDR6/ref=sr_1_2?keywords=Klein+Tools+60502+Hard+Hat+Earmuffs%2C+Full+Brim+Style&amp;qid=1695174082&amp;sr=8-2", "https://www.amazon.com/Klein-Tools-Rechargeable-Headlamp-Earmuffs/dp/B0C1PYTDR6/ref=sr_1_2?keywords=Klein+Tools+60502+Hard+Hat+Earmuffs%2C+Full+Brim+Style&amp;qid=1695174082&amp;sr=8-2")</f>
        <v/>
      </c>
      <c r="F535" t="inlineStr">
        <is>
          <t>B0C1PYTDR6</t>
        </is>
      </c>
      <c r="G535">
        <f>_xludf.IMAGE("https://edmondsonsupply.com/cdn/shop/products/60502.jpg?v=1674486730")</f>
        <v/>
      </c>
      <c r="H535">
        <f>_xludf.IMAGE("https://m.media-amazon.com/images/I/416L7EyyxQL._AC_UL320_.jpg")</f>
        <v/>
      </c>
      <c r="I535" t="inlineStr">
        <is>
          <t>29.99</t>
        </is>
      </c>
      <c r="J535" t="n">
        <v>84.95999999999999</v>
      </c>
      <c r="K535" s="3" t="inlineStr">
        <is>
          <t>183.29%</t>
        </is>
      </c>
      <c r="L535" t="n">
        <v>5</v>
      </c>
      <c r="M535" t="n">
        <v>1</v>
      </c>
      <c r="O535" t="inlineStr">
        <is>
          <t>InStock</t>
        </is>
      </c>
      <c r="P535" t="inlineStr">
        <is>
          <t>41.98</t>
        </is>
      </c>
      <c r="Q535" t="inlineStr">
        <is>
          <t>7931874869464</t>
        </is>
      </c>
    </row>
    <row r="536">
      <c r="A536" s="2">
        <f>HYPERLINK("https://edmondsonsupply.com/collections/electricians-tools/products/milwaukee-48-22-2930-4-in-1-precision-multi-bit-screwdriver", "https://edmondsonsupply.com/collections/electricians-tools/products/milwaukee-48-22-2930-4-in-1-precision-multi-bit-screwdriver")</f>
        <v/>
      </c>
      <c r="B536" s="2">
        <f>HYPERLINK("https://edmondsonsupply.com/products/milwaukee-48-22-2930-4-in-1-precision-multi-bit-screwdriver", "https://edmondsonsupply.com/products/milwaukee-48-22-2930-4-in-1-precision-multi-bit-screwdriver")</f>
        <v/>
      </c>
      <c r="C536" t="inlineStr">
        <is>
          <t>Milwaukee 48-22-2930 4-in-1 Precision Multi-Bit Screwdriver</t>
        </is>
      </c>
      <c r="D536" t="inlineStr">
        <is>
          <t>48-22-2330 for Milwaukee 8-in-1 Compact Ratcheting Multi-Bit Screwdriver</t>
        </is>
      </c>
      <c r="E536" s="2">
        <f>HYPERLINK("https://www.amazon.com/48-22-2330-Milwaukee-Ratcheting-Multi-Bit-Screwdriver/dp/B0C2VXJ8ZN/ref=sr_1_1?keywords=Milwaukee+48-22-2930+4-in-1+Precision+Multi-Bit+Screwdriver&amp;qid=1695173899&amp;sr=8-1", "https://www.amazon.com/48-22-2330-Milwaukee-Ratcheting-Multi-Bit-Screwdriver/dp/B0C2VXJ8ZN/ref=sr_1_1?keywords=Milwaukee+48-22-2930+4-in-1+Precision+Multi-Bit+Screwdriver&amp;qid=1695173899&amp;sr=8-1")</f>
        <v/>
      </c>
      <c r="F536" t="inlineStr">
        <is>
          <t>B0C2VXJ8ZN</t>
        </is>
      </c>
      <c r="G536">
        <f>_xludf.IMAGE("https://edmondsonsupply.com/cdn/shop/files/48-22-2930_PrimaryImage_WEB.webp?v=1686154438")</f>
        <v/>
      </c>
      <c r="H536">
        <f>_xludf.IMAGE("https://m.media-amazon.com/images/I/51NHRcqTkvL._AC_UL320_.jpg")</f>
        <v/>
      </c>
      <c r="I536" t="inlineStr">
        <is>
          <t>12.97</t>
        </is>
      </c>
      <c r="J536" t="n">
        <v>36.72</v>
      </c>
      <c r="K536" s="3" t="inlineStr">
        <is>
          <t>183.11%</t>
        </is>
      </c>
      <c r="L536" t="n">
        <v>5</v>
      </c>
      <c r="M536" t="n">
        <v>1</v>
      </c>
      <c r="O536" t="inlineStr">
        <is>
          <t>InStock</t>
        </is>
      </c>
      <c r="P536" t="inlineStr">
        <is>
          <t>17.3</t>
        </is>
      </c>
      <c r="Q536" t="inlineStr">
        <is>
          <t>7970427142360</t>
        </is>
      </c>
    </row>
    <row r="537">
      <c r="A537" s="2">
        <f>HYPERLINK("https://edmondsonsupply.com/collections/electricians-tools/products/klein-tools-614-2-1-16-inch-slotted-electronics-screwdriver-2-inch", "https://edmondsonsupply.com/collections/electricians-tools/products/klein-tools-614-2-1-16-inch-slotted-electronics-screwdriver-2-inch")</f>
        <v/>
      </c>
      <c r="B537" s="2">
        <f>HYPERLINK("https://edmondsonsupply.com/products/klein-tools-614-2-1-16-inch-slotted-electronics-screwdriver-2-inch", "https://edmondsonsupply.com/products/klein-tools-614-2-1-16-inch-slotted-electronics-screwdriver-2-inch")</f>
        <v/>
      </c>
      <c r="C537" t="inlineStr">
        <is>
          <t>Klein Tools 614-2 1/16-Inch Slotted Electronics Screwdriver, 2-Inch</t>
        </is>
      </c>
      <c r="D537" t="inlineStr">
        <is>
          <t>Klein Tools 85153K Slotted Screw-Holding Screwdriver Set, 3/16-Inch, 1/4-Inch Split-Blade Flat Head Driver, Positive Gripping Action, 2-Piece</t>
        </is>
      </c>
      <c r="E537" s="2">
        <f>HYPERLINK("https://www.amazon.com/Klein-Tools-85153K-Screw-Holding-Screwdriver/dp/B0CFRP1K3L/ref=sr_1_4?keywords=Klein+Tools+614-2+1%2F16-Inch+Slotted+Electronics+Screwdriver%2C+2-Inch&amp;qid=1695174229&amp;sr=8-4", "https://www.amazon.com/Klein-Tools-85153K-Screw-Holding-Screwdriver/dp/B0CFRP1K3L/ref=sr_1_4?keywords=Klein+Tools+614-2+1%2F16-Inch+Slotted+Electronics+Screwdriver%2C+2-Inch&amp;qid=1695174229&amp;sr=8-4")</f>
        <v/>
      </c>
      <c r="F537" t="inlineStr">
        <is>
          <t>B0CFRP1K3L</t>
        </is>
      </c>
      <c r="G537">
        <f>_xludf.IMAGE("https://edmondsonsupply.com/cdn/shop/products/614-2.jpg?v=1637284311")</f>
        <v/>
      </c>
      <c r="H537">
        <f>_xludf.IMAGE("https://m.media-amazon.com/images/I/41KoRmOkBpL._AC_UL320_.jpg")</f>
        <v/>
      </c>
      <c r="I537" t="inlineStr">
        <is>
          <t>8.49</t>
        </is>
      </c>
      <c r="J537" t="n">
        <v>23.97</v>
      </c>
      <c r="K537" s="3" t="inlineStr">
        <is>
          <t>182.33%</t>
        </is>
      </c>
      <c r="L537" t="n">
        <v>5</v>
      </c>
      <c r="M537" t="n">
        <v>1</v>
      </c>
      <c r="O537" t="inlineStr">
        <is>
          <t>InStock</t>
        </is>
      </c>
      <c r="P537" t="inlineStr">
        <is>
          <t>12.86</t>
        </is>
      </c>
      <c r="Q537" t="inlineStr">
        <is>
          <t>7512018616536</t>
        </is>
      </c>
    </row>
    <row r="538">
      <c r="A538" s="2">
        <f>HYPERLINK("https://edmondsonsupply.com/collections/electricians-tools/products/klein-tools-3005cr-ratcheting-crimper-10-22-awg", "https://edmondsonsupply.com/collections/electricians-tools/products/klein-tools-3005cr-ratcheting-crimper-10-22-awg")</f>
        <v/>
      </c>
      <c r="B538" s="2">
        <f>HYPERLINK("https://edmondsonsupply.com/products/klein-tools-3005cr-ratcheting-crimper-10-22-awg", "https://edmondsonsupply.com/products/klein-tools-3005cr-ratcheting-crimper-10-22-awg")</f>
        <v/>
      </c>
      <c r="C538" t="inlineStr">
        <is>
          <t>Klein Tools 3005CR Ratcheting Crimper, 10-22 AWG - Insulated Terminals</t>
        </is>
      </c>
      <c r="D538" t="inlineStr">
        <is>
          <t>Automatic Wire Stripper 10-24 AWG &amp; Klein Tools 3005CR Wire Crimper Tool, Ratcheting Insulated Terminal Crimper for 10 to 22 AWG Wire</t>
        </is>
      </c>
      <c r="E538" s="2">
        <f>HYPERLINK("https://www.amazon.com/Automatic-Stripper-Ratcheting-Insulated-Terminal/dp/B0BM3NKTGN/ref=sr_1_5?keywords=Klein+Tools+3005CR+Ratcheting+Crimper%2C+10-22+AWG+-+Insulated+Terminals&amp;qid=1695173864&amp;sr=8-5", "https://www.amazon.com/Automatic-Stripper-Ratcheting-Insulated-Terminal/dp/B0BM3NKTGN/ref=sr_1_5?keywords=Klein+Tools+3005CR+Ratcheting+Crimper%2C+10-22+AWG+-+Insulated+Terminals&amp;qid=1695173864&amp;sr=8-5")</f>
        <v/>
      </c>
      <c r="F538" t="inlineStr">
        <is>
          <t>B0BM3NKTGN</t>
        </is>
      </c>
      <c r="G538">
        <f>_xludf.IMAGE("https://edmondsonsupply.com/cdn/shop/products/3005cr.jpg?v=1587146892")</f>
        <v/>
      </c>
      <c r="H538">
        <f>_xludf.IMAGE("https://m.media-amazon.com/images/I/41G9n+KVXLL._AC_UL320_.jpg")</f>
        <v/>
      </c>
      <c r="I538" t="inlineStr">
        <is>
          <t>29.97</t>
        </is>
      </c>
      <c r="J538" t="n">
        <v>84.48999999999999</v>
      </c>
      <c r="K538" s="3" t="inlineStr">
        <is>
          <t>181.92%</t>
        </is>
      </c>
      <c r="L538" t="n">
        <v>4.6</v>
      </c>
      <c r="M538" t="n">
        <v>1243</v>
      </c>
      <c r="O538" t="inlineStr">
        <is>
          <t>InStock</t>
        </is>
      </c>
      <c r="P538" t="inlineStr">
        <is>
          <t>42.9</t>
        </is>
      </c>
      <c r="Q538" t="inlineStr">
        <is>
          <t>3699388907620</t>
        </is>
      </c>
    </row>
    <row r="539">
      <c r="A539" s="2">
        <f>HYPERLINK("https://edmondsonsupply.com/collections/electricians-tools/products/klein-tools-32314-14-in-1-precision-screwdriver-nut-driver", "https://edmondsonsupply.com/collections/electricians-tools/products/klein-tools-32314-14-in-1-precision-screwdriver-nut-driver")</f>
        <v/>
      </c>
      <c r="B539" s="2">
        <f>HYPERLINK("https://edmondsonsupply.com/products/klein-tools-32314-14-in-1-precision-screwdriver-nut-driver", "https://edmondsonsupply.com/products/klein-tools-32314-14-in-1-precision-screwdriver-nut-driver")</f>
        <v/>
      </c>
      <c r="C539" t="inlineStr">
        <is>
          <t>Klein Tools 32314 14-in-1 Precision Screwdriver/ Nut Driver</t>
        </is>
      </c>
      <c r="D539" t="inlineStr">
        <is>
          <t>Klein Tools 32807MAG 7-in-1 Nut Driver &amp; 32314 Electronic Screwdriver, 14-in-1 with 8 Precision Tips, Slotted, Phillips, and Tamperproof TORX Bits, 6 Precision Nut Drivers</t>
        </is>
      </c>
      <c r="E539" s="2">
        <f>HYPERLINK("https://www.amazon.com/Klein-Tools-Electronic-Screwdriver-Tamperproof/dp/B09Q66YZ6V/ref=sr_1_7?keywords=Klein+Tools+32314+14-in-1+Precision+Screwdriver%2F+Nut+Driver&amp;qid=1695173878&amp;sr=8-7", "https://www.amazon.com/Klein-Tools-Electronic-Screwdriver-Tamperproof/dp/B09Q66YZ6V/ref=sr_1_7?keywords=Klein+Tools+32314+14-in-1+Precision+Screwdriver%2F+Nut+Driver&amp;qid=1695173878&amp;sr=8-7")</f>
        <v/>
      </c>
      <c r="F539" t="inlineStr">
        <is>
          <t>B09Q66YZ6V</t>
        </is>
      </c>
      <c r="G539">
        <f>_xludf.IMAGE("https://edmondsonsupply.com/cdn/shop/products/32314.jpg?v=1646593726")</f>
        <v/>
      </c>
      <c r="H539">
        <f>_xludf.IMAGE("https://m.media-amazon.com/images/I/41HuaH+HvHL._AC_UL320_.jpg")</f>
        <v/>
      </c>
      <c r="I539" t="inlineStr">
        <is>
          <t>15.97</t>
        </is>
      </c>
      <c r="J539" t="n">
        <v>44.94</v>
      </c>
      <c r="K539" s="3" t="inlineStr">
        <is>
          <t>181.40%</t>
        </is>
      </c>
      <c r="L539" t="n">
        <v>4.7</v>
      </c>
      <c r="M539" t="n">
        <v>7</v>
      </c>
      <c r="O539" t="inlineStr">
        <is>
          <t>InStock</t>
        </is>
      </c>
      <c r="P539" t="inlineStr">
        <is>
          <t>22.38</t>
        </is>
      </c>
      <c r="Q539" t="inlineStr">
        <is>
          <t>7626984947928</t>
        </is>
      </c>
    </row>
    <row r="540">
      <c r="A540" s="2">
        <f>HYPERLINK("https://edmondsonsupply.com/collections/electricians-tools/products/klein-tools-32314-14-in-1-precision-screwdriver-nut-driver", "https://edmondsonsupply.com/collections/electricians-tools/products/klein-tools-32314-14-in-1-precision-screwdriver-nut-driver")</f>
        <v/>
      </c>
      <c r="B540" s="2">
        <f>HYPERLINK("https://edmondsonsupply.com/products/klein-tools-32314-14-in-1-precision-screwdriver-nut-driver", "https://edmondsonsupply.com/products/klein-tools-32314-14-in-1-precision-screwdriver-nut-driver")</f>
        <v/>
      </c>
      <c r="C540" t="inlineStr">
        <is>
          <t>Klein Tools 32314 14-in-1 Precision Screwdriver/ Nut Driver</t>
        </is>
      </c>
      <c r="D540" t="inlineStr">
        <is>
          <t>Klein Tools 32717 Precision Screwdriver Set &amp; 32314 Electronic Screwdriver, 14-in-1 with 8 Precision Tips, Slotted, Phillips, and Tamperproof TORX Bits, 6 Precision Nut Drivers</t>
        </is>
      </c>
      <c r="E540" s="2">
        <f>HYPERLINK("https://www.amazon.com/Klein-Tools-Screwdriver-Electronic-Tamperproof/dp/B0BF5CJP5B/ref=sr_1_4?keywords=Klein+Tools+32314+14-in-1+Precision+Screwdriver%2F+Nut+Driver&amp;qid=1695173878&amp;sr=8-4", "https://www.amazon.com/Klein-Tools-Screwdriver-Electronic-Tamperproof/dp/B0BF5CJP5B/ref=sr_1_4?keywords=Klein+Tools+32314+14-in-1+Precision+Screwdriver%2F+Nut+Driver&amp;qid=1695173878&amp;sr=8-4")</f>
        <v/>
      </c>
      <c r="F540" t="inlineStr">
        <is>
          <t>B0BF5CJP5B</t>
        </is>
      </c>
      <c r="G540">
        <f>_xludf.IMAGE("https://edmondsonsupply.com/cdn/shop/products/32314.jpg?v=1646593726")</f>
        <v/>
      </c>
      <c r="H540">
        <f>_xludf.IMAGE("https://m.media-amazon.com/images/I/51UXV8J5F1L._AC_UL320_.jpg")</f>
        <v/>
      </c>
      <c r="I540" t="inlineStr">
        <is>
          <t>15.97</t>
        </is>
      </c>
      <c r="J540" t="n">
        <v>44.94</v>
      </c>
      <c r="K540" s="3" t="inlineStr">
        <is>
          <t>181.40%</t>
        </is>
      </c>
      <c r="L540" t="n">
        <v>4.9</v>
      </c>
      <c r="M540" t="n">
        <v>9</v>
      </c>
      <c r="O540" t="inlineStr">
        <is>
          <t>InStock</t>
        </is>
      </c>
      <c r="P540" t="inlineStr">
        <is>
          <t>22.38</t>
        </is>
      </c>
      <c r="Q540" t="inlineStr">
        <is>
          <t>7626984947928</t>
        </is>
      </c>
    </row>
    <row r="541">
      <c r="A541" s="2">
        <f>HYPERLINK("https://edmondsonsupply.com/collections/electricians-tools/products/klein-tools-50611ml-magnetic-wire-puller-replacement-leader", "https://edmondsonsupply.com/collections/electricians-tools/products/klein-tools-50611ml-magnetic-wire-puller-replacement-leader")</f>
        <v/>
      </c>
      <c r="B541" s="2">
        <f>HYPERLINK("https://edmondsonsupply.com/products/klein-tools-50611ml-magnetic-wire-puller-replacement-leader", "https://edmondsonsupply.com/products/klein-tools-50611ml-magnetic-wire-puller-replacement-leader")</f>
        <v/>
      </c>
      <c r="C541" t="inlineStr">
        <is>
          <t>Klein Tools 50611ML Magnetic Wire Puller Replacement Leader</t>
        </is>
      </c>
      <c r="D541" t="inlineStr">
        <is>
          <t>Klein Tools 50611 Magnetic Wire Puller, Fishes and Pulls Wire Cable Behind Walls or Tight Spaces, Stainless-Steel Leader, Rare Earth Magnet</t>
        </is>
      </c>
      <c r="E541" s="2">
        <f>HYPERLINK("https://www.amazon.com/Magnetic-Puller-Stainless-Steel-Klein-Tools/dp/B093J6Z5QT/ref=sr_1_3?keywords=Klein+Tools+50611ML+Magnetic+Wire+Puller+Replacement+Leader&amp;qid=1695174150&amp;sr=8-3", "https://www.amazon.com/Magnetic-Puller-Stainless-Steel-Klein-Tools/dp/B093J6Z5QT/ref=sr_1_3?keywords=Klein+Tools+50611ML+Magnetic+Wire+Puller+Replacement+Leader&amp;qid=1695174150&amp;sr=8-3")</f>
        <v/>
      </c>
      <c r="F541" t="inlineStr">
        <is>
          <t>B093J6Z5QT</t>
        </is>
      </c>
      <c r="G541">
        <f>_xludf.IMAGE("https://edmondsonsupply.com/cdn/shop/products/50611ml.jpg?v=1664399271")</f>
        <v/>
      </c>
      <c r="H541">
        <f>_xludf.IMAGE("https://m.media-amazon.com/images/I/5165nncGD9S._AC_UL320_.jpg")</f>
        <v/>
      </c>
      <c r="I541" t="inlineStr">
        <is>
          <t>24.99</t>
        </is>
      </c>
      <c r="J541" t="n">
        <v>69.97</v>
      </c>
      <c r="K541" s="3" t="inlineStr">
        <is>
          <t>179.99%</t>
        </is>
      </c>
      <c r="L541" t="n">
        <v>4.6</v>
      </c>
      <c r="M541" t="n">
        <v>500</v>
      </c>
      <c r="O541" t="inlineStr">
        <is>
          <t>InStock</t>
        </is>
      </c>
      <c r="P541" t="inlineStr">
        <is>
          <t>36.06</t>
        </is>
      </c>
      <c r="Q541" t="inlineStr">
        <is>
          <t>7832399937752</t>
        </is>
      </c>
    </row>
    <row r="542">
      <c r="A542" s="2">
        <f>HYPERLINK("https://edmondsonsupply.com/collections/electricians-tools/products/klein-tools-66076-flip-impact-socket-9-16-and-1-2-inch", "https://edmondsonsupply.com/collections/electricians-tools/products/klein-tools-66076-flip-impact-socket-9-16-and-1-2-inch")</f>
        <v/>
      </c>
      <c r="B542" s="2">
        <f>HYPERLINK("https://edmondsonsupply.com/products/klein-tools-66076-flip-impact-socket-9-16-and-1-2-inch", "https://edmondsonsupply.com/products/klein-tools-66076-flip-impact-socket-9-16-and-1-2-inch")</f>
        <v/>
      </c>
      <c r="C542" t="inlineStr">
        <is>
          <t>Klein Tools 66076 Flip Impact Socket, 9/16 and 1/2-Inch</t>
        </is>
      </c>
      <c r="D542" t="inlineStr">
        <is>
          <t>Klein Tools 32900 Impact Driver, 7-in-1 Impact Flip Socket Set with Handle, 6 Hex Driver Sizes plus a 1/4-Inch Bit Holder</t>
        </is>
      </c>
      <c r="E542" s="2">
        <f>HYPERLINK("https://www.amazon.com/Klein-Tools-32900-Impact-Driver/dp/B09PZG4F8X/ref=sr_1_7?keywords=Klein+Tools+66076+Flip+Impact+Socket%2C+9%2F16+and+1%2F2-Inch&amp;qid=1695174172&amp;sr=8-7", "https://www.amazon.com/Klein-Tools-32900-Impact-Driver/dp/B09PZG4F8X/ref=sr_1_7?keywords=Klein+Tools+66076+Flip+Impact+Socket%2C+9%2F16+and+1%2F2-Inch&amp;qid=1695174172&amp;sr=8-7")</f>
        <v/>
      </c>
      <c r="F542" t="inlineStr">
        <is>
          <t>B09PZG4F8X</t>
        </is>
      </c>
      <c r="G542">
        <f>_xludf.IMAGE("https://edmondsonsupply.com/cdn/shop/products/66076.jpg?v=1663083814")</f>
        <v/>
      </c>
      <c r="H542">
        <f>_xludf.IMAGE("https://m.media-amazon.com/images/I/51qL2uXqcTL._AC_UL320_.jpg")</f>
        <v/>
      </c>
      <c r="I542" t="inlineStr">
        <is>
          <t>10.71</t>
        </is>
      </c>
      <c r="J542" t="n">
        <v>29.97</v>
      </c>
      <c r="K542" s="3" t="inlineStr">
        <is>
          <t>179.83%</t>
        </is>
      </c>
      <c r="L542" t="n">
        <v>4.7</v>
      </c>
      <c r="M542" t="n">
        <v>2493</v>
      </c>
      <c r="O542" t="inlineStr">
        <is>
          <t>InStock</t>
        </is>
      </c>
      <c r="P542" t="inlineStr">
        <is>
          <t>15.0</t>
        </is>
      </c>
      <c r="Q542" t="inlineStr">
        <is>
          <t>7814133874904</t>
        </is>
      </c>
    </row>
    <row r="543">
      <c r="A543" s="2">
        <f>HYPERLINK("https://edmondsonsupply.com/collections/electricians-tools/products/klein-tools-rt250-gfci-receptacle-tester-with-lcd", "https://edmondsonsupply.com/collections/electricians-tools/products/klein-tools-rt250-gfci-receptacle-tester-with-lcd")</f>
        <v/>
      </c>
      <c r="B543" s="2">
        <f>HYPERLINK("https://edmondsonsupply.com/products/klein-tools-rt250-gfci-receptacle-tester-with-lcd", "https://edmondsonsupply.com/products/klein-tools-rt250-gfci-receptacle-tester-with-lcd")</f>
        <v/>
      </c>
      <c r="C543" t="inlineStr">
        <is>
          <t>Klein Tools RT250 GFCI Receptacle Tester with LCD</t>
        </is>
      </c>
      <c r="D543" t="inlineStr">
        <is>
          <t>Klein Tools RT310 Receptacle Tester, AFCI and GFCI Outlet and Device Tester &amp; Klein Tools RT250 GFCI Receptacle Tester with LCD Display, for Standard 3-Wire 120V Electrical Outlets</t>
        </is>
      </c>
      <c r="E543" s="2">
        <f>HYPERLINK("https://www.amazon.com/Klein-Tools-Receptacle-Standard-Electrical/dp/B0BD3YZ7JV/ref=sr_1_7?keywords=Klein+Tools+RT250+GFCI+Receptacle+Tester+with+LCD&amp;qid=1695174176&amp;sr=8-7", "https://www.amazon.com/Klein-Tools-Receptacle-Standard-Electrical/dp/B0BD3YZ7JV/ref=sr_1_7?keywords=Klein+Tools+RT250+GFCI+Receptacle+Tester+with+LCD&amp;qid=1695174176&amp;sr=8-7")</f>
        <v/>
      </c>
      <c r="F543" t="inlineStr">
        <is>
          <t>B0BD3YZ7JV</t>
        </is>
      </c>
      <c r="G543">
        <f>_xludf.IMAGE("https://edmondsonsupply.com/cdn/shop/products/rt250_photo_c.jpg?v=1661363824")</f>
        <v/>
      </c>
      <c r="H543">
        <f>_xludf.IMAGE("https://m.media-amazon.com/images/I/51iiNw5cTJL._AC_UL320_.jpg")</f>
        <v/>
      </c>
      <c r="I543" t="inlineStr">
        <is>
          <t>21.97</t>
        </is>
      </c>
      <c r="J543" t="n">
        <v>61.4</v>
      </c>
      <c r="K543" s="3" t="inlineStr">
        <is>
          <t>179.47%</t>
        </is>
      </c>
      <c r="L543" t="n">
        <v>4.7</v>
      </c>
      <c r="M543" t="n">
        <v>6</v>
      </c>
      <c r="O543" t="inlineStr">
        <is>
          <t>InStock</t>
        </is>
      </c>
      <c r="P543" t="inlineStr">
        <is>
          <t>30.78</t>
        </is>
      </c>
      <c r="Q543" t="inlineStr">
        <is>
          <t>7793138729176</t>
        </is>
      </c>
    </row>
    <row r="544">
      <c r="A544" s="2">
        <f>HYPERLINK("https://edmondsonsupply.com/collections/electricians-tools/products/klein-tools-85616-precision-screwdriver-set-torx%C2%AE-4-piece", "https://edmondsonsupply.com/collections/electricians-tools/products/klein-tools-85616-precision-screwdriver-set-torx%C2%AE-4-piece")</f>
        <v/>
      </c>
      <c r="B544" s="2">
        <f>HYPERLINK("https://edmondsonsupply.com/products/klein-tools-85616-precision-screwdriver-set-torx%c2%ae-4-piece", "https://edmondsonsupply.com/products/klein-tools-85616-precision-screwdriver-set-torx%c2%ae-4-piece")</f>
        <v/>
      </c>
      <c r="C544" t="inlineStr">
        <is>
          <t>Klein Tools 85616 Precision Screwdriver Set, TORX® 4-Piece</t>
        </is>
      </c>
      <c r="D544" t="inlineStr">
        <is>
          <t>Klein Tools 85614 Precision Screwdriver Set, Electronics Slotted and Phillips Screwdrivers with Rotating Caps and Color-Coded Rings, 5-Piece</t>
        </is>
      </c>
      <c r="E544" s="2">
        <f>HYPERLINK("https://www.amazon.com/Klein-Tools-85614-Electronic-Screwdriver/dp/B0076RWZMQ/ref=sr_1_4?keywords=Klein+Tools+85616+Precision+Screwdriver+Set%2C+TORX%C2%AE+4-Piece&amp;qid=1695173993&amp;sr=8-4", "https://www.amazon.com/Klein-Tools-85614-Electronic-Screwdriver/dp/B0076RWZMQ/ref=sr_1_4?keywords=Klein+Tools+85616+Precision+Screwdriver+Set%2C+TORX%C2%AE+4-Piece&amp;qid=1695173993&amp;sr=8-4")</f>
        <v/>
      </c>
      <c r="F544" t="inlineStr">
        <is>
          <t>B0076RWZMQ</t>
        </is>
      </c>
      <c r="G544">
        <f>_xludf.IMAGE("https://edmondsonsupply.com/cdn/shop/files/85616_kit.jpg?v=1689873488")</f>
        <v/>
      </c>
      <c r="H544">
        <f>_xludf.IMAGE("https://m.media-amazon.com/images/I/510TMeDdIiL._AC_UL320_.jpg")</f>
        <v/>
      </c>
      <c r="I544" t="inlineStr">
        <is>
          <t>19.97</t>
        </is>
      </c>
      <c r="J544" t="n">
        <v>55.67</v>
      </c>
      <c r="K544" s="3" t="inlineStr">
        <is>
          <t>178.77%</t>
        </is>
      </c>
      <c r="L544" t="n">
        <v>4.8</v>
      </c>
      <c r="M544" t="n">
        <v>590</v>
      </c>
      <c r="O544" t="inlineStr">
        <is>
          <t>InStock</t>
        </is>
      </c>
      <c r="P544" t="inlineStr">
        <is>
          <t>27.98</t>
        </is>
      </c>
      <c r="Q544" t="inlineStr">
        <is>
          <t>8018843861208</t>
        </is>
      </c>
    </row>
    <row r="545">
      <c r="A545" s="2">
        <f>HYPERLINK("https://edmondsonsupply.com/collections/electricians-tools/products/klein-tools-32308-8-in-1-multi-bit-adjustable-length-stubby-screwdriver", "https://edmondsonsupply.com/collections/electricians-tools/products/klein-tools-32308-8-in-1-multi-bit-adjustable-length-stubby-screwdriver")</f>
        <v/>
      </c>
      <c r="B545" s="2">
        <f>HYPERLINK("https://edmondsonsupply.com/products/klein-tools-32308-8-in-1-multi-bit-adjustable-length-stubby-screwdriver", "https://edmondsonsupply.com/products/klein-tools-32308-8-in-1-multi-bit-adjustable-length-stubby-screwdriver")</f>
        <v/>
      </c>
      <c r="C545" t="inlineStr">
        <is>
          <t>Klein Tools 32308 8-in-1 Multi-Bit Adjustable Length Stubby Screwdriver</t>
        </is>
      </c>
      <c r="D545" t="inlineStr">
        <is>
          <t>Klein Tools 32807MAG 7-in-1 Nut Driver &amp; 32308 Multi-bit Stubby Screwdriver, Impact Rated 8-in-1 Adjustable Magnetic Tool with Phillips, Slotted, Square and Nut Driver</t>
        </is>
      </c>
      <c r="E545" s="2">
        <f>HYPERLINK("https://www.amazon.com/Klein-Tools-Multi-bit-Screwdriver-Adjustable/dp/B0B2DDKN6X/ref=sr_1_5?keywords=Klein+Tools+32308+8-in-1+Multi-Bit+Adjustable+Length+Stubby+Screwdriver&amp;qid=1695174224&amp;sr=8-5", "https://www.amazon.com/Klein-Tools-Multi-bit-Screwdriver-Adjustable/dp/B0B2DDKN6X/ref=sr_1_5?keywords=Klein+Tools+32308+8-in-1+Multi-Bit+Adjustable+Length+Stubby+Screwdriver&amp;qid=1695174224&amp;sr=8-5")</f>
        <v/>
      </c>
      <c r="F545" t="inlineStr">
        <is>
          <t>B0B2DDKN6X</t>
        </is>
      </c>
      <c r="G545">
        <f>_xludf.IMAGE("https://edmondsonsupply.com/cdn/shop/products/32308_b.jpg?v=1647348209")</f>
        <v/>
      </c>
      <c r="H545">
        <f>_xludf.IMAGE("https://m.media-amazon.com/images/I/513U9I4oXnL._AC_UL320_.jpg")</f>
        <v/>
      </c>
      <c r="I545" t="inlineStr">
        <is>
          <t>16.97</t>
        </is>
      </c>
      <c r="J545" t="n">
        <v>46.94</v>
      </c>
      <c r="K545" s="3" t="inlineStr">
        <is>
          <t>176.61%</t>
        </is>
      </c>
      <c r="L545" t="n">
        <v>4.9</v>
      </c>
      <c r="M545" t="n">
        <v>14</v>
      </c>
      <c r="O545" t="inlineStr">
        <is>
          <t>InStock</t>
        </is>
      </c>
      <c r="P545" t="inlineStr">
        <is>
          <t>23.78</t>
        </is>
      </c>
      <c r="Q545" t="inlineStr">
        <is>
          <t>7637271445720</t>
        </is>
      </c>
    </row>
    <row r="546">
      <c r="A546" s="2">
        <f>HYPERLINK("https://edmondsonsupply.com/collections/electricians-tools/products/milwaukee-2458-21-m12%E2%84%A2-cordless-lithium-ion-palm-nailer-kit", "https://edmondsonsupply.com/collections/electricians-tools/products/milwaukee-2458-21-m12%E2%84%A2-cordless-lithium-ion-palm-nailer-kit")</f>
        <v/>
      </c>
      <c r="B546" s="2">
        <f>HYPERLINK("https://edmondsonsupply.com/products/milwaukee-2458-21-m12%e2%84%a2-cordless-lithium-ion-palm-nailer-kit", "https://edmondsonsupply.com/products/milwaukee-2458-21-m12%e2%84%a2-cordless-lithium-ion-palm-nailer-kit")</f>
        <v/>
      </c>
      <c r="C546" t="inlineStr">
        <is>
          <t>Milwaukee 2458-21 M12™ Cordless Lithium-Ion Palm Nailer Kit</t>
        </is>
      </c>
      <c r="D546" t="inlineStr">
        <is>
          <t>Milwaukee Elec Tool 2742-21CT M18 Fuel Lithiumion Brushless Cordless 16Gauge Angled F Inish Nailer Kit 247221Ct</t>
        </is>
      </c>
      <c r="E546" s="2">
        <f>HYPERLINK("https://www.amazon.com/Milwaukee-2742-21CT-Lithiumion-Brushless-Cordless/dp/B01DE8ZIVK/ref=sr_1_4?keywords=Milwaukee+2458-21+M12%E2%84%A2+Cordless+Lithium-Ion+Palm+Nailer+Kit&amp;qid=1695174057&amp;sr=8-4", "https://www.amazon.com/Milwaukee-2742-21CT-Lithiumion-Brushless-Cordless/dp/B01DE8ZIVK/ref=sr_1_4?keywords=Milwaukee+2458-21+M12%E2%84%A2+Cordless+Lithium-Ion+Palm+Nailer+Kit&amp;qid=1695174057&amp;sr=8-4")</f>
        <v/>
      </c>
      <c r="F546" t="inlineStr">
        <is>
          <t>B01DE8ZIVK</t>
        </is>
      </c>
      <c r="G546">
        <f>_xludf.IMAGE("https://edmondsonsupply.com/cdn/shop/products/52383_2458-20-lg_ec645d87-9219-4c87-aa67-2ea9ff2860d3.webp?v=1679330758")</f>
        <v/>
      </c>
      <c r="H546">
        <f>_xludf.IMAGE("https://m.media-amazon.com/images/I/91k7A8RmbNL._AC_UL320_.jpg")</f>
        <v/>
      </c>
      <c r="I546" t="inlineStr">
        <is>
          <t>199.0</t>
        </is>
      </c>
      <c r="J546" t="n">
        <v>550</v>
      </c>
      <c r="K546" s="3" t="inlineStr">
        <is>
          <t>176.38%</t>
        </is>
      </c>
      <c r="L546" t="n">
        <v>3.8</v>
      </c>
      <c r="M546" t="n">
        <v>33</v>
      </c>
      <c r="O546" t="inlineStr">
        <is>
          <t>InStock</t>
        </is>
      </c>
      <c r="P546" t="inlineStr">
        <is>
          <t>365.0</t>
        </is>
      </c>
      <c r="Q546" t="inlineStr">
        <is>
          <t>7964958490840</t>
        </is>
      </c>
    </row>
    <row r="547">
      <c r="A547" s="2">
        <f>HYPERLINK("https://edmondsonsupply.com/collections/electricians-tools/products/klein-tools-646-1-4-1-4-inch-nut-driver-with-6-inch-hollow-shaft", "https://edmondsonsupply.com/collections/electricians-tools/products/klein-tools-646-1-4-1-4-inch-nut-driver-with-6-inch-hollow-shaft")</f>
        <v/>
      </c>
      <c r="B547" s="2">
        <f>HYPERLINK("https://edmondsonsupply.com/products/klein-tools-646-1-4-1-4-inch-nut-driver-with-6-inch-hollow-shaft", "https://edmondsonsupply.com/products/klein-tools-646-1-4-1-4-inch-nut-driver-with-6-inch-hollow-shaft")</f>
        <v/>
      </c>
      <c r="C547" t="inlineStr">
        <is>
          <t>Klein Tools 646-1/4 1/4-Inch Nut Driver with 6-Inch Hollow Shaft</t>
        </is>
      </c>
      <c r="D547" t="inlineStr">
        <is>
          <t>Klein Tools 646-1/4-INS Insulated 1/4-Inch Nut Driver with 6-Inch Hollow Shaft and Cushion Grip Handle</t>
        </is>
      </c>
      <c r="E547" s="2">
        <f>HYPERLINK("https://www.amazon.com/Insulated-Klein-Tools-646-1-4-INS/dp/B000MKMH5O/ref=sr_1_2?keywords=Klein+Tools+646-1%2F4+1%2F4-Inch+Nut+Driver+with+6-Inch+Hollow+Shaft&amp;qid=1695173897&amp;sr=8-2", "https://www.amazon.com/Insulated-Klein-Tools-646-1-4-INS/dp/B000MKMH5O/ref=sr_1_2?keywords=Klein+Tools+646-1%2F4+1%2F4-Inch+Nut+Driver+with+6-Inch+Hollow+Shaft&amp;qid=1695173897&amp;sr=8-2")</f>
        <v/>
      </c>
      <c r="F547" t="inlineStr">
        <is>
          <t>B000MKMH5O</t>
        </is>
      </c>
      <c r="G547">
        <f>_xludf.IMAGE("https://edmondsonsupply.com/cdn/shop/products/646-1-2_08d87fa9-eac4-4869-8d3b-bb680d4b1d53.jpg?v=1587150676")</f>
        <v/>
      </c>
      <c r="H547">
        <f>_xludf.IMAGE("https://m.media-amazon.com/images/I/41Nr0vSgHCL._AC_UL320_.jpg")</f>
        <v/>
      </c>
      <c r="I547" t="inlineStr">
        <is>
          <t>7.99</t>
        </is>
      </c>
      <c r="J547" t="n">
        <v>22.02</v>
      </c>
      <c r="K547" s="3" t="inlineStr">
        <is>
          <t>175.59%</t>
        </is>
      </c>
      <c r="L547" t="n">
        <v>4.7</v>
      </c>
      <c r="M547" t="n">
        <v>274</v>
      </c>
      <c r="O547" t="inlineStr">
        <is>
          <t>InStock</t>
        </is>
      </c>
      <c r="P547" t="inlineStr">
        <is>
          <t>12.1</t>
        </is>
      </c>
      <c r="Q547" t="inlineStr">
        <is>
          <t>4439433740388</t>
        </is>
      </c>
    </row>
    <row r="548">
      <c r="A548" s="2">
        <f>HYPERLINK("https://edmondsonsupply.com/collections/electricians-tools/products/klein-tools-et45vp-ac-dc-voltage-and-gfci-receptacle-outlet-test-kit", "https://edmondsonsupply.com/collections/electricians-tools/products/klein-tools-et45vp-ac-dc-voltage-and-gfci-receptacle-outlet-test-kit")</f>
        <v/>
      </c>
      <c r="B548" s="2">
        <f>HYPERLINK("https://edmondsonsupply.com/products/klein-tools-et45vp-ac-dc-voltage-and-gfci-receptacle-outlet-test-kit", "https://edmondsonsupply.com/products/klein-tools-et45vp-ac-dc-voltage-and-gfci-receptacle-outlet-test-kit")</f>
        <v/>
      </c>
      <c r="C548" t="inlineStr">
        <is>
          <t>Klein Tools ET45VP AC/DC Voltage and GFCI Receptacle Outlet Test Kit</t>
        </is>
      </c>
      <c r="D548" t="inlineStr">
        <is>
          <t>Klein Tools 80101 Home Tester Kit, GFCI Outlet and Receptacle Testers, Multimeter, NCVT, Circuit Breaker Finder, Leads, 6-Piece, Black</t>
        </is>
      </c>
      <c r="E548" s="2">
        <f>HYPERLINK("https://www.amazon.com/Klein-Tools-Receptacle-Testers-Multimeter/dp/B0B7817ZG5/ref=sr_1_8?keywords=Klein+Tools+ET45VP+AC%2FDC+Voltage+and+GFCI+Receptacle+Outlet+Test+Kit&amp;qid=1695174178&amp;sr=8-8", "https://www.amazon.com/Klein-Tools-Receptacle-Testers-Multimeter/dp/B0B7817ZG5/ref=sr_1_8?keywords=Klein+Tools+ET45VP+AC%2FDC+Voltage+and+GFCI+Receptacle+Outlet+Test+Kit&amp;qid=1695174178&amp;sr=8-8")</f>
        <v/>
      </c>
      <c r="F548" t="inlineStr">
        <is>
          <t>B0B7817ZG5</t>
        </is>
      </c>
      <c r="G548">
        <f>_xludf.IMAGE("https://edmondsonsupply.com/cdn/shop/products/et45vp.jpg?v=1660755922")</f>
        <v/>
      </c>
      <c r="H548">
        <f>_xludf.IMAGE("https://m.media-amazon.com/images/I/61wZRMpKAcL._AC_UL320_.jpg")</f>
        <v/>
      </c>
      <c r="I548" t="inlineStr">
        <is>
          <t>17.97</t>
        </is>
      </c>
      <c r="J548" t="n">
        <v>48.99</v>
      </c>
      <c r="K548" s="3" t="inlineStr">
        <is>
          <t>172.62%</t>
        </is>
      </c>
      <c r="L548" t="n">
        <v>4.7</v>
      </c>
      <c r="M548" t="n">
        <v>406</v>
      </c>
      <c r="O548" t="inlineStr">
        <is>
          <t>InStock</t>
        </is>
      </c>
      <c r="P548" t="inlineStr">
        <is>
          <t>25.82</t>
        </is>
      </c>
      <c r="Q548" t="inlineStr">
        <is>
          <t>7783562084568</t>
        </is>
      </c>
    </row>
    <row r="549">
      <c r="A549" s="2">
        <f>HYPERLINK("https://edmondsonsupply.com/collections/electricians-tools/products/klein-tools-9416r-1000v-insulated-tool-kit-3-piece", "https://edmondsonsupply.com/collections/electricians-tools/products/klein-tools-9416r-1000v-insulated-tool-kit-3-piece")</f>
        <v/>
      </c>
      <c r="B549" s="2">
        <f>HYPERLINK("https://edmondsonsupply.com/products/klein-tools-9416r-1000v-insulated-tool-kit-3-piece", "https://edmondsonsupply.com/products/klein-tools-9416r-1000v-insulated-tool-kit-3-piece")</f>
        <v/>
      </c>
      <c r="C549" t="inlineStr">
        <is>
          <t>Klein Tools 9416R 1000V Insulated Tool Kit, 3-Piece</t>
        </is>
      </c>
      <c r="D549" t="inlineStr">
        <is>
          <t>Klein Tools 33524 Tool Kit, 1000V Insulated Nut Driver Set, Sizes 3/16, 1/4, 5/16, 11/32, 3/8,7/16,1/2,9/16,5/8-Inch, with Case, 9-Piece</t>
        </is>
      </c>
      <c r="E549" s="2">
        <f>HYPERLINK("https://www.amazon.com/Insulated-9-Piece-Klein-Tools-33524/dp/B000MKIR9E/ref=sr_1_2?keywords=Klein+Tools+9416R+1000V+Insulated+Tool+Kit%2C+3-Piece&amp;qid=1695174123&amp;sr=8-2", "https://www.amazon.com/Insulated-9-Piece-Klein-Tools-33524/dp/B000MKIR9E/ref=sr_1_2?keywords=Klein+Tools+9416R+1000V+Insulated+Tool+Kit%2C+3-Piece&amp;qid=1695174123&amp;sr=8-2")</f>
        <v/>
      </c>
      <c r="F549" t="inlineStr">
        <is>
          <t>B000MKIR9E</t>
        </is>
      </c>
      <c r="G549">
        <f>_xludf.IMAGE("https://edmondsonsupply.com/cdn/shop/products/9416r.jpg?v=1667327475")</f>
        <v/>
      </c>
      <c r="H549">
        <f>_xludf.IMAGE("https://m.media-amazon.com/images/I/71+Db525CfL._AC_UL320_.jpg")</f>
        <v/>
      </c>
      <c r="I549" t="inlineStr">
        <is>
          <t>84.99</t>
        </is>
      </c>
      <c r="J549" t="n">
        <v>229.49</v>
      </c>
      <c r="K549" s="3" t="inlineStr">
        <is>
          <t>170.02%</t>
        </is>
      </c>
      <c r="L549" t="n">
        <v>4.4</v>
      </c>
      <c r="M549" t="n">
        <v>26</v>
      </c>
      <c r="O549" t="inlineStr">
        <is>
          <t>InStock</t>
        </is>
      </c>
      <c r="P549" t="inlineStr">
        <is>
          <t>127.48</t>
        </is>
      </c>
      <c r="Q549" t="inlineStr">
        <is>
          <t>7872648347864</t>
        </is>
      </c>
    </row>
    <row r="550">
      <c r="A550" s="2">
        <f>HYPERLINK("https://edmondsonsupply.com/collections/electricians-tools/products/klein-tools-3005cr-ratcheting-crimper-10-22-awg", "https://edmondsonsupply.com/collections/electricians-tools/products/klein-tools-3005cr-ratcheting-crimper-10-22-awg")</f>
        <v/>
      </c>
      <c r="B550" s="2">
        <f>HYPERLINK("https://edmondsonsupply.com/products/klein-tools-3005cr-ratcheting-crimper-10-22-awg", "https://edmondsonsupply.com/products/klein-tools-3005cr-ratcheting-crimper-10-22-awg")</f>
        <v/>
      </c>
      <c r="C550" t="inlineStr">
        <is>
          <t>Klein Tools 3005CR Ratcheting Crimper, 10-22 AWG - Insulated Terminals</t>
        </is>
      </c>
      <c r="D550" t="inlineStr">
        <is>
          <t>Dismantling Knife-1000V Insulated &amp; Klein Tools 3005CR Wire Crimper Tool, Ratcheting Insulated Terminal Crimper for 10 to 22 AWG Wire</t>
        </is>
      </c>
      <c r="E550" s="2">
        <f>HYPERLINK("https://www.amazon.com/Dismantling-Knife-1000V-Insulated-Ratcheting-Terminal/dp/B0BGJ84H4F/ref=sr_1_2?keywords=Klein+Tools+3005CR+Ratcheting+Crimper%2C+10-22+AWG+-+Insulated+Terminals&amp;qid=1695173864&amp;sr=8-2", "https://www.amazon.com/Dismantling-Knife-1000V-Insulated-Ratcheting-Terminal/dp/B0BGJ84H4F/ref=sr_1_2?keywords=Klein+Tools+3005CR+Ratcheting+Crimper%2C+10-22+AWG+-+Insulated+Terminals&amp;qid=1695173864&amp;sr=8-2")</f>
        <v/>
      </c>
      <c r="F550" t="inlineStr">
        <is>
          <t>B0BGJ84H4F</t>
        </is>
      </c>
      <c r="G550">
        <f>_xludf.IMAGE("https://edmondsonsupply.com/cdn/shop/products/3005cr.jpg?v=1587146892")</f>
        <v/>
      </c>
      <c r="H550">
        <f>_xludf.IMAGE("https://m.media-amazon.com/images/I/41tkLMUuJaL._AC_UL320_.jpg")</f>
        <v/>
      </c>
      <c r="I550" t="inlineStr">
        <is>
          <t>29.97</t>
        </is>
      </c>
      <c r="J550" t="n">
        <v>79.69</v>
      </c>
      <c r="K550" s="3" t="inlineStr">
        <is>
          <t>165.90%</t>
        </is>
      </c>
      <c r="L550" t="n">
        <v>4.8</v>
      </c>
      <c r="M550" t="n">
        <v>793</v>
      </c>
      <c r="O550" t="inlineStr">
        <is>
          <t>InStock</t>
        </is>
      </c>
      <c r="P550" t="inlineStr">
        <is>
          <t>42.9</t>
        </is>
      </c>
      <c r="Q550" t="inlineStr">
        <is>
          <t>3699388907620</t>
        </is>
      </c>
    </row>
    <row r="551">
      <c r="A551" s="2">
        <f>HYPERLINK("https://edmondsonsupply.com/collections/electricians-tools/products/klein-tools-32768-3-in-1-impact-flip-socket-set-1-4-inch-5-16-inch-2-piece", "https://edmondsonsupply.com/collections/electricians-tools/products/klein-tools-32768-3-in-1-impact-flip-socket-set-1-4-inch-5-16-inch-2-piece")</f>
        <v/>
      </c>
      <c r="B551" s="2">
        <f>HYPERLINK("https://edmondsonsupply.com/products/klein-tools-32768-3-in-1-impact-flip-socket-set-1-4-inch-5-16-inch-2-piece", "https://edmondsonsupply.com/products/klein-tools-32768-3-in-1-impact-flip-socket-set-1-4-inch-5-16-inch-2-piece")</f>
        <v/>
      </c>
      <c r="C551" t="inlineStr">
        <is>
          <t>Klein Tools 32768 3-in-1 Impact Flip Socket Set, 1/4-Inch, 5/16-Inch, 2-Piece</t>
        </is>
      </c>
      <c r="D551" t="inlineStr">
        <is>
          <t>Klein Tools 32304 Screwdriver &amp; 32768 Impact Driver, 3-in-1 Impact Flip Socket and Bit Holder, 1/4 and 5/16-Inch Hex Drivers, 3 and 5-Inch Lengths, 2-Piece Set</t>
        </is>
      </c>
      <c r="E551" s="2">
        <f>HYPERLINK("https://www.amazon.com/Klein-Tools-Screwdriver-16-Inch-Drivers/dp/B0C4H7N4GS/ref=sr_1_3?keywords=Klein+Tools+32768+3-in-1+Impact+Flip+Socket+Set%2C+1%2F4-Inch%2C+5%2F16-Inch%2C+2-Piece&amp;qid=1695174135&amp;sr=8-3", "https://www.amazon.com/Klein-Tools-Screwdriver-16-Inch-Drivers/dp/B0C4H7N4GS/ref=sr_1_3?keywords=Klein+Tools+32768+3-in-1+Impact+Flip+Socket+Set%2C+1%2F4-Inch%2C+5%2F16-Inch%2C+2-Piece&amp;qid=1695174135&amp;sr=8-3")</f>
        <v/>
      </c>
      <c r="F551" t="inlineStr">
        <is>
          <t>B0C4H7N4GS</t>
        </is>
      </c>
      <c r="G551">
        <f>_xludf.IMAGE("https://edmondsonsupply.com/cdn/shop/products/32768.jpg?v=1666022946")</f>
        <v/>
      </c>
      <c r="H551">
        <f>_xludf.IMAGE("https://m.media-amazon.com/images/I/41GpUvTL7xL._AC_UL320_.jpg")</f>
        <v/>
      </c>
      <c r="I551" t="inlineStr">
        <is>
          <t>14.97</t>
        </is>
      </c>
      <c r="J551" t="n">
        <v>39.76</v>
      </c>
      <c r="K551" s="3" t="inlineStr">
        <is>
          <t>165.60%</t>
        </is>
      </c>
      <c r="L551" t="n">
        <v>5</v>
      </c>
      <c r="M551" t="n">
        <v>1</v>
      </c>
      <c r="O551" t="inlineStr">
        <is>
          <t>InStock</t>
        </is>
      </c>
      <c r="P551" t="inlineStr">
        <is>
          <t>21.98</t>
        </is>
      </c>
      <c r="Q551" t="inlineStr">
        <is>
          <t>7856621977816</t>
        </is>
      </c>
    </row>
    <row r="552">
      <c r="A552" s="2">
        <f>HYPERLINK("https://edmondsonsupply.com/collections/electricians-tools/products/milwaukee-49-56-0072-1-3-8-hole-dozer%E2%84%A2-hole-saw-bi-metal-cup", "https://edmondsonsupply.com/collections/electricians-tools/products/milwaukee-49-56-0072-1-3-8-hole-dozer%E2%84%A2-hole-saw-bi-metal-cup")</f>
        <v/>
      </c>
      <c r="B552" s="2">
        <f>HYPERLINK("https://edmondsonsupply.com/products/milwaukee-49-56-0072-1-3-8-hole-dozer%e2%84%a2-hole-saw-bi-metal-cup", "https://edmondsonsupply.com/products/milwaukee-49-56-0072-1-3-8-hole-dozer%e2%84%a2-hole-saw-bi-metal-cup")</f>
        <v/>
      </c>
      <c r="C552" t="inlineStr">
        <is>
          <t>Milwaukee 49-56-0072 1-3/8" HOLE DOZER™ Hole Saw Bi-Metal Cup</t>
        </is>
      </c>
      <c r="D552" t="inlineStr">
        <is>
          <t>Milwaukee Electric Tool 49-56-0193 Bi-Metal Hole Saw, 3-1/2"</t>
        </is>
      </c>
      <c r="E552" s="2">
        <f>HYPERLINK("https://www.amazon.com/Milwaukee-Electric-Tool-49-56-0193-Bi-Metal/dp/B0017WTULA/ref=sr_1_4?keywords=Milwaukee+49-56-0072+1-3%2F8%22+HOLE+DOZER%E2%84%A2+Hole+Saw+Bi-Metal+Cup&amp;qid=1695174054&amp;sr=8-4", "https://www.amazon.com/Milwaukee-Electric-Tool-49-56-0193-Bi-Metal/dp/B0017WTULA/ref=sr_1_4?keywords=Milwaukee+49-56-0072+1-3%2F8%22+HOLE+DOZER%E2%84%A2+Hole+Saw+Bi-Metal+Cup&amp;qid=1695174054&amp;sr=8-4")</f>
        <v/>
      </c>
      <c r="F552" t="inlineStr">
        <is>
          <t>B0017WTULA</t>
        </is>
      </c>
      <c r="G552">
        <f>_xludf.IMAGE("https://edmondsonsupply.com/cdn/shop/products/49-56-0052_101_2_442dad6a-cfd3-4167-9bee-4c5b358f3b1a.webp?v=1679417936")</f>
        <v/>
      </c>
      <c r="H552">
        <f>_xludf.IMAGE("https://m.media-amazon.com/images/I/51Yfl2-hbuL._AC_UL320_.jpg")</f>
        <v/>
      </c>
      <c r="I552" t="inlineStr">
        <is>
          <t>6.99</t>
        </is>
      </c>
      <c r="J552" t="n">
        <v>18.45</v>
      </c>
      <c r="K552" s="3" t="inlineStr">
        <is>
          <t>163.95%</t>
        </is>
      </c>
      <c r="L552" t="n">
        <v>4.6</v>
      </c>
      <c r="M552" t="n">
        <v>249</v>
      </c>
      <c r="O552" t="inlineStr">
        <is>
          <t>InStock</t>
        </is>
      </c>
      <c r="P552" t="inlineStr">
        <is>
          <t>13.3</t>
        </is>
      </c>
      <c r="Q552" t="inlineStr">
        <is>
          <t>7965261791448</t>
        </is>
      </c>
    </row>
    <row r="553">
      <c r="A553" s="2">
        <f>HYPERLINK("https://edmondsonsupply.com/collections/electricians-tools/products/milwaukee-49-56-0082-1-1-2-hole-dozer%E2%84%A2-hole-saw-bi-metal-cup", "https://edmondsonsupply.com/collections/electricians-tools/products/milwaukee-49-56-0082-1-1-2-hole-dozer%E2%84%A2-hole-saw-bi-metal-cup")</f>
        <v/>
      </c>
      <c r="B553" s="2">
        <f>HYPERLINK("https://edmondsonsupply.com/products/milwaukee-49-56-0082-1-1-2-hole-dozer%e2%84%a2-hole-saw-bi-metal-cup", "https://edmondsonsupply.com/products/milwaukee-49-56-0082-1-1-2-hole-dozer%e2%84%a2-hole-saw-bi-metal-cup")</f>
        <v/>
      </c>
      <c r="C553" t="inlineStr">
        <is>
          <t>Milwaukee 49-56-0082 1-1/2" HOLE DOZER™ Hole Saw Bi-Metal Cup</t>
        </is>
      </c>
      <c r="D553" t="inlineStr">
        <is>
          <t>Milwaukee Electric Tool 49-56-0193 Bi-Metal Hole Saw, 3-1/2"</t>
        </is>
      </c>
      <c r="E553" s="2">
        <f>HYPERLINK("https://www.amazon.com/Milwaukee-Electric-Tool-49-56-0193-Bi-Metal/dp/B0017WTULA/ref=sr_1_4?keywords=Milwaukee+49-56-0082+1-1%2F2%22+HOLE+DOZER%E2%84%A2+Hole+Saw+Bi-Metal+Cup&amp;qid=1695174052&amp;sr=8-4", "https://www.amazon.com/Milwaukee-Electric-Tool-49-56-0193-Bi-Metal/dp/B0017WTULA/ref=sr_1_4?keywords=Milwaukee+49-56-0082+1-1%2F2%22+HOLE+DOZER%E2%84%A2+Hole+Saw+Bi-Metal+Cup&amp;qid=1695174052&amp;sr=8-4")</f>
        <v/>
      </c>
      <c r="F553" t="inlineStr">
        <is>
          <t>B0017WTULA</t>
        </is>
      </c>
      <c r="G553">
        <f>_xludf.IMAGE("https://edmondsonsupply.com/cdn/shop/products/49-56-0052_101_2_3e59b3b5-5134-4f73-a3fb-157d3c19d4d7.webp?v=1679416989")</f>
        <v/>
      </c>
      <c r="H553">
        <f>_xludf.IMAGE("https://m.media-amazon.com/images/I/51Yfl2-hbuL._AC_UL320_.jpg")</f>
        <v/>
      </c>
      <c r="I553" t="inlineStr">
        <is>
          <t>6.99</t>
        </is>
      </c>
      <c r="J553" t="n">
        <v>18.45</v>
      </c>
      <c r="K553" s="3" t="inlineStr">
        <is>
          <t>163.95%</t>
        </is>
      </c>
      <c r="L553" t="n">
        <v>4.6</v>
      </c>
      <c r="M553" t="n">
        <v>249</v>
      </c>
      <c r="O553" t="inlineStr">
        <is>
          <t>InStock</t>
        </is>
      </c>
      <c r="P553" t="inlineStr">
        <is>
          <t>13.3</t>
        </is>
      </c>
      <c r="Q553" t="inlineStr">
        <is>
          <t>7965257498840</t>
        </is>
      </c>
    </row>
    <row r="554">
      <c r="A554" s="2">
        <f>HYPERLINK("https://edmondsonsupply.com/collections/electricians-tools/products/klein-tools-630m-magnetic-nut-driver-set-3-inch-shafts-2-piece", "https://edmondsonsupply.com/collections/electricians-tools/products/klein-tools-630m-magnetic-nut-driver-set-3-inch-shafts-2-piece")</f>
        <v/>
      </c>
      <c r="B554" s="2">
        <f>HYPERLINK("https://edmondsonsupply.com/products/klein-tools-630m-magnetic-nut-driver-set-3-inch-shafts-2-piece", "https://edmondsonsupply.com/products/klein-tools-630m-magnetic-nut-driver-set-3-inch-shafts-2-piece")</f>
        <v/>
      </c>
      <c r="C554" t="inlineStr">
        <is>
          <t>Klein Tools 630M Magnetic Nut Driver Set, 3-Inch Shafts, 2-Piece</t>
        </is>
      </c>
      <c r="D554" t="inlineStr">
        <is>
          <t>Klein Tools 65160 Tool Set, Metric Nut Driver Set Sizes 5, 5.5, 6, 7, 8, 9, and 10 mm, 3-Inch Chrome-Plate Hollow Shafts, 7-Piece</t>
        </is>
      </c>
      <c r="E554" s="2">
        <f>HYPERLINK("https://www.amazon.com/Driver-Metric-3-Inch-7-Piece-Klein/dp/B0009ORXQQ/ref=sr_1_5?keywords=Klein+Tools+630M+Magnetic+Nut+Driver+Set%2C+3-Inch+Shafts%2C+2-Piece&amp;qid=1695173928&amp;sr=8-5", "https://www.amazon.com/Driver-Metric-3-Inch-7-Piece-Klein/dp/B0009ORXQQ/ref=sr_1_5?keywords=Klein+Tools+630M+Magnetic+Nut+Driver+Set%2C+3-Inch+Shafts%2C+2-Piece&amp;qid=1695173928&amp;sr=8-5")</f>
        <v/>
      </c>
      <c r="F554" t="inlineStr">
        <is>
          <t>B0009ORXQQ</t>
        </is>
      </c>
      <c r="G554">
        <f>_xludf.IMAGE("https://edmondsonsupply.com/cdn/shop/products/630m.jpg?v=1587143237")</f>
        <v/>
      </c>
      <c r="H554">
        <f>_xludf.IMAGE("https://m.media-amazon.com/images/I/61CnDJJyViL._AC_UL320_.jpg")</f>
        <v/>
      </c>
      <c r="I554" t="inlineStr">
        <is>
          <t>18.99</t>
        </is>
      </c>
      <c r="J554" t="n">
        <v>49.99</v>
      </c>
      <c r="K554" s="3" t="inlineStr">
        <is>
          <t>163.24%</t>
        </is>
      </c>
      <c r="L554" t="n">
        <v>4.8</v>
      </c>
      <c r="M554" t="n">
        <v>588</v>
      </c>
      <c r="O554" t="inlineStr">
        <is>
          <t>InStock</t>
        </is>
      </c>
      <c r="P554" t="inlineStr">
        <is>
          <t>28.78</t>
        </is>
      </c>
      <c r="Q554" t="inlineStr">
        <is>
          <t>4508216787044</t>
        </is>
      </c>
    </row>
    <row r="555">
      <c r="A555" s="2">
        <f>HYPERLINK("https://edmondsonsupply.com/collections/electricians-tools/products/klein-tools-rt110-receptacle-tester", "https://edmondsonsupply.com/collections/electricians-tools/products/klein-tools-rt110-receptacle-tester")</f>
        <v/>
      </c>
      <c r="B555" s="2">
        <f>HYPERLINK("https://edmondsonsupply.com/products/klein-tools-rt110-receptacle-tester", "https://edmondsonsupply.com/products/klein-tools-rt110-receptacle-tester")</f>
        <v/>
      </c>
      <c r="C555" t="inlineStr">
        <is>
          <t>Klein Tools RT110 Receptacle Tester</t>
        </is>
      </c>
      <c r="D555" t="inlineStr">
        <is>
          <t>Klein Tools 80097 Beginner Tester Kit with GFCI Outlet and Receptacle Tester, Electronic Voltage Tester, Non-Contact Voltage Tester, 3-Piece Red</t>
        </is>
      </c>
      <c r="E555" s="2">
        <f>HYPERLINK("https://www.amazon.com/Klein-Tools-80097-Beginner-3-Piece/dp/B0B7Z178B1/ref=sr_1_9?keywords=Klein+Tools+RT110+Receptacle+Tester&amp;qid=1695174267&amp;sr=8-9", "https://www.amazon.com/Klein-Tools-80097-Beginner-3-Piece/dp/B0B7Z178B1/ref=sr_1_9?keywords=Klein+Tools+RT110+Receptacle+Tester&amp;qid=1695174267&amp;sr=8-9")</f>
        <v/>
      </c>
      <c r="F555" t="inlineStr">
        <is>
          <t>B0B7Z178B1</t>
        </is>
      </c>
      <c r="G555">
        <f>_xludf.IMAGE("https://edmondsonsupply.com/cdn/shop/products/rt110.jpg?v=1633031036")</f>
        <v/>
      </c>
      <c r="H555">
        <f>_xludf.IMAGE("https://m.media-amazon.com/images/I/51TWbZ0INyL._AC_UL320_.jpg")</f>
        <v/>
      </c>
      <c r="I555" t="inlineStr">
        <is>
          <t>9.97</t>
        </is>
      </c>
      <c r="J555" t="n">
        <v>25.99</v>
      </c>
      <c r="K555" s="3" t="inlineStr">
        <is>
          <t>160.68%</t>
        </is>
      </c>
      <c r="L555" t="n">
        <v>4.6</v>
      </c>
      <c r="M555" t="n">
        <v>121</v>
      </c>
      <c r="O555" t="inlineStr">
        <is>
          <t>InStock</t>
        </is>
      </c>
      <c r="P555" t="inlineStr">
        <is>
          <t>12.12</t>
        </is>
      </c>
      <c r="Q555" t="inlineStr">
        <is>
          <t>6740486619309</t>
        </is>
      </c>
    </row>
    <row r="556">
      <c r="A556" s="2">
        <f>HYPERLINK("https://edmondsonsupply.com/collections/electricians-tools/products/klein-tools-vdv427-300-impact-punchdown-tool-66-110-blade", "https://edmondsonsupply.com/collections/electricians-tools/products/klein-tools-vdv427-300-impact-punchdown-tool-66-110-blade")</f>
        <v/>
      </c>
      <c r="B556" s="2">
        <f>HYPERLINK("https://edmondsonsupply.com/products/klein-tools-vdv427-300-impact-punchdown-tool-66-110-blade", "https://edmondsonsupply.com/products/klein-tools-vdv427-300-impact-punchdown-tool-66-110-blade")</f>
        <v/>
      </c>
      <c r="C556" t="inlineStr">
        <is>
          <t>Klein Tools VDV427-300 Impact Punchdown Tool, 66/110 Blade</t>
        </is>
      </c>
      <c r="D556" t="inlineStr">
        <is>
          <t>RJ45 Ethernet Cable Tester and Crimper Kit, Pass-Thru Technology, Includes Connectors for Cat5e / CAT6 Data Applications Klein Tools &amp; Klein Tools VDV427-300 Impact Punchdown Tool, 66/110 Blade</t>
        </is>
      </c>
      <c r="E556" s="2">
        <f>HYPERLINK("https://www.amazon.com/Technology-Connectors-Applications-Klein-Tools/dp/B0BM3B5HST/ref=sr_1_4?keywords=Klein+Tools+VDV427-300+Impact+Punchdown+Tool%2C+66%2F110+Blade&amp;qid=1695174221&amp;sr=8-4", "https://www.amazon.com/Technology-Connectors-Applications-Klein-Tools/dp/B0BM3B5HST/ref=sr_1_4?keywords=Klein+Tools+VDV427-300+Impact+Punchdown+Tool%2C+66%2F110+Blade&amp;qid=1695174221&amp;sr=8-4")</f>
        <v/>
      </c>
      <c r="F556" t="inlineStr">
        <is>
          <t>B0BM3B5HST</t>
        </is>
      </c>
      <c r="G556">
        <f>_xludf.IMAGE("https://edmondsonsupply.com/cdn/shop/products/vdv427300.jpg?v=1646010568")</f>
        <v/>
      </c>
      <c r="H556">
        <f>_xludf.IMAGE("https://m.media-amazon.com/images/I/51XDsqYrc6L._AC_UL320_.jpg")</f>
        <v/>
      </c>
      <c r="I556" t="inlineStr">
        <is>
          <t>39.97</t>
        </is>
      </c>
      <c r="J556" t="n">
        <v>103.96</v>
      </c>
      <c r="K556" s="3" t="inlineStr">
        <is>
          <t>160.10%</t>
        </is>
      </c>
      <c r="L556" t="n">
        <v>4.7</v>
      </c>
      <c r="M556" t="n">
        <v>312</v>
      </c>
      <c r="O556" t="inlineStr">
        <is>
          <t>InStock</t>
        </is>
      </c>
      <c r="P556" t="inlineStr">
        <is>
          <t>55.98</t>
        </is>
      </c>
      <c r="Q556" t="inlineStr">
        <is>
          <t>7620069818584</t>
        </is>
      </c>
    </row>
    <row r="557">
      <c r="A557" s="2">
        <f>HYPERLINK("https://edmondsonsupply.com/collections/electricians-tools/products/klein-tools-rt390", "https://edmondsonsupply.com/collections/electricians-tools/products/klein-tools-rt390")</f>
        <v/>
      </c>
      <c r="B557" s="2">
        <f>HYPERLINK("https://edmondsonsupply.com/products/klein-tools-rt390", "https://edmondsonsupply.com/products/klein-tools-rt390")</f>
        <v/>
      </c>
      <c r="C557" t="inlineStr">
        <is>
          <t>Klein Tools RT390 Circuit Analyzer</t>
        </is>
      </c>
      <c r="D557" t="inlineStr">
        <is>
          <t>Klein Tools ET450 Advanced Circuit Breaker Finder and Wire Tracer Kit &amp; RT390 Circuit Analyzer with Large LCD, Identifies Wiring Faults, GFCI and AFCI Tester, Voltage Drop, Displays Trip Time, Orange</t>
        </is>
      </c>
      <c r="E557" s="2">
        <f>HYPERLINK("https://www.amazon.com/Klein-Tools-Advanced-Analyzer-Identifies/dp/B0CCS6L8DC/ref=sr_1_2?keywords=Klein+Tools+RT390+Circuit+Analyzer&amp;qid=1695173904&amp;sr=8-2", "https://www.amazon.com/Klein-Tools-Advanced-Analyzer-Identifies/dp/B0CCS6L8DC/ref=sr_1_2?keywords=Klein+Tools+RT390+Circuit+Analyzer&amp;qid=1695173904&amp;sr=8-2")</f>
        <v/>
      </c>
      <c r="F557" t="inlineStr">
        <is>
          <t>B0CCS6L8DC</t>
        </is>
      </c>
      <c r="G557">
        <f>_xludf.IMAGE("https://edmondsonsupply.com/cdn/shop/products/rt390.jpg?v=1677683463")</f>
        <v/>
      </c>
      <c r="H557">
        <f>_xludf.IMAGE("https://m.media-amazon.com/images/I/61pWayFxCIL._AC_UL320_.jpg")</f>
        <v/>
      </c>
      <c r="I557" t="inlineStr">
        <is>
          <t>149.99</t>
        </is>
      </c>
      <c r="J557" t="n">
        <v>389.98</v>
      </c>
      <c r="K557" s="3" t="inlineStr">
        <is>
          <t>160.00%</t>
        </is>
      </c>
      <c r="L557" t="n">
        <v>5</v>
      </c>
      <c r="M557" t="n">
        <v>1</v>
      </c>
      <c r="O557" t="inlineStr">
        <is>
          <t>InStock</t>
        </is>
      </c>
      <c r="P557" t="inlineStr">
        <is>
          <t>209.98</t>
        </is>
      </c>
      <c r="Q557" t="inlineStr">
        <is>
          <t>7953963581656</t>
        </is>
      </c>
    </row>
    <row r="558">
      <c r="A558" s="2">
        <f>HYPERLINK("https://edmondsonsupply.com/collections/electricians-tools/products/klein-tools-65064-2-in-1-hex-head-screwdriver-1-4-5-16", "https://edmondsonsupply.com/collections/electricians-tools/products/klein-tools-65064-2-in-1-hex-head-screwdriver-1-4-5-16")</f>
        <v/>
      </c>
      <c r="B558" s="2">
        <f>HYPERLINK("https://edmondsonsupply.com/products/klein-tools-65064-2-in-1-hex-head-screwdriver-1-4-5-16", "https://edmondsonsupply.com/products/klein-tools-65064-2-in-1-hex-head-screwdriver-1-4-5-16")</f>
        <v/>
      </c>
      <c r="C558" t="inlineStr">
        <is>
          <t>Klein Tools 65064 2-in-1 Nut Driver, Hex Head, 1/4-Inch and 5/16-Inch</t>
        </is>
      </c>
      <c r="D558" t="inlineStr">
        <is>
          <t>Klein Tools 646M Tool Set, Magnetic Nut Drivers Sizes 1/4 and 5/16-Inch, 6-Inch Shafts, 2-Piece &amp; 65064 Hex Head 2-in-1 Nut Driver, 1/4-Inch and 5/16-Inch</t>
        </is>
      </c>
      <c r="E558" s="2">
        <f>HYPERLINK("https://www.amazon.com/Klein-Tools-Magnetic-Drivers-16-Inch/dp/B0BGPTVP3Z/ref=sr_1_4?keywords=Klein+Tools+65064+2-in-1+Nut+Driver%2C+Hex+Head%2C+1%2F4-Inch+and+5%2F16-Inch&amp;qid=1695173915&amp;sr=8-4", "https://www.amazon.com/Klein-Tools-Magnetic-Drivers-16-Inch/dp/B0BGPTVP3Z/ref=sr_1_4?keywords=Klein+Tools+65064+2-in-1+Nut+Driver%2C+Hex+Head%2C+1%2F4-Inch+and+5%2F16-Inch&amp;qid=1695173915&amp;sr=8-4")</f>
        <v/>
      </c>
      <c r="F558" t="inlineStr">
        <is>
          <t>B0BGPTVP3Z</t>
        </is>
      </c>
      <c r="G558">
        <f>_xludf.IMAGE("https://edmondsonsupply.com/cdn/shop/products/65064.jpg?v=1587147719")</f>
        <v/>
      </c>
      <c r="H558">
        <f>_xludf.IMAGE("https://m.media-amazon.com/images/I/41iqeifLYLL._AC_UL320_.jpg")</f>
        <v/>
      </c>
      <c r="I558" t="inlineStr">
        <is>
          <t>15.97</t>
        </is>
      </c>
      <c r="J558" t="n">
        <v>40.26</v>
      </c>
      <c r="K558" s="3" t="inlineStr">
        <is>
          <t>152.10%</t>
        </is>
      </c>
      <c r="L558" t="n">
        <v>5</v>
      </c>
      <c r="M558" t="n">
        <v>1</v>
      </c>
      <c r="O558" t="inlineStr">
        <is>
          <t>InStock</t>
        </is>
      </c>
      <c r="P558" t="inlineStr">
        <is>
          <t>23.36</t>
        </is>
      </c>
      <c r="Q558" t="inlineStr">
        <is>
          <t>1707342889060</t>
        </is>
      </c>
    </row>
    <row r="559">
      <c r="A559" s="2">
        <f>HYPERLINK("https://edmondsonsupply.com/collections/electricians-tools/products/klein-tools-jth9e13-1-4-inch-hex-key-with-journeyman-t-handle-9-inch", "https://edmondsonsupply.com/collections/electricians-tools/products/klein-tools-jth9e13-1-4-inch-hex-key-with-journeyman-t-handle-9-inch")</f>
        <v/>
      </c>
      <c r="B559" s="2">
        <f>HYPERLINK("https://edmondsonsupply.com/products/klein-tools-jth9e13-1-4-inch-hex-key-with-journeyman-t-handle-9-inch", "https://edmondsonsupply.com/products/klein-tools-jth9e13-1-4-inch-hex-key-with-journeyman-t-handle-9-inch")</f>
        <v/>
      </c>
      <c r="C559" t="inlineStr">
        <is>
          <t>Klein Tools JTH9E13 1/4-Inch Hex Key with Journeyman T-Handle, 9-Inch</t>
        </is>
      </c>
      <c r="D559" t="inlineStr">
        <is>
          <t>Klein Tools JTH9M8 8 mm Hex Key with Journeyman T-Handle, 9-Inch</t>
        </is>
      </c>
      <c r="E559" s="2">
        <f>HYPERLINK("https://www.amazon.com/Journeyman-T-Handle-Klein-Tools-JTH9M8/dp/B005G3HJSC/ref=sr_1_10?keywords=Klein+Tools+JTH9E13+1%2F4-Inch+Hex+Key+with+Journeyman+T-Handle%2C+9-Inch&amp;qid=1695174307&amp;sr=8-10", "https://www.amazon.com/Journeyman-T-Handle-Klein-Tools-JTH9M8/dp/B005G3HJSC/ref=sr_1_10?keywords=Klein+Tools+JTH9E13+1%2F4-Inch+Hex+Key+with+Journeyman+T-Handle%2C+9-Inch&amp;qid=1695174307&amp;sr=8-10")</f>
        <v/>
      </c>
      <c r="F559" t="inlineStr">
        <is>
          <t>B005G3HJSC</t>
        </is>
      </c>
      <c r="G559">
        <f>_xludf.IMAGE("https://edmondsonsupply.com/cdn/shop/products/jth9e12_7dcdbf9a-5acd-4824-8919-6aeb4a790072.jpg?v=1604060723")</f>
        <v/>
      </c>
      <c r="H559">
        <f>_xludf.IMAGE("https://m.media-amazon.com/images/I/51+1x0vz9XL._AC_UL320_.jpg")</f>
        <v/>
      </c>
      <c r="I559" t="inlineStr">
        <is>
          <t>6.49</t>
        </is>
      </c>
      <c r="J559" t="n">
        <v>16.27</v>
      </c>
      <c r="K559" s="3" t="inlineStr">
        <is>
          <t>150.69%</t>
        </is>
      </c>
      <c r="L559" t="n">
        <v>5</v>
      </c>
      <c r="M559" t="n">
        <v>4</v>
      </c>
      <c r="O559" t="inlineStr">
        <is>
          <t>InStock</t>
        </is>
      </c>
      <c r="P559" t="inlineStr">
        <is>
          <t>9.84</t>
        </is>
      </c>
      <c r="Q559" t="inlineStr">
        <is>
          <t>5999069462696</t>
        </is>
      </c>
    </row>
    <row r="560">
      <c r="A560" s="2">
        <f>HYPERLINK("https://edmondsonsupply.com/collections/electricians-tools/products/klein-tools-11045-wire-stripper-cutter-10-18-awg-solid", "https://edmondsonsupply.com/collections/electricians-tools/products/klein-tools-11045-wire-stripper-cutter-10-18-awg-solid")</f>
        <v/>
      </c>
      <c r="B560" s="2">
        <f>HYPERLINK("https://edmondsonsupply.com/products/klein-tools-11045-wire-stripper-cutter-10-18-awg-solid", "https://edmondsonsupply.com/products/klein-tools-11045-wire-stripper-cutter-10-18-awg-solid")</f>
        <v/>
      </c>
      <c r="C560" t="inlineStr">
        <is>
          <t>Klein Tools 11045 Wire Stripper/Cutter (10-18 AWG Solid)</t>
        </is>
      </c>
      <c r="D560" t="inlineStr">
        <is>
          <t>Klein Tools K12065CR Wire Stripper / Cutter / Crimper Tool for Cutting, Stripping, Crimping, Twisting (8-18 AWG solid, 10-20 AWG stranded)</t>
        </is>
      </c>
      <c r="E560" s="2">
        <f>HYPERLINK("https://www.amazon.com/Heavy-Stripper-Cutter-Crimper-Multi/dp/B08BX9RTPX/ref=sr_1_5?keywords=Klein+Tools+11045+Wire+Stripper%2FCutter+%2810-18+AWG+Solid%29&amp;qid=1695174263&amp;sr=8-5", "https://www.amazon.com/Heavy-Stripper-Cutter-Crimper-Multi/dp/B08BX9RTPX/ref=sr_1_5?keywords=Klein+Tools+11045+Wire+Stripper%2FCutter+%2810-18+AWG+Solid%29&amp;qid=1695174263&amp;sr=8-5")</f>
        <v/>
      </c>
      <c r="F560" t="inlineStr">
        <is>
          <t>B08BX9RTPX</t>
        </is>
      </c>
      <c r="G560">
        <f>_xludf.IMAGE("https://edmondsonsupply.com/cdn/shop/products/11045.jpg?v=1633031022")</f>
        <v/>
      </c>
      <c r="H560">
        <f>_xludf.IMAGE("https://m.media-amazon.com/images/I/51Oylu1vHoL._AC_UL320_.jpg")</f>
        <v/>
      </c>
      <c r="I560" t="inlineStr">
        <is>
          <t>15.97</t>
        </is>
      </c>
      <c r="J560" t="n">
        <v>39.97</v>
      </c>
      <c r="K560" s="3" t="inlineStr">
        <is>
          <t>150.28%</t>
        </is>
      </c>
      <c r="L560" t="n">
        <v>4.7</v>
      </c>
      <c r="M560" t="n">
        <v>726</v>
      </c>
      <c r="O560" t="inlineStr">
        <is>
          <t>InStock</t>
        </is>
      </c>
      <c r="P560" t="inlineStr">
        <is>
          <t>22.8</t>
        </is>
      </c>
      <c r="Q560" t="inlineStr">
        <is>
          <t>6712927027373</t>
        </is>
      </c>
    </row>
    <row r="561">
      <c r="A561" s="2">
        <f>HYPERLINK("https://edmondsonsupply.com/collections/electricians-tools/products/klein-tools-vaco-s10m-5-16-magnetic-nut-driver-3-hollow-shaft", "https://edmondsonsupply.com/collections/electricians-tools/products/klein-tools-vaco-s10m-5-16-magnetic-nut-driver-3-hollow-shaft")</f>
        <v/>
      </c>
      <c r="B561" s="2">
        <f>HYPERLINK("https://edmondsonsupply.com/products/klein-tools-vaco-s10m-5-16-magnetic-nut-driver-3-hollow-shaft", "https://edmondsonsupply.com/products/klein-tools-vaco-s10m-5-16-magnetic-nut-driver-3-hollow-shaft")</f>
        <v/>
      </c>
      <c r="C561" t="inlineStr">
        <is>
          <t>Klein Tools S10M 5/16-Inch Magnetic Nut Driver 3-Inch Shaft</t>
        </is>
      </c>
      <c r="D561" t="inlineStr">
        <is>
          <t>Klein Tools 646M Tool Set, Magnetic Nut Drivers Sizes 1/4 and 5/16-Inch, 6-Inch Shafts, 2-Piece</t>
        </is>
      </c>
      <c r="E561" s="2">
        <f>HYPERLINK("https://www.amazon.com/Magnetic-16-Inch-Klein-Tools-646M/dp/B000936QV0/ref=sr_1_10?keywords=Klein+Tools+S10M+5%2F16-Inch+Magnetic+Nut+Driver+3-Inch+Shaft&amp;qid=1695174019&amp;sr=8-10", "https://www.amazon.com/Magnetic-16-Inch-Klein-Tools-646M/dp/B000936QV0/ref=sr_1_10?keywords=Klein+Tools+S10M+5%2F16-Inch+Magnetic+Nut+Driver+3-Inch+Shaft&amp;qid=1695174019&amp;sr=8-10")</f>
        <v/>
      </c>
      <c r="F561" t="inlineStr">
        <is>
          <t>B000936QV0</t>
        </is>
      </c>
      <c r="G561">
        <f>_xludf.IMAGE("https://edmondsonsupply.com/cdn/shop/products/s10m_alt2.jpg?v=1587143022")</f>
        <v/>
      </c>
      <c r="H561">
        <f>_xludf.IMAGE("https://m.media-amazon.com/images/I/41lkJ6KRq9L._AC_UL320_.jpg")</f>
        <v/>
      </c>
      <c r="I561" t="inlineStr">
        <is>
          <t>9.99</t>
        </is>
      </c>
      <c r="J561" t="n">
        <v>24.99</v>
      </c>
      <c r="K561" s="3" t="inlineStr">
        <is>
          <t>150.15%</t>
        </is>
      </c>
      <c r="L561" t="n">
        <v>4.8</v>
      </c>
      <c r="M561" t="n">
        <v>1654</v>
      </c>
      <c r="O561" t="inlineStr">
        <is>
          <t>InStock</t>
        </is>
      </c>
      <c r="P561" t="inlineStr">
        <is>
          <t>15.08</t>
        </is>
      </c>
      <c r="Q561" t="inlineStr">
        <is>
          <t>2767113125988</t>
        </is>
      </c>
    </row>
    <row r="562">
      <c r="A562" s="2">
        <f>HYPERLINK("https://edmondsonsupply.com/collections/electricians-tools/products/klein-tools-et45-ac-dc-voltage-tester", "https://edmondsonsupply.com/collections/electricians-tools/products/klein-tools-et45-ac-dc-voltage-tester")</f>
        <v/>
      </c>
      <c r="B562" s="2">
        <f>HYPERLINK("https://edmondsonsupply.com/products/klein-tools-et45-ac-dc-voltage-tester", "https://edmondsonsupply.com/products/klein-tools-et45-ac-dc-voltage-tester")</f>
        <v/>
      </c>
      <c r="C562" t="inlineStr">
        <is>
          <t>Klein Tools ET45 AC/DC Voltage Tester</t>
        </is>
      </c>
      <c r="D562" t="inlineStr">
        <is>
          <t>Klein Tools 80077 Voltage Tester Kit with Electronic AC/DC GFCI Outlet Tester and Non-Contact Voltage Tester Pen, 3-Piece , Green</t>
        </is>
      </c>
      <c r="E562" s="2">
        <f>HYPERLINK("https://www.amazon.com/Klein-Tools-80077-Electronic-Non-Contact/dp/B0B11F7Q69/ref=sr_1_7?keywords=Klein+Tools+ET45+AC%2FDC+Voltage+Tester&amp;qid=1695174290&amp;sr=8-7", "https://www.amazon.com/Klein-Tools-80077-Electronic-Non-Contact/dp/B0B11F7Q69/ref=sr_1_7?keywords=Klein+Tools+ET45+AC%2FDC+Voltage+Tester&amp;qid=1695174290&amp;sr=8-7")</f>
        <v/>
      </c>
      <c r="F562" t="inlineStr">
        <is>
          <t>B0B11F7Q69</t>
        </is>
      </c>
      <c r="G562">
        <f>_xludf.IMAGE("https://edmondsonsupply.com/cdn/shop/products/et45.jpg?v=1647786270")</f>
        <v/>
      </c>
      <c r="H562">
        <f>_xludf.IMAGE("https://m.media-amazon.com/images/I/51cU3aEkbCL._AC_UL320_.jpg")</f>
        <v/>
      </c>
      <c r="I562" t="inlineStr">
        <is>
          <t>11.99</t>
        </is>
      </c>
      <c r="J562" t="n">
        <v>29.99</v>
      </c>
      <c r="K562" s="3" t="inlineStr">
        <is>
          <t>150.13%</t>
        </is>
      </c>
      <c r="L562" t="n">
        <v>4.6</v>
      </c>
      <c r="M562" t="n">
        <v>183</v>
      </c>
      <c r="O562" t="inlineStr">
        <is>
          <t>InStock</t>
        </is>
      </c>
      <c r="P562" t="inlineStr">
        <is>
          <t>16.72</t>
        </is>
      </c>
      <c r="Q562" t="inlineStr">
        <is>
          <t>3688633630820</t>
        </is>
      </c>
    </row>
    <row r="563">
      <c r="A563" s="2">
        <f>HYPERLINK("https://edmondsonsupply.com/collections/electricians-tools/products/klein-tools-et920-usb-digital-meter-usb-a-and-usb-c", "https://edmondsonsupply.com/collections/electricians-tools/products/klein-tools-et920-usb-digital-meter-usb-a-and-usb-c")</f>
        <v/>
      </c>
      <c r="B563" s="2">
        <f>HYPERLINK("https://edmondsonsupply.com/products/klein-tools-et920-usb-digital-meter-usb-a-and-usb-c", "https://edmondsonsupply.com/products/klein-tools-et920-usb-digital-meter-usb-a-and-usb-c")</f>
        <v/>
      </c>
      <c r="C563" t="inlineStr">
        <is>
          <t>Klein Tools ET920 USB Digital Meter, USB-A and USB-C</t>
        </is>
      </c>
      <c r="D563" t="inlineStr">
        <is>
          <t>Klein Tools ET920 USB Power Meter, USB-A and USB-C Digital Meter for Voltage &amp; Klein Tools AC Circuit Breaker Kit with GFCI Digital Circuit Breaker Finder, Non-Contact Voltage Tester Pen, 3-Piece</t>
        </is>
      </c>
      <c r="E563" s="2">
        <f>HYPERLINK("https://www.amazon.com/Klein-Tools-Digital-Voltage-Non-Contact/dp/B0BM3QKQ5G/ref=sr_1_2?keywords=Klein+Tools+ET920+USB+Digital+Meter%2C+USB-A+and+USB-C&amp;qid=1695174224&amp;sr=8-2", "https://www.amazon.com/Klein-Tools-Digital-Voltage-Non-Contact/dp/B0BM3QKQ5G/ref=sr_1_2?keywords=Klein+Tools+ET920+USB+Digital+Meter%2C+USB-A+and+USB-C&amp;qid=1695174224&amp;sr=8-2")</f>
        <v/>
      </c>
      <c r="F563" t="inlineStr">
        <is>
          <t>B0BM3QKQ5G</t>
        </is>
      </c>
      <c r="G563">
        <f>_xludf.IMAGE("https://edmondsonsupply.com/cdn/shop/products/et920.jpg?v=1642643803")</f>
        <v/>
      </c>
      <c r="H563">
        <f>_xludf.IMAGE("https://m.media-amazon.com/images/I/51EgBu7yVDL._AC_UL320_.jpg")</f>
        <v/>
      </c>
      <c r="I563" t="inlineStr">
        <is>
          <t>39.97</t>
        </is>
      </c>
      <c r="J563" t="n">
        <v>99.95999999999999</v>
      </c>
      <c r="K563" s="3" t="inlineStr">
        <is>
          <t>150.09%</t>
        </is>
      </c>
      <c r="L563" t="n">
        <v>5</v>
      </c>
      <c r="M563" t="n">
        <v>1</v>
      </c>
      <c r="O563" t="inlineStr">
        <is>
          <t>InStock</t>
        </is>
      </c>
      <c r="P563" t="inlineStr">
        <is>
          <t>47.98</t>
        </is>
      </c>
      <c r="Q563" t="inlineStr">
        <is>
          <t>7584862372056</t>
        </is>
      </c>
    </row>
    <row r="564">
      <c r="A564" s="2">
        <f>HYPERLINK("https://edmondsonsupply.com/collections/electricians-tools/products/klein-tools-607-3-mini-screwdriver-3-32-inch-cabinet-tip-3-inch", "https://edmondsonsupply.com/collections/electricians-tools/products/klein-tools-607-3-mini-screwdriver-3-32-inch-cabinet-tip-3-inch")</f>
        <v/>
      </c>
      <c r="B564" s="2">
        <f>HYPERLINK("https://edmondsonsupply.com/products/klein-tools-607-3-mini-screwdriver-3-32-inch-cabinet-tip-3-inch", "https://edmondsonsupply.com/products/klein-tools-607-3-mini-screwdriver-3-32-inch-cabinet-tip-3-inch")</f>
        <v/>
      </c>
      <c r="C564" t="inlineStr">
        <is>
          <t>Klein Tools 607-3 Mini Screwdriver, 3/32-Inch Cabinet Tip, 3-Inch</t>
        </is>
      </c>
      <c r="D564" t="inlineStr">
        <is>
          <t>Klein Tools 607-3-INS Insulated Screwdriver, 3/32-Inch Cabinet Tip with 3-Inch Shank</t>
        </is>
      </c>
      <c r="E564" s="2">
        <f>HYPERLINK("https://www.amazon.com/Insulated-Screwdriver-Klein-Tools-607-3-INS/dp/B00J9S35OW/ref=sr_1_1?keywords=Klein+Tools+607-3+Mini+Screwdriver%2C+3%2F32-Inch+Cabinet+Tip%2C+3-Inch&amp;qid=1695174302&amp;sr=8-1", "https://www.amazon.com/Insulated-Screwdriver-Klein-Tools-607-3-INS/dp/B00J9S35OW/ref=sr_1_1?keywords=Klein+Tools+607-3+Mini+Screwdriver%2C+3%2F32-Inch+Cabinet+Tip%2C+3-Inch&amp;qid=1695174302&amp;sr=8-1")</f>
        <v/>
      </c>
      <c r="F564" t="inlineStr">
        <is>
          <t>B00J9S35OW</t>
        </is>
      </c>
      <c r="G564">
        <f>_xludf.IMAGE("https://edmondsonsupply.com/cdn/shop/products/607-3_5e9ac034-1968-449c-957e-7d3aa01f1413.jpg?v=1633030814")</f>
        <v/>
      </c>
      <c r="H564">
        <f>_xludf.IMAGE("https://m.media-amazon.com/images/I/51qSRHnYpuL._AC_UL320_.jpg")</f>
        <v/>
      </c>
      <c r="I564" t="inlineStr">
        <is>
          <t>6.99</t>
        </is>
      </c>
      <c r="J564" t="n">
        <v>17.48</v>
      </c>
      <c r="K564" s="3" t="inlineStr">
        <is>
          <t>150.07%</t>
        </is>
      </c>
      <c r="L564" t="n">
        <v>4.2</v>
      </c>
      <c r="M564" t="n">
        <v>62</v>
      </c>
      <c r="O564" t="inlineStr">
        <is>
          <t>InStock</t>
        </is>
      </c>
      <c r="P564" t="inlineStr">
        <is>
          <t>10.58</t>
        </is>
      </c>
      <c r="Q564" t="inlineStr">
        <is>
          <t>6068127203501</t>
        </is>
      </c>
    </row>
    <row r="565">
      <c r="A565" s="2">
        <f>HYPERLINK("https://edmondsonsupply.com/collections/electricians-tools/products/klein-tools-31856-1-1-8-inch-carbide-hole-cutter", "https://edmondsonsupply.com/collections/electricians-tools/products/klein-tools-31856-1-1-8-inch-carbide-hole-cutter")</f>
        <v/>
      </c>
      <c r="B565" s="2">
        <f>HYPERLINK("https://edmondsonsupply.com/products/klein-tools-31856-1-1-8-inch-carbide-hole-cutter", "https://edmondsonsupply.com/products/klein-tools-31856-1-1-8-inch-carbide-hole-cutter")</f>
        <v/>
      </c>
      <c r="C565" t="inlineStr">
        <is>
          <t>Klein Tools 31856 1-1/8-Inch Carbide Hole Cutter</t>
        </is>
      </c>
      <c r="D565" t="inlineStr">
        <is>
          <t>Klein Tools 31872 Heavy Duty Hole Cutter Kit, Includes Carbide Hole Cutters and Pilot Bit in Rust-Proof Molded Plastic Case, 4-Piece</t>
        </is>
      </c>
      <c r="E565" s="2">
        <f>HYPERLINK("https://www.amazon.com/Carbide-Cutter-Klein-Tools-31872/dp/B003CCR97A/ref=sr_1_3?keywords=Klein+Tools+31856+1-1%2F8-Inch+Carbide+Hole+Cutter&amp;qid=1695174011&amp;sr=8-3", "https://www.amazon.com/Carbide-Cutter-Klein-Tools-31872/dp/B003CCR97A/ref=sr_1_3?keywords=Klein+Tools+31856+1-1%2F8-Inch+Carbide+Hole+Cutter&amp;qid=1695174011&amp;sr=8-3")</f>
        <v/>
      </c>
      <c r="F565" t="inlineStr">
        <is>
          <t>B003CCR97A</t>
        </is>
      </c>
      <c r="G565">
        <f>_xludf.IMAGE("https://edmondsonsupply.com/cdn/shop/files/31856.jpg?v=1685712345")</f>
        <v/>
      </c>
      <c r="H565">
        <f>_xludf.IMAGE("https://m.media-amazon.com/images/I/61oX7BDmtJL._AC_UL320_.jpg")</f>
        <v/>
      </c>
      <c r="I565" t="inlineStr">
        <is>
          <t>35.99</t>
        </is>
      </c>
      <c r="J565" t="n">
        <v>89.98999999999999</v>
      </c>
      <c r="K565" s="3" t="inlineStr">
        <is>
          <t>150.04%</t>
        </is>
      </c>
      <c r="L565" t="n">
        <v>4.7</v>
      </c>
      <c r="M565" t="n">
        <v>929</v>
      </c>
      <c r="O565" t="inlineStr">
        <is>
          <t>InStock</t>
        </is>
      </c>
      <c r="P565" t="inlineStr">
        <is>
          <t>50.38</t>
        </is>
      </c>
      <c r="Q565" t="inlineStr">
        <is>
          <t>7999529910488</t>
        </is>
      </c>
    </row>
    <row r="566">
      <c r="A566" s="2">
        <f>HYPERLINK("https://edmondsonsupply.com/collections/electricians-tools/products/klein-tools-32314-14-in-1-precision-screwdriver-nut-driver", "https://edmondsonsupply.com/collections/electricians-tools/products/klein-tools-32314-14-in-1-precision-screwdriver-nut-driver")</f>
        <v/>
      </c>
      <c r="B566" s="2">
        <f>HYPERLINK("https://edmondsonsupply.com/products/klein-tools-32314-14-in-1-precision-screwdriver-nut-driver", "https://edmondsonsupply.com/products/klein-tools-32314-14-in-1-precision-screwdriver-nut-driver")</f>
        <v/>
      </c>
      <c r="C566" t="inlineStr">
        <is>
          <t>Klein Tools 32314 14-in-1 Precision Screwdriver/ Nut Driver</t>
        </is>
      </c>
      <c r="D566" t="inlineStr">
        <is>
          <t>Screwdriver, 14-in-1 Adjustable Screwdriver with Flip Socket, HVAC Nut Drivers and Bits &amp; Klein Tools 32314 Electronic Screwdriver, 14-in-1 with 8 Precision Tips, Slotted, 6 Precision Nut Drivers</t>
        </is>
      </c>
      <c r="E566" s="2">
        <f>HYPERLINK("https://www.amazon.com/Screwdriver-Adjustable-Klein-Tools-Electronic/dp/B0BM34Q1QR/ref=sr_1_6?keywords=Klein+Tools+32314+14-in-1+Precision+Screwdriver%2F+Nut+Driver&amp;qid=1695173878&amp;sr=8-6", "https://www.amazon.com/Screwdriver-Adjustable-Klein-Tools-Electronic/dp/B0BM34Q1QR/ref=sr_1_6?keywords=Klein+Tools+32314+14-in-1+Precision+Screwdriver%2F+Nut+Driver&amp;qid=1695173878&amp;sr=8-6")</f>
        <v/>
      </c>
      <c r="F566" t="inlineStr">
        <is>
          <t>B0BM34Q1QR</t>
        </is>
      </c>
      <c r="G566">
        <f>_xludf.IMAGE("https://edmondsonsupply.com/cdn/shop/products/32314.jpg?v=1646593726")</f>
        <v/>
      </c>
      <c r="H566">
        <f>_xludf.IMAGE("https://m.media-amazon.com/images/I/41C5e4ThtpL._AC_UL320_.jpg")</f>
        <v/>
      </c>
      <c r="I566" t="inlineStr">
        <is>
          <t>15.97</t>
        </is>
      </c>
      <c r="J566" t="n">
        <v>39.74</v>
      </c>
      <c r="K566" s="3" t="inlineStr">
        <is>
          <t>148.84%</t>
        </is>
      </c>
      <c r="L566" t="n">
        <v>5</v>
      </c>
      <c r="M566" t="n">
        <v>1</v>
      </c>
      <c r="O566" t="inlineStr">
        <is>
          <t>InStock</t>
        </is>
      </c>
      <c r="P566" t="inlineStr">
        <is>
          <t>22.38</t>
        </is>
      </c>
      <c r="Q566" t="inlineStr">
        <is>
          <t>7626984947928</t>
        </is>
      </c>
    </row>
    <row r="567">
      <c r="A567" s="2">
        <f>HYPERLINK("https://edmondsonsupply.com/collections/electricians-tools/products/klein-tools-et45vp-ac-dc-voltage-and-gfci-receptacle-outlet-test-kit", "https://edmondsonsupply.com/collections/electricians-tools/products/klein-tools-et45vp-ac-dc-voltage-and-gfci-receptacle-outlet-test-kit")</f>
        <v/>
      </c>
      <c r="B567" s="2">
        <f>HYPERLINK("https://edmondsonsupply.com/products/klein-tools-et45vp-ac-dc-voltage-and-gfci-receptacle-outlet-test-kit", "https://edmondsonsupply.com/products/klein-tools-et45vp-ac-dc-voltage-and-gfci-receptacle-outlet-test-kit")</f>
        <v/>
      </c>
      <c r="C567" t="inlineStr">
        <is>
          <t>Klein Tools ET45VP AC/DC Voltage and GFCI Receptacle Outlet Test Kit</t>
        </is>
      </c>
      <c r="D567" t="inlineStr">
        <is>
          <t>Klein Tools RT250KIT Non-Contact Voltage Tester and GFCI Receptacle Tester with LCD and Flashlight, Voltage Electrical Test Kit</t>
        </is>
      </c>
      <c r="E567" s="2">
        <f>HYPERLINK("https://www.amazon.com/Non-Contact-Receptacle-Klein-Tools-RT250KIT/dp/B08YDFQ2FV/ref=sr_1_6?keywords=Klein+Tools+ET45VP+AC%2FDC+Voltage+and+GFCI+Receptacle+Outlet+Test+Kit&amp;qid=1695174178&amp;sr=8-6", "https://www.amazon.com/Non-Contact-Receptacle-Klein-Tools-RT250KIT/dp/B08YDFQ2FV/ref=sr_1_6?keywords=Klein+Tools+ET45VP+AC%2FDC+Voltage+and+GFCI+Receptacle+Outlet+Test+Kit&amp;qid=1695174178&amp;sr=8-6")</f>
        <v/>
      </c>
      <c r="F567" t="inlineStr">
        <is>
          <t>B08YDFQ2FV</t>
        </is>
      </c>
      <c r="G567">
        <f>_xludf.IMAGE("https://edmondsonsupply.com/cdn/shop/products/et45vp.jpg?v=1660755922")</f>
        <v/>
      </c>
      <c r="H567">
        <f>_xludf.IMAGE("https://m.media-amazon.com/images/I/61WaBlkJfxL._AC_UL320_.jpg")</f>
        <v/>
      </c>
      <c r="I567" t="inlineStr">
        <is>
          <t>17.97</t>
        </is>
      </c>
      <c r="J567" t="n">
        <v>44.54</v>
      </c>
      <c r="K567" s="3" t="inlineStr">
        <is>
          <t>147.86%</t>
        </is>
      </c>
      <c r="L567" t="n">
        <v>4.8</v>
      </c>
      <c r="M567" t="n">
        <v>1269</v>
      </c>
      <c r="O567" t="inlineStr">
        <is>
          <t>InStock</t>
        </is>
      </c>
      <c r="P567" t="inlineStr">
        <is>
          <t>25.82</t>
        </is>
      </c>
      <c r="Q567" t="inlineStr">
        <is>
          <t>7783562084568</t>
        </is>
      </c>
    </row>
    <row r="568">
      <c r="A568" s="2">
        <f>HYPERLINK("https://edmondsonsupply.com/collections/electricians-tools/products/klein-tools-32304-14-in-1-hvac-adjustable-length-impact-screwdriver-with-flip-socket", "https://edmondsonsupply.com/collections/electricians-tools/products/klein-tools-32304-14-in-1-hvac-adjustable-length-impact-screwdriver-with-flip-socket")</f>
        <v/>
      </c>
      <c r="B568" s="2">
        <f>HYPERLINK("https://edmondsonsupply.com/products/klein-tools-32304-14-in-1-hvac-adjustable-length-impact-screwdriver-with-flip-socket", "https://edmondsonsupply.com/products/klein-tools-32304-14-in-1-hvac-adjustable-length-impact-screwdriver-with-flip-socket")</f>
        <v/>
      </c>
      <c r="C568" t="inlineStr">
        <is>
          <t>Klein Tools 32304 14-in-1 HVAC Adjustable-Length Impact Screwdriver with Flip Socket</t>
        </is>
      </c>
      <c r="D568" t="inlineStr">
        <is>
          <t>Klein Tools 32304 Screwdriver, 14-in-1 Adjustable Screwdriver &amp; Impact Driver, 7-in-1 Impact Flip Socket Set &amp; Multi-bit Stubby Screwdriver, Impact Rated 8-in-1 Adjustable Magnetic Tool</t>
        </is>
      </c>
      <c r="E568" s="2">
        <f>HYPERLINK("https://www.amazon.com/Klein-Tools-Screwdriver-Adjustable-Multi-bit/dp/B0C9994NG7/ref=sr_1_5?keywords=Klein+Tools+32304+14-in-1+HVAC+Adjustable-Length+Impact+Screwdriver+with+Flip+Socket&amp;qid=1695173856&amp;sr=8-5", "https://www.amazon.com/Klein-Tools-Screwdriver-Adjustable-Multi-bit/dp/B0C9994NG7/ref=sr_1_5?keywords=Klein+Tools+32304+14-in-1+HVAC+Adjustable-Length+Impact+Screwdriver+with+Flip+Socket&amp;qid=1695173856&amp;sr=8-5")</f>
        <v/>
      </c>
      <c r="F568" t="inlineStr">
        <is>
          <t>B0C9994NG7</t>
        </is>
      </c>
      <c r="G568">
        <f>_xludf.IMAGE("https://edmondsonsupply.com/cdn/shop/products/32304.jpg?v=1666019479")</f>
        <v/>
      </c>
      <c r="H568">
        <f>_xludf.IMAGE("https://m.media-amazon.com/images/I/51++VSv2MoL._AC_UL320_.jpg")</f>
        <v/>
      </c>
      <c r="I568" t="inlineStr">
        <is>
          <t>24.97</t>
        </is>
      </c>
      <c r="J568" t="n">
        <v>61.73</v>
      </c>
      <c r="K568" s="3" t="inlineStr">
        <is>
          <t>147.22%</t>
        </is>
      </c>
      <c r="L568" t="n">
        <v>5</v>
      </c>
      <c r="M568" t="n">
        <v>1</v>
      </c>
      <c r="O568" t="inlineStr">
        <is>
          <t>InStock</t>
        </is>
      </c>
      <c r="P568" t="inlineStr">
        <is>
          <t>34.98</t>
        </is>
      </c>
      <c r="Q568" t="inlineStr">
        <is>
          <t>7856604578008</t>
        </is>
      </c>
    </row>
    <row r="569">
      <c r="A569" s="2">
        <f>HYPERLINK("https://edmondsonsupply.com/collections/electricians-tools/products/milwaukee-48-03-3025-sds-max-to-sds-plus-bit-adapter", "https://edmondsonsupply.com/collections/electricians-tools/products/milwaukee-48-03-3025-sds-max-to-sds-plus-bit-adapter")</f>
        <v/>
      </c>
      <c r="B569" s="2">
        <f>HYPERLINK("https://edmondsonsupply.com/products/milwaukee-48-03-3025-sds-max-to-sds-plus-bit-adapter", "https://edmondsonsupply.com/products/milwaukee-48-03-3025-sds-max-to-sds-plus-bit-adapter")</f>
        <v/>
      </c>
      <c r="C569" t="inlineStr">
        <is>
          <t>Milwaukee 48-03-3025 SDS Max to SDS Plus Bit Adapter</t>
        </is>
      </c>
      <c r="D569" t="inlineStr">
        <is>
          <t>Milwaukee 48-03-3012 SDS-Max to Spline Adapter</t>
        </is>
      </c>
      <c r="E569" s="2">
        <f>HYPERLINK("https://www.amazon.com/Milwaukee-48-03-3012-SDS-Max-Spline-Adapter/dp/B00I3PGEOA/ref=sr_1_4?keywords=Milwaukee+48-03-3025+SDS+Max+to+SDS+Plus+Bit+Adapter&amp;qid=1695174094&amp;sr=8-4", "https://www.amazon.com/Milwaukee-48-03-3012-SDS-Max-Spline-Adapter/dp/B00I3PGEOA/ref=sr_1_4?keywords=Milwaukee+48-03-3025+SDS+Max+to+SDS+Plus+Bit+Adapter&amp;qid=1695174094&amp;sr=8-4")</f>
        <v/>
      </c>
      <c r="F569" t="inlineStr">
        <is>
          <t>B00I3PGEOA</t>
        </is>
      </c>
      <c r="G569">
        <f>_xludf.IMAGE("https://edmondsonsupply.com/cdn/shop/products/48-03-3025_1.png?v=1674073468")</f>
        <v/>
      </c>
      <c r="H569">
        <f>_xludf.IMAGE("https://m.media-amazon.com/images/I/61QrQEYLIrL._AC_UL320_.jpg")</f>
        <v/>
      </c>
      <c r="I569" t="inlineStr">
        <is>
          <t>67.75</t>
        </is>
      </c>
      <c r="J569" t="n">
        <v>166.85</v>
      </c>
      <c r="K569" s="3" t="inlineStr">
        <is>
          <t>146.27%</t>
        </is>
      </c>
      <c r="L569" t="n">
        <v>4.6</v>
      </c>
      <c r="M569" t="n">
        <v>2</v>
      </c>
      <c r="O569" t="inlineStr">
        <is>
          <t>InStock</t>
        </is>
      </c>
      <c r="P569" t="inlineStr">
        <is>
          <t>122.6</t>
        </is>
      </c>
      <c r="Q569" t="inlineStr">
        <is>
          <t>7926094758104</t>
        </is>
      </c>
    </row>
    <row r="570">
      <c r="A570" s="2">
        <f>HYPERLINK("https://edmondsonsupply.com/collections/electricians-tools/products/milwaukee-49-56-0197-3-5-8-hole-dozer%E2%84%A2-hole-saw-bi-metal-cup", "https://edmondsonsupply.com/collections/electricians-tools/products/milwaukee-49-56-0197-3-5-8-hole-dozer%E2%84%A2-hole-saw-bi-metal-cup")</f>
        <v/>
      </c>
      <c r="B570" s="2">
        <f>HYPERLINK("https://edmondsonsupply.com/products/milwaukee-49-56-0197-3-5-8-hole-dozer%e2%84%a2-hole-saw-bi-metal-cup", "https://edmondsonsupply.com/products/milwaukee-49-56-0197-3-5-8-hole-dozer%e2%84%a2-hole-saw-bi-metal-cup")</f>
        <v/>
      </c>
      <c r="C570" t="inlineStr">
        <is>
          <t>Milwaukee 49-56-0197 3-5/8" HOLE DOZER™ Hole Saw Bi-Metal Cup</t>
        </is>
      </c>
      <c r="D570" t="inlineStr">
        <is>
          <t>Milwaukee Electric Tool 49-56-0233 Electric Bi-Metal Hole Saw, 4-1/2"</t>
        </is>
      </c>
      <c r="E570" s="2">
        <f>HYPERLINK("https://www.amazon.com/Milwaukee-49-56-0233-2-Inch-Hardened-Hole/dp/B0017WPX5M/ref=sr_1_4?keywords=Milwaukee+49-56-0197+3-5%2F8%22+HOLE+DOZER%E2%84%A2+Hole+Saw+Bi-Metal+Cup&amp;qid=1695174058&amp;sr=8-4", "https://www.amazon.com/Milwaukee-49-56-0233-2-Inch-Hardened-Hole/dp/B0017WPX5M/ref=sr_1_4?keywords=Milwaukee+49-56-0197+3-5%2F8%22+HOLE+DOZER%E2%84%A2+Hole+Saw+Bi-Metal+Cup&amp;qid=1695174058&amp;sr=8-4")</f>
        <v/>
      </c>
      <c r="F570" t="inlineStr">
        <is>
          <t>B0017WPX5M</t>
        </is>
      </c>
      <c r="G570">
        <f>_xludf.IMAGE("https://edmondsonsupply.com/cdn/shop/products/49-56-0052_101_1_b485d0b4-965d-40fc-a007-7e23c4d86724.webp?v=1678912947")</f>
        <v/>
      </c>
      <c r="H570">
        <f>_xludf.IMAGE("https://m.media-amazon.com/images/I/513LvIL5ILL._AC_UL320_.jpg")</f>
        <v/>
      </c>
      <c r="I570" t="inlineStr">
        <is>
          <t>12.19</t>
        </is>
      </c>
      <c r="J570" t="n">
        <v>29.99</v>
      </c>
      <c r="K570" s="3" t="inlineStr">
        <is>
          <t>146.02%</t>
        </is>
      </c>
      <c r="L570" t="n">
        <v>4.8</v>
      </c>
      <c r="M570" t="n">
        <v>201</v>
      </c>
      <c r="O570" t="inlineStr">
        <is>
          <t>InStock</t>
        </is>
      </c>
      <c r="P570" t="inlineStr">
        <is>
          <t>24.7</t>
        </is>
      </c>
      <c r="Q570" t="inlineStr">
        <is>
          <t>7962124681432</t>
        </is>
      </c>
    </row>
    <row r="571">
      <c r="A571" s="2">
        <f>HYPERLINK("https://edmondsonsupply.com/collections/electricians-tools/products/klein-tools-32308-8-in-1-multi-bit-adjustable-length-stubby-screwdriver", "https://edmondsonsupply.com/collections/electricians-tools/products/klein-tools-32308-8-in-1-multi-bit-adjustable-length-stubby-screwdriver")</f>
        <v/>
      </c>
      <c r="B571" s="2">
        <f>HYPERLINK("https://edmondsonsupply.com/products/klein-tools-32308-8-in-1-multi-bit-adjustable-length-stubby-screwdriver", "https://edmondsonsupply.com/products/klein-tools-32308-8-in-1-multi-bit-adjustable-length-stubby-screwdriver")</f>
        <v/>
      </c>
      <c r="C571" t="inlineStr">
        <is>
          <t>Klein Tools 32308 8-in-1 Multi-Bit Adjustable Length Stubby Screwdriver</t>
        </is>
      </c>
      <c r="D571" t="inlineStr">
        <is>
          <t>Screwdriver, 14-in-1 Adjustable Screwdriver with Flip Socket &amp; 32308 Multi-bit Stubby Screwdriver, Impact Rated 8-in-1 Adjustable Magnetic Tool with Phillips, Slotted, Square and Nut Driver</t>
        </is>
      </c>
      <c r="E571" s="2">
        <f>HYPERLINK("https://www.amazon.com/Screwdriver-Adjustable-Multi-bit-Magnetic-Phillips/dp/B09YTXLJXC/ref=sr_1_2?keywords=Klein+Tools+32308+8-in-1+Multi-Bit+Adjustable+Length+Stubby+Screwdriver&amp;qid=1695174224&amp;sr=8-2", "https://www.amazon.com/Screwdriver-Adjustable-Multi-bit-Magnetic-Phillips/dp/B09YTXLJXC/ref=sr_1_2?keywords=Klein+Tools+32308+8-in-1+Multi-Bit+Adjustable+Length+Stubby+Screwdriver&amp;qid=1695174224&amp;sr=8-2")</f>
        <v/>
      </c>
      <c r="F571" t="inlineStr">
        <is>
          <t>B09YTXLJXC</t>
        </is>
      </c>
      <c r="G571">
        <f>_xludf.IMAGE("https://edmondsonsupply.com/cdn/shop/products/32308_b.jpg?v=1647348209")</f>
        <v/>
      </c>
      <c r="H571">
        <f>_xludf.IMAGE("https://m.media-amazon.com/images/I/51RZKWZjlyL._AC_UL320_.jpg")</f>
        <v/>
      </c>
      <c r="I571" t="inlineStr">
        <is>
          <t>16.97</t>
        </is>
      </c>
      <c r="J571" t="n">
        <v>41.74</v>
      </c>
      <c r="K571" s="3" t="inlineStr">
        <is>
          <t>145.96%</t>
        </is>
      </c>
      <c r="L571" t="n">
        <v>4.7</v>
      </c>
      <c r="M571" t="n">
        <v>51</v>
      </c>
      <c r="O571" t="inlineStr">
        <is>
          <t>InStock</t>
        </is>
      </c>
      <c r="P571" t="inlineStr">
        <is>
          <t>23.78</t>
        </is>
      </c>
      <c r="Q571" t="inlineStr">
        <is>
          <t>7637271445720</t>
        </is>
      </c>
    </row>
    <row r="572">
      <c r="A572" s="2">
        <f>HYPERLINK("https://edmondsonsupply.com/collections/electricians-tools/products/klein-tools-vdv526-200-lan-scout-%C2%AE-jr-2-cable-tester", "https://edmondsonsupply.com/collections/electricians-tools/products/klein-tools-vdv526-200-lan-scout-%C2%AE-jr-2-cable-tester")</f>
        <v/>
      </c>
      <c r="B572" s="2">
        <f>HYPERLINK("https://edmondsonsupply.com/products/klein-tools-vdv526-200-lan-scout-%c2%ae-jr-2-cable-tester", "https://edmondsonsupply.com/products/klein-tools-vdv526-200-lan-scout-%c2%ae-jr-2-cable-tester")</f>
        <v/>
      </c>
      <c r="C572" t="inlineStr">
        <is>
          <t>Klein Tools VDV526-200 LAN Scout ® Jr. 2 Cable Tester</t>
        </is>
      </c>
      <c r="D572" t="inlineStr">
        <is>
          <t>Klein Tools VDV500-820 Cable Tracer with Probe Tone Pro Kit &amp; VDV526-200 Cable Tester, LAN Scout Jr. 2 Ethernet Cable Tester for CAT 5e, CAT 6/6A Cables with RJ45 Connections</t>
        </is>
      </c>
      <c r="E572" s="2">
        <f>HYPERLINK("https://www.amazon.com/Klein-Tools-VDV500-820-VDV526-200-Connections/dp/B09T6ZKDCM/ref=sr_1_5?keywords=Klein+Tools+VDV526-200+LAN+Scout+%C2%AE+Jr.+2+Cable+Tester&amp;qid=1695174153&amp;sr=8-5", "https://www.amazon.com/Klein-Tools-VDV500-820-VDV526-200-Connections/dp/B09T6ZKDCM/ref=sr_1_5?keywords=Klein+Tools+VDV526-200+LAN+Scout+%C2%AE+Jr.+2+Cable+Tester&amp;qid=1695174153&amp;sr=8-5")</f>
        <v/>
      </c>
      <c r="F572" t="inlineStr">
        <is>
          <t>B09T6ZKDCM</t>
        </is>
      </c>
      <c r="G572">
        <f>_xludf.IMAGE("https://edmondsonsupply.com/cdn/shop/products/vdv526200.jpg?v=1663689949")</f>
        <v/>
      </c>
      <c r="H572">
        <f>_xludf.IMAGE("https://m.media-amazon.com/images/I/51X1EYSldCL._AC_UY218_.jpg")</f>
        <v/>
      </c>
      <c r="I572" t="inlineStr">
        <is>
          <t>54.97</t>
        </is>
      </c>
      <c r="J572" t="n">
        <v>134.94</v>
      </c>
      <c r="K572" s="3" t="inlineStr">
        <is>
          <t>145.48%</t>
        </is>
      </c>
      <c r="L572" t="n">
        <v>4.8</v>
      </c>
      <c r="M572" t="n">
        <v>8</v>
      </c>
      <c r="O572" t="inlineStr">
        <is>
          <t>InStock</t>
        </is>
      </c>
      <c r="P572" t="inlineStr">
        <is>
          <t>82.5</t>
        </is>
      </c>
      <c r="Q572" t="inlineStr">
        <is>
          <t>7823726182616</t>
        </is>
      </c>
    </row>
    <row r="573">
      <c r="A573" s="2">
        <f>HYPERLINK("https://edmondsonsupply.com/collections/electricians-tools/products/klein-tools-et600-insulation-resistance-tester", "https://edmondsonsupply.com/collections/electricians-tools/products/klein-tools-et600-insulation-resistance-tester")</f>
        <v/>
      </c>
      <c r="B573" s="2">
        <f>HYPERLINK("https://edmondsonsupply.com/products/klein-tools-et600-insulation-resistance-tester", "https://edmondsonsupply.com/products/klein-tools-et600-insulation-resistance-tester")</f>
        <v/>
      </c>
      <c r="C573" t="inlineStr">
        <is>
          <t>Klein Tools ET600 Insulation Resistance Tester</t>
        </is>
      </c>
      <c r="D573" t="inlineStr">
        <is>
          <t>Klein Tools ET600 Multimeter, Megohmmeter Insulation Tester, 4000 Ohms Resistance, 125V/250V/500V/1000V, Auto-Ranging TRMS Multimeter &amp; ET450 Advanced Circuit Breaker Finder and Wire Tracer Kit</t>
        </is>
      </c>
      <c r="E573" s="2">
        <f>HYPERLINK("https://www.amazon.com/Klein-Tools-Megohmmeter-Insulation-Ohms-Resistance-Auto-Ranging/dp/B0C2V14DQF/ref=sr_1_7?keywords=Klein+Tools+ET600+Insulation+Resistance+Tester&amp;qid=1695173907&amp;sr=8-7", "https://www.amazon.com/Klein-Tools-Megohmmeter-Insulation-Ohms-Resistance-Auto-Ranging/dp/B0C2V14DQF/ref=sr_1_7?keywords=Klein+Tools+ET600+Insulation+Resistance+Tester&amp;qid=1695173907&amp;sr=8-7")</f>
        <v/>
      </c>
      <c r="F573" t="inlineStr">
        <is>
          <t>B0C2V14DQF</t>
        </is>
      </c>
      <c r="G573">
        <f>_xludf.IMAGE("https://edmondsonsupply.com/cdn/shop/products/et600_accessories_b.jpg?v=1677685603")</f>
        <v/>
      </c>
      <c r="H573">
        <f>_xludf.IMAGE("https://m.media-amazon.com/images/I/61413mHKf0L._AC_UY218_.jpg")</f>
        <v/>
      </c>
      <c r="I573" t="inlineStr">
        <is>
          <t>164.99</t>
        </is>
      </c>
      <c r="J573" t="n">
        <v>404.98</v>
      </c>
      <c r="K573" s="3" t="inlineStr">
        <is>
          <t>145.46%</t>
        </is>
      </c>
      <c r="L573" t="n">
        <v>5</v>
      </c>
      <c r="M573" t="n">
        <v>1</v>
      </c>
      <c r="O573" t="inlineStr">
        <is>
          <t>InStock</t>
        </is>
      </c>
      <c r="P573" t="inlineStr">
        <is>
          <t>231.0</t>
        </is>
      </c>
      <c r="Q573" t="inlineStr">
        <is>
          <t>4411568095332</t>
        </is>
      </c>
    </row>
    <row r="574">
      <c r="A574" s="2">
        <f>HYPERLINK("https://edmondsonsupply.com/collections/electricians-tools/products/klein-tools-d248-8-diagonal-cutting-pliers-angled-head-short-jaw-8-inch", "https://edmondsonsupply.com/collections/electricians-tools/products/klein-tools-d248-8-diagonal-cutting-pliers-angled-head-short-jaw-8-inch")</f>
        <v/>
      </c>
      <c r="B574" s="2">
        <f>HYPERLINK("https://edmondsonsupply.com/products/klein-tools-d248-8-diagonal-cutting-pliers-angled-head-short-jaw-8-inch", "https://edmondsonsupply.com/products/klein-tools-d248-8-diagonal-cutting-pliers-angled-head-short-jaw-8-inch")</f>
        <v/>
      </c>
      <c r="C574" t="inlineStr">
        <is>
          <t>Klein Tools D248-8 Diagonal Cutting Pliers, Angled Head, Short Jaw, 8-Inch</t>
        </is>
      </c>
      <c r="D574" t="inlineStr">
        <is>
          <t>Klein Tools D201-7CSTA Linesman Pliers, Side Cutters with Spring Loaded Action &amp; D248-8 Pliers, Diagonal Cutting Multi-Purpose Pliers with Angled Head, High-Leverage Design, and Short Jaw, 8-Inch</t>
        </is>
      </c>
      <c r="E574" s="2">
        <f>HYPERLINK("https://www.amazon.com/Klein-Tools-D201-7CSTA-Multi-Purpose-High-Leverage/dp/B093PYY2DS/ref=sr_1_4?keywords=Klein+Tools+D248-8+Diagonal+Cutting+Pliers%2C+Angled+Head%2C+Short+Jaw%2C+8-Inch&amp;qid=1695174274&amp;sr=8-4", "https://www.amazon.com/Klein-Tools-D201-7CSTA-Multi-Purpose-High-Leverage/dp/B093PYY2DS/ref=sr_1_4?keywords=Klein+Tools+D248-8+Diagonal+Cutting+Pliers%2C+Angled+Head%2C+Short+Jaw%2C+8-Inch&amp;qid=1695174274&amp;sr=8-4")</f>
        <v/>
      </c>
      <c r="F574" t="inlineStr">
        <is>
          <t>B093PYY2DS</t>
        </is>
      </c>
      <c r="G574">
        <f>_xludf.IMAGE("https://edmondsonsupply.com/cdn/shop/products/d2488.jpg?v=1633030997")</f>
        <v/>
      </c>
      <c r="H574">
        <f>_xludf.IMAGE("https://m.media-amazon.com/images/I/41JQ0I2wH6S._AC_UL320_.jpg")</f>
        <v/>
      </c>
      <c r="I574" t="inlineStr">
        <is>
          <t>29.97</t>
        </is>
      </c>
      <c r="J574" t="n">
        <v>73.33</v>
      </c>
      <c r="K574" s="3" t="inlineStr">
        <is>
          <t>144.68%</t>
        </is>
      </c>
      <c r="L574" t="n">
        <v>4.8</v>
      </c>
      <c r="M574" t="n">
        <v>5</v>
      </c>
      <c r="O574" t="inlineStr">
        <is>
          <t>InStock</t>
        </is>
      </c>
      <c r="P574" t="inlineStr">
        <is>
          <t>45.42</t>
        </is>
      </c>
      <c r="Q574" t="inlineStr">
        <is>
          <t>6680617091245</t>
        </is>
      </c>
    </row>
    <row r="575">
      <c r="A575" s="2">
        <f>HYPERLINK("https://edmondsonsupply.com/collections/electricians-tools/products/klein-tools-j203-8-pliers-needle-nose-side-cutters-8-inch", "https://edmondsonsupply.com/collections/electricians-tools/products/klein-tools-j203-8-pliers-needle-nose-side-cutters-8-inch")</f>
        <v/>
      </c>
      <c r="B575" s="2">
        <f>HYPERLINK("https://edmondsonsupply.com/products/klein-tools-j203-8-pliers-needle-nose-side-cutters-8-inch", "https://edmondsonsupply.com/products/klein-tools-j203-8-pliers-needle-nose-side-cutters-8-inch")</f>
        <v/>
      </c>
      <c r="C575" t="inlineStr">
        <is>
          <t>Klein Tools J203-8 Pliers, Needle Nose Side-Cutters, 8-Inch</t>
        </is>
      </c>
      <c r="D575" t="inlineStr">
        <is>
          <t>Klein Tools J2000-9NECRTP Side Cutter Linemans Pliers with Tape Pulling and Wire Crimping, High Leverage, 9-Inch &amp; J203-8 Needle Nose Pliers with Cutter, Heavy Duty 8-Inch Journeyman</t>
        </is>
      </c>
      <c r="E575" s="2">
        <f>HYPERLINK("https://www.amazon.com/Klein-Tools-J2000-9NECRTP-Linemans-Journeyman/dp/B0BFXQNZ95/ref=sr_1_3?keywords=Klein+Tools+J203-8+Pliers%2C+Needle+Nose+Side-Cutters%2C+8-Inch&amp;qid=1695174221&amp;sr=8-3", "https://www.amazon.com/Klein-Tools-J2000-9NECRTP-Linemans-Journeyman/dp/B0BFXQNZ95/ref=sr_1_3?keywords=Klein+Tools+J203-8+Pliers%2C+Needle+Nose+Side-Cutters%2C+8-Inch&amp;qid=1695174221&amp;sr=8-3")</f>
        <v/>
      </c>
      <c r="F575" t="inlineStr">
        <is>
          <t>B0BFXQNZ95</t>
        </is>
      </c>
      <c r="G575">
        <f>_xludf.IMAGE("https://edmondsonsupply.com/cdn/shop/products/j2038.jpg?v=1644709677")</f>
        <v/>
      </c>
      <c r="H575">
        <f>_xludf.IMAGE("https://m.media-amazon.com/images/I/31WJjr8yAWL._AC_UL320_.jpg")</f>
        <v/>
      </c>
      <c r="I575" t="inlineStr">
        <is>
          <t>38.49</t>
        </is>
      </c>
      <c r="J575" t="n">
        <v>93.95999999999999</v>
      </c>
      <c r="K575" s="3" t="inlineStr">
        <is>
          <t>144.12%</t>
        </is>
      </c>
      <c r="L575" t="n">
        <v>5</v>
      </c>
      <c r="M575" t="n">
        <v>1</v>
      </c>
      <c r="O575" t="inlineStr">
        <is>
          <t>InStock</t>
        </is>
      </c>
      <c r="P575" t="inlineStr">
        <is>
          <t>58.32</t>
        </is>
      </c>
      <c r="Q575" t="inlineStr">
        <is>
          <t>7606180249816</t>
        </is>
      </c>
    </row>
    <row r="576">
      <c r="A576" s="2">
        <f>HYPERLINK("https://edmondsonsupply.com/collections/electricians-tools/products/klein-tools-32500mag-11-in-1-magnetic-screwdriver-nut-driver", "https://edmondsonsupply.com/collections/electricians-tools/products/klein-tools-32500mag-11-in-1-magnetic-screwdriver-nut-driver")</f>
        <v/>
      </c>
      <c r="B576" s="2">
        <f>HYPERLINK("https://edmondsonsupply.com/products/klein-tools-32500mag-11-in-1-magnetic-screwdriver-nut-driver", "https://edmondsonsupply.com/products/klein-tools-32500mag-11-in-1-magnetic-screwdriver-nut-driver")</f>
        <v/>
      </c>
      <c r="C576" t="inlineStr">
        <is>
          <t>Klein Tools 32500MAG 11-in-1 Magnetic Screwdriver / Nut Driver</t>
        </is>
      </c>
      <c r="D576" t="inlineStr">
        <is>
          <t>Klein Tools 32500MAG Magnetic Multi-Bit Screwdriver/Nut Driver, 11-in-1 &amp; 32900 Impact Driver, 7-in-1 Impact Flip Socket Set with Handle, 6 Hex Driver Sizes plus a 1/4-Inch Bit Holder</t>
        </is>
      </c>
      <c r="E576" s="2">
        <f>HYPERLINK("https://www.amazon.com/Klein-Tools-32500MAG-Multi-Bit-Screwdriver/dp/B0BNL72TB8/ref=sr_1_2?keywords=Klein+Tools+32500MAG+11-in-1+Magnetic+Screwdriver+%2F+Nut+Driver&amp;qid=1695174303&amp;sr=8-2", "https://www.amazon.com/Klein-Tools-32500MAG-Multi-Bit-Screwdriver/dp/B0BNL72TB8/ref=sr_1_2?keywords=Klein+Tools+32500MAG+11-in-1+Magnetic+Screwdriver+%2F+Nut+Driver&amp;qid=1695174303&amp;sr=8-2")</f>
        <v/>
      </c>
      <c r="F576" t="inlineStr">
        <is>
          <t>B0BNL72TB8</t>
        </is>
      </c>
      <c r="G576">
        <f>_xludf.IMAGE("https://edmondsonsupply.com/cdn/shop/products/32500mag.jpg?v=1633030832")</f>
        <v/>
      </c>
      <c r="H576">
        <f>_xludf.IMAGE("https://m.media-amazon.com/images/I/51J0MF0VVbL._AC_UL320_.jpg")</f>
        <v/>
      </c>
      <c r="I576" t="inlineStr">
        <is>
          <t>20.97</t>
        </is>
      </c>
      <c r="J576" t="n">
        <v>50.94</v>
      </c>
      <c r="K576" s="3" t="inlineStr">
        <is>
          <t>142.92%</t>
        </is>
      </c>
      <c r="L576" t="n">
        <v>5</v>
      </c>
      <c r="M576" t="n">
        <v>2</v>
      </c>
      <c r="O576" t="inlineStr">
        <is>
          <t>InStock</t>
        </is>
      </c>
      <c r="P576" t="inlineStr">
        <is>
          <t>29.38</t>
        </is>
      </c>
      <c r="Q576" t="inlineStr">
        <is>
          <t>6082199814317</t>
        </is>
      </c>
    </row>
    <row r="577">
      <c r="A577" s="2">
        <f>HYPERLINK("https://edmondsonsupply.com/collections/electricians-tools/products/klein-tools-32500mag-11-in-1-magnetic-screwdriver-nut-driver", "https://edmondsonsupply.com/collections/electricians-tools/products/klein-tools-32500mag-11-in-1-magnetic-screwdriver-nut-driver")</f>
        <v/>
      </c>
      <c r="B577" s="2">
        <f>HYPERLINK("https://edmondsonsupply.com/products/klein-tools-32500mag-11-in-1-magnetic-screwdriver-nut-driver", "https://edmondsonsupply.com/products/klein-tools-32500mag-11-in-1-magnetic-screwdriver-nut-driver")</f>
        <v/>
      </c>
      <c r="C577" t="inlineStr">
        <is>
          <t>Klein Tools 32500MAG 11-in-1 Magnetic Screwdriver / Nut Driver</t>
        </is>
      </c>
      <c r="D577" t="inlineStr">
        <is>
          <t>Klein Tools 32807MAG 7-in-1 Nut Driver &amp; 32500MAG Magnetic Multi-Bit Screwdriver/Nut Driver, 11-in-1 Multi Tool with 8 Bits, 3 Nut Driver Sizes, Cushion Grip Handle</t>
        </is>
      </c>
      <c r="E577" s="2">
        <f>HYPERLINK("https://www.amazon.com/Klein-Tools-32807MAG-Multi-Bit-Screwdriver/dp/B09Q64R2HY/ref=sr_1_4?keywords=Klein+Tools+32500MAG+11-in-1+Magnetic+Screwdriver+%2F+Nut+Driver&amp;qid=1695174303&amp;sr=8-4", "https://www.amazon.com/Klein-Tools-32807MAG-Multi-Bit-Screwdriver/dp/B09Q64R2HY/ref=sr_1_4?keywords=Klein+Tools+32500MAG+11-in-1+Magnetic+Screwdriver+%2F+Nut+Driver&amp;qid=1695174303&amp;sr=8-4")</f>
        <v/>
      </c>
      <c r="F577" t="inlineStr">
        <is>
          <t>B09Q64R2HY</t>
        </is>
      </c>
      <c r="G577">
        <f>_xludf.IMAGE("https://edmondsonsupply.com/cdn/shop/products/32500mag.jpg?v=1633030832")</f>
        <v/>
      </c>
      <c r="H577">
        <f>_xludf.IMAGE("https://m.media-amazon.com/images/I/411icJxYT8L._AC_UL320_.jpg")</f>
        <v/>
      </c>
      <c r="I577" t="inlineStr">
        <is>
          <t>20.97</t>
        </is>
      </c>
      <c r="J577" t="n">
        <v>50.94</v>
      </c>
      <c r="K577" s="3" t="inlineStr">
        <is>
          <t>142.92%</t>
        </is>
      </c>
      <c r="L577" t="n">
        <v>4.7</v>
      </c>
      <c r="M577" t="n">
        <v>7</v>
      </c>
      <c r="O577" t="inlineStr">
        <is>
          <t>InStock</t>
        </is>
      </c>
      <c r="P577" t="inlineStr">
        <is>
          <t>29.38</t>
        </is>
      </c>
      <c r="Q577" t="inlineStr">
        <is>
          <t>6082199814317</t>
        </is>
      </c>
    </row>
    <row r="578">
      <c r="A578" s="2">
        <f>HYPERLINK("https://edmondsonsupply.com/collections/electricians-tools/products/klein-tools-ncvt3pkit-dual-range-ncvt-and-ac-dc-voltage-tester-electrical-test-kit", "https://edmondsonsupply.com/collections/electricians-tools/products/klein-tools-ncvt3pkit-dual-range-ncvt-and-ac-dc-voltage-tester-electrical-test-kit")</f>
        <v/>
      </c>
      <c r="B578" s="2">
        <f>HYPERLINK("https://edmondsonsupply.com/products/klein-tools-ncvt3pkit-dual-range-ncvt-and-ac-dc-voltage-tester-electrical-test-kit", "https://edmondsonsupply.com/products/klein-tools-ncvt3pkit-dual-range-ncvt-and-ac-dc-voltage-tester-electrical-test-kit")</f>
        <v/>
      </c>
      <c r="C578" t="inlineStr">
        <is>
          <t>Klein Tools NCVT3PKIT Dual Range NCVT and AC/DC Voltage Tester Electrical Test Kit</t>
        </is>
      </c>
      <c r="D578" t="inlineStr">
        <is>
          <t>Klein Tools NCVT3PKIT Electrical Test Kit, Dual-Range Non-Contact Voltage Tester with Flashlight, AC/DC Voltage Tester and Carrying Case &amp; ET310 AC Circuit Breaker Finder</t>
        </is>
      </c>
      <c r="E578" s="2">
        <f>HYPERLINK("https://www.amazon.com/Klein-Tools-Electrical-Dual-Range-Non-Contact/dp/B0BD3WBV6W/ref=sr_1_3?keywords=Klein+Tools+NCVT3PKIT+Dual+Range+NCVT+and+AC%2FDC+Voltage+Tester+Electrical+Test+Kit&amp;qid=1695174124&amp;sr=8-3", "https://www.amazon.com/Klein-Tools-Electrical-Dual-Range-Non-Contact/dp/B0BD3WBV6W/ref=sr_1_3?keywords=Klein+Tools+NCVT3PKIT+Dual+Range+NCVT+and+AC%2FDC+Voltage+Tester+Electrical+Test+Kit&amp;qid=1695174124&amp;sr=8-3")</f>
        <v/>
      </c>
      <c r="F578" t="inlineStr">
        <is>
          <t>B0BD3WBV6W</t>
        </is>
      </c>
      <c r="G578">
        <f>_xludf.IMAGE("https://edmondsonsupply.com/cdn/shop/products/ncvt3pkit.jpg?v=1667228452")</f>
        <v/>
      </c>
      <c r="H578">
        <f>_xludf.IMAGE("https://m.media-amazon.com/images/I/51Bb9uu7nIL._AC_UL320_.jpg")</f>
        <v/>
      </c>
      <c r="I578" t="inlineStr">
        <is>
          <t>34.99</t>
        </is>
      </c>
      <c r="J578" t="n">
        <v>84.95999999999999</v>
      </c>
      <c r="K578" s="3" t="inlineStr">
        <is>
          <t>142.81%</t>
        </is>
      </c>
      <c r="L578" t="n">
        <v>5</v>
      </c>
      <c r="M578" t="n">
        <v>1</v>
      </c>
      <c r="O578" t="inlineStr">
        <is>
          <t>InStock</t>
        </is>
      </c>
      <c r="P578" t="inlineStr">
        <is>
          <t>48.52</t>
        </is>
      </c>
      <c r="Q578" t="inlineStr">
        <is>
          <t>7871488032984</t>
        </is>
      </c>
    </row>
    <row r="579">
      <c r="A579" s="2">
        <f>HYPERLINK("https://edmondsonsupply.com/collections/electricians-tools/products/klein-tools-69417-rare-earth-magnetic-meter-hanger", "https://edmondsonsupply.com/collections/electricians-tools/products/klein-tools-69417-rare-earth-magnetic-meter-hanger")</f>
        <v/>
      </c>
      <c r="B579" s="2">
        <f>HYPERLINK("https://edmondsonsupply.com/products/klein-tools-69417-rare-earth-magnetic-meter-hanger", "https://edmondsonsupply.com/products/klein-tools-69417-rare-earth-magnetic-meter-hanger")</f>
        <v/>
      </c>
      <c r="C579" t="inlineStr">
        <is>
          <t>Klein Tools 69417 Rare Earth Magnetic Meter Hanger, with Strap</t>
        </is>
      </c>
      <c r="D579" t="inlineStr">
        <is>
          <t>Replacement Test Lead Set, Right Angle Klein Tools 69410 &amp; 69417 Rare-Earth Magnetic Hanger, with Strap</t>
        </is>
      </c>
      <c r="E579" s="2">
        <f>HYPERLINK("https://www.amazon.com/Replacement-Klein-Tools-Rare-Earth-Magnetic/dp/B0BGJ4RHHH/ref=sr_1_10?keywords=Klein+Tools+69417+Rare+Earth+Magnetic+Meter+Hanger%2C+with+Strap&amp;qid=1695173948&amp;sr=8-10", "https://www.amazon.com/Replacement-Klein-Tools-Rare-Earth-Magnetic/dp/B0BGJ4RHHH/ref=sr_1_10?keywords=Klein+Tools+69417+Rare+Earth+Magnetic+Meter+Hanger%2C+with+Strap&amp;qid=1695173948&amp;sr=8-10")</f>
        <v/>
      </c>
      <c r="F579" t="inlineStr">
        <is>
          <t>B0BGJ4RHHH</t>
        </is>
      </c>
      <c r="G579">
        <f>_xludf.IMAGE("https://edmondsonsupply.com/cdn/shop/products/69417.jpg?v=1587150163")</f>
        <v/>
      </c>
      <c r="H579">
        <f>_xludf.IMAGE("https://m.media-amazon.com/images/I/51XR88q6Q5L._AC_UL320_.jpg")</f>
        <v/>
      </c>
      <c r="I579" t="inlineStr">
        <is>
          <t>13.99</t>
        </is>
      </c>
      <c r="J579" t="n">
        <v>33.96</v>
      </c>
      <c r="K579" s="3" t="inlineStr">
        <is>
          <t>142.74%</t>
        </is>
      </c>
      <c r="L579" t="n">
        <v>4.5</v>
      </c>
      <c r="M579" t="n">
        <v>10</v>
      </c>
      <c r="O579" t="inlineStr">
        <is>
          <t>InStock</t>
        </is>
      </c>
      <c r="P579" t="inlineStr">
        <is>
          <t>20.0</t>
        </is>
      </c>
      <c r="Q579" t="inlineStr">
        <is>
          <t>1778073731172</t>
        </is>
      </c>
    </row>
    <row r="580">
      <c r="A580" s="2">
        <f>HYPERLINK("https://edmondsonsupply.com/collections/electricians-tools/products/klein-tools-rt310-afci-gfci-outlet-tester", "https://edmondsonsupply.com/collections/electricians-tools/products/klein-tools-rt310-afci-gfci-outlet-tester")</f>
        <v/>
      </c>
      <c r="B580" s="2">
        <f>HYPERLINK("https://edmondsonsupply.com/products/klein-tools-rt310-afci-gfci-outlet-tester", "https://edmondsonsupply.com/products/klein-tools-rt310-afci-gfci-outlet-tester")</f>
        <v/>
      </c>
      <c r="C580" t="inlineStr">
        <is>
          <t>Klein Tools RT310 AFCI / GFCI Outlet Tester</t>
        </is>
      </c>
      <c r="D580" t="inlineStr">
        <is>
          <t>Klein Tools 80016 Circuit Breaker Finder Tool Kit &amp; RT310 Receptacle Tester, AFCI and GFCI Outlet and Device Tester for North American AC Electrical Outlet Receptacles</t>
        </is>
      </c>
      <c r="E580" s="2">
        <f>HYPERLINK("https://www.amazon.com/Klein-Tools-Receptacle-Electrical-Receptacles/dp/B09P84542L/ref=sr_1_3?keywords=Klein+Tools+RT310+AFCI+%2F+GFCI+Outlet+Tester&amp;qid=1695173970&amp;sr=8-3", "https://www.amazon.com/Klein-Tools-Receptacle-Electrical-Receptacles/dp/B09P84542L/ref=sr_1_3?keywords=Klein+Tools+RT310+AFCI+%2F+GFCI+Outlet+Tester&amp;qid=1695173970&amp;sr=8-3")</f>
        <v/>
      </c>
      <c r="F580" t="inlineStr">
        <is>
          <t>B09P84542L</t>
        </is>
      </c>
      <c r="G580">
        <f>_xludf.IMAGE("https://edmondsonsupply.com/cdn/shop/products/rt310.jpg?v=1587148552")</f>
        <v/>
      </c>
      <c r="H580">
        <f>_xludf.IMAGE("https://m.media-amazon.com/images/I/51JAT1Kr0DL._AC_UL320_.jpg")</f>
        <v/>
      </c>
      <c r="I580" t="inlineStr">
        <is>
          <t>39.97</t>
        </is>
      </c>
      <c r="J580" t="n">
        <v>94.95999999999999</v>
      </c>
      <c r="K580" s="3" t="inlineStr">
        <is>
          <t>137.58%</t>
        </is>
      </c>
      <c r="L580" t="n">
        <v>4.7</v>
      </c>
      <c r="M580" t="n">
        <v>499</v>
      </c>
      <c r="O580" t="inlineStr">
        <is>
          <t>InStock</t>
        </is>
      </c>
      <c r="P580" t="inlineStr">
        <is>
          <t>57.9</t>
        </is>
      </c>
      <c r="Q580" t="inlineStr">
        <is>
          <t>3372527779940</t>
        </is>
      </c>
    </row>
    <row r="581">
      <c r="A581" s="2">
        <f>HYPERLINK("https://edmondsonsupply.com/collections/electricians-tools/products/klein-tools-46037-cable-splicers-kit", "https://edmondsonsupply.com/collections/electricians-tools/products/klein-tools-46037-cable-splicers-kit")</f>
        <v/>
      </c>
      <c r="B581" s="2">
        <f>HYPERLINK("https://edmondsonsupply.com/products/klein-tools-46037-cable-splicers-kit", "https://edmondsonsupply.com/products/klein-tools-46037-cable-splicers-kit")</f>
        <v/>
      </c>
      <c r="C581" t="inlineStr">
        <is>
          <t>Klein Tools 46037 Cable Splicer's Kit</t>
        </is>
      </c>
      <c r="D581" t="inlineStr">
        <is>
          <t>Dismantling Knife-1000V Insulated &amp; Klein Tools 46039 Cable Splicer's Kit with Cable Splicer Electricians Knife and Free-Fall Snip</t>
        </is>
      </c>
      <c r="E581" s="2">
        <f>HYPERLINK("https://www.amazon.com/Dismantling-Knife-1000V-Insulated-Electricians-Free-Fall/dp/B0BM2ZZM12/ref=sr_1_8?keywords=Klein+Tools+46037+Cable+Splicer%27s+Kit&amp;qid=1695174157&amp;sr=8-8", "https://www.amazon.com/Dismantling-Knife-1000V-Insulated-Electricians-Free-Fall/dp/B0BM2ZZM12/ref=sr_1_8?keywords=Klein+Tools+46037+Cable+Splicer%27s+Kit&amp;qid=1695174157&amp;sr=8-8")</f>
        <v/>
      </c>
      <c r="F581" t="inlineStr">
        <is>
          <t>B0BM2ZZM12</t>
        </is>
      </c>
      <c r="G581">
        <f>_xludf.IMAGE("https://edmondsonsupply.com/cdn/shop/products/46037.jpg?v=1663351986")</f>
        <v/>
      </c>
      <c r="H581">
        <f>_xludf.IMAGE("https://m.media-amazon.com/images/I/41uZ3RjcrvL._AC_UL320_.jpg")</f>
        <v/>
      </c>
      <c r="I581" t="inlineStr">
        <is>
          <t>39.97</t>
        </is>
      </c>
      <c r="J581" t="n">
        <v>94.92</v>
      </c>
      <c r="K581" s="3" t="inlineStr">
        <is>
          <t>137.48%</t>
        </is>
      </c>
      <c r="L581" t="n">
        <v>4.8</v>
      </c>
      <c r="M581" t="n">
        <v>793</v>
      </c>
      <c r="O581" t="inlineStr">
        <is>
          <t>InStock</t>
        </is>
      </c>
      <c r="P581" t="inlineStr">
        <is>
          <t>66.7</t>
        </is>
      </c>
      <c r="Q581" t="inlineStr">
        <is>
          <t>7819207508184</t>
        </is>
      </c>
    </row>
    <row r="582">
      <c r="A582" s="2">
        <f>HYPERLINK("https://edmondsonsupply.com/collections/electricians-tools/products/klein-tools-630-3-8-3-8-inch-nut-driver-with-3-inch-hollow-shaft", "https://edmondsonsupply.com/collections/electricians-tools/products/klein-tools-630-3-8-3-8-inch-nut-driver-with-3-inch-hollow-shaft")</f>
        <v/>
      </c>
      <c r="B582" s="2">
        <f>HYPERLINK("https://edmondsonsupply.com/products/klein-tools-630-3-8-3-8-inch-nut-driver-with-3-inch-hollow-shaft", "https://edmondsonsupply.com/products/klein-tools-630-3-8-3-8-inch-nut-driver-with-3-inch-hollow-shaft")</f>
        <v/>
      </c>
      <c r="C582" t="inlineStr">
        <is>
          <t>Klein Tools 630-3/8 3/8-Inch Nut Driver with 3-Inch Hollow Shaft</t>
        </is>
      </c>
      <c r="D582" t="inlineStr">
        <is>
          <t>Klein Tools 646-3/8-INS 3/8-Inch Hex Insulated Nut Driver with 6-Inch Hollow Shaft and Cushion Grip Handle</t>
        </is>
      </c>
      <c r="E582" s="2">
        <f>HYPERLINK("https://www.amazon.com/Insulated-Klein-Tools-646-3-8-INS/dp/B000MKH62I/ref=sr_1_5?keywords=Klein+Tools+630-3%2F8+3%2F8-Inch+Nut+Driver+with+3-Inch+Hollow+Shaft&amp;qid=1695174289&amp;sr=8-5", "https://www.amazon.com/Insulated-Klein-Tools-646-3-8-INS/dp/B000MKH62I/ref=sr_1_5?keywords=Klein+Tools+630-3%2F8+3%2F8-Inch+Nut+Driver+with+3-Inch+Hollow+Shaft&amp;qid=1695174289&amp;sr=8-5")</f>
        <v/>
      </c>
      <c r="F582" t="inlineStr">
        <is>
          <t>B000MKH62I</t>
        </is>
      </c>
      <c r="G582">
        <f>_xludf.IMAGE("https://edmondsonsupply.com/cdn/shop/products/630-1-2_e23f9fbd-a282-44d7-b743-2cfe0f84edfa.jpg?v=1633030906")</f>
        <v/>
      </c>
      <c r="H582">
        <f>_xludf.IMAGE("https://m.media-amazon.com/images/I/613x9jx46fL._AC_UL320_.jpg")</f>
        <v/>
      </c>
      <c r="I582" t="inlineStr">
        <is>
          <t>8.99</t>
        </is>
      </c>
      <c r="J582" t="n">
        <v>21.18</v>
      </c>
      <c r="K582" s="3" t="inlineStr">
        <is>
          <t>135.60%</t>
        </is>
      </c>
      <c r="L582" t="n">
        <v>4.7</v>
      </c>
      <c r="M582" t="n">
        <v>274</v>
      </c>
      <c r="O582" t="inlineStr">
        <is>
          <t>InStock</t>
        </is>
      </c>
      <c r="P582" t="inlineStr">
        <is>
          <t>11.74</t>
        </is>
      </c>
      <c r="Q582" t="inlineStr">
        <is>
          <t>6244382376109</t>
        </is>
      </c>
    </row>
    <row r="583">
      <c r="A583" s="2">
        <f>HYPERLINK("https://edmondsonsupply.com/collections/electricians-tools/products/klein-tools-614-2-1-16-inch-slotted-electronics-screwdriver-2-inch", "https://edmondsonsupply.com/collections/electricians-tools/products/klein-tools-614-2-1-16-inch-slotted-electronics-screwdriver-2-inch")</f>
        <v/>
      </c>
      <c r="B583" s="2">
        <f>HYPERLINK("https://edmondsonsupply.com/products/klein-tools-614-2-1-16-inch-slotted-electronics-screwdriver-2-inch", "https://edmondsonsupply.com/products/klein-tools-614-2-1-16-inch-slotted-electronics-screwdriver-2-inch")</f>
        <v/>
      </c>
      <c r="C583" t="inlineStr">
        <is>
          <t>Klein Tools 614-2 1/16-Inch Slotted Electronics Screwdriver, 2-Inch</t>
        </is>
      </c>
      <c r="D583" t="inlineStr">
        <is>
          <t>Klein Tools 32293 Insulated Screwdriver, 2-in-1 Screwdriver Set with Flip Blade, #2 Phillips and1/4-Inch Slotted Tips, Double-Ended Blades</t>
        </is>
      </c>
      <c r="E583" s="2">
        <f>HYPERLINK("https://www.amazon.com/Klein-Tools-32293-Screwdriver-Double-Ended/dp/B07WWZZQD2/ref=sr_1_6?keywords=Klein+Tools+614-2+1%2F16-Inch+Slotted+Electronics+Screwdriver%2C+2-Inch&amp;qid=1695174229&amp;sr=8-6", "https://www.amazon.com/Klein-Tools-32293-Screwdriver-Double-Ended/dp/B07WWZZQD2/ref=sr_1_6?keywords=Klein+Tools+614-2+1%2F16-Inch+Slotted+Electronics+Screwdriver%2C+2-Inch&amp;qid=1695174229&amp;sr=8-6")</f>
        <v/>
      </c>
      <c r="F583" t="inlineStr">
        <is>
          <t>B07WWZZQD2</t>
        </is>
      </c>
      <c r="G583">
        <f>_xludf.IMAGE("https://edmondsonsupply.com/cdn/shop/products/614-2.jpg?v=1637284311")</f>
        <v/>
      </c>
      <c r="H583">
        <f>_xludf.IMAGE("https://m.media-amazon.com/images/I/41yk4NC2BmL._AC_UL320_.jpg")</f>
        <v/>
      </c>
      <c r="I583" t="inlineStr">
        <is>
          <t>8.49</t>
        </is>
      </c>
      <c r="J583" t="n">
        <v>19.98</v>
      </c>
      <c r="K583" s="3" t="inlineStr">
        <is>
          <t>135.34%</t>
        </is>
      </c>
      <c r="L583" t="n">
        <v>4.8</v>
      </c>
      <c r="M583" t="n">
        <v>2782</v>
      </c>
      <c r="O583" t="inlineStr">
        <is>
          <t>InStock</t>
        </is>
      </c>
      <c r="P583" t="inlineStr">
        <is>
          <t>12.86</t>
        </is>
      </c>
      <c r="Q583" t="inlineStr">
        <is>
          <t>7512018616536</t>
        </is>
      </c>
    </row>
    <row r="584">
      <c r="A584" s="2">
        <f>HYPERLINK("https://edmondsonsupply.com/collections/electricians-tools/products/klein-tools-69410-replacement-test-lead-set-right-angle", "https://edmondsonsupply.com/collections/electricians-tools/products/klein-tools-69410-replacement-test-lead-set-right-angle")</f>
        <v/>
      </c>
      <c r="B584" s="2">
        <f>HYPERLINK("https://edmondsonsupply.com/products/klein-tools-69410-replacement-test-lead-set-right-angle", "https://edmondsonsupply.com/products/klein-tools-69410-replacement-test-lead-set-right-angle")</f>
        <v/>
      </c>
      <c r="C584" t="inlineStr">
        <is>
          <t>Klein Tools 69410 Replacement Test Lead Set, Right Angle</t>
        </is>
      </c>
      <c r="D584" t="inlineStr">
        <is>
          <t>Klein Tools MM450 Multimeter, Slim Digital Meter, Auto-Ranging TRMS, 600V AC/DC Voltage, Current, Resistance, Temp, Frequency, Continuity &amp; 69410 Replacement Test Lead Set, Right Angle</t>
        </is>
      </c>
      <c r="E584" s="2">
        <f>HYPERLINK("https://www.amazon.com/Klein-Tools-Multimeter-Auto-Ranging-Replacement/dp/B0CF1HLRLZ/ref=sr_1_3?keywords=Klein+Tools+69410+Replacement+Test+Lead+Set%2C+Right+Angle&amp;qid=1695173944&amp;sr=8-3", "https://www.amazon.com/Klein-Tools-Multimeter-Auto-Ranging-Replacement/dp/B0CF1HLRLZ/ref=sr_1_3?keywords=Klein+Tools+69410+Replacement+Test+Lead+Set%2C+Right+Angle&amp;qid=1695173944&amp;sr=8-3")</f>
        <v/>
      </c>
      <c r="F584" t="inlineStr">
        <is>
          <t>B0CF1HLRLZ</t>
        </is>
      </c>
      <c r="G584">
        <f>_xludf.IMAGE("https://edmondsonsupply.com/cdn/shop/products/69410.jpg?v=1587143393")</f>
        <v/>
      </c>
      <c r="H584">
        <f>_xludf.IMAGE("https://m.media-amazon.com/images/I/511gqqz-o+L._AC_UY218_.jpg")</f>
        <v/>
      </c>
      <c r="I584" t="inlineStr">
        <is>
          <t>19.97</t>
        </is>
      </c>
      <c r="J584" t="n">
        <v>46.9</v>
      </c>
      <c r="K584" s="3" t="inlineStr">
        <is>
          <t>134.85%</t>
        </is>
      </c>
      <c r="L584" t="n">
        <v>4.7</v>
      </c>
      <c r="M584" t="n">
        <v>3817</v>
      </c>
      <c r="O584" t="inlineStr">
        <is>
          <t>InStock</t>
        </is>
      </c>
      <c r="P584" t="inlineStr">
        <is>
          <t>27.1</t>
        </is>
      </c>
      <c r="Q584" t="inlineStr">
        <is>
          <t>4274171543652</t>
        </is>
      </c>
    </row>
    <row r="585">
      <c r="A585" s="2">
        <f>HYPERLINK("https://edmondsonsupply.com/collections/electricians-tools/products/klein-tools-et45-ac-dc-voltage-tester", "https://edmondsonsupply.com/collections/electricians-tools/products/klein-tools-et45-ac-dc-voltage-tester")</f>
        <v/>
      </c>
      <c r="B585" s="2">
        <f>HYPERLINK("https://edmondsonsupply.com/products/klein-tools-et45-ac-dc-voltage-tester", "https://edmondsonsupply.com/products/klein-tools-et45-ac-dc-voltage-tester")</f>
        <v/>
      </c>
      <c r="C585" t="inlineStr">
        <is>
          <t>Klein Tools ET45 AC/DC Voltage Tester</t>
        </is>
      </c>
      <c r="D585" t="inlineStr">
        <is>
          <t>Klein Tools ET60 Voltage Tester, Tests AC and DC Voltage and Low Voltage, No Batteries Needed, Orange/Black</t>
        </is>
      </c>
      <c r="E585" s="2">
        <f>HYPERLINK("https://www.amazon.com/Electronic-Voltage-Klein-Tools-ET60/dp/B06WWFGHQZ/ref=sr_1_6?keywords=Klein+Tools+ET45+AC%2FDC+Voltage+Tester&amp;qid=1695174290&amp;sr=8-6", "https://www.amazon.com/Electronic-Voltage-Klein-Tools-ET60/dp/B06WWFGHQZ/ref=sr_1_6?keywords=Klein+Tools+ET45+AC%2FDC+Voltage+Tester&amp;qid=1695174290&amp;sr=8-6")</f>
        <v/>
      </c>
      <c r="F585" t="inlineStr">
        <is>
          <t>B06WWFGHQZ</t>
        </is>
      </c>
      <c r="G585">
        <f>_xludf.IMAGE("https://edmondsonsupply.com/cdn/shop/products/et45.jpg?v=1647786270")</f>
        <v/>
      </c>
      <c r="H585">
        <f>_xludf.IMAGE("https://m.media-amazon.com/images/I/61bFp93k0pL._AC_UL320_.jpg")</f>
        <v/>
      </c>
      <c r="I585" t="inlineStr">
        <is>
          <t>11.99</t>
        </is>
      </c>
      <c r="J585" t="n">
        <v>28.05</v>
      </c>
      <c r="K585" s="3" t="inlineStr">
        <is>
          <t>133.94%</t>
        </is>
      </c>
      <c r="L585" t="n">
        <v>4.6</v>
      </c>
      <c r="M585" t="n">
        <v>1112</v>
      </c>
      <c r="O585" t="inlineStr">
        <is>
          <t>InStock</t>
        </is>
      </c>
      <c r="P585" t="inlineStr">
        <is>
          <t>16.72</t>
        </is>
      </c>
      <c r="Q585" t="inlineStr">
        <is>
          <t>3688633630820</t>
        </is>
      </c>
    </row>
    <row r="586">
      <c r="A586" s="2">
        <f>HYPERLINK("https://edmondsonsupply.com/collections/electricians-tools/products/klein-tools-32768-3-in-1-impact-flip-socket-set-1-4-inch-5-16-inch-2-piece", "https://edmondsonsupply.com/collections/electricians-tools/products/klein-tools-32768-3-in-1-impact-flip-socket-set-1-4-inch-5-16-inch-2-piece")</f>
        <v/>
      </c>
      <c r="B586" s="2">
        <f>HYPERLINK("https://edmondsonsupply.com/products/klein-tools-32768-3-in-1-impact-flip-socket-set-1-4-inch-5-16-inch-2-piece", "https://edmondsonsupply.com/products/klein-tools-32768-3-in-1-impact-flip-socket-set-1-4-inch-5-16-inch-2-piece")</f>
        <v/>
      </c>
      <c r="C586" t="inlineStr">
        <is>
          <t>Klein Tools 32768 3-in-1 Impact Flip Socket Set, 1/4-Inch, 5/16-Inch, 2-Piece</t>
        </is>
      </c>
      <c r="D586" t="inlineStr">
        <is>
          <t>Klein Tools 32768 Impact Driver, 3-in-1 &amp; 7-in-1 Impact Flip Socket Set, 6 Hex Driver Sizes plus a 1/4-Inch Bit Holder Klein Tools 32907</t>
        </is>
      </c>
      <c r="E586" s="2">
        <f>HYPERLINK("https://www.amazon.com/Klein-Tools-Impact-Driver-Socket/dp/B0BNL4KNLD/ref=sr_1_4?keywords=Klein+Tools+32768+3-in-1+Impact+Flip+Socket+Set%2C+1%2F4-Inch%2C+5%2F16-Inch%2C+2-Piece&amp;qid=1695174135&amp;sr=8-4", "https://www.amazon.com/Klein-Tools-Impact-Driver-Socket/dp/B0BNL4KNLD/ref=sr_1_4?keywords=Klein+Tools+32768+3-in-1+Impact+Flip+Socket+Set%2C+1%2F4-Inch%2C+5%2F16-Inch%2C+2-Piece&amp;qid=1695174135&amp;sr=8-4")</f>
        <v/>
      </c>
      <c r="F586" t="inlineStr">
        <is>
          <t>B0BNL4KNLD</t>
        </is>
      </c>
      <c r="G586">
        <f>_xludf.IMAGE("https://edmondsonsupply.com/cdn/shop/products/32768.jpg?v=1666022946")</f>
        <v/>
      </c>
      <c r="H586">
        <f>_xludf.IMAGE("https://m.media-amazon.com/images/I/41nFo8SbgZL._AC_UL320_.jpg")</f>
        <v/>
      </c>
      <c r="I586" t="inlineStr">
        <is>
          <t>14.97</t>
        </is>
      </c>
      <c r="J586" t="n">
        <v>34.98</v>
      </c>
      <c r="K586" s="3" t="inlineStr">
        <is>
          <t>133.67%</t>
        </is>
      </c>
      <c r="L586" t="n">
        <v>5</v>
      </c>
      <c r="M586" t="n">
        <v>7</v>
      </c>
      <c r="O586" t="inlineStr">
        <is>
          <t>InStock</t>
        </is>
      </c>
      <c r="P586" t="inlineStr">
        <is>
          <t>21.98</t>
        </is>
      </c>
      <c r="Q586" t="inlineStr">
        <is>
          <t>7856621977816</t>
        </is>
      </c>
    </row>
    <row r="587">
      <c r="A587" s="2">
        <f>HYPERLINK("https://edmondsonsupply.com/collections/electricians-tools/products/klein-tools-32900-7-in-1-impact-flip-socket-with-handle", "https://edmondsonsupply.com/collections/electricians-tools/products/klein-tools-32900-7-in-1-impact-flip-socket-with-handle")</f>
        <v/>
      </c>
      <c r="B587" s="2">
        <f>HYPERLINK("https://edmondsonsupply.com/products/klein-tools-32900-7-in-1-impact-flip-socket-with-handle", "https://edmondsonsupply.com/products/klein-tools-32900-7-in-1-impact-flip-socket-with-handle")</f>
        <v/>
      </c>
      <c r="C587" t="inlineStr">
        <is>
          <t>Klein Tools 32900 7-in-1 Impact Flip Socket with Handle</t>
        </is>
      </c>
      <c r="D587" t="inlineStr">
        <is>
          <t>Klein Tools J215-8CR Multitool Pliers, Twisting, Looping &amp; 32900 Impact Driver, 7-in-1 Impact Flip Socket Set with Handle, 6 Hex Driver Sizes plus a 1/4-Inch Bit Holder</t>
        </is>
      </c>
      <c r="E587" s="2">
        <f>HYPERLINK("https://www.amazon.com/Klein-Tools-J215-8CR-Multitool-Twisting/dp/B0BNL9XZLY/ref=sr_1_4?keywords=Klein+Tools+32900+7-in-1+Impact+Flip+Socket+with+Handle&amp;qid=1695174143&amp;sr=8-4", "https://www.amazon.com/Klein-Tools-J215-8CR-Multitool-Twisting/dp/B0BNL9XZLY/ref=sr_1_4?keywords=Klein+Tools+32900+7-in-1+Impact+Flip+Socket+with+Handle&amp;qid=1695174143&amp;sr=8-4")</f>
        <v/>
      </c>
      <c r="F587" t="inlineStr">
        <is>
          <t>B0BNL9XZLY</t>
        </is>
      </c>
      <c r="G587">
        <f>_xludf.IMAGE("https://edmondsonsupply.com/cdn/shop/products/32900_b.jpg?v=1666024787")</f>
        <v/>
      </c>
      <c r="H587">
        <f>_xludf.IMAGE("https://m.media-amazon.com/images/I/51OtnaqJyqL._AC_UL320_.jpg")</f>
        <v/>
      </c>
      <c r="I587" t="inlineStr">
        <is>
          <t>29.97</t>
        </is>
      </c>
      <c r="J587" t="n">
        <v>69.94</v>
      </c>
      <c r="K587" s="3" t="inlineStr">
        <is>
          <t>133.37%</t>
        </is>
      </c>
      <c r="L587" t="n">
        <v>4</v>
      </c>
      <c r="M587" t="n">
        <v>3</v>
      </c>
      <c r="O587" t="inlineStr">
        <is>
          <t>InStock</t>
        </is>
      </c>
      <c r="P587" t="inlineStr">
        <is>
          <t>45.0</t>
        </is>
      </c>
      <c r="Q587" t="inlineStr">
        <is>
          <t>7856651239640</t>
        </is>
      </c>
    </row>
    <row r="588">
      <c r="A588" s="2">
        <f>HYPERLINK("https://edmondsonsupply.com/collections/electricians-tools/products/klein-tools-32900-7-in-1-impact-flip-socket-with-handle", "https://edmondsonsupply.com/collections/electricians-tools/products/klein-tools-32900-7-in-1-impact-flip-socket-with-handle")</f>
        <v/>
      </c>
      <c r="B588" s="2">
        <f>HYPERLINK("https://edmondsonsupply.com/products/klein-tools-32900-7-in-1-impact-flip-socket-with-handle", "https://edmondsonsupply.com/products/klein-tools-32900-7-in-1-impact-flip-socket-with-handle")</f>
        <v/>
      </c>
      <c r="C588" t="inlineStr">
        <is>
          <t>Klein Tools 32900 7-in-1 Impact Flip Socket with Handle</t>
        </is>
      </c>
      <c r="D588" t="inlineStr">
        <is>
          <t>Klein Tools Recharge Headlamp Fabric Strap 400 Lumens All Day Runtime &amp; 32900 Impact Driver, 7-in-1 Impact Flip Socket Set with Handle, 6 Hex Driver Sizes Plus a 1/4-Inch Bit Holder</t>
        </is>
      </c>
      <c r="E588" s="2">
        <f>HYPERLINK("https://www.amazon.com/Klein-Tools-Recharge-Headlamp-Runtime/dp/B0BNL563BW/ref=sr_1_5?keywords=Klein+Tools+32900+7-in-1+Impact+Flip+Socket+with+Handle&amp;qid=1695174143&amp;sr=8-5", "https://www.amazon.com/Klein-Tools-Recharge-Headlamp-Runtime/dp/B0BNL563BW/ref=sr_1_5?keywords=Klein+Tools+32900+7-in-1+Impact+Flip+Socket+with+Handle&amp;qid=1695174143&amp;sr=8-5")</f>
        <v/>
      </c>
      <c r="F588" t="inlineStr">
        <is>
          <t>B0BNL563BW</t>
        </is>
      </c>
      <c r="G588">
        <f>_xludf.IMAGE("https://edmondsonsupply.com/cdn/shop/products/32900_b.jpg?v=1666024787")</f>
        <v/>
      </c>
      <c r="H588">
        <f>_xludf.IMAGE("https://m.media-amazon.com/images/I/51gNBTMFaDL._AC_UL320_.jpg")</f>
        <v/>
      </c>
      <c r="I588" t="inlineStr">
        <is>
          <t>29.97</t>
        </is>
      </c>
      <c r="J588" t="n">
        <v>69.94</v>
      </c>
      <c r="K588" s="3" t="inlineStr">
        <is>
          <t>133.37%</t>
        </is>
      </c>
      <c r="L588" t="n">
        <v>4.3</v>
      </c>
      <c r="M588" t="n">
        <v>3</v>
      </c>
      <c r="O588" t="inlineStr">
        <is>
          <t>InStock</t>
        </is>
      </c>
      <c r="P588" t="inlineStr">
        <is>
          <t>45.0</t>
        </is>
      </c>
      <c r="Q588" t="inlineStr">
        <is>
          <t>7856651239640</t>
        </is>
      </c>
    </row>
    <row r="589">
      <c r="A589" s="2">
        <f>HYPERLINK("https://edmondsonsupply.com/collections/electricians-tools/products/klein-tools-vdv427-300-impact-punchdown-tool-66-110-blade", "https://edmondsonsupply.com/collections/electricians-tools/products/klein-tools-vdv427-300-impact-punchdown-tool-66-110-blade")</f>
        <v/>
      </c>
      <c r="B589" s="2">
        <f>HYPERLINK("https://edmondsonsupply.com/products/klein-tools-vdv427-300-impact-punchdown-tool-66-110-blade", "https://edmondsonsupply.com/products/klein-tools-vdv427-300-impact-punchdown-tool-66-110-blade")</f>
        <v/>
      </c>
      <c r="C589" t="inlineStr">
        <is>
          <t>Klein Tools VDV427-300 Impact Punchdown Tool, 66/110 Blade</t>
        </is>
      </c>
      <c r="D589" t="inlineStr">
        <is>
          <t>Klein Tools VDV526-200 Cable Tester, LAN Scout Jr. 2 Ethernet Cable Tester &amp; VDV427-300 Impact Punchdown Tool, 66/110 Blade</t>
        </is>
      </c>
      <c r="E589" s="2">
        <f>HYPERLINK("https://www.amazon.com/Klein-Tools-VDV526-200-VDV427-300-Punchdown/dp/B09T6Y965V/ref=sr_1_7?keywords=Klein+Tools+VDV427-300+Impact+Punchdown+Tool%2C+66%2F110+Blade&amp;qid=1695174221&amp;sr=8-7", "https://www.amazon.com/Klein-Tools-VDV526-200-VDV427-300-Punchdown/dp/B09T6Y965V/ref=sr_1_7?keywords=Klein+Tools+VDV427-300+Impact+Punchdown+Tool%2C+66%2F110+Blade&amp;qid=1695174221&amp;sr=8-7")</f>
        <v/>
      </c>
      <c r="F589" t="inlineStr">
        <is>
          <t>B09T6Y965V</t>
        </is>
      </c>
      <c r="G589">
        <f>_xludf.IMAGE("https://edmondsonsupply.com/cdn/shop/products/vdv427300.jpg?v=1646010568")</f>
        <v/>
      </c>
      <c r="H589">
        <f>_xludf.IMAGE("https://m.media-amazon.com/images/I/411dxfFTZ6L._AC_UL320_.jpg")</f>
        <v/>
      </c>
      <c r="I589" t="inlineStr">
        <is>
          <t>39.97</t>
        </is>
      </c>
      <c r="J589" t="n">
        <v>93.06999999999999</v>
      </c>
      <c r="K589" s="3" t="inlineStr">
        <is>
          <t>132.85%</t>
        </is>
      </c>
      <c r="L589" t="n">
        <v>5</v>
      </c>
      <c r="M589" t="n">
        <v>7</v>
      </c>
      <c r="O589" t="inlineStr">
        <is>
          <t>InStock</t>
        </is>
      </c>
      <c r="P589" t="inlineStr">
        <is>
          <t>55.98</t>
        </is>
      </c>
      <c r="Q589" t="inlineStr">
        <is>
          <t>7620069818584</t>
        </is>
      </c>
    </row>
    <row r="590">
      <c r="A590" s="2">
        <f>HYPERLINK("https://edmondsonsupply.com/collections/electricians-tools/products/greenlee-612-1-1-2-foam-conduit-piston", "https://edmondsonsupply.com/collections/electricians-tools/products/greenlee-612-1-1-2-foam-conduit-piston")</f>
        <v/>
      </c>
      <c r="B590" s="2">
        <f>HYPERLINK("https://edmondsonsupply.com/products/greenlee-612-1-1-2-foam-conduit-piston", "https://edmondsonsupply.com/products/greenlee-612-1-1-2-foam-conduit-piston")</f>
        <v/>
      </c>
      <c r="C590" t="inlineStr">
        <is>
          <t>Greenlee 612 1-1/2" Foam Conduit Piston</t>
        </is>
      </c>
      <c r="D590" t="inlineStr">
        <is>
          <t>Greenlee 612-2 Conduit Piston, 1-1/2-Inch Conduit</t>
        </is>
      </c>
      <c r="E590" s="2">
        <f>HYPERLINK("https://www.amazon.com/Greenlee-612-2-Piston-Conduit-Pack/dp/B003STCZE4/ref=sr_1_2?keywords=Greenlee+612+1-1%2F2%22+Foam+Conduit+Piston&amp;qid=1695173998&amp;sr=8-2", "https://www.amazon.com/Greenlee-612-2-Piston-Conduit-Pack/dp/B003STCZE4/ref=sr_1_2?keywords=Greenlee+612+1-1%2F2%22+Foam+Conduit+Piston&amp;qid=1695173998&amp;sr=8-2")</f>
        <v/>
      </c>
      <c r="F590" t="inlineStr">
        <is>
          <t>B003STCZE4</t>
        </is>
      </c>
      <c r="G590">
        <f>_xludf.IMAGE("https://edmondsonsupply.com/cdn/shop/files/612.png?v=1687451101")</f>
        <v/>
      </c>
      <c r="H590">
        <f>_xludf.IMAGE("https://m.media-amazon.com/images/I/91+NtS500CL._AC_UL320_.jpg")</f>
        <v/>
      </c>
      <c r="I590" t="inlineStr">
        <is>
          <t>11.33</t>
        </is>
      </c>
      <c r="J590" t="n">
        <v>26.34</v>
      </c>
      <c r="K590" s="3" t="inlineStr">
        <is>
          <t>132.48%</t>
        </is>
      </c>
      <c r="L590" t="n">
        <v>5</v>
      </c>
      <c r="M590" t="n">
        <v>6</v>
      </c>
      <c r="O590" t="inlineStr">
        <is>
          <t>InStock</t>
        </is>
      </c>
      <c r="P590" t="inlineStr">
        <is>
          <t>undefined</t>
        </is>
      </c>
      <c r="Q590" t="inlineStr">
        <is>
          <t>8007993032920</t>
        </is>
      </c>
    </row>
    <row r="591">
      <c r="A591" s="2">
        <f>HYPERLINK("https://edmondsonsupply.com/collections/electricians-tools/products/klein-tools-85091-power-conduit-reamer", "https://edmondsonsupply.com/collections/electricians-tools/products/klein-tools-85091-power-conduit-reamer")</f>
        <v/>
      </c>
      <c r="B591" s="2">
        <f>HYPERLINK("https://edmondsonsupply.com/products/klein-tools-85091-power-conduit-reamer", "https://edmondsonsupply.com/products/klein-tools-85091-power-conduit-reamer")</f>
        <v/>
      </c>
      <c r="C591" t="inlineStr">
        <is>
          <t>Klein Tools 85091 Power Conduit Reamer</t>
        </is>
      </c>
      <c r="D591" t="inlineStr">
        <is>
          <t>Klein Tools 85091 Power Conduit Reamer, 1/2-, 3/4- and 1-In &amp; 85191 Screwdriver/Conduit Reamer, Conduit Fitting and Reaming Screwdriver for 1/2-In, 3/4-In, and 1-In Thin-Wall Conduit</t>
        </is>
      </c>
      <c r="E591" s="2">
        <f>HYPERLINK("https://www.amazon.com/Klein-Tools-Conduit-Screwdriver-Thin-Wall/dp/B0BGPT4RV4/ref=sr_1_2?keywords=Klein+Tools+85091+Power+Conduit+Reamer&amp;qid=1695174290&amp;sr=8-2", "https://www.amazon.com/Klein-Tools-Conduit-Screwdriver-Thin-Wall/dp/B0BGPT4RV4/ref=sr_1_2?keywords=Klein+Tools+85091+Power+Conduit+Reamer&amp;qid=1695174290&amp;sr=8-2")</f>
        <v/>
      </c>
      <c r="F591" t="inlineStr">
        <is>
          <t>B0BGPT4RV4</t>
        </is>
      </c>
      <c r="G591">
        <f>_xludf.IMAGE("https://edmondsonsupply.com/cdn/shop/products/85091.jpg?v=1633030889")</f>
        <v/>
      </c>
      <c r="H591">
        <f>_xludf.IMAGE("https://m.media-amazon.com/images/I/31hKQJsNkcL._AC_UL320_.jpg")</f>
        <v/>
      </c>
      <c r="I591" t="inlineStr">
        <is>
          <t>24.97</t>
        </is>
      </c>
      <c r="J591" t="n">
        <v>57.83</v>
      </c>
      <c r="K591" s="3" t="inlineStr">
        <is>
          <t>131.60%</t>
        </is>
      </c>
      <c r="L591" t="n">
        <v>5</v>
      </c>
      <c r="M591" t="n">
        <v>2</v>
      </c>
      <c r="O591" t="inlineStr">
        <is>
          <t>InStock</t>
        </is>
      </c>
      <c r="P591" t="inlineStr">
        <is>
          <t>42.04</t>
        </is>
      </c>
      <c r="Q591" t="inlineStr">
        <is>
          <t>6221953269933</t>
        </is>
      </c>
    </row>
    <row r="592">
      <c r="A592" s="2">
        <f>HYPERLINK("https://edmondsonsupply.com/collections/electricians-tools/products/klein-tools-32314-14-in-1-precision-screwdriver-nut-driver", "https://edmondsonsupply.com/collections/electricians-tools/products/klein-tools-32314-14-in-1-precision-screwdriver-nut-driver")</f>
        <v/>
      </c>
      <c r="B592" s="2">
        <f>HYPERLINK("https://edmondsonsupply.com/products/klein-tools-32314-14-in-1-precision-screwdriver-nut-driver", "https://edmondsonsupply.com/products/klein-tools-32314-14-in-1-precision-screwdriver-nut-driver")</f>
        <v/>
      </c>
      <c r="C592" t="inlineStr">
        <is>
          <t>Klein Tools 32314 14-in-1 Precision Screwdriver/ Nut Driver</t>
        </is>
      </c>
      <c r="D592" t="inlineStr">
        <is>
          <t>Klein Tools 32305 Multi-bit Ratcheting Screwdriver &amp; 32314 Electronic Screwdriver, 14-in-1 with 8 Precision Tips, Slotted, Phillips, and Tamperproof TORX Bits, 6 Precision Nut Drivers</t>
        </is>
      </c>
      <c r="E592" s="2">
        <f>HYPERLINK("https://www.amazon.com/Klein-Tools-Ratcheting-Screwdriver-Tamperproof/dp/B09Y88M7X7/ref=sr_1_5?keywords=Klein+Tools+32314+14-in-1+Precision+Screwdriver%2F+Nut+Driver&amp;qid=1695173878&amp;sr=8-5", "https://www.amazon.com/Klein-Tools-Ratcheting-Screwdriver-Tamperproof/dp/B09Y88M7X7/ref=sr_1_5?keywords=Klein+Tools+32314+14-in-1+Precision+Screwdriver%2F+Nut+Driver&amp;qid=1695173878&amp;sr=8-5")</f>
        <v/>
      </c>
      <c r="F592" t="inlineStr">
        <is>
          <t>B09Y88M7X7</t>
        </is>
      </c>
      <c r="G592">
        <f>_xludf.IMAGE("https://edmondsonsupply.com/cdn/shop/products/32314.jpg?v=1646593726")</f>
        <v/>
      </c>
      <c r="H592">
        <f>_xludf.IMAGE("https://m.media-amazon.com/images/I/41GYmy8nNDL._AC_UL320_.jpg")</f>
        <v/>
      </c>
      <c r="I592" t="inlineStr">
        <is>
          <t>15.97</t>
        </is>
      </c>
      <c r="J592" t="n">
        <v>36.94</v>
      </c>
      <c r="K592" s="3" t="inlineStr">
        <is>
          <t>131.31%</t>
        </is>
      </c>
      <c r="L592" t="n">
        <v>4.7</v>
      </c>
      <c r="M592" t="n">
        <v>22</v>
      </c>
      <c r="O592" t="inlineStr">
        <is>
          <t>InStock</t>
        </is>
      </c>
      <c r="P592" t="inlineStr">
        <is>
          <t>22.38</t>
        </is>
      </c>
      <c r="Q592" t="inlineStr">
        <is>
          <t>7626984947928</t>
        </is>
      </c>
    </row>
    <row r="593">
      <c r="A593" s="2">
        <f>HYPERLINK("https://edmondsonsupply.com/collections/electricians-tools/products/klein-tools-60162-professional-safety-glasses-gray-lens", "https://edmondsonsupply.com/collections/electricians-tools/products/klein-tools-60162-professional-safety-glasses-gray-lens")</f>
        <v/>
      </c>
      <c r="B593" s="2">
        <f>HYPERLINK("https://edmondsonsupply.com/products/klein-tools-60162-professional-safety-glasses-gray-lens", "https://edmondsonsupply.com/products/klein-tools-60162-professional-safety-glasses-gray-lens")</f>
        <v/>
      </c>
      <c r="C593" t="inlineStr">
        <is>
          <t>Klein Tools 60162 Professional Safety Glasses, Gray Lens</t>
        </is>
      </c>
      <c r="D593" t="inlineStr">
        <is>
          <t>Klein Tools 60539 Safety Glasses, Professional PPE Protective Eyewear, Full Frame, Scratch Resistant and Anti-Fog, Polarized Lens</t>
        </is>
      </c>
      <c r="E593" s="2">
        <f>HYPERLINK("https://www.amazon.com/Klein-Tools-60539-Professional-Protective/dp/B0BLQ6F4MQ/ref=sr_1_9?keywords=Klein+Tools+60162+Professional+Safety+Glasses%2C+Gray+Lens&amp;qid=1695174302&amp;sr=8-9", "https://www.amazon.com/Klein-Tools-60539-Professional-Protective/dp/B0BLQ6F4MQ/ref=sr_1_9?keywords=Klein+Tools+60162+Professional+Safety+Glasses%2C+Gray+Lens&amp;qid=1695174302&amp;sr=8-9")</f>
        <v/>
      </c>
      <c r="F593" t="inlineStr">
        <is>
          <t>B0BLQ6F4MQ</t>
        </is>
      </c>
      <c r="G593">
        <f>_xludf.IMAGE("https://edmondsonsupply.com/cdn/shop/products/60162.jpg?v=1633030847")</f>
        <v/>
      </c>
      <c r="H593">
        <f>_xludf.IMAGE("https://m.media-amazon.com/images/I/41z93jotzdL._AC_UL320_.jpg")</f>
        <v/>
      </c>
      <c r="I593" t="inlineStr">
        <is>
          <t>12.99</t>
        </is>
      </c>
      <c r="J593" t="n">
        <v>29.99</v>
      </c>
      <c r="K593" s="3" t="inlineStr">
        <is>
          <t>130.87%</t>
        </is>
      </c>
      <c r="L593" t="n">
        <v>4.4</v>
      </c>
      <c r="M593" t="n">
        <v>11</v>
      </c>
      <c r="O593" t="inlineStr">
        <is>
          <t>InStock</t>
        </is>
      </c>
      <c r="P593" t="inlineStr">
        <is>
          <t>18.0</t>
        </is>
      </c>
      <c r="Q593" t="inlineStr">
        <is>
          <t>6092128747693</t>
        </is>
      </c>
    </row>
    <row r="594">
      <c r="A594" s="2">
        <f>HYPERLINK("https://edmondsonsupply.com/collections/electricians-tools/products/klein-tools-60161-professional-safety-glasses-clear-lens", "https://edmondsonsupply.com/collections/electricians-tools/products/klein-tools-60161-professional-safety-glasses-clear-lens")</f>
        <v/>
      </c>
      <c r="B594" s="2">
        <f>HYPERLINK("https://edmondsonsupply.com/products/klein-tools-60161-professional-safety-glasses-clear-lens", "https://edmondsonsupply.com/products/klein-tools-60161-professional-safety-glasses-clear-lens")</f>
        <v/>
      </c>
      <c r="C594" t="inlineStr">
        <is>
          <t>Klein Tools 60161 Professional Safety Glasses, Clear Lens</t>
        </is>
      </c>
      <c r="D594" t="inlineStr">
        <is>
          <t>Klein Tools 60539 Safety Glasses, Professional PPE Protective Eyewear, Full Frame, Scratch Resistant and Anti-Fog, Polarized Lens</t>
        </is>
      </c>
      <c r="E594" s="2">
        <f>HYPERLINK("https://www.amazon.com/Klein-Tools-60539-Professional-Protective/dp/B0BLQ6F4MQ/ref=sr_1_9?keywords=Klein+Tools+60161+Professional+Safety+Glasses%2C+Clear+Lens&amp;qid=1695174304&amp;sr=8-9", "https://www.amazon.com/Klein-Tools-60539-Professional-Protective/dp/B0BLQ6F4MQ/ref=sr_1_9?keywords=Klein+Tools+60161+Professional+Safety+Glasses%2C+Clear+Lens&amp;qid=1695174304&amp;sr=8-9")</f>
        <v/>
      </c>
      <c r="F594" t="inlineStr">
        <is>
          <t>B0BLQ6F4MQ</t>
        </is>
      </c>
      <c r="G594">
        <f>_xludf.IMAGE("https://edmondsonsupply.com/cdn/shop/products/60161.jpg?v=1633030845")</f>
        <v/>
      </c>
      <c r="H594">
        <f>_xludf.IMAGE("https://m.media-amazon.com/images/I/41z93jotzdL._AC_UL320_.jpg")</f>
        <v/>
      </c>
      <c r="I594" t="inlineStr">
        <is>
          <t>12.99</t>
        </is>
      </c>
      <c r="J594" t="n">
        <v>29.99</v>
      </c>
      <c r="K594" s="3" t="inlineStr">
        <is>
          <t>130.87%</t>
        </is>
      </c>
      <c r="L594" t="n">
        <v>4.4</v>
      </c>
      <c r="M594" t="n">
        <v>11</v>
      </c>
      <c r="O594" t="inlineStr">
        <is>
          <t>InStock</t>
        </is>
      </c>
      <c r="P594" t="inlineStr">
        <is>
          <t>18.0</t>
        </is>
      </c>
      <c r="Q594" t="inlineStr">
        <is>
          <t>6092105285805</t>
        </is>
      </c>
    </row>
    <row r="595">
      <c r="A595" s="2">
        <f>HYPERLINK("https://edmondsonsupply.com/collections/electricians-tools/products/klein-tools-94130-1000v-insulated-tool-kit-5-piece", "https://edmondsonsupply.com/collections/electricians-tools/products/klein-tools-94130-1000v-insulated-tool-kit-5-piece")</f>
        <v/>
      </c>
      <c r="B595" s="2">
        <f>HYPERLINK("https://edmondsonsupply.com/products/klein-tools-94130-1000v-insulated-tool-kit-5-piece", "https://edmondsonsupply.com/products/klein-tools-94130-1000v-insulated-tool-kit-5-piece")</f>
        <v/>
      </c>
      <c r="C595" t="inlineStr">
        <is>
          <t>Klein Tools 94130 1000V Insulated Tool Kit, 5-Piece</t>
        </is>
      </c>
      <c r="D595" t="inlineStr">
        <is>
          <t>Klein Tools 33524 Tool Kit, 1000V Insulated Nut Driver Set, Sizes 3/16, 1/4, 5/16, 11/32, 3/8,7/16,1/2,9/16,5/8-Inch, with Case, 9-Piece</t>
        </is>
      </c>
      <c r="E595" s="2">
        <f>HYPERLINK("https://www.amazon.com/Insulated-9-Piece-Klein-Tools-33524/dp/B000MKIR9E/ref=sr_1_1?keywords=Klein+Tools+94130+1000V+Insulated+Tool+Kit%2C+5-Piece&amp;qid=1695173888&amp;sr=8-1", "https://www.amazon.com/Insulated-9-Piece-Klein-Tools-33524/dp/B000MKIR9E/ref=sr_1_1?keywords=Klein+Tools+94130+1000V+Insulated+Tool+Kit%2C+5-Piece&amp;qid=1695173888&amp;sr=8-1")</f>
        <v/>
      </c>
      <c r="F595" t="inlineStr">
        <is>
          <t>B000MKIR9E</t>
        </is>
      </c>
      <c r="G595">
        <f>_xludf.IMAGE("https://edmondsonsupply.com/cdn/shop/products/94130.jpg?v=1633030386")</f>
        <v/>
      </c>
      <c r="H595">
        <f>_xludf.IMAGE("https://m.media-amazon.com/images/I/71+Db525CfL._AC_UL320_.jpg")</f>
        <v/>
      </c>
      <c r="I595" t="inlineStr">
        <is>
          <t>99.99</t>
        </is>
      </c>
      <c r="J595" t="n">
        <v>229.99</v>
      </c>
      <c r="K595" s="3" t="inlineStr">
        <is>
          <t>130.01%</t>
        </is>
      </c>
      <c r="L595" t="n">
        <v>4.4</v>
      </c>
      <c r="M595" t="n">
        <v>26</v>
      </c>
      <c r="O595" t="inlineStr">
        <is>
          <t>InStock</t>
        </is>
      </c>
      <c r="P595" t="inlineStr">
        <is>
          <t>149.98</t>
        </is>
      </c>
      <c r="Q595" t="inlineStr">
        <is>
          <t>5299145146536</t>
        </is>
      </c>
    </row>
    <row r="596">
      <c r="A596" s="2">
        <f>HYPERLINK("https://edmondsonsupply.com/collections/electricians-tools/products/klein-tools-ncvt-2p-dual-range-non-contact-voltage-tester-12-1000v-ac", "https://edmondsonsupply.com/collections/electricians-tools/products/klein-tools-ncvt-2p-dual-range-non-contact-voltage-tester-12-1000v-ac")</f>
        <v/>
      </c>
      <c r="B596" s="2">
        <f>HYPERLINK("https://edmondsonsupply.com/products/klein-tools-ncvt-2p-dual-range-non-contact-voltage-tester-12-1000v-ac", "https://edmondsonsupply.com/products/klein-tools-ncvt-2p-dual-range-non-contact-voltage-tester-12-1000v-ac")</f>
        <v/>
      </c>
      <c r="C596" t="inlineStr">
        <is>
          <t>Klein Tools NCVT-2P Dual Range Non-Contact Voltage Tester 12 - 1000V AC</t>
        </is>
      </c>
      <c r="D596" t="inlineStr">
        <is>
          <t>Klein Tools NCVT-4IR Non-Contact Volt Tester, 12-1000V AC Pen with IR Thermometer -22 to 482 deg F, LED and Audible Alarms, Pocket Clip &amp; 14-in-1 Adjustable Screwdriver</t>
        </is>
      </c>
      <c r="E596" s="2">
        <f>HYPERLINK("https://www.amazon.com/Klein-Tools-NCVT-4IR-Non-Contact-Tester/dp/B0BD41QXCP/ref=sr_1_5?keywords=Klein+Tools+NCVT-2P+Dual+Range+Non-Contact+Voltage+Tester+12+-+1000V+AC&amp;qid=1695174301&amp;sr=8-5", "https://www.amazon.com/Klein-Tools-NCVT-4IR-Non-Contact-Tester/dp/B0BD41QXCP/ref=sr_1_5?keywords=Klein+Tools+NCVT-2P+Dual+Range+Non-Contact+Voltage+Tester+12+-+1000V+AC&amp;qid=1695174301&amp;sr=8-5")</f>
        <v/>
      </c>
      <c r="F596" t="inlineStr">
        <is>
          <t>B0BD41QXCP</t>
        </is>
      </c>
      <c r="G596">
        <f>_xludf.IMAGE("https://edmondsonsupply.com/cdn/shop/products/ncvt2p.jpg?v=1633030824")</f>
        <v/>
      </c>
      <c r="H596">
        <f>_xludf.IMAGE("https://m.media-amazon.com/images/I/418deU9NDfL._AC_UL320_.jpg")</f>
        <v/>
      </c>
      <c r="I596" t="inlineStr">
        <is>
          <t>27.97</t>
        </is>
      </c>
      <c r="J596" t="n">
        <v>63.65</v>
      </c>
      <c r="K596" s="3" t="inlineStr">
        <is>
          <t>127.57%</t>
        </is>
      </c>
      <c r="L596" t="n">
        <v>5</v>
      </c>
      <c r="M596" t="n">
        <v>1</v>
      </c>
      <c r="O596" t="inlineStr">
        <is>
          <t>InStock</t>
        </is>
      </c>
      <c r="P596" t="inlineStr">
        <is>
          <t>35.76</t>
        </is>
      </c>
      <c r="Q596" t="inlineStr">
        <is>
          <t>6080875626669</t>
        </is>
      </c>
    </row>
    <row r="597">
      <c r="A597" s="2">
        <f>HYPERLINK("https://edmondsonsupply.com/collections/electricians-tools/products/klein-tools-85073ins-screwdriver-set-1000v-insulated-3-piece", "https://edmondsonsupply.com/collections/electricians-tools/products/klein-tools-85073ins-screwdriver-set-1000v-insulated-3-piece")</f>
        <v/>
      </c>
      <c r="B597" s="2">
        <f>HYPERLINK("https://edmondsonsupply.com/products/klein-tools-85073ins-screwdriver-set-1000v-insulated-3-piece", "https://edmondsonsupply.com/products/klein-tools-85073ins-screwdriver-set-1000v-insulated-3-piece")</f>
        <v/>
      </c>
      <c r="C597" t="inlineStr">
        <is>
          <t>Klein Tools 85073INS Screwdriver Set, 1000V Insulated, 3-Piece</t>
        </is>
      </c>
      <c r="D597" t="inlineStr">
        <is>
          <t>Klein Tools 33736INS Insulated Screwdriver Set, 1000V Slim-Tip Driver with Phillips, Cabinet and Square Bits and a Magnetizer, 6-Piece</t>
        </is>
      </c>
      <c r="E597" s="2">
        <f>HYPERLINK("https://www.amazon.com/Klein-Tools-33736INS-Screwdriver-Magnetizer/dp/B09GPZPMTD/ref=sr_1_3?keywords=Klein+Tools+85073INS+Screwdriver+Set%2C+1000V+Insulated%2C+3-Piece&amp;qid=1695173857&amp;sr=8-3", "https://www.amazon.com/Klein-Tools-33736INS-Screwdriver-Magnetizer/dp/B09GPZPMTD/ref=sr_1_3?keywords=Klein+Tools+85073INS+Screwdriver+Set%2C+1000V+Insulated%2C+3-Piece&amp;qid=1695173857&amp;sr=8-3")</f>
        <v/>
      </c>
      <c r="F597" t="inlineStr">
        <is>
          <t>B09GPZPMTD</t>
        </is>
      </c>
      <c r="G597">
        <f>_xludf.IMAGE("https://edmondsonsupply.com/cdn/shop/products/85073ins.jpg?v=1664890503")</f>
        <v/>
      </c>
      <c r="H597">
        <f>_xludf.IMAGE("https://m.media-amazon.com/images/I/51W2DUA3c7L._AC_UL320_.jpg")</f>
        <v/>
      </c>
      <c r="I597" t="inlineStr">
        <is>
          <t>21.97</t>
        </is>
      </c>
      <c r="J597" t="n">
        <v>49.99</v>
      </c>
      <c r="K597" s="3" t="inlineStr">
        <is>
          <t>127.54%</t>
        </is>
      </c>
      <c r="L597" t="n">
        <v>4.8</v>
      </c>
      <c r="M597" t="n">
        <v>419</v>
      </c>
      <c r="O597" t="inlineStr">
        <is>
          <t>InStock</t>
        </is>
      </c>
      <c r="P597" t="inlineStr">
        <is>
          <t>32.98</t>
        </is>
      </c>
      <c r="Q597" t="inlineStr">
        <is>
          <t>7839219613912</t>
        </is>
      </c>
    </row>
    <row r="598">
      <c r="A598" s="2">
        <f>HYPERLINK("https://edmondsonsupply.com/collections/electricians-tools/products/klein-tools-66079-flip-impact-socket-adapter-small-1-4-to-1-4-inch", "https://edmondsonsupply.com/collections/electricians-tools/products/klein-tools-66079-flip-impact-socket-adapter-small-1-4-to-1-4-inch")</f>
        <v/>
      </c>
      <c r="B598" s="2">
        <f>HYPERLINK("https://edmondsonsupply.com/products/klein-tools-66079-flip-impact-socket-adapter-small-1-4-to-1-4-inch", "https://edmondsonsupply.com/products/klein-tools-66079-flip-impact-socket-adapter-small-1-4-to-1-4-inch")</f>
        <v/>
      </c>
      <c r="C598" t="inlineStr">
        <is>
          <t>Klein Tools 66079 Flip Impact Socket Adapter, Small, 1/4 to 1/4-Inch</t>
        </is>
      </c>
      <c r="D598" t="inlineStr">
        <is>
          <t>Klein Tools 66078 Impact Flip Socket Adapter, Large 1/2 to 1/2 -Inch Square Adapter, Use with Klein Tools Flip Impact Socket Set 66070</t>
        </is>
      </c>
      <c r="E598" s="2">
        <f>HYPERLINK("https://www.amazon.com/Klein-Tools-66078-Impact-Adapter/dp/B0B33T15XS/ref=sr_1_7?keywords=Klein+Tools+66079+Flip+Impact+Socket+Adapter%2C+Small%2C+1%2F4+to+1%2F4-Inch&amp;qid=1695173882&amp;sr=8-7", "https://www.amazon.com/Klein-Tools-66078-Impact-Adapter/dp/B0B33T15XS/ref=sr_1_7?keywords=Klein+Tools+66079+Flip+Impact+Socket+Adapter%2C+Small%2C+1%2F4+to+1%2F4-Inch&amp;qid=1695173882&amp;sr=8-7")</f>
        <v/>
      </c>
      <c r="F598" t="inlineStr">
        <is>
          <t>B0B33T15XS</t>
        </is>
      </c>
      <c r="G598">
        <f>_xludf.IMAGE("https://edmondsonsupply.com/cdn/shop/products/66079.jpg?v=1669735923")</f>
        <v/>
      </c>
      <c r="H598">
        <f>_xludf.IMAGE("https://m.media-amazon.com/images/I/51cFYcsM3kL._AC_UL320_.jpg")</f>
        <v/>
      </c>
      <c r="I598" t="inlineStr">
        <is>
          <t>6.86</t>
        </is>
      </c>
      <c r="J598" t="n">
        <v>15.58</v>
      </c>
      <c r="K598" s="3" t="inlineStr">
        <is>
          <t>127.11%</t>
        </is>
      </c>
      <c r="L598" t="n">
        <v>5</v>
      </c>
      <c r="M598" t="n">
        <v>1</v>
      </c>
      <c r="O598" t="inlineStr">
        <is>
          <t>InStock</t>
        </is>
      </c>
      <c r="P598" t="inlineStr">
        <is>
          <t>9.6</t>
        </is>
      </c>
      <c r="Q598" t="inlineStr">
        <is>
          <t>7896124555480</t>
        </is>
      </c>
    </row>
    <row r="599">
      <c r="A599" s="2">
        <f>HYPERLINK("https://edmondsonsupply.com/collections/electricians-tools/products/klein-tools-69381-heavy-duty-alligator-clip-test-leads-3-foot", "https://edmondsonsupply.com/collections/electricians-tools/products/klein-tools-69381-heavy-duty-alligator-clip-test-leads-3-foot")</f>
        <v/>
      </c>
      <c r="B599" s="2">
        <f>HYPERLINK("https://edmondsonsupply.com/products/klein-tools-69381-heavy-duty-alligator-clip-test-leads-3-foot", "https://edmondsonsupply.com/products/klein-tools-69381-heavy-duty-alligator-clip-test-leads-3-foot")</f>
        <v/>
      </c>
      <c r="C599" t="inlineStr">
        <is>
          <t>Klein Tools 69381 Heavy-Duty Alligator Clip Test Leads, 3-Foot</t>
        </is>
      </c>
      <c r="D599" t="inlineStr">
        <is>
          <t>Klein Tools 69410 Replacement Test Lead Set, Right Angle &amp; 69381 Alligator Clip Test Leads, Heavy-Duty Replacement Meter Leads, for All Meters Using Banana Plug Meter Leads, 3-Foot</t>
        </is>
      </c>
      <c r="E599" s="2">
        <f>HYPERLINK("https://www.amazon.com/Klein-Tools-Replacement-Alligator-Heavy-Duty/dp/B0C3B9WXP6/ref=sr_1_3?keywords=Klein+Tools+69381+Heavy-Duty+Alligator+Clip+Test+Leads%2C+3-Foot&amp;qid=1695174138&amp;sr=8-3", "https://www.amazon.com/Klein-Tools-Replacement-Alligator-Heavy-Duty/dp/B0C3B9WXP6/ref=sr_1_3?keywords=Klein+Tools+69381+Heavy-Duty+Alligator+Clip+Test+Leads%2C+3-Foot&amp;qid=1695174138&amp;sr=8-3")</f>
        <v/>
      </c>
      <c r="F599" t="inlineStr">
        <is>
          <t>B0C3B9WXP6</t>
        </is>
      </c>
      <c r="G599">
        <f>_xludf.IMAGE("https://edmondsonsupply.com/cdn/shop/products/69381_photo.jpg?v=1666889006")</f>
        <v/>
      </c>
      <c r="H599">
        <f>_xludf.IMAGE("https://m.media-amazon.com/images/I/51n7wUjxshL._AC_UY218_.jpg")</f>
        <v/>
      </c>
      <c r="I599" t="inlineStr">
        <is>
          <t>14.99</t>
        </is>
      </c>
      <c r="J599" t="n">
        <v>33.96</v>
      </c>
      <c r="K599" s="3" t="inlineStr">
        <is>
          <t>126.55%</t>
        </is>
      </c>
      <c r="L599" t="n">
        <v>4.5</v>
      </c>
      <c r="M599" t="n">
        <v>10</v>
      </c>
      <c r="O599" t="inlineStr">
        <is>
          <t>InStock</t>
        </is>
      </c>
      <c r="P599" t="inlineStr">
        <is>
          <t>20.98</t>
        </is>
      </c>
      <c r="Q599" t="inlineStr">
        <is>
          <t>7867714371800</t>
        </is>
      </c>
    </row>
    <row r="600">
      <c r="A600" s="2">
        <f>HYPERLINK("https://edmondsonsupply.com/collections/electricians-tools/products/klein-tools-11046-wire-stripper-cutter-16-26-awg-stranded", "https://edmondsonsupply.com/collections/electricians-tools/products/klein-tools-11046-wire-stripper-cutter-16-26-awg-stranded")</f>
        <v/>
      </c>
      <c r="B600" s="2">
        <f>HYPERLINK("https://edmondsonsupply.com/products/klein-tools-11046-wire-stripper-cutter-16-26-awg-stranded", "https://edmondsonsupply.com/products/klein-tools-11046-wire-stripper-cutter-16-26-awg-stranded")</f>
        <v/>
      </c>
      <c r="C600" t="inlineStr">
        <is>
          <t>Klein Tools 11046 Wire Stripper/Cutter 16-26 AWG Stranded</t>
        </is>
      </c>
      <c r="D600" t="inlineStr">
        <is>
          <t>Klein Tools 11046 Wire Stripper/Cutter 16-26 AWG Stranded &amp; 11055 Wire Cutter and Wire Stripper, Stranded Wire Cutter, Solid Wire Cutter, Cuts Copper Wire</t>
        </is>
      </c>
      <c r="E600" s="2">
        <f>HYPERLINK("https://www.amazon.com/Klein-Tools-Stripper-Cutter-Stranded/dp/B0BNL42TPG/ref=sr_1_4?keywords=Klein+Tools+11046+Wire+Stripper%2FCutter+16-26+AWG+Stranded&amp;qid=1695173951&amp;sr=8-4", "https://www.amazon.com/Klein-Tools-Stripper-Cutter-Stranded/dp/B0BNL42TPG/ref=sr_1_4?keywords=Klein+Tools+11046+Wire+Stripper%2FCutter+16-26+AWG+Stranded&amp;qid=1695173951&amp;sr=8-4")</f>
        <v/>
      </c>
      <c r="F600" t="inlineStr">
        <is>
          <t>B0BNL42TPG</t>
        </is>
      </c>
      <c r="G600">
        <f>_xludf.IMAGE("https://edmondsonsupply.com/cdn/shop/products/11046.jpg?v=1587147965")</f>
        <v/>
      </c>
      <c r="H600">
        <f>_xludf.IMAGE("https://m.media-amazon.com/images/I/41Mnz0ZqGoL._AC_UL320_.jpg")</f>
        <v/>
      </c>
      <c r="I600" t="inlineStr">
        <is>
          <t>15.97</t>
        </is>
      </c>
      <c r="J600" t="n">
        <v>35.96</v>
      </c>
      <c r="K600" s="3" t="inlineStr">
        <is>
          <t>125.17%</t>
        </is>
      </c>
      <c r="L600" t="n">
        <v>4.7</v>
      </c>
      <c r="M600" t="n">
        <v>4</v>
      </c>
      <c r="O600" t="inlineStr">
        <is>
          <t>InStock</t>
        </is>
      </c>
      <c r="P600" t="inlineStr">
        <is>
          <t>23.56</t>
        </is>
      </c>
      <c r="Q600" t="inlineStr">
        <is>
          <t>3688603910244</t>
        </is>
      </c>
    </row>
    <row r="601">
      <c r="A601" s="2">
        <f>HYPERLINK("https://edmondsonsupply.com/collections/electricians-tools/products/klein-tools-65200-electricians-mini-ratchet-set-5-piece", "https://edmondsonsupply.com/collections/electricians-tools/products/klein-tools-65200-electricians-mini-ratchet-set-5-piece")</f>
        <v/>
      </c>
      <c r="B601" s="2">
        <f>HYPERLINK("https://edmondsonsupply.com/products/klein-tools-65200-electricians-mini-ratchet-set-5-piece", "https://edmondsonsupply.com/products/klein-tools-65200-electricians-mini-ratchet-set-5-piece")</f>
        <v/>
      </c>
      <c r="C601" t="inlineStr">
        <is>
          <t>Klein Tools 65200 Slim-Profile Mini Ratchet Set, 5-Piece</t>
        </is>
      </c>
      <c r="D601" t="inlineStr">
        <is>
          <t>Klein Tools 65200 Ratchet Set, 5-Piece Mini Ratchet Set &amp; 7-in-1 Impact Flip Socket Set, 6 Hex Driver Sizes plus a 1/4-Inch Bit Holder 32907</t>
        </is>
      </c>
      <c r="E601" s="2">
        <f>HYPERLINK("https://www.amazon.com/Klein-Tools-Ratchet-5-Piece-Impact/dp/B0BNL31N8K/ref=sr_1_2?keywords=Klein+Tools+65200+Slim-Profile+Mini+Ratchet+Set%2C+5-Piece&amp;qid=1695173845&amp;sr=8-2", "https://www.amazon.com/Klein-Tools-Ratchet-5-Piece-Impact/dp/B0BNL31N8K/ref=sr_1_2?keywords=Klein+Tools+65200+Slim-Profile+Mini+Ratchet+Set%2C+5-Piece&amp;qid=1695173845&amp;sr=8-2")</f>
        <v/>
      </c>
      <c r="F601" t="inlineStr">
        <is>
          <t>B0BNL31N8K</t>
        </is>
      </c>
      <c r="G601">
        <f>_xludf.IMAGE("https://edmondsonsupply.com/cdn/shop/products/65200.jpg?v=1633030630")</f>
        <v/>
      </c>
      <c r="H601">
        <f>_xludf.IMAGE("https://m.media-amazon.com/images/I/41JD1cfUw6L._AC_UL320_.jpg")</f>
        <v/>
      </c>
      <c r="I601" t="inlineStr">
        <is>
          <t>15.97</t>
        </is>
      </c>
      <c r="J601" t="n">
        <v>35.95</v>
      </c>
      <c r="K601" s="3" t="inlineStr">
        <is>
          <t>125.11%</t>
        </is>
      </c>
      <c r="L601" t="n">
        <v>4.9</v>
      </c>
      <c r="M601" t="n">
        <v>10</v>
      </c>
      <c r="O601" t="inlineStr">
        <is>
          <t>InStock</t>
        </is>
      </c>
      <c r="P601" t="inlineStr">
        <is>
          <t>20.96</t>
        </is>
      </c>
      <c r="Q601" t="inlineStr">
        <is>
          <t>5694440964264</t>
        </is>
      </c>
    </row>
    <row r="602">
      <c r="A602" s="2">
        <f>HYPERLINK("https://edmondsonsupply.com/collections/electricians-tools/products/klein-tools-32314-14-in-1-precision-screwdriver-nut-driver", "https://edmondsonsupply.com/collections/electricians-tools/products/klein-tools-32314-14-in-1-precision-screwdriver-nut-driver")</f>
        <v/>
      </c>
      <c r="B602" s="2">
        <f>HYPERLINK("https://edmondsonsupply.com/products/klein-tools-32314-14-in-1-precision-screwdriver-nut-driver", "https://edmondsonsupply.com/products/klein-tools-32314-14-in-1-precision-screwdriver-nut-driver")</f>
        <v/>
      </c>
      <c r="C602" t="inlineStr">
        <is>
          <t>Klein Tools 32314 14-in-1 Precision Screwdriver/ Nut Driver</t>
        </is>
      </c>
      <c r="D602" t="inlineStr">
        <is>
          <t>Klein Tools 32500MAG Magnetic Multi-Bit Screwdriver/Nut Driver &amp; 32314 Electronic Screwdriver, 14-in-1 with 8 Precision Tips, Slotted, Phillips, and Tamperproof TORX Bits, 6 Precision Nut Drivers</t>
        </is>
      </c>
      <c r="E602" s="2">
        <f>HYPERLINK("https://www.amazon.com/Klein-Tools-Screwdriver-Electronic-Tamperproof/dp/B0BC81C7SH/ref=sr_1_2?keywords=Klein+Tools+32314+14-in-1+Precision+Screwdriver%2F+Nut+Driver&amp;qid=1695173878&amp;sr=8-2", "https://www.amazon.com/Klein-Tools-Screwdriver-Electronic-Tamperproof/dp/B0BC81C7SH/ref=sr_1_2?keywords=Klein+Tools+32314+14-in-1+Precision+Screwdriver%2F+Nut+Driver&amp;qid=1695173878&amp;sr=8-2")</f>
        <v/>
      </c>
      <c r="F602" t="inlineStr">
        <is>
          <t>B0BC81C7SH</t>
        </is>
      </c>
      <c r="G602">
        <f>_xludf.IMAGE("https://edmondsonsupply.com/cdn/shop/products/32314.jpg?v=1646593726")</f>
        <v/>
      </c>
      <c r="H602">
        <f>_xludf.IMAGE("https://m.media-amazon.com/images/I/412Eu5ze4AL._AC_UL320_.jpg")</f>
        <v/>
      </c>
      <c r="I602" t="inlineStr">
        <is>
          <t>15.97</t>
        </is>
      </c>
      <c r="J602" t="n">
        <v>35.94</v>
      </c>
      <c r="K602" s="3" t="inlineStr">
        <is>
          <t>125.05%</t>
        </is>
      </c>
      <c r="L602" t="n">
        <v>5</v>
      </c>
      <c r="M602" t="n">
        <v>2</v>
      </c>
      <c r="O602" t="inlineStr">
        <is>
          <t>InStock</t>
        </is>
      </c>
      <c r="P602" t="inlineStr">
        <is>
          <t>22.38</t>
        </is>
      </c>
      <c r="Q602" t="inlineStr">
        <is>
          <t>7626984947928</t>
        </is>
      </c>
    </row>
    <row r="603">
      <c r="A603" s="2">
        <f>HYPERLINK("https://edmondsonsupply.com/collections/electricians-tools/products/klein-tools-rt310-afci-gfci-outlet-tester", "https://edmondsonsupply.com/collections/electricians-tools/products/klein-tools-rt310-afci-gfci-outlet-tester")</f>
        <v/>
      </c>
      <c r="B603" s="2">
        <f>HYPERLINK("https://edmondsonsupply.com/products/klein-tools-rt310-afci-gfci-outlet-tester", "https://edmondsonsupply.com/products/klein-tools-rt310-afci-gfci-outlet-tester")</f>
        <v/>
      </c>
      <c r="C603" t="inlineStr">
        <is>
          <t>Klein Tools RT310 AFCI / GFCI Outlet Tester</t>
        </is>
      </c>
      <c r="D603" t="inlineStr">
        <is>
          <t>Klein Tools ET310 AC Circuit Breaker Finder, Electric Tester With Integrated GFCI Outlet Tester &amp; RT310 Outlet Tester, AFCI and GFCI Receptacle Tester for North American AC Electrical Outlets</t>
        </is>
      </c>
      <c r="E603" s="2">
        <f>HYPERLINK("https://www.amazon.com/Klein-Tools-American-Electrical-Receptacles/dp/B08MFYB28G/ref=sr_1_6?keywords=Klein+Tools+RT310+AFCI+%2F+GFCI+Outlet+Tester&amp;qid=1695173970&amp;sr=8-6", "https://www.amazon.com/Klein-Tools-American-Electrical-Receptacles/dp/B08MFYB28G/ref=sr_1_6?keywords=Klein+Tools+RT310+AFCI+%2F+GFCI+Outlet+Tester&amp;qid=1695173970&amp;sr=8-6")</f>
        <v/>
      </c>
      <c r="F603" t="inlineStr">
        <is>
          <t>B08MFYB28G</t>
        </is>
      </c>
      <c r="G603">
        <f>_xludf.IMAGE("https://edmondsonsupply.com/cdn/shop/products/rt310.jpg?v=1587148552")</f>
        <v/>
      </c>
      <c r="H603">
        <f>_xludf.IMAGE("https://m.media-amazon.com/images/I/5196xTz0FYL._AC_UL320_.jpg")</f>
        <v/>
      </c>
      <c r="I603" t="inlineStr">
        <is>
          <t>39.97</t>
        </is>
      </c>
      <c r="J603" t="n">
        <v>89.94</v>
      </c>
      <c r="K603" s="3" t="inlineStr">
        <is>
          <t>125.02%</t>
        </is>
      </c>
      <c r="L603" t="n">
        <v>4.5</v>
      </c>
      <c r="M603" t="n">
        <v>48</v>
      </c>
      <c r="O603" t="inlineStr">
        <is>
          <t>InStock</t>
        </is>
      </c>
      <c r="P603" t="inlineStr">
        <is>
          <t>57.9</t>
        </is>
      </c>
      <c r="Q603" t="inlineStr">
        <is>
          <t>3372527779940</t>
        </is>
      </c>
    </row>
    <row r="604">
      <c r="A604" s="2">
        <f>HYPERLINK("https://edmondsonsupply.com/collections/electricians-tools/products/klein-tools-vdv526-052-cable-tester-lan-scout%C2%AE-jr-continuity-tester", "https://edmondsonsupply.com/collections/electricians-tools/products/klein-tools-vdv526-052-cable-tester-lan-scout%C2%AE-jr-continuity-tester")</f>
        <v/>
      </c>
      <c r="B604" s="2">
        <f>HYPERLINK("https://edmondsonsupply.com/products/klein-tools-vdv526-052-cable-tester-lan-scout%c2%ae-jr-continuity-tester", "https://edmondsonsupply.com/products/klein-tools-vdv526-052-cable-tester-lan-scout%c2%ae-jr-continuity-tester")</f>
        <v/>
      </c>
      <c r="C604" t="inlineStr">
        <is>
          <t>Klein Tools VDV526-052 Cable Tester, LAN Scout® Jr. Continuity Tester</t>
        </is>
      </c>
      <c r="D604" t="inlineStr">
        <is>
          <t>Klein Tools VDV500-820 Cable Tracer with Probe Tone Pro Kit &amp; VDV526-200 Cable Tester, LAN Scout Jr. 2 Ethernet Cable Tester for CAT 5e, CAT 6/6A Cables with RJ45 Connections</t>
        </is>
      </c>
      <c r="E604" s="2">
        <f>HYPERLINK("https://www.amazon.com/Klein-Tools-VDV500-820-VDV526-200-Connections/dp/B09T6ZKDCM/ref=sr_1_8?keywords=Klein+Tools+VDV526-052+Cable+Tester%2C+LAN+Scout%C2%AE+Jr.+Continuity+Tester&amp;qid=1695174034&amp;sr=8-8", "https://www.amazon.com/Klein-Tools-VDV500-820-VDV526-200-Connections/dp/B09T6ZKDCM/ref=sr_1_8?keywords=Klein+Tools+VDV526-052+Cable+Tester%2C+LAN+Scout%C2%AE+Jr.+Continuity+Tester&amp;qid=1695174034&amp;sr=8-8")</f>
        <v/>
      </c>
      <c r="F604" t="inlineStr">
        <is>
          <t>B09T6ZKDCM</t>
        </is>
      </c>
      <c r="G604">
        <f>_xludf.IMAGE("https://edmondsonsupply.com/cdn/shop/files/vdv526-052.jpg?v=1685032494")</f>
        <v/>
      </c>
      <c r="H604">
        <f>_xludf.IMAGE("https://m.media-amazon.com/images/I/51X1EYSldCL._AC_UY218_.jpg")</f>
        <v/>
      </c>
      <c r="I604" t="inlineStr">
        <is>
          <t>59.97</t>
        </is>
      </c>
      <c r="J604" t="n">
        <v>134.94</v>
      </c>
      <c r="K604" s="3" t="inlineStr">
        <is>
          <t>125.01%</t>
        </is>
      </c>
      <c r="L604" t="n">
        <v>4.8</v>
      </c>
      <c r="M604" t="n">
        <v>8</v>
      </c>
      <c r="O604" t="inlineStr">
        <is>
          <t>InStock</t>
        </is>
      </c>
      <c r="P604" t="inlineStr">
        <is>
          <t>96.68</t>
        </is>
      </c>
      <c r="Q604" t="inlineStr">
        <is>
          <t>7995835678936</t>
        </is>
      </c>
    </row>
    <row r="605">
      <c r="A605" s="2">
        <f>HYPERLINK("https://edmondsonsupply.com/collections/electricians-tools/products/klein-tools-11053-klein-kurve%C2%AE-wire-stripper-cutter", "https://edmondsonsupply.com/collections/electricians-tools/products/klein-tools-11053-klein-kurve%C2%AE-wire-stripper-cutter")</f>
        <v/>
      </c>
      <c r="B605" s="2">
        <f>HYPERLINK("https://edmondsonsupply.com/products/klein-tools-11053-klein-kurve%c2%ae-wire-stripper-cutter", "https://edmondsonsupply.com/products/klein-tools-11053-klein-kurve%c2%ae-wire-stripper-cutter")</f>
        <v/>
      </c>
      <c r="C605" t="inlineStr">
        <is>
          <t>Klein Tools 11053 Klein-Kurve® Wire Stripper/Cutter</t>
        </is>
      </c>
      <c r="D605" t="inlineStr">
        <is>
          <t>Klein Tools 11055-INS Insulated Klein-Kurve Wire Stripper/Cutter, Orange</t>
        </is>
      </c>
      <c r="E605" s="2">
        <f>HYPERLINK("https://www.amazon.com/Insulated-Klein-Kurve-Klein-Tools-11055-INS/dp/B000MKIPPU/ref=sr_1_3?keywords=Klein+Tools+11053+Klein-Kurve%C2%AE+Wire+Stripper%2FCutter&amp;qid=1695173869&amp;sr=8-3", "https://www.amazon.com/Insulated-Klein-Kurve-Klein-Tools-11055-INS/dp/B000MKIPPU/ref=sr_1_3?keywords=Klein+Tools+11053+Klein-Kurve%C2%AE+Wire+Stripper%2FCutter&amp;qid=1695173869&amp;sr=8-3")</f>
        <v/>
      </c>
      <c r="F605" t="inlineStr">
        <is>
          <t>B000MKIPPU</t>
        </is>
      </c>
      <c r="G605">
        <f>_xludf.IMAGE("https://edmondsonsupply.com/cdn/shop/products/11053.jpg?v=1633030511")</f>
        <v/>
      </c>
      <c r="H605">
        <f>_xludf.IMAGE("https://m.media-amazon.com/images/I/51U7ZuALPYL._AC_UL320_.jpg")</f>
        <v/>
      </c>
      <c r="I605" t="inlineStr">
        <is>
          <t>20.97</t>
        </is>
      </c>
      <c r="J605" t="n">
        <v>47.07</v>
      </c>
      <c r="K605" s="3" t="inlineStr">
        <is>
          <t>124.46%</t>
        </is>
      </c>
      <c r="L605" t="n">
        <v>4.1</v>
      </c>
      <c r="M605" t="n">
        <v>17</v>
      </c>
      <c r="O605" t="inlineStr">
        <is>
          <t>InStock</t>
        </is>
      </c>
      <c r="P605" t="inlineStr">
        <is>
          <t>31.76</t>
        </is>
      </c>
      <c r="Q605" t="inlineStr">
        <is>
          <t>5387171299496</t>
        </is>
      </c>
    </row>
    <row r="606">
      <c r="A606" s="2">
        <f>HYPERLINK("https://edmondsonsupply.com/collections/electricians-tools/products/klein-tools-jth68m-8pc-6-metric-journeyman-t-handle-set-with-stand", "https://edmondsonsupply.com/collections/electricians-tools/products/klein-tools-jth68m-8pc-6-metric-journeyman-t-handle-set-with-stand")</f>
        <v/>
      </c>
      <c r="B606" s="2">
        <f>HYPERLINK("https://edmondsonsupply.com/products/klein-tools-jth68m-8pc-6-metric-journeyman-t-handle-set-with-stand", "https://edmondsonsupply.com/products/klein-tools-jth68m-8pc-6-metric-journeyman-t-handle-set-with-stand")</f>
        <v/>
      </c>
      <c r="C606" t="inlineStr">
        <is>
          <t>Klein Tools JTH68M Hex Key Set, Metric, Journeyman™ T-Handle, 6-Inch with Stand, 8-Piece</t>
        </is>
      </c>
      <c r="D606" t="inlineStr">
        <is>
          <t>Klein Tools JTH68MB Hex Kit Set, Metric Ball End T-Handle Hex Key Allen Wrench Set with 6-Inch Blades, Stand Included, 8-Piece</t>
        </is>
      </c>
      <c r="E606" s="2">
        <f>HYPERLINK("https://www.amazon.com/T-Handle-8-Piece-Klein-Tools-JTH68MB/dp/B004DB8GSK/ref=sr_1_1?keywords=Klein+Tools+JTH68M+Hex+Key+Set%2C+Metric%2C+Journeyman%E2%84%A2+T-Handle%2C+6-Inch+with+Stand%2C+8-Piece&amp;qid=1695173855&amp;sr=8-1", "https://www.amazon.com/T-Handle-8-Piece-Klein-Tools-JTH68MB/dp/B004DB8GSK/ref=sr_1_1?keywords=Klein+Tools+JTH68M+Hex+Key+Set%2C+Metric%2C+Journeyman%E2%84%A2+T-Handle%2C+6-Inch+with+Stand%2C+8-Piece&amp;qid=1695173855&amp;sr=8-1")</f>
        <v/>
      </c>
      <c r="F606" t="inlineStr">
        <is>
          <t>B004DB8GSK</t>
        </is>
      </c>
      <c r="G606">
        <f>_xludf.IMAGE("https://edmondsonsupply.com/cdn/shop/products/jth68m.jpg?v=1587148489")</f>
        <v/>
      </c>
      <c r="H606">
        <f>_xludf.IMAGE("https://m.media-amazon.com/images/I/61XP-1Qh3UL._AC_UL320_.jpg")</f>
        <v/>
      </c>
      <c r="I606" t="inlineStr">
        <is>
          <t>39.99</t>
        </is>
      </c>
      <c r="J606" t="n">
        <v>88.87</v>
      </c>
      <c r="K606" s="3" t="inlineStr">
        <is>
          <t>122.23%</t>
        </is>
      </c>
      <c r="L606" t="n">
        <v>4.6</v>
      </c>
      <c r="M606" t="n">
        <v>426</v>
      </c>
      <c r="O606" t="inlineStr">
        <is>
          <t>InStock</t>
        </is>
      </c>
      <c r="P606" t="inlineStr">
        <is>
          <t>60.58</t>
        </is>
      </c>
      <c r="Q606" t="inlineStr">
        <is>
          <t>2766259650660</t>
        </is>
      </c>
    </row>
    <row r="607">
      <c r="A607" s="2">
        <f>HYPERLINK("https://edmondsonsupply.com/collections/electricians-tools/products/klein-tools-51607-aluminum-conduit-bender-full-assembly-3-4-inch-emt-with-angle-setter%E2%84%A2", "https://edmondsonsupply.com/collections/electricians-tools/products/klein-tools-51607-aluminum-conduit-bender-full-assembly-3-4-inch-emt-with-angle-setter%E2%84%A2")</f>
        <v/>
      </c>
      <c r="B607" s="2">
        <f>HYPERLINK("https://edmondsonsupply.com/products/klein-tools-51607-aluminum-conduit-bender-full-assembly-3-4-inch-emt-with-angle-setter%e2%84%a2", "https://edmondsonsupply.com/products/klein-tools-51607-aluminum-conduit-bender-full-assembly-3-4-inch-emt-with-angle-setter%e2%84%a2")</f>
        <v/>
      </c>
      <c r="C607" t="inlineStr">
        <is>
          <t>Klein Tools 51607 Aluminum Conduit Bender Full Assembly, 3/4-Inch EMT with Angle Setter™</t>
        </is>
      </c>
      <c r="D607" t="inlineStr">
        <is>
          <t>Klein Tools 51605 Iron Conduit Bender Full Assembly, 1-Inch EMT and 3/4-Inch Rigid, Wide Foot Pedal, Benchmark Symbols and Angle Setter</t>
        </is>
      </c>
      <c r="E607" s="2">
        <f>HYPERLINK("https://www.amazon.com/Conduit-Technology-Benchmark-Klein-Tools/dp/B08L3ZQCT1/ref=sr_1_5?keywords=Klein+Tools+51607+Aluminum+Conduit+Bender+Full+Assembly%2C+3%2F4-Inch+EMT+with+Angle+Setter%E2%84%A2&amp;qid=1695174169&amp;sr=8-5", "https://www.amazon.com/Conduit-Technology-Benchmark-Klein-Tools/dp/B08L3ZQCT1/ref=sr_1_5?keywords=Klein+Tools+51607+Aluminum+Conduit+Bender+Full+Assembly%2C+3%2F4-Inch+EMT+with+Angle+Setter%E2%84%A2&amp;qid=1695174169&amp;sr=8-5")</f>
        <v/>
      </c>
      <c r="F607" t="inlineStr">
        <is>
          <t>B08L3ZQCT1</t>
        </is>
      </c>
      <c r="G607">
        <f>_xludf.IMAGE("https://edmondsonsupply.com/cdn/shop/products/51607.jpg?v=1663942654")</f>
        <v/>
      </c>
      <c r="H607">
        <f>_xludf.IMAGE("https://m.media-amazon.com/images/I/41stj4NcdUL._AC_UL320_.jpg")</f>
        <v/>
      </c>
      <c r="I607" t="inlineStr">
        <is>
          <t>44.99</t>
        </is>
      </c>
      <c r="J607" t="n">
        <v>99.97</v>
      </c>
      <c r="K607" s="3" t="inlineStr">
        <is>
          <t>122.20%</t>
        </is>
      </c>
      <c r="L607" t="n">
        <v>4.7</v>
      </c>
      <c r="M607" t="n">
        <v>60</v>
      </c>
      <c r="O607" t="inlineStr">
        <is>
          <t>InStock</t>
        </is>
      </c>
      <c r="P607" t="inlineStr">
        <is>
          <t>63.0</t>
        </is>
      </c>
      <c r="Q607" t="inlineStr">
        <is>
          <t>7827252216024</t>
        </is>
      </c>
    </row>
    <row r="608">
      <c r="A608" s="2">
        <f>HYPERLINK("https://edmondsonsupply.com/collections/electricians-tools/products/klein-tools-vdv500-123-probe-pro-tracing-probe", "https://edmondsonsupply.com/collections/electricians-tools/products/klein-tools-vdv500-123-probe-pro-tracing-probe")</f>
        <v/>
      </c>
      <c r="B608" s="2">
        <f>HYPERLINK("https://edmondsonsupply.com/products/klein-tools-vdv500-123-probe-pro-tracing-probe", "https://edmondsonsupply.com/products/klein-tools-vdv500-123-probe-pro-tracing-probe")</f>
        <v/>
      </c>
      <c r="C608" t="inlineStr">
        <is>
          <t>Klein Tools VDV500-123 Probe-PRO Tracing Probe</t>
        </is>
      </c>
      <c r="D608" t="inlineStr">
        <is>
          <t>Klein Tools VDV526-200 Cable Tester, LAN Scout Jr. 2 Ethernet Cable Tester &amp; VDV500-123 Cable Tracer Probe-Pro Tracing Probe with Replaceable Non-Metallic</t>
        </is>
      </c>
      <c r="E608" s="2">
        <f>HYPERLINK("https://www.amazon.com/Klein-Tools-VDV526-200-Replaceable-Non-Metallic/dp/B09Y84486X/ref=sr_1_5?keywords=Klein+Tools+VDV500-123+Probe-PRO+Tracing+Probe&amp;qid=1695173898&amp;sr=8-5", "https://www.amazon.com/Klein-Tools-VDV526-200-Replaceable-Non-Metallic/dp/B09Y84486X/ref=sr_1_5?keywords=Klein+Tools+VDV500-123+Probe-PRO+Tracing+Probe&amp;qid=1695173898&amp;sr=8-5")</f>
        <v/>
      </c>
      <c r="F608" t="inlineStr">
        <is>
          <t>B09Y84486X</t>
        </is>
      </c>
      <c r="G608">
        <f>_xludf.IMAGE("https://edmondsonsupply.com/cdn/shop/products/vdv500123.jpg?v=1587142783")</f>
        <v/>
      </c>
      <c r="H608">
        <f>_xludf.IMAGE("https://m.media-amazon.com/images/I/51l43d13j-L._AC_UY218_.jpg")</f>
        <v/>
      </c>
      <c r="I608" t="inlineStr">
        <is>
          <t>44.99</t>
        </is>
      </c>
      <c r="J608" t="n">
        <v>99.95999999999999</v>
      </c>
      <c r="K608" s="3" t="inlineStr">
        <is>
          <t>122.18%</t>
        </is>
      </c>
      <c r="L608" t="n">
        <v>4.8</v>
      </c>
      <c r="M608" t="n">
        <v>12</v>
      </c>
      <c r="O608" t="inlineStr">
        <is>
          <t>InStock</t>
        </is>
      </c>
      <c r="P608" t="inlineStr">
        <is>
          <t>63.0</t>
        </is>
      </c>
      <c r="Q608" t="inlineStr">
        <is>
          <t>4274361466980</t>
        </is>
      </c>
    </row>
    <row r="609">
      <c r="A609" s="2">
        <f>HYPERLINK("https://edmondsonsupply.com/collections/electricians-tools/products/klein-tools-d502-10-pump-pliers-10-inch", "https://edmondsonsupply.com/collections/electricians-tools/products/klein-tools-d502-10-pump-pliers-10-inch")</f>
        <v/>
      </c>
      <c r="B609" s="2">
        <f>HYPERLINK("https://edmondsonsupply.com/products/klein-tools-d502-10-pump-pliers-10-inch", "https://edmondsonsupply.com/products/klein-tools-d502-10-pump-pliers-10-inch")</f>
        <v/>
      </c>
      <c r="C609" t="inlineStr">
        <is>
          <t>Klein Tools D502-10 Pump Pliers, 10-Inch</t>
        </is>
      </c>
      <c r="D609" t="inlineStr">
        <is>
          <t>Klein Tools D502-10-INS 10-Inch Pump Pliers, Insulated</t>
        </is>
      </c>
      <c r="E609" s="2">
        <f>HYPERLINK("https://www.amazon.com/10-Inch-Insulated-Klein-Tools-D502-10-INS/dp/B0002RI9UO/ref=sr_1_2?keywords=Klein+Tools+D502-10+Pump+Pliers%2C+10-Inch&amp;qid=1695174291&amp;sr=8-2", "https://www.amazon.com/10-Inch-Insulated-Klein-Tools-D502-10-INS/dp/B0002RI9UO/ref=sr_1_2?keywords=Klein+Tools+D502-10+Pump+Pliers%2C+10-Inch&amp;qid=1695174291&amp;sr=8-2")</f>
        <v/>
      </c>
      <c r="F609" t="inlineStr">
        <is>
          <t>B0002RI9UO</t>
        </is>
      </c>
      <c r="G609">
        <f>_xludf.IMAGE("https://edmondsonsupply.com/cdn/shop/products/d50210_alt1.jpg?v=1633030884")</f>
        <v/>
      </c>
      <c r="H609">
        <f>_xludf.IMAGE("https://m.media-amazon.com/images/I/51Y-f5OqBUL._AC_UL320_.jpg")</f>
        <v/>
      </c>
      <c r="I609" t="inlineStr">
        <is>
          <t>24.99</t>
        </is>
      </c>
      <c r="J609" t="n">
        <v>55.18</v>
      </c>
      <c r="K609" s="3" t="inlineStr">
        <is>
          <t>120.81%</t>
        </is>
      </c>
      <c r="L609" t="n">
        <v>4.6</v>
      </c>
      <c r="M609" t="n">
        <v>77</v>
      </c>
      <c r="O609" t="inlineStr">
        <is>
          <t>InStock</t>
        </is>
      </c>
      <c r="P609" t="inlineStr">
        <is>
          <t>37.84</t>
        </is>
      </c>
      <c r="Q609" t="inlineStr">
        <is>
          <t>6203936669869</t>
        </is>
      </c>
    </row>
    <row r="610">
      <c r="A610" s="2">
        <f>HYPERLINK("https://edmondsonsupply.com/collections/electricians-tools/products/klein-tools-32304-14-in-1-hvac-adjustable-length-impact-screwdriver-with-flip-socket", "https://edmondsonsupply.com/collections/electricians-tools/products/klein-tools-32304-14-in-1-hvac-adjustable-length-impact-screwdriver-with-flip-socket")</f>
        <v/>
      </c>
      <c r="B610" s="2">
        <f>HYPERLINK("https://edmondsonsupply.com/products/klein-tools-32304-14-in-1-hvac-adjustable-length-impact-screwdriver-with-flip-socket", "https://edmondsonsupply.com/products/klein-tools-32304-14-in-1-hvac-adjustable-length-impact-screwdriver-with-flip-socket")</f>
        <v/>
      </c>
      <c r="C610" t="inlineStr">
        <is>
          <t>Klein Tools 32304 14-in-1 HVAC Adjustable-Length Impact Screwdriver with Flip Socket</t>
        </is>
      </c>
      <c r="D610" t="inlineStr">
        <is>
          <t>Screwdriver, 14-in-1 Adjustable Screwdriver with Flip Socket, HVAC Nut Drivers and Bits, Impact Rated Klein Tools 32304 &amp; UEi Test Instruments PDT650 Folding Pocket Digital Thermometer,Yellow</t>
        </is>
      </c>
      <c r="E610" s="2">
        <f>HYPERLINK("https://www.amazon.com/Screwdriver-Klein-Tools-Instruments-Thermometer/dp/B0B68FP3YG/ref=sr_1_2?keywords=Klein+Tools+32304+14-in-1+HVAC+Adjustable-Length+Impact+Screwdriver+with+Flip+Socket&amp;qid=1695173856&amp;sr=8-2", "https://www.amazon.com/Screwdriver-Klein-Tools-Instruments-Thermometer/dp/B0B68FP3YG/ref=sr_1_2?keywords=Klein+Tools+32304+14-in-1+HVAC+Adjustable-Length+Impact+Screwdriver+with+Flip+Socket&amp;qid=1695173856&amp;sr=8-2")</f>
        <v/>
      </c>
      <c r="F610" t="inlineStr">
        <is>
          <t>B0B68FP3YG</t>
        </is>
      </c>
      <c r="G610">
        <f>_xludf.IMAGE("https://edmondsonsupply.com/cdn/shop/products/32304.jpg?v=1666019479")</f>
        <v/>
      </c>
      <c r="H610">
        <f>_xludf.IMAGE("https://m.media-amazon.com/images/I/41yTQwoccbL._AC_UL320_.jpg")</f>
        <v/>
      </c>
      <c r="I610" t="inlineStr">
        <is>
          <t>24.97</t>
        </is>
      </c>
      <c r="J610" t="n">
        <v>55.02</v>
      </c>
      <c r="K610" s="3" t="inlineStr">
        <is>
          <t>120.34%</t>
        </is>
      </c>
      <c r="L610" t="n">
        <v>4.5</v>
      </c>
      <c r="M610" t="n">
        <v>39</v>
      </c>
      <c r="O610" t="inlineStr">
        <is>
          <t>InStock</t>
        </is>
      </c>
      <c r="P610" t="inlineStr">
        <is>
          <t>34.98</t>
        </is>
      </c>
      <c r="Q610" t="inlineStr">
        <is>
          <t>7856604578008</t>
        </is>
      </c>
    </row>
    <row r="611">
      <c r="A611" s="2">
        <f>HYPERLINK("https://edmondsonsupply.com/collections/electricians-tools/products/klein-tools-32907-7-in-1-impact-flip-socket-set-no-handle", "https://edmondsonsupply.com/collections/electricians-tools/products/klein-tools-32907-7-in-1-impact-flip-socket-set-no-handle")</f>
        <v/>
      </c>
      <c r="B611" s="2">
        <f>HYPERLINK("https://edmondsonsupply.com/products/klein-tools-32907-7-in-1-impact-flip-socket-set-no-handle", "https://edmondsonsupply.com/products/klein-tools-32907-7-in-1-impact-flip-socket-set-no-handle")</f>
        <v/>
      </c>
      <c r="C611" t="inlineStr">
        <is>
          <t>Klein Tools 32907 7-in-1 Impact Flip Socket Set, No Handle</t>
        </is>
      </c>
      <c r="D611" t="inlineStr">
        <is>
          <t>LENOX Tools Jab Saw, Folding (20997TFHS618636) &amp; Impact Driver, 7-in-1 Impact Flip Socket Set, 6 Hex Driver Sizes plus a 1/4-Inch Bit Holder Klein Tools 32907</t>
        </is>
      </c>
      <c r="E611" s="2">
        <f>HYPERLINK("https://www.amazon.com/Folding-20997TFHS618636-Impact-Driver-Socket/dp/B0CF2HPH97/ref=sr_1_9?keywords=Klein+Tools+32907+7-in-1+Impact+Flip+Socket+Set%2C+No+Handle&amp;qid=1695173886&amp;sr=8-9", "https://www.amazon.com/Folding-20997TFHS618636-Impact-Driver-Socket/dp/B0CF2HPH97/ref=sr_1_9?keywords=Klein+Tools+32907+7-in-1+Impact+Flip+Socket+Set%2C+No+Handle&amp;qid=1695173886&amp;sr=8-9")</f>
        <v/>
      </c>
      <c r="F611" t="inlineStr">
        <is>
          <t>B0CF2HPH97</t>
        </is>
      </c>
      <c r="G611">
        <f>_xludf.IMAGE("https://edmondsonsupply.com/cdn/shop/products/32907_b.jpg?v=1666025282")</f>
        <v/>
      </c>
      <c r="H611">
        <f>_xludf.IMAGE("https://m.media-amazon.com/images/I/51ARCE+JBfL._AC_UL320_.jpg")</f>
        <v/>
      </c>
      <c r="I611" t="inlineStr">
        <is>
          <t>19.99</t>
        </is>
      </c>
      <c r="J611" t="n">
        <v>43.98</v>
      </c>
      <c r="K611" s="3" t="inlineStr">
        <is>
          <t>120.01%</t>
        </is>
      </c>
      <c r="L611" t="n">
        <v>4.5</v>
      </c>
      <c r="M611" t="n">
        <v>777</v>
      </c>
      <c r="O611" t="inlineStr">
        <is>
          <t>InStock</t>
        </is>
      </c>
      <c r="P611" t="inlineStr">
        <is>
          <t>29.18</t>
        </is>
      </c>
      <c r="Q611" t="inlineStr">
        <is>
          <t>7856653009112</t>
        </is>
      </c>
    </row>
    <row r="612">
      <c r="A612" s="2">
        <f>HYPERLINK("https://edmondsonsupply.com/collections/electricians-tools/products/milwaukee-49-56-0505-1-4-diamond-max%E2%84%A2-hole-saw", "https://edmondsonsupply.com/collections/electricians-tools/products/milwaukee-49-56-0505-1-4-diamond-max%E2%84%A2-hole-saw")</f>
        <v/>
      </c>
      <c r="B612" s="2">
        <f>HYPERLINK("https://edmondsonsupply.com/products/milwaukee-49-56-0505-1-4-diamond-max%e2%84%a2-hole-saw", "https://edmondsonsupply.com/products/milwaukee-49-56-0505-1-4-diamond-max%e2%84%a2-hole-saw")</f>
        <v/>
      </c>
      <c r="C612" t="inlineStr">
        <is>
          <t>Milwaukee 49-56-0505 1/4" Diamond MAX™ Hole Saw</t>
        </is>
      </c>
      <c r="D612" t="inlineStr">
        <is>
          <t>Milwaukee 49-56-5660 2‐1/2" Diamond Hole Saw</t>
        </is>
      </c>
      <c r="E612" s="2">
        <f>HYPERLINK("https://www.amazon.com/Milwaukee-49-56-5660-2-1-Diamond-Hole/dp/B00KQMUOOE/ref=sr_1_4?keywords=Milwaukee+49-56-0505+1%2F4%22+Diamond+MAX%E2%84%A2+Hole+Saw&amp;qid=1695174028&amp;sr=8-4", "https://www.amazon.com/Milwaukee-49-56-5660-2-1-Diamond-Hole/dp/B00KQMUOOE/ref=sr_1_4?keywords=Milwaukee+49-56-0505+1%2F4%22+Diamond+MAX%E2%84%A2+Hole+Saw&amp;qid=1695174028&amp;sr=8-4")</f>
        <v/>
      </c>
      <c r="F612" t="inlineStr">
        <is>
          <t>B00KQMUOOE</t>
        </is>
      </c>
      <c r="G612">
        <f>_xludf.IMAGE("https://edmondsonsupply.com/cdn/shop/products/49-56-0507_1.png?v=1680111300")</f>
        <v/>
      </c>
      <c r="H612">
        <f>_xludf.IMAGE("https://m.media-amazon.com/images/I/61nOa4J6FdL._AC_UL320_.jpg")</f>
        <v/>
      </c>
      <c r="I612" t="inlineStr">
        <is>
          <t>19.99</t>
        </is>
      </c>
      <c r="J612" t="n">
        <v>43.97</v>
      </c>
      <c r="K612" s="3" t="inlineStr">
        <is>
          <t>119.96%</t>
        </is>
      </c>
      <c r="L612" t="n">
        <v>4.1</v>
      </c>
      <c r="M612" t="n">
        <v>14</v>
      </c>
      <c r="O612" t="inlineStr">
        <is>
          <t>InStock</t>
        </is>
      </c>
      <c r="P612" t="inlineStr">
        <is>
          <t>26.6</t>
        </is>
      </c>
      <c r="Q612" t="inlineStr">
        <is>
          <t>7969746485464</t>
        </is>
      </c>
    </row>
    <row r="613">
      <c r="A613" s="2">
        <f>HYPERLINK("https://edmondsonsupply.com/collections/electricians-tools/products/fluke-62-max-mini-infrared-thermometer", "https://edmondsonsupply.com/collections/electricians-tools/products/fluke-62-max-mini-infrared-thermometer")</f>
        <v/>
      </c>
      <c r="B613" s="2">
        <f>HYPERLINK("https://edmondsonsupply.com/products/fluke-62-max-mini-infrared-thermometer", "https://edmondsonsupply.com/products/fluke-62-max-mini-infrared-thermometer")</f>
        <v/>
      </c>
      <c r="C613" t="inlineStr">
        <is>
          <t>Fluke 62 MAX Mini Infrared Thermometer</t>
        </is>
      </c>
      <c r="D613" t="inlineStr">
        <is>
          <t>FLUKE FLUKE-62 MAX+ INFRARED THERMOMETER, -30C to +650C / -22F to +1202F</t>
        </is>
      </c>
      <c r="E613" s="2">
        <f>HYPERLINK("https://www.amazon.com/FLUKE-FLUKE-62-INFRARED-THERMOMETER-1202F/dp/B00BX8RMAY/ref=sr_1_7?keywords=Fluke+62+MAX+Mini+Infrared+Thermometer&amp;qid=1695173898&amp;sr=8-7", "https://www.amazon.com/FLUKE-FLUKE-62-INFRARED-THERMOMETER-1202F/dp/B00BX8RMAY/ref=sr_1_7?keywords=Fluke+62+MAX+Mini+Infrared+Thermometer&amp;qid=1695173898&amp;sr=8-7")</f>
        <v/>
      </c>
      <c r="F613" t="inlineStr">
        <is>
          <t>B00BX8RMAY</t>
        </is>
      </c>
      <c r="G613">
        <f>_xludf.IMAGE("https://edmondsonsupply.com/cdn/shop/products/62max.jpg?v=1633030769")</f>
        <v/>
      </c>
      <c r="H613">
        <f>_xludf.IMAGE("https://m.media-amazon.com/images/I/51OF-Dz5VLL._AC_UY218_.jpg")</f>
        <v/>
      </c>
      <c r="I613" t="inlineStr">
        <is>
          <t>122.99</t>
        </is>
      </c>
      <c r="J613" t="n">
        <v>269.99</v>
      </c>
      <c r="K613" s="3" t="inlineStr">
        <is>
          <t>119.52%</t>
        </is>
      </c>
      <c r="L613" t="n">
        <v>5</v>
      </c>
      <c r="M613" t="n">
        <v>3</v>
      </c>
      <c r="O613" t="inlineStr">
        <is>
          <t>OutOfStock</t>
        </is>
      </c>
      <c r="P613" t="inlineStr">
        <is>
          <t>134.99</t>
        </is>
      </c>
      <c r="Q613" t="inlineStr">
        <is>
          <t>5931906334888</t>
        </is>
      </c>
    </row>
    <row r="614">
      <c r="A614" s="2">
        <f>HYPERLINK("https://edmondsonsupply.com/collections/electricians-tools/products/klein-tools-32304-14-in-1-hvac-adjustable-length-impact-screwdriver-with-flip-socket", "https://edmondsonsupply.com/collections/electricians-tools/products/klein-tools-32304-14-in-1-hvac-adjustable-length-impact-screwdriver-with-flip-socket")</f>
        <v/>
      </c>
      <c r="B614" s="2">
        <f>HYPERLINK("https://edmondsonsupply.com/products/klein-tools-32304-14-in-1-hvac-adjustable-length-impact-screwdriver-with-flip-socket", "https://edmondsonsupply.com/products/klein-tools-32304-14-in-1-hvac-adjustable-length-impact-screwdriver-with-flip-socket")</f>
        <v/>
      </c>
      <c r="C614" t="inlineStr">
        <is>
          <t>Klein Tools 32304 14-in-1 HVAC Adjustable-Length Impact Screwdriver with Flip Socket</t>
        </is>
      </c>
      <c r="D614" t="inlineStr">
        <is>
          <t>Klein Tools 32717 Precision Screwdriver Set &amp; 14-in-1 Adjustable Screwdriver with Flip Socket, HVAC Nut Drivers and Bits, Impact Rated Klein Tools 32304</t>
        </is>
      </c>
      <c r="E614" s="2">
        <f>HYPERLINK("https://www.amazon.com/Klein-Tools-Precision-Screwdriver-Adjustable/dp/B0BRM3HJY8/ref=sr_1_7?keywords=Klein+Tools+32304+14-in-1+HVAC+Adjustable-Length+Impact+Screwdriver+with+Flip+Socket&amp;qid=1695173856&amp;sr=8-7", "https://www.amazon.com/Klein-Tools-Precision-Screwdriver-Adjustable/dp/B0BRM3HJY8/ref=sr_1_7?keywords=Klein+Tools+32304+14-in-1+HVAC+Adjustable-Length+Impact+Screwdriver+with+Flip+Socket&amp;qid=1695173856&amp;sr=8-7")</f>
        <v/>
      </c>
      <c r="F614" t="inlineStr">
        <is>
          <t>B0BRM3HJY8</t>
        </is>
      </c>
      <c r="G614">
        <f>_xludf.IMAGE("https://edmondsonsupply.com/cdn/shop/products/32304.jpg?v=1666019479")</f>
        <v/>
      </c>
      <c r="H614">
        <f>_xludf.IMAGE("https://m.media-amazon.com/images/I/513WrxifIfL._AC_UL320_.jpg")</f>
        <v/>
      </c>
      <c r="I614" t="inlineStr">
        <is>
          <t>24.97</t>
        </is>
      </c>
      <c r="J614" t="n">
        <v>54.74</v>
      </c>
      <c r="K614" s="3" t="inlineStr">
        <is>
          <t>119.22%</t>
        </is>
      </c>
      <c r="L614" t="n">
        <v>4.9</v>
      </c>
      <c r="M614" t="n">
        <v>9</v>
      </c>
      <c r="O614" t="inlineStr">
        <is>
          <t>InStock</t>
        </is>
      </c>
      <c r="P614" t="inlineStr">
        <is>
          <t>34.98</t>
        </is>
      </c>
      <c r="Q614" t="inlineStr">
        <is>
          <t>7856604578008</t>
        </is>
      </c>
    </row>
    <row r="615">
      <c r="A615" s="2">
        <f>HYPERLINK("https://edmondsonsupply.com/collections/electricians-tools/products/klein-tools-32500mag-11-in-1-magnetic-screwdriver-nut-driver", "https://edmondsonsupply.com/collections/electricians-tools/products/klein-tools-32500mag-11-in-1-magnetic-screwdriver-nut-driver")</f>
        <v/>
      </c>
      <c r="B615" s="2">
        <f>HYPERLINK("https://edmondsonsupply.com/products/klein-tools-32500mag-11-in-1-magnetic-screwdriver-nut-driver", "https://edmondsonsupply.com/products/klein-tools-32500mag-11-in-1-magnetic-screwdriver-nut-driver")</f>
        <v/>
      </c>
      <c r="C615" t="inlineStr">
        <is>
          <t>Klein Tools 32500MAG 11-in-1 Magnetic Screwdriver / Nut Driver</t>
        </is>
      </c>
      <c r="D615" t="inlineStr">
        <is>
          <t>Klein Tools 32807MAG 7-in-1 Nut Driver, Magnetic Driver with SAE Hex Nut Sizes and Spring Coil Bits &amp; 32527 Schrader 11-in-1 Screwdriver/Nut Driver, Black</t>
        </is>
      </c>
      <c r="E615" s="2">
        <f>HYPERLINK("https://www.amazon.com/Klein-Tools-32807MAG-Magnetic-Screwdriver/dp/B08MG3L43V/ref=sr_1_8?keywords=Klein+Tools+32500MAG+11-in-1+Magnetic+Screwdriver+%2F+Nut+Driver&amp;qid=1695174303&amp;sr=8-8", "https://www.amazon.com/Klein-Tools-32807MAG-Magnetic-Screwdriver/dp/B08MG3L43V/ref=sr_1_8?keywords=Klein+Tools+32500MAG+11-in-1+Magnetic+Screwdriver+%2F+Nut+Driver&amp;qid=1695174303&amp;sr=8-8")</f>
        <v/>
      </c>
      <c r="F615" t="inlineStr">
        <is>
          <t>B08MG3L43V</t>
        </is>
      </c>
      <c r="G615">
        <f>_xludf.IMAGE("https://edmondsonsupply.com/cdn/shop/products/32500mag.jpg?v=1633030832")</f>
        <v/>
      </c>
      <c r="H615">
        <f>_xludf.IMAGE("https://m.media-amazon.com/images/I/51yRbCSFsxL._AC_UL320_.jpg")</f>
        <v/>
      </c>
      <c r="I615" t="inlineStr">
        <is>
          <t>20.97</t>
        </is>
      </c>
      <c r="J615" t="n">
        <v>45.94</v>
      </c>
      <c r="K615" s="3" t="inlineStr">
        <is>
          <t>119.07%</t>
        </is>
      </c>
      <c r="L615" t="n">
        <v>4.7</v>
      </c>
      <c r="M615" t="n">
        <v>14</v>
      </c>
      <c r="O615" t="inlineStr">
        <is>
          <t>InStock</t>
        </is>
      </c>
      <c r="P615" t="inlineStr">
        <is>
          <t>29.38</t>
        </is>
      </c>
      <c r="Q615" t="inlineStr">
        <is>
          <t>6082199814317</t>
        </is>
      </c>
    </row>
    <row r="616">
      <c r="A616" s="2">
        <f>HYPERLINK("https://edmondsonsupply.com/collections/electricians-tools/products/klein-tools-32305-15-in-1-multi-bit-ratcheting-screwdriver", "https://edmondsonsupply.com/collections/electricians-tools/products/klein-tools-32305-15-in-1-multi-bit-ratcheting-screwdriver")</f>
        <v/>
      </c>
      <c r="B616" s="2">
        <f>HYPERLINK("https://edmondsonsupply.com/products/klein-tools-32305-15-in-1-multi-bit-ratcheting-screwdriver", "https://edmondsonsupply.com/products/klein-tools-32305-15-in-1-multi-bit-ratcheting-screwdriver")</f>
        <v/>
      </c>
      <c r="C616" t="inlineStr">
        <is>
          <t>Klein Tools 32305 15-in-1 Multi-Bit Ratcheting Screwdriver</t>
        </is>
      </c>
      <c r="D616" t="inlineStr">
        <is>
          <t>SATA 19-in-1 Multipurpose Ratcheting Screwdriver Set with 8 Double-Sided Bits &amp; Klein Tools 32305 Multi-bit Ratcheting Screwdriver, 15-in-1 Tool</t>
        </is>
      </c>
      <c r="E616" s="2">
        <f>HYPERLINK("https://www.amazon.com/SATA-Multipurpose-Ratcheting-Screwdriver-Double-Sided/dp/B0CB14B5K6/ref=sr_1_5?keywords=Klein+Tools+32305+15-in-1+Multi-Bit+Ratcheting+Screwdriver&amp;qid=1695174215&amp;sr=8-5", "https://www.amazon.com/SATA-Multipurpose-Ratcheting-Screwdriver-Double-Sided/dp/B0CB14B5K6/ref=sr_1_5?keywords=Klein+Tools+32305+15-in-1+Multi-Bit+Ratcheting+Screwdriver&amp;qid=1695174215&amp;sr=8-5")</f>
        <v/>
      </c>
      <c r="F616" t="inlineStr">
        <is>
          <t>B0CB14B5K6</t>
        </is>
      </c>
      <c r="G616">
        <f>_xludf.IMAGE("https://edmondsonsupply.com/cdn/shop/products/32305.jpg?v=1646965475")</f>
        <v/>
      </c>
      <c r="H616">
        <f>_xludf.IMAGE("https://m.media-amazon.com/images/I/41IWrP80qdL._AC_UL320_.jpg")</f>
        <v/>
      </c>
      <c r="I616" t="inlineStr">
        <is>
          <t>21.97</t>
        </is>
      </c>
      <c r="J616" t="n">
        <v>47.95</v>
      </c>
      <c r="K616" s="3" t="inlineStr">
        <is>
          <t>118.25%</t>
        </is>
      </c>
      <c r="L616" t="n">
        <v>4.6</v>
      </c>
      <c r="M616" t="n">
        <v>2936</v>
      </c>
      <c r="O616" t="inlineStr">
        <is>
          <t>InStock</t>
        </is>
      </c>
      <c r="P616" t="inlineStr">
        <is>
          <t>30.78</t>
        </is>
      </c>
      <c r="Q616" t="inlineStr">
        <is>
          <t>7632426598616</t>
        </is>
      </c>
    </row>
    <row r="617">
      <c r="A617" s="2">
        <f>HYPERLINK("https://edmondsonsupply.com/collections/electricians-tools/products/milwaukee-49-56-7000-small-thread-arbor-7-16-shank", "https://edmondsonsupply.com/collections/electricians-tools/products/milwaukee-49-56-7000-small-thread-arbor-7-16-shank")</f>
        <v/>
      </c>
      <c r="B617" s="2">
        <f>HYPERLINK("https://edmondsonsupply.com/products/milwaukee-49-56-7000-small-thread-arbor-7-16-shank", "https://edmondsonsupply.com/products/milwaukee-49-56-7000-small-thread-arbor-7-16-shank")</f>
        <v/>
      </c>
      <c r="C617" t="inlineStr">
        <is>
          <t>Milwaukee 49-56-7000 Small Thread Arbor, 7/16" Shank</t>
        </is>
      </c>
      <c r="D617" t="inlineStr">
        <is>
          <t>MILWAUKEE'S Hole Saw Arbor, 7/16 Shank, 5/8-18 Thread, 1/2 in, 49-56-9100</t>
        </is>
      </c>
      <c r="E617" s="2">
        <f>HYPERLINK("https://www.amazon.com/Milwaukee-49-56-9100-16-Inch-Hole-Arbor/dp/B0019VAV2G/ref=sr_1_1?keywords=Milwaukee+49-56-7000+Small+Thread+Arbor%2C+7%2F16%22+Shank&amp;qid=1695174010&amp;sr=8-1", "https://www.amazon.com/Milwaukee-49-56-9100-16-Inch-Hole-Arbor/dp/B0019VAV2G/ref=sr_1_1?keywords=Milwaukee+49-56-7000+Small+Thread+Arbor%2C+7%2F16%22+Shank&amp;qid=1695174010&amp;sr=8-1")</f>
        <v/>
      </c>
      <c r="F617" t="inlineStr">
        <is>
          <t>B0019VAV2G</t>
        </is>
      </c>
      <c r="G617">
        <f>_xludf.IMAGE("https://edmondsonsupply.com/cdn/shop/files/51029_49-56-7000-lg.jpg?v=1686151660")</f>
        <v/>
      </c>
      <c r="H617">
        <f>_xludf.IMAGE("https://m.media-amazon.com/images/I/41OTK6p0M-S._AC_UL320_.jpg")</f>
        <v/>
      </c>
      <c r="I617" t="inlineStr">
        <is>
          <t>10.97</t>
        </is>
      </c>
      <c r="J617" t="n">
        <v>23.9</v>
      </c>
      <c r="K617" s="3" t="inlineStr">
        <is>
          <t>117.87%</t>
        </is>
      </c>
      <c r="L617" t="n">
        <v>4.6</v>
      </c>
      <c r="M617" t="n">
        <v>93</v>
      </c>
      <c r="O617" t="inlineStr">
        <is>
          <t>InStock</t>
        </is>
      </c>
      <c r="P617" t="inlineStr">
        <is>
          <t>19.0</t>
        </is>
      </c>
      <c r="Q617" t="inlineStr">
        <is>
          <t>8002379284696</t>
        </is>
      </c>
    </row>
    <row r="618">
      <c r="A618" s="2">
        <f>HYPERLINK("https://edmondsonsupply.com/collections/electricians-tools/products/klein-tools-32308-8-in-1-multi-bit-adjustable-length-stubby-screwdriver", "https://edmondsonsupply.com/collections/electricians-tools/products/klein-tools-32308-8-in-1-multi-bit-adjustable-length-stubby-screwdriver")</f>
        <v/>
      </c>
      <c r="B618" s="2">
        <f>HYPERLINK("https://edmondsonsupply.com/products/klein-tools-32308-8-in-1-multi-bit-adjustable-length-stubby-screwdriver", "https://edmondsonsupply.com/products/klein-tools-32308-8-in-1-multi-bit-adjustable-length-stubby-screwdriver")</f>
        <v/>
      </c>
      <c r="C618" t="inlineStr">
        <is>
          <t>Klein Tools 32308 8-in-1 Multi-Bit Adjustable Length Stubby Screwdriver</t>
        </is>
      </c>
      <c r="D618" t="inlineStr">
        <is>
          <t>Klein Tools 32308 Multi-bit Stubby Screwdriver, Impact Rated 8-in-1 Adjustable Magnetic Tool &amp; 32303 Multi-Bit Screwdriver/Nut Driver, Impact Rated 14-in-1 Magnetic Screwdriver Set</t>
        </is>
      </c>
      <c r="E618" s="2">
        <f>HYPERLINK("https://www.amazon.com/Klein-Tools-Multi-bit-Screwdriver-Adjustable/dp/B0B56P6P3L/ref=sr_1_3?keywords=Klein+Tools+32308+8-in-1+Multi-Bit+Adjustable+Length+Stubby+Screwdriver&amp;qid=1695174224&amp;sr=8-3", "https://www.amazon.com/Klein-Tools-Multi-bit-Screwdriver-Adjustable/dp/B0B56P6P3L/ref=sr_1_3?keywords=Klein+Tools+32308+8-in-1+Multi-Bit+Adjustable+Length+Stubby+Screwdriver&amp;qid=1695174224&amp;sr=8-3")</f>
        <v/>
      </c>
      <c r="F618" t="inlineStr">
        <is>
          <t>B0B56P6P3L</t>
        </is>
      </c>
      <c r="G618">
        <f>_xludf.IMAGE("https://edmondsonsupply.com/cdn/shop/products/32308_b.jpg?v=1647348209")</f>
        <v/>
      </c>
      <c r="H618">
        <f>_xludf.IMAGE("https://m.media-amazon.com/images/I/51GldL8hxaL._AC_UL320_.jpg")</f>
        <v/>
      </c>
      <c r="I618" t="inlineStr">
        <is>
          <t>16.97</t>
        </is>
      </c>
      <c r="J618" t="n">
        <v>36.94</v>
      </c>
      <c r="K618" s="3" t="inlineStr">
        <is>
          <t>117.68%</t>
        </is>
      </c>
      <c r="L618" t="n">
        <v>4.7</v>
      </c>
      <c r="M618" t="n">
        <v>127</v>
      </c>
      <c r="O618" t="inlineStr">
        <is>
          <t>InStock</t>
        </is>
      </c>
      <c r="P618" t="inlineStr">
        <is>
          <t>23.78</t>
        </is>
      </c>
      <c r="Q618" t="inlineStr">
        <is>
          <t>7637271445720</t>
        </is>
      </c>
    </row>
    <row r="619">
      <c r="A619" s="2">
        <f>HYPERLINK("https://edmondsonsupply.com/collections/electricians-tools/products/klein-tools-32308-8-in-1-multi-bit-adjustable-length-stubby-screwdriver", "https://edmondsonsupply.com/collections/electricians-tools/products/klein-tools-32308-8-in-1-multi-bit-adjustable-length-stubby-screwdriver")</f>
        <v/>
      </c>
      <c r="B619" s="2">
        <f>HYPERLINK("https://edmondsonsupply.com/products/klein-tools-32308-8-in-1-multi-bit-adjustable-length-stubby-screwdriver", "https://edmondsonsupply.com/products/klein-tools-32308-8-in-1-multi-bit-adjustable-length-stubby-screwdriver")</f>
        <v/>
      </c>
      <c r="C619" t="inlineStr">
        <is>
          <t>Klein Tools 32308 8-in-1 Multi-Bit Adjustable Length Stubby Screwdriver</t>
        </is>
      </c>
      <c r="D619" t="inlineStr">
        <is>
          <t>Klein Tools 70550 Hex Key Set, 11 SAE Sizes, Heavy Duty Folding Allen Wrench Tool &amp; 32308 Multi-bit Stubby Screwdriver, Impact Rated 8-in-1 Adjustable Magnetic Tool</t>
        </is>
      </c>
      <c r="E619" s="2">
        <f>HYPERLINK("https://www.amazon.com/Klein-Tools-Multi-bit-Screwdriver-Adjustable/dp/B0BC874NXV/ref=sr_1_9?keywords=Klein+Tools+32308+8-in-1+Multi-Bit+Adjustable+Length+Stubby+Screwdriver&amp;qid=1695174224&amp;sr=8-9", "https://www.amazon.com/Klein-Tools-Multi-bit-Screwdriver-Adjustable/dp/B0BC874NXV/ref=sr_1_9?keywords=Klein+Tools+32308+8-in-1+Multi-Bit+Adjustable+Length+Stubby+Screwdriver&amp;qid=1695174224&amp;sr=8-9")</f>
        <v/>
      </c>
      <c r="F619" t="inlineStr">
        <is>
          <t>B0BC874NXV</t>
        </is>
      </c>
      <c r="G619">
        <f>_xludf.IMAGE("https://edmondsonsupply.com/cdn/shop/products/32308_b.jpg?v=1647348209")</f>
        <v/>
      </c>
      <c r="H619">
        <f>_xludf.IMAGE("https://m.media-amazon.com/images/I/51DupKa9UOL._AC_UL320_.jpg")</f>
        <v/>
      </c>
      <c r="I619" t="inlineStr">
        <is>
          <t>16.97</t>
        </is>
      </c>
      <c r="J619" t="n">
        <v>36.94</v>
      </c>
      <c r="K619" s="3" t="inlineStr">
        <is>
          <t>117.68%</t>
        </is>
      </c>
      <c r="L619" t="n">
        <v>5</v>
      </c>
      <c r="M619" t="n">
        <v>1</v>
      </c>
      <c r="O619" t="inlineStr">
        <is>
          <t>InStock</t>
        </is>
      </c>
      <c r="P619" t="inlineStr">
        <is>
          <t>23.78</t>
        </is>
      </c>
      <c r="Q619" t="inlineStr">
        <is>
          <t>7637271445720</t>
        </is>
      </c>
    </row>
    <row r="620">
      <c r="A620" s="2">
        <f>HYPERLINK("https://edmondsonsupply.com/collections/electricians-tools/products/klein-tools-60345-hard-hat-earmuffs-full-brim-style", "https://edmondsonsupply.com/collections/electricians-tools/products/klein-tools-60345-hard-hat-earmuffs-full-brim-style")</f>
        <v/>
      </c>
      <c r="B620" s="2">
        <f>HYPERLINK("https://edmondsonsupply.com/products/klein-tools-60345-hard-hat-earmuffs-full-brim-style", "https://edmondsonsupply.com/products/klein-tools-60345-hard-hat-earmuffs-full-brim-style")</f>
        <v/>
      </c>
      <c r="C620" t="inlineStr">
        <is>
          <t>Klein Tools 60502 Hard Hat Earmuffs, Full Brim Style</t>
        </is>
      </c>
      <c r="D620" t="inlineStr">
        <is>
          <t>Klein Tools 60407 Hard Hat, Light, Vented Full Brim Style, Padded, Self-Wicking Odor-Resistant Sweatband, White &amp; 60181 Cooling Helmet Liner, Under Hard Hat Cap with Mesh Fabric at Crown</t>
        </is>
      </c>
      <c r="E620" s="2">
        <f>HYPERLINK("https://www.amazon.com/Klein-Tools-Self-Wicking-Odor-Resistant-Sweatband/dp/B0B68NYYM7/ref=sr_1_8?keywords=Klein+Tools+60502+Hard+Hat+Earmuffs%2C+Full+Brim+Style&amp;qid=1695174082&amp;sr=8-8", "https://www.amazon.com/Klein-Tools-Self-Wicking-Odor-Resistant-Sweatband/dp/B0B68NYYM7/ref=sr_1_8?keywords=Klein+Tools+60502+Hard+Hat+Earmuffs%2C+Full+Brim+Style&amp;qid=1695174082&amp;sr=8-8")</f>
        <v/>
      </c>
      <c r="F620" t="inlineStr">
        <is>
          <t>B0B68NYYM7</t>
        </is>
      </c>
      <c r="G620">
        <f>_xludf.IMAGE("https://edmondsonsupply.com/cdn/shop/products/60502.jpg?v=1674486730")</f>
        <v/>
      </c>
      <c r="H620">
        <f>_xludf.IMAGE("https://m.media-amazon.com/images/I/41IulVK0+jL._AC_UL320_.jpg")</f>
        <v/>
      </c>
      <c r="I620" t="inlineStr">
        <is>
          <t>29.99</t>
        </is>
      </c>
      <c r="J620" t="n">
        <v>64.95999999999999</v>
      </c>
      <c r="K620" s="3" t="inlineStr">
        <is>
          <t>116.61%</t>
        </is>
      </c>
      <c r="L620" t="n">
        <v>4.5</v>
      </c>
      <c r="M620" t="n">
        <v>15</v>
      </c>
      <c r="O620" t="inlineStr">
        <is>
          <t>InStock</t>
        </is>
      </c>
      <c r="P620" t="inlineStr">
        <is>
          <t>41.98</t>
        </is>
      </c>
      <c r="Q620" t="inlineStr">
        <is>
          <t>7931874869464</t>
        </is>
      </c>
    </row>
    <row r="621">
      <c r="A621" s="2">
        <f>HYPERLINK("https://edmondsonsupply.com/collections/electricians-tools/products/klein-tools-630-5-8-nut-driver-5-8-inch-4-inch-hollow-shaft", "https://edmondsonsupply.com/collections/electricians-tools/products/klein-tools-630-5-8-nut-driver-5-8-inch-4-inch-hollow-shaft")</f>
        <v/>
      </c>
      <c r="B621" s="2">
        <f>HYPERLINK("https://edmondsonsupply.com/products/klein-tools-630-5-8-nut-driver-5-8-inch-4-inch-hollow-shaft", "https://edmondsonsupply.com/products/klein-tools-630-5-8-nut-driver-5-8-inch-4-inch-hollow-shaft")</f>
        <v/>
      </c>
      <c r="C621" t="inlineStr">
        <is>
          <t>Klein Tools 630-5/8 Nut Driver, 5/8-Inch, 4-Inch Hollow Shaft</t>
        </is>
      </c>
      <c r="D621" t="inlineStr">
        <is>
          <t>Klein Tools 646-5/8-INS 5/8-Inch Insulated Nut Driver with 6-Inch Hollow Shaft and Cushion Grip Handle</t>
        </is>
      </c>
      <c r="E621" s="2">
        <f>HYPERLINK("https://www.amazon.com/Klein-Tools-646-5-8-INS-Insulated/dp/B000MKH632/ref=sr_1_4?keywords=Klein+Tools+630-5%2F8+Nut+Driver%2C+5%2F8-Inch%2C+4-Inch+Hollow+Shaft&amp;qid=1695174302&amp;sr=8-4", "https://www.amazon.com/Klein-Tools-646-5-8-INS-Insulated/dp/B000MKH632/ref=sr_1_4?keywords=Klein+Tools+630-5%2F8+Nut+Driver%2C+5%2F8-Inch%2C+4-Inch+Hollow+Shaft&amp;qid=1695174302&amp;sr=8-4")</f>
        <v/>
      </c>
      <c r="F621" t="inlineStr">
        <is>
          <t>B000MKH632</t>
        </is>
      </c>
      <c r="G621">
        <f>_xludf.IMAGE("https://edmondsonsupply.com/cdn/shop/products/630-1-2_df0ca74a-79e7-41f4-ad94-60312e01e692.jpg?v=1633031052")</f>
        <v/>
      </c>
      <c r="H621">
        <f>_xludf.IMAGE("https://m.media-amazon.com/images/I/41dKI+dlEDL._AC_UL320_.jpg")</f>
        <v/>
      </c>
      <c r="I621" t="inlineStr">
        <is>
          <t>12.49</t>
        </is>
      </c>
      <c r="J621" t="n">
        <v>26.99</v>
      </c>
      <c r="K621" s="3" t="inlineStr">
        <is>
          <t>116.09%</t>
        </is>
      </c>
      <c r="L621" t="n">
        <v>4.8</v>
      </c>
      <c r="M621" t="n">
        <v>10</v>
      </c>
      <c r="O621" t="inlineStr">
        <is>
          <t>InStock</t>
        </is>
      </c>
      <c r="P621" t="inlineStr">
        <is>
          <t>18.92</t>
        </is>
      </c>
      <c r="Q621" t="inlineStr">
        <is>
          <t>6781025386669</t>
        </is>
      </c>
    </row>
    <row r="622">
      <c r="A622" s="2">
        <f>HYPERLINK("https://edmondsonsupply.com/collections/electricians-tools/products/klein-tools-630-5-8-nut-driver-5-8-inch-4-inch-hollow-shaft", "https://edmondsonsupply.com/collections/electricians-tools/products/klein-tools-630-5-8-nut-driver-5-8-inch-4-inch-hollow-shaft")</f>
        <v/>
      </c>
      <c r="B622" s="2">
        <f>HYPERLINK("https://edmondsonsupply.com/products/klein-tools-630-5-8-nut-driver-5-8-inch-4-inch-hollow-shaft", "https://edmondsonsupply.com/products/klein-tools-630-5-8-nut-driver-5-8-inch-4-inch-hollow-shaft")</f>
        <v/>
      </c>
      <c r="C622" t="inlineStr">
        <is>
          <t>Klein Tools 630-5/8 Nut Driver, 5/8-Inch, 4-Inch Hollow Shaft</t>
        </is>
      </c>
      <c r="D622" t="inlineStr">
        <is>
          <t>Klein Tools 640-5/8 5/8-Inch Coated Nut Driver with 4-Inch Hollow Shaft and Cushion Grip Handle</t>
        </is>
      </c>
      <c r="E622" s="2">
        <f>HYPERLINK("https://www.amazon.com/8-Inch-Cushion-Klein-Tools-640-5/dp/B00093D6YA/ref=sr_1_3?keywords=Klein+Tools+630-5%2F8+Nut+Driver%2C+5%2F8-Inch%2C+4-Inch+Hollow+Shaft&amp;qid=1695174302&amp;sr=8-3", "https://www.amazon.com/8-Inch-Cushion-Klein-Tools-640-5/dp/B00093D6YA/ref=sr_1_3?keywords=Klein+Tools+630-5%2F8+Nut+Driver%2C+5%2F8-Inch%2C+4-Inch+Hollow+Shaft&amp;qid=1695174302&amp;sr=8-3")</f>
        <v/>
      </c>
      <c r="F622" t="inlineStr">
        <is>
          <t>B00093D6YA</t>
        </is>
      </c>
      <c r="G622">
        <f>_xludf.IMAGE("https://edmondsonsupply.com/cdn/shop/products/630-1-2_df0ca74a-79e7-41f4-ad94-60312e01e692.jpg?v=1633031052")</f>
        <v/>
      </c>
      <c r="H622">
        <f>_xludf.IMAGE("https://m.media-amazon.com/images/I/61gCORyBN2L._AC_UL320_.jpg")</f>
        <v/>
      </c>
      <c r="I622" t="inlineStr">
        <is>
          <t>12.49</t>
        </is>
      </c>
      <c r="J622" t="n">
        <v>26.99</v>
      </c>
      <c r="K622" s="3" t="inlineStr">
        <is>
          <t>116.09%</t>
        </is>
      </c>
      <c r="L622" t="n">
        <v>5</v>
      </c>
      <c r="M622" t="n">
        <v>6</v>
      </c>
      <c r="O622" t="inlineStr">
        <is>
          <t>InStock</t>
        </is>
      </c>
      <c r="P622" t="inlineStr">
        <is>
          <t>18.92</t>
        </is>
      </c>
      <c r="Q622" t="inlineStr">
        <is>
          <t>6781025386669</t>
        </is>
      </c>
    </row>
    <row r="623">
      <c r="A623" s="2">
        <f>HYPERLINK("https://edmondsonsupply.com/collections/electricians-tools/products/klein-tools-69417-rare-earth-magnetic-meter-hanger", "https://edmondsonsupply.com/collections/electricians-tools/products/klein-tools-69417-rare-earth-magnetic-meter-hanger")</f>
        <v/>
      </c>
      <c r="B623" s="2">
        <f>HYPERLINK("https://edmondsonsupply.com/products/klein-tools-69417-rare-earth-magnetic-meter-hanger", "https://edmondsonsupply.com/products/klein-tools-69417-rare-earth-magnetic-meter-hanger")</f>
        <v/>
      </c>
      <c r="C623" t="inlineStr">
        <is>
          <t>Klein Tools 69417 Rare Earth Magnetic Meter Hanger, with Strap</t>
        </is>
      </c>
      <c r="D623" t="inlineStr">
        <is>
          <t>Klein Tools 69417 Rare-Earth Magnetic Hanger, with Strap &amp; 69401 Multimeter Carrying Case</t>
        </is>
      </c>
      <c r="E623" s="2">
        <f>HYPERLINK("https://www.amazon.com/Klein-Tools-Rare-Earth-Magnetic-Multimeter/dp/B0BGJ66GX4/ref=sr_1_4?keywords=Klein+Tools+69417+Rare+Earth+Magnetic+Meter+Hanger%2C+with+Strap&amp;qid=1695173948&amp;sr=8-4", "https://www.amazon.com/Klein-Tools-Rare-Earth-Magnetic-Multimeter/dp/B0BGJ66GX4/ref=sr_1_4?keywords=Klein+Tools+69417+Rare+Earth+Magnetic+Meter+Hanger%2C+with+Strap&amp;qid=1695173948&amp;sr=8-4")</f>
        <v/>
      </c>
      <c r="F623" t="inlineStr">
        <is>
          <t>B0BGJ66GX4</t>
        </is>
      </c>
      <c r="G623">
        <f>_xludf.IMAGE("https://edmondsonsupply.com/cdn/shop/products/69417.jpg?v=1587150163")</f>
        <v/>
      </c>
      <c r="H623">
        <f>_xludf.IMAGE("https://m.media-amazon.com/images/I/51Em03gaEVL._AC_UL320_.jpg")</f>
        <v/>
      </c>
      <c r="I623" t="inlineStr">
        <is>
          <t>13.99</t>
        </is>
      </c>
      <c r="J623" t="n">
        <v>29.99</v>
      </c>
      <c r="K623" s="3" t="inlineStr">
        <is>
          <t>114.37%</t>
        </is>
      </c>
      <c r="L623" t="n">
        <v>5</v>
      </c>
      <c r="M623" t="n">
        <v>2</v>
      </c>
      <c r="O623" t="inlineStr">
        <is>
          <t>InStock</t>
        </is>
      </c>
      <c r="P623" t="inlineStr">
        <is>
          <t>20.0</t>
        </is>
      </c>
      <c r="Q623" t="inlineStr">
        <is>
          <t>1778073731172</t>
        </is>
      </c>
    </row>
    <row r="624">
      <c r="A624" s="2">
        <f>HYPERLINK("https://edmondsonsupply.com/collections/electricians-tools/products/klein-tools-32305-15-in-1-multi-bit-ratcheting-screwdriver", "https://edmondsonsupply.com/collections/electricians-tools/products/klein-tools-32305-15-in-1-multi-bit-ratcheting-screwdriver")</f>
        <v/>
      </c>
      <c r="B624" s="2">
        <f>HYPERLINK("https://edmondsonsupply.com/products/klein-tools-32305-15-in-1-multi-bit-ratcheting-screwdriver", "https://edmondsonsupply.com/products/klein-tools-32305-15-in-1-multi-bit-ratcheting-screwdriver")</f>
        <v/>
      </c>
      <c r="C624" t="inlineStr">
        <is>
          <t>Klein Tools 32305 15-in-1 Multi-Bit Ratcheting Screwdriver</t>
        </is>
      </c>
      <c r="D624" t="inlineStr">
        <is>
          <t>Screwdriver, 14-in-1 Adjustable Screwdriver &amp; 32305 Multi-bit Ratcheting Screwdriver, 15-in-1 Tool with Phillips, Slotted, Square, Torx and Combo Bits and 1/4-Inch Nut Driver</t>
        </is>
      </c>
      <c r="E624" s="2">
        <f>HYPERLINK("https://www.amazon.com/Screwdriver-Adjustable-Multi-bit-Ratcheting-Phillips/dp/B0BRM1659C/ref=sr_1_10?keywords=Klein+Tools+32305+15-in-1+Multi-Bit+Ratcheting+Screwdriver&amp;qid=1695174215&amp;sr=8-10", "https://www.amazon.com/Screwdriver-Adjustable-Multi-bit-Ratcheting-Phillips/dp/B0BRM1659C/ref=sr_1_10?keywords=Klein+Tools+32305+15-in-1+Multi-Bit+Ratcheting+Screwdriver&amp;qid=1695174215&amp;sr=8-10")</f>
        <v/>
      </c>
      <c r="F624" t="inlineStr">
        <is>
          <t>B0BRM1659C</t>
        </is>
      </c>
      <c r="G624">
        <f>_xludf.IMAGE("https://edmondsonsupply.com/cdn/shop/products/32305.jpg?v=1646965475")</f>
        <v/>
      </c>
      <c r="H624">
        <f>_xludf.IMAGE("https://m.media-amazon.com/images/I/41majwJr+TL._AC_UL320_.jpg")</f>
        <v/>
      </c>
      <c r="I624" t="inlineStr">
        <is>
          <t>21.97</t>
        </is>
      </c>
      <c r="J624" t="n">
        <v>46.74</v>
      </c>
      <c r="K624" s="3" t="inlineStr">
        <is>
          <t>112.74%</t>
        </is>
      </c>
      <c r="L624" t="n">
        <v>5</v>
      </c>
      <c r="M624" t="n">
        <v>1</v>
      </c>
      <c r="O624" t="inlineStr">
        <is>
          <t>InStock</t>
        </is>
      </c>
      <c r="P624" t="inlineStr">
        <is>
          <t>30.78</t>
        </is>
      </c>
      <c r="Q624" t="inlineStr">
        <is>
          <t>7632426598616</t>
        </is>
      </c>
    </row>
    <row r="625">
      <c r="A625" s="2">
        <f>HYPERLINK("https://edmondsonsupply.com/collections/electricians-tools/products/klein-tools-rt110-receptacle-tester", "https://edmondsonsupply.com/collections/electricians-tools/products/klein-tools-rt110-receptacle-tester")</f>
        <v/>
      </c>
      <c r="B625" s="2">
        <f>HYPERLINK("https://edmondsonsupply.com/products/klein-tools-rt110-receptacle-tester", "https://edmondsonsupply.com/products/klein-tools-rt110-receptacle-tester")</f>
        <v/>
      </c>
      <c r="C625" t="inlineStr">
        <is>
          <t>Klein Tools RT110 Receptacle Tester</t>
        </is>
      </c>
      <c r="D625" t="inlineStr">
        <is>
          <t>Klein Tools RT250 GFCI Outlet Tester with LCD Display, Electric Voltage Tester for Standard 3-Wire 120V Electrical Receptacles,Green/Red</t>
        </is>
      </c>
      <c r="E625" s="2">
        <f>HYPERLINK("https://www.amazon.com/Receptacle-Electrical-Klein-Tools-RT250/dp/B08QW7K1JJ/ref=sr_1_5?keywords=Klein+Tools+RT110+Receptacle+Tester&amp;qid=1695174267&amp;sr=8-5", "https://www.amazon.com/Receptacle-Electrical-Klein-Tools-RT250/dp/B08QW7K1JJ/ref=sr_1_5?keywords=Klein+Tools+RT110+Receptacle+Tester&amp;qid=1695174267&amp;sr=8-5")</f>
        <v/>
      </c>
      <c r="F625" t="inlineStr">
        <is>
          <t>B08QW7K1JJ</t>
        </is>
      </c>
      <c r="G625">
        <f>_xludf.IMAGE("https://edmondsonsupply.com/cdn/shop/products/rt110.jpg?v=1633031036")</f>
        <v/>
      </c>
      <c r="H625">
        <f>_xludf.IMAGE("https://m.media-amazon.com/images/I/61j28ynJ7bL._AC_UL320_.jpg")</f>
        <v/>
      </c>
      <c r="I625" t="inlineStr">
        <is>
          <t>9.97</t>
        </is>
      </c>
      <c r="J625" t="n">
        <v>21.17</v>
      </c>
      <c r="K625" s="3" t="inlineStr">
        <is>
          <t>112.34%</t>
        </is>
      </c>
      <c r="L625" t="n">
        <v>4.8</v>
      </c>
      <c r="M625" t="n">
        <v>7966</v>
      </c>
      <c r="O625" t="inlineStr">
        <is>
          <t>InStock</t>
        </is>
      </c>
      <c r="P625" t="inlineStr">
        <is>
          <t>12.12</t>
        </is>
      </c>
      <c r="Q625" t="inlineStr">
        <is>
          <t>6740486619309</t>
        </is>
      </c>
    </row>
    <row r="626">
      <c r="A626" s="2">
        <f>HYPERLINK("https://edmondsonsupply.com/collections/electricians-tools/products/greenlee-gsb01-1-2-step-bit-1", "https://edmondsonsupply.com/collections/electricians-tools/products/greenlee-gsb01-1-2-step-bit-1")</f>
        <v/>
      </c>
      <c r="B626" s="2">
        <f>HYPERLINK("https://edmondsonsupply.com/products/greenlee-gsb01-1-2-step-bit-1", "https://edmondsonsupply.com/products/greenlee-gsb01-1-2-step-bit-1")</f>
        <v/>
      </c>
      <c r="C626" t="inlineStr">
        <is>
          <t>Greenlee GSB01 1/2" Step Bit (#1)</t>
        </is>
      </c>
      <c r="D626" t="inlineStr">
        <is>
          <t>Greenlee GSB09 1-1/8" Step Bit (#9) Metal Cutter with Patented Split-Step Design, 1-1/8" Metal Cutting Tool for 1/2" Drill Chucks</t>
        </is>
      </c>
      <c r="E626" s="2">
        <f>HYPERLINK("https://www.amazon.com/Greenlee-Patented-Split-Step-Design-Cutting/dp/B08TVGF4MS/ref=sr_1_5?keywords=Greenlee+GSB01+1%2F2%22+Step+Bit+%28%231%29&amp;qid=1695173990&amp;sr=8-5", "https://www.amazon.com/Greenlee-Patented-Split-Step-Design-Cutting/dp/B08TVGF4MS/ref=sr_1_5?keywords=Greenlee+GSB01+1%2F2%22+Step+Bit+%28%231%29&amp;qid=1695173990&amp;sr=8-5")</f>
        <v/>
      </c>
      <c r="F626" t="inlineStr">
        <is>
          <t>B08TVGF4MS</t>
        </is>
      </c>
      <c r="G626">
        <f>_xludf.IMAGE("https://edmondsonsupply.com/cdn/shop/files/GSB01_CAT1_72dpi_1.jpg?v=1687790366")</f>
        <v/>
      </c>
      <c r="H626">
        <f>_xludf.IMAGE("https://m.media-amazon.com/images/I/41J5YEXJLpL._AC_UY218_.jpg")</f>
        <v/>
      </c>
      <c r="I626" t="inlineStr">
        <is>
          <t>31.22</t>
        </is>
      </c>
      <c r="J626" t="n">
        <v>65.81</v>
      </c>
      <c r="K626" s="3" t="inlineStr">
        <is>
          <t>110.79%</t>
        </is>
      </c>
      <c r="L626" t="n">
        <v>3.8</v>
      </c>
      <c r="M626" t="n">
        <v>5</v>
      </c>
      <c r="O626" t="inlineStr">
        <is>
          <t>InStock</t>
        </is>
      </c>
      <c r="P626" t="inlineStr">
        <is>
          <t>undefined</t>
        </is>
      </c>
      <c r="Q626" t="inlineStr">
        <is>
          <t>8009320628440</t>
        </is>
      </c>
    </row>
    <row r="627">
      <c r="A627" s="2">
        <f>HYPERLINK("https://edmondsonsupply.com/collections/electricians-tools/products/klein-tools-32907-7-in-1-impact-flip-socket-set-no-handle", "https://edmondsonsupply.com/collections/electricians-tools/products/klein-tools-32907-7-in-1-impact-flip-socket-set-no-handle")</f>
        <v/>
      </c>
      <c r="B627" s="2">
        <f>HYPERLINK("https://edmondsonsupply.com/products/klein-tools-32907-7-in-1-impact-flip-socket-set-no-handle", "https://edmondsonsupply.com/products/klein-tools-32907-7-in-1-impact-flip-socket-set-no-handle")</f>
        <v/>
      </c>
      <c r="C627" t="inlineStr">
        <is>
          <t>Klein Tools 32907 7-in-1 Impact Flip Socket Set, No Handle</t>
        </is>
      </c>
      <c r="D627" t="inlineStr">
        <is>
          <t>Klein Tools 80027 Screwdriver Set, 11-in-1 Multi-bit Screwdriver, 6-in-1 Stubby Screwdriver &amp; Impact Driver, 7-in-1 Impact Flip Socket Set, 6 Hex Driver Sizes plus a 1/4-Inch Bit Holder 32907</t>
        </is>
      </c>
      <c r="E627" s="2">
        <f>HYPERLINK("https://www.amazon.com/Klein-Tools-Screwdriver-Multi-bit-Stubby/dp/B0CF2F1JXG/ref=sr_1_3?keywords=Klein+Tools+32907+7-in-1+Impact+Flip+Socket+Set%2C+No+Handle&amp;qid=1695173886&amp;sr=8-3", "https://www.amazon.com/Klein-Tools-Screwdriver-Multi-bit-Stubby/dp/B0CF2F1JXG/ref=sr_1_3?keywords=Klein+Tools+32907+7-in-1+Impact+Flip+Socket+Set%2C+No+Handle&amp;qid=1695173886&amp;sr=8-3")</f>
        <v/>
      </c>
      <c r="F627" t="inlineStr">
        <is>
          <t>B0CF2F1JXG</t>
        </is>
      </c>
      <c r="G627">
        <f>_xludf.IMAGE("https://edmondsonsupply.com/cdn/shop/products/32907_b.jpg?v=1666025282")</f>
        <v/>
      </c>
      <c r="H627">
        <f>_xludf.IMAGE("https://m.media-amazon.com/images/I/41r3ulT1BkL._AC_UL320_.jpg")</f>
        <v/>
      </c>
      <c r="I627" t="inlineStr">
        <is>
          <t>19.99</t>
        </is>
      </c>
      <c r="J627" t="n">
        <v>41.98</v>
      </c>
      <c r="K627" s="3" t="inlineStr">
        <is>
          <t>110.01%</t>
        </is>
      </c>
      <c r="L627" t="n">
        <v>4.8</v>
      </c>
      <c r="M627" t="n">
        <v>13277</v>
      </c>
      <c r="O627" t="inlineStr">
        <is>
          <t>InStock</t>
        </is>
      </c>
      <c r="P627" t="inlineStr">
        <is>
          <t>29.18</t>
        </is>
      </c>
      <c r="Q627" t="inlineStr">
        <is>
          <t>7856653009112</t>
        </is>
      </c>
    </row>
    <row r="628">
      <c r="A628" s="2">
        <f>HYPERLINK("https://edmondsonsupply.com/collections/electricians-tools/products/klein-tools-50031-ratcheting-pvc-cutter", "https://edmondsonsupply.com/collections/electricians-tools/products/klein-tools-50031-ratcheting-pvc-cutter")</f>
        <v/>
      </c>
      <c r="B628" s="2">
        <f>HYPERLINK("https://edmondsonsupply.com/products/klein-tools-50031-ratcheting-pvc-cutter", "https://edmondsonsupply.com/products/klein-tools-50031-ratcheting-pvc-cutter")</f>
        <v/>
      </c>
      <c r="C628" t="inlineStr">
        <is>
          <t>Klein Tools 50031 Ratcheting PVC Cutter</t>
        </is>
      </c>
      <c r="D628" t="inlineStr">
        <is>
          <t>Klein Tools 50034 Large Capacity Ratcheting PVC Cutter</t>
        </is>
      </c>
      <c r="E628" s="2">
        <f>HYPERLINK("https://www.amazon.com/Capacity-Ratcheting-Klein-Tools-50034/dp/B019875KC8/ref=sr_1_5?keywords=Klein+Tools+50031+Ratcheting+PVC+Cutter&amp;qid=1695174227&amp;sr=8-5", "https://www.amazon.com/Capacity-Ratcheting-Klein-Tools-50034/dp/B019875KC8/ref=sr_1_5?keywords=Klein+Tools+50031+Ratcheting+PVC+Cutter&amp;qid=1695174227&amp;sr=8-5")</f>
        <v/>
      </c>
      <c r="F628" t="inlineStr">
        <is>
          <t>B019875KC8</t>
        </is>
      </c>
      <c r="G628">
        <f>_xludf.IMAGE("https://edmondsonsupply.com/cdn/shop/products/50031.jpg?v=1587145344")</f>
        <v/>
      </c>
      <c r="H628">
        <f>_xludf.IMAGE("https://m.media-amazon.com/images/I/51bEAgYDRXL._AC_UL320_.jpg")</f>
        <v/>
      </c>
      <c r="I628" t="inlineStr">
        <is>
          <t>94.99</t>
        </is>
      </c>
      <c r="J628" t="n">
        <v>197.99</v>
      </c>
      <c r="K628" s="3" t="inlineStr">
        <is>
          <t>108.43%</t>
        </is>
      </c>
      <c r="L628" t="n">
        <v>5</v>
      </c>
      <c r="M628" t="n">
        <v>10</v>
      </c>
      <c r="O628" t="inlineStr">
        <is>
          <t>InStock</t>
        </is>
      </c>
      <c r="P628" t="inlineStr">
        <is>
          <t>143.9</t>
        </is>
      </c>
      <c r="Q628" t="inlineStr">
        <is>
          <t>4385929920612</t>
        </is>
      </c>
    </row>
    <row r="629">
      <c r="A629" s="2">
        <f>HYPERLINK("https://edmondsonsupply.com/collections/electricians-tools/products/greenlee-gsb06-1-2-step-bit-6", "https://edmondsonsupply.com/collections/electricians-tools/products/greenlee-gsb06-1-2-step-bit-6")</f>
        <v/>
      </c>
      <c r="B629" s="2">
        <f>HYPERLINK("https://edmondsonsupply.com/products/greenlee-gsb06-1-2-step-bit-6", "https://edmondsonsupply.com/products/greenlee-gsb06-1-2-step-bit-6")</f>
        <v/>
      </c>
      <c r="C629" t="inlineStr">
        <is>
          <t>Greenlee GSB06 1/2" Step Bit (#6)</t>
        </is>
      </c>
      <c r="D629" t="inlineStr">
        <is>
          <t>Greenlee GSB09 1-1/8" Step Bit (#9) Metal Cutter with Patented Split-Step Design, 1-1/8" Metal Cutting Tool for 1/2" Drill Chucks</t>
        </is>
      </c>
      <c r="E629" s="2">
        <f>HYPERLINK("https://www.amazon.com/Greenlee-Patented-Split-Step-Design-Cutting/dp/B08TVGF4MS/ref=sr_1_4?keywords=Greenlee+GSB06+1%2F2%22+Step+Bit+%28%236%29&amp;qid=1695173911&amp;sr=8-4", "https://www.amazon.com/Greenlee-Patented-Split-Step-Design-Cutting/dp/B08TVGF4MS/ref=sr_1_4?keywords=Greenlee+GSB06+1%2F2%22+Step+Bit+%28%236%29&amp;qid=1695173911&amp;sr=8-4")</f>
        <v/>
      </c>
      <c r="F629" t="inlineStr">
        <is>
          <t>B08TVGF4MS</t>
        </is>
      </c>
      <c r="G629">
        <f>_xludf.IMAGE("https://edmondsonsupply.com/cdn/shop/files/GSB06_CAT1_72dpi.jpg?v=1687788659")</f>
        <v/>
      </c>
      <c r="H629">
        <f>_xludf.IMAGE("https://m.media-amazon.com/images/I/41J5YEXJLpL._AC_UY218_.jpg")</f>
        <v/>
      </c>
      <c r="I629" t="inlineStr">
        <is>
          <t>32.89</t>
        </is>
      </c>
      <c r="J629" t="n">
        <v>68.43000000000001</v>
      </c>
      <c r="K629" s="3" t="inlineStr">
        <is>
          <t>108.06%</t>
        </is>
      </c>
      <c r="L629" t="n">
        <v>3.8</v>
      </c>
      <c r="M629" t="n">
        <v>5</v>
      </c>
      <c r="O629" t="inlineStr">
        <is>
          <t>InStock</t>
        </is>
      </c>
      <c r="P629" t="inlineStr">
        <is>
          <t>33.55</t>
        </is>
      </c>
      <c r="Q629" t="inlineStr">
        <is>
          <t>8009318367448</t>
        </is>
      </c>
    </row>
    <row r="630">
      <c r="A630" s="2">
        <f>HYPERLINK("https://edmondsonsupply.com/collections/electricians-tools/products/milwaukee-49-56-0509-diamond-max%E2%84%A2-hole-saws", "https://edmondsonsupply.com/collections/electricians-tools/products/milwaukee-49-56-0509-diamond-max%E2%84%A2-hole-saws")</f>
        <v/>
      </c>
      <c r="B630" s="2">
        <f>HYPERLINK("https://edmondsonsupply.com/products/milwaukee-49-56-0509-diamond-max%e2%84%a2-hole-saws", "https://edmondsonsupply.com/products/milwaukee-49-56-0509-diamond-max%e2%84%a2-hole-saws")</f>
        <v/>
      </c>
      <c r="C630" t="inlineStr">
        <is>
          <t>Milwaukee 49-56-0509 3/8" Diamond MAX™ Hole Saw</t>
        </is>
      </c>
      <c r="D630" t="inlineStr">
        <is>
          <t>Milwaukee Electric Tool 49-56-0305 Recessed Light Hole Saw, 6-3/8" D</t>
        </is>
      </c>
      <c r="E630" s="2">
        <f>HYPERLINK("https://www.amazon.com/Milwaukee-Electric-Tool-49-56-0305-Recessed/dp/B000CSWEXG/ref=sr_1_6?keywords=Milwaukee+49-56-0509+3%2F8%22+Diamond+MAX%E2%84%A2+Hole+Saw&amp;qid=1695174089&amp;sr=8-6", "https://www.amazon.com/Milwaukee-Electric-Tool-49-56-0305-Recessed/dp/B000CSWEXG/ref=sr_1_6?keywords=Milwaukee+49-56-0509+3%2F8%22+Diamond+MAX%E2%84%A2+Hole+Saw&amp;qid=1695174089&amp;sr=8-6")</f>
        <v/>
      </c>
      <c r="F630" t="inlineStr">
        <is>
          <t>B000CSWEXG</t>
        </is>
      </c>
      <c r="G630">
        <f>_xludf.IMAGE("https://edmondsonsupply.com/cdn/shop/products/images.jpg?v=1678461630")</f>
        <v/>
      </c>
      <c r="H630">
        <f>_xludf.IMAGE("https://m.media-amazon.com/images/I/81M-n8hCg6L._AC_UL320_.jpg")</f>
        <v/>
      </c>
      <c r="I630" t="inlineStr">
        <is>
          <t>19.98</t>
        </is>
      </c>
      <c r="J630" t="n">
        <v>41.47</v>
      </c>
      <c r="K630" s="3" t="inlineStr">
        <is>
          <t>107.56%</t>
        </is>
      </c>
      <c r="L630" t="n">
        <v>4.7</v>
      </c>
      <c r="M630" t="n">
        <v>282</v>
      </c>
      <c r="O630" t="inlineStr">
        <is>
          <t>InStock</t>
        </is>
      </c>
      <c r="P630" t="inlineStr">
        <is>
          <t>30.9</t>
        </is>
      </c>
      <c r="Q630" t="inlineStr">
        <is>
          <t>7910281019608</t>
        </is>
      </c>
    </row>
    <row r="631">
      <c r="A631" s="2">
        <f>HYPERLINK("https://edmondsonsupply.com/collections/electricians-tools/products/klein-tools-66070-flip-impact-socket-set-7-piece", "https://edmondsonsupply.com/collections/electricians-tools/products/klein-tools-66070-flip-impact-socket-set-7-piece")</f>
        <v/>
      </c>
      <c r="B631" s="2">
        <f>HYPERLINK("https://edmondsonsupply.com/products/klein-tools-66070-flip-impact-socket-set-7-piece", "https://edmondsonsupply.com/products/klein-tools-66070-flip-impact-socket-set-7-piece")</f>
        <v/>
      </c>
      <c r="C631" t="inlineStr">
        <is>
          <t>Klein Tools 66070 Flip Impact Socket Set, 7-Piece</t>
        </is>
      </c>
      <c r="D631" t="inlineStr">
        <is>
          <t>Wera 056490 Tool-Check Plus Bit Ratchet Set with Sockets - Metric &amp; Impact Driver, 7-in-1 Impact Flip Socket Set, 6 Hex Driver Sizes plus a 1/4-Inch Bit Holder Klein Tools 32907</t>
        </is>
      </c>
      <c r="E631" s="2">
        <f>HYPERLINK("https://www.amazon.com/Wera-056490-Tool-Check-Ratchet-Sockets/dp/B0C3MY7J6Z/ref=sr_1_5?keywords=Klein+Tools+66070+Flip+Impact+Socket+Set%2C+7-Piece&amp;qid=1695173845&amp;sr=8-5", "https://www.amazon.com/Wera-056490-Tool-Check-Ratchet-Sockets/dp/B0C3MY7J6Z/ref=sr_1_5?keywords=Klein+Tools+66070+Flip+Impact+Socket+Set%2C+7-Piece&amp;qid=1695173845&amp;sr=8-5")</f>
        <v/>
      </c>
      <c r="F631" t="inlineStr">
        <is>
          <t>B0C3MY7J6Z</t>
        </is>
      </c>
      <c r="G631">
        <f>_xludf.IMAGE("https://edmondsonsupply.com/cdn/shop/products/66070_b.jpg?v=1663251434")</f>
        <v/>
      </c>
      <c r="H631">
        <f>_xludf.IMAGE("https://m.media-amazon.com/images/I/51rgYJySnHL._AC_UL320_.jpg")</f>
        <v/>
      </c>
      <c r="I631" t="inlineStr">
        <is>
          <t>49.97</t>
        </is>
      </c>
      <c r="J631" t="n">
        <v>103.56</v>
      </c>
      <c r="K631" s="3" t="inlineStr">
        <is>
          <t>107.24%</t>
        </is>
      </c>
      <c r="L631" t="n">
        <v>4.8</v>
      </c>
      <c r="M631" t="n">
        <v>11932</v>
      </c>
      <c r="O631" t="inlineStr">
        <is>
          <t>InStock</t>
        </is>
      </c>
      <c r="P631" t="inlineStr">
        <is>
          <t>69.98</t>
        </is>
      </c>
      <c r="Q631" t="inlineStr">
        <is>
          <t>7817421127896</t>
        </is>
      </c>
    </row>
    <row r="632">
      <c r="A632" s="2">
        <f>HYPERLINK("https://edmondsonsupply.com/collections/electricians-tools/products/klein-tools-ncvt1xt-non-contact-voltage-tester-70-to-1000v-ac", "https://edmondsonsupply.com/collections/electricians-tools/products/klein-tools-ncvt1xt-non-contact-voltage-tester-70-to-1000v-ac")</f>
        <v/>
      </c>
      <c r="B632" s="2">
        <f>HYPERLINK("https://edmondsonsupply.com/products/klein-tools-ncvt1xt-non-contact-voltage-tester-70-to-1000v-ac", "https://edmondsonsupply.com/products/klein-tools-ncvt1xt-non-contact-voltage-tester-70-to-1000v-ac")</f>
        <v/>
      </c>
      <c r="C632" t="inlineStr">
        <is>
          <t>Klein Tools NCVT1XT Non-Contact Voltage Tester, 70 to 1000V AC</t>
        </is>
      </c>
      <c r="D632" t="inlineStr">
        <is>
          <t>Klein Tools RT250 GFCI Outlet Tester with LCD Display, Electric Voltage Tester &amp; NCVT1XT Voltage Tester, Non-Contact Voltage Detector Pen, 70V to 1000V AC</t>
        </is>
      </c>
      <c r="E632" s="2">
        <f>HYPERLINK("https://www.amazon.com/Klein-Tools-Electric-Non-Contact-Detector/dp/B0CB14H87T/ref=sr_1_2?keywords=Klein+Tools+NCVT1XT+Non-Contact+Voltage+Tester%2C+70+to+1000V+AC&amp;qid=1695174075&amp;sr=8-2", "https://www.amazon.com/Klein-Tools-Electric-Non-Contact-Detector/dp/B0CB14H87T/ref=sr_1_2?keywords=Klein+Tools+NCVT1XT+Non-Contact+Voltage+Tester%2C+70+to+1000V+AC&amp;qid=1695174075&amp;sr=8-2")</f>
        <v/>
      </c>
      <c r="F632" t="inlineStr">
        <is>
          <t>B0CB14H87T</t>
        </is>
      </c>
      <c r="G632">
        <f>_xludf.IMAGE("https://edmondsonsupply.com/cdn/shop/products/ncvt1xt.jpg?v=1674496568")</f>
        <v/>
      </c>
      <c r="H632">
        <f>_xludf.IMAGE("https://m.media-amazon.com/images/I/51L3qoakqzL._AC_UL320_.jpg")</f>
        <v/>
      </c>
      <c r="I632" t="inlineStr">
        <is>
          <t>19.97</t>
        </is>
      </c>
      <c r="J632" t="n">
        <v>41.31</v>
      </c>
      <c r="K632" s="3" t="inlineStr">
        <is>
          <t>106.86%</t>
        </is>
      </c>
      <c r="L632" t="n">
        <v>4.8</v>
      </c>
      <c r="M632" t="n">
        <v>7966</v>
      </c>
      <c r="O632" t="inlineStr">
        <is>
          <t>InStock</t>
        </is>
      </c>
      <c r="P632" t="inlineStr">
        <is>
          <t>26.32</t>
        </is>
      </c>
      <c r="Q632" t="inlineStr">
        <is>
          <t>7931947155672</t>
        </is>
      </c>
    </row>
    <row r="633">
      <c r="A633" s="2">
        <f>HYPERLINK("https://edmondsonsupply.com/collections/electricians-tools/products/milwaukee-48-22-1521-compact-folding-knife", "https://edmondsonsupply.com/collections/electricians-tools/products/milwaukee-48-22-1521-compact-folding-knife")</f>
        <v/>
      </c>
      <c r="B633" s="2">
        <f>HYPERLINK("https://edmondsonsupply.com/products/milwaukee-48-22-1521-compact-folding-knife", "https://edmondsonsupply.com/products/milwaukee-48-22-1521-compact-folding-knife")</f>
        <v/>
      </c>
      <c r="C633" t="inlineStr">
        <is>
          <t>Milwaukee 48-22-1521 Compact Folding Knife</t>
        </is>
      </c>
      <c r="D633" t="inlineStr">
        <is>
          <t>For Milwaukee Tool 48-22-1505 Fastback™ 6In1 Folding Utility Knife</t>
        </is>
      </c>
      <c r="E633" s="2">
        <f>HYPERLINK("https://www.amazon.com/Milwaukee-48-22-1505-FastbackTM-Folding-Utility/dp/B0C69TGH9K/ref=sr_1_2?keywords=Milwaukee+48-22-1521+Compact+Folding+Knife&amp;qid=1695174090&amp;sr=8-2", "https://www.amazon.com/Milwaukee-48-22-1505-FastbackTM-Folding-Utility/dp/B0C69TGH9K/ref=sr_1_2?keywords=Milwaukee+48-22-1521+Compact+Folding+Knife&amp;qid=1695174090&amp;sr=8-2")</f>
        <v/>
      </c>
      <c r="F633" t="inlineStr">
        <is>
          <t>B0C69TGH9K</t>
        </is>
      </c>
      <c r="G633">
        <f>_xludf.IMAGE("https://edmondsonsupply.com/cdn/shop/products/48-22-1521_1.webp?v=1675359641")</f>
        <v/>
      </c>
      <c r="H633">
        <f>_xludf.IMAGE("https://m.media-amazon.com/images/I/41ZUsUsHByL._AC_UL320_.jpg")</f>
        <v/>
      </c>
      <c r="I633" t="inlineStr">
        <is>
          <t>12.97</t>
        </is>
      </c>
      <c r="J633" t="n">
        <v>26.75</v>
      </c>
      <c r="K633" s="3" t="inlineStr">
        <is>
          <t>106.25%</t>
        </is>
      </c>
      <c r="L633" t="n">
        <v>4.7</v>
      </c>
      <c r="M633" t="n">
        <v>4</v>
      </c>
      <c r="O633" t="inlineStr">
        <is>
          <t>InStock</t>
        </is>
      </c>
      <c r="P633" t="inlineStr">
        <is>
          <t>15.5</t>
        </is>
      </c>
      <c r="Q633" t="inlineStr">
        <is>
          <t>7937891827928</t>
        </is>
      </c>
    </row>
    <row r="634">
      <c r="A634" s="2">
        <f>HYPERLINK("https://edmondsonsupply.com/collections/electricians-tools/products/klein-tools-65200-electricians-mini-ratchet-set-5-piece", "https://edmondsonsupply.com/collections/electricians-tools/products/klein-tools-65200-electricians-mini-ratchet-set-5-piece")</f>
        <v/>
      </c>
      <c r="B634" s="2">
        <f>HYPERLINK("https://edmondsonsupply.com/products/klein-tools-65200-electricians-mini-ratchet-set-5-piece", "https://edmondsonsupply.com/products/klein-tools-65200-electricians-mini-ratchet-set-5-piece")</f>
        <v/>
      </c>
      <c r="C634" t="inlineStr">
        <is>
          <t>Klein Tools 65200 Slim-Profile Mini Ratchet Set, 5-Piece</t>
        </is>
      </c>
      <c r="D634" t="inlineStr">
        <is>
          <t>Klein Tools 65200 Ratchet Set, 5-Piece Mini Ratchet Set &amp; 32308 Multi-bit Stubby Screwdriver, Impact Rated 8-in-1 Adjustable Magnetic Tool with Phillips, Slotted, Square and Nut Driver</t>
        </is>
      </c>
      <c r="E634" s="2">
        <f>HYPERLINK("https://www.amazon.com/Klein-Tools-Multi-bit-Screwdriver-Adjustable/dp/B0BCT97D2B/ref=sr_1_3?keywords=Klein+Tools+65200+Slim-Profile+Mini+Ratchet+Set%2C+5-Piece&amp;qid=1695173845&amp;sr=8-3", "https://www.amazon.com/Klein-Tools-Multi-bit-Screwdriver-Adjustable/dp/B0BCT97D2B/ref=sr_1_3?keywords=Klein+Tools+65200+Slim-Profile+Mini+Ratchet+Set%2C+5-Piece&amp;qid=1695173845&amp;sr=8-3")</f>
        <v/>
      </c>
      <c r="F634" t="inlineStr">
        <is>
          <t>B0BCT97D2B</t>
        </is>
      </c>
      <c r="G634">
        <f>_xludf.IMAGE("https://edmondsonsupply.com/cdn/shop/products/65200.jpg?v=1633030630")</f>
        <v/>
      </c>
      <c r="H634">
        <f>_xludf.IMAGE("https://m.media-amazon.com/images/I/51FhukkqNXL._AC_UL320_.jpg")</f>
        <v/>
      </c>
      <c r="I634" t="inlineStr">
        <is>
          <t>15.97</t>
        </is>
      </c>
      <c r="J634" t="n">
        <v>32.93</v>
      </c>
      <c r="K634" s="3" t="inlineStr">
        <is>
          <t>106.20%</t>
        </is>
      </c>
      <c r="L634" t="n">
        <v>5</v>
      </c>
      <c r="M634" t="n">
        <v>7</v>
      </c>
      <c r="O634" t="inlineStr">
        <is>
          <t>InStock</t>
        </is>
      </c>
      <c r="P634" t="inlineStr">
        <is>
          <t>20.96</t>
        </is>
      </c>
      <c r="Q634" t="inlineStr">
        <is>
          <t>5694440964264</t>
        </is>
      </c>
    </row>
    <row r="635">
      <c r="A635" s="2">
        <f>HYPERLINK("https://edmondsonsupply.com/collections/electricians-tools/products/klein-tools-vdv427-300-impact-punchdown-tool-66-110-blade", "https://edmondsonsupply.com/collections/electricians-tools/products/klein-tools-vdv427-300-impact-punchdown-tool-66-110-blade")</f>
        <v/>
      </c>
      <c r="B635" s="2">
        <f>HYPERLINK("https://edmondsonsupply.com/products/klein-tools-vdv427-300-impact-punchdown-tool-66-110-blade", "https://edmondsonsupply.com/products/klein-tools-vdv427-300-impact-punchdown-tool-66-110-blade")</f>
        <v/>
      </c>
      <c r="C635" t="inlineStr">
        <is>
          <t>Klein Tools VDV427-300 Impact Punchdown Tool, 66/110 Blade</t>
        </is>
      </c>
      <c r="D635" t="inlineStr">
        <is>
          <t>Klein Tools 46039 Cable Splicer's Kit with Free-Fall Snip &amp; VDV427-300 Impact Punchdown Tool, 66/110 Blade</t>
        </is>
      </c>
      <c r="E635" s="2">
        <f>HYPERLINK("https://www.amazon.com/Klein-Tools-Free-Fall-VDV427-300-Punchdown/dp/B0BD3YB2HS/ref=sr_1_8?keywords=Klein+Tools+VDV427-300+Impact+Punchdown+Tool%2C+66%2F110+Blade&amp;qid=1695174221&amp;sr=8-8", "https://www.amazon.com/Klein-Tools-Free-Fall-VDV427-300-Punchdown/dp/B0BD3YB2HS/ref=sr_1_8?keywords=Klein+Tools+VDV427-300+Impact+Punchdown+Tool%2C+66%2F110+Blade&amp;qid=1695174221&amp;sr=8-8")</f>
        <v/>
      </c>
      <c r="F635" t="inlineStr">
        <is>
          <t>B0BD3YB2HS</t>
        </is>
      </c>
      <c r="G635">
        <f>_xludf.IMAGE("https://edmondsonsupply.com/cdn/shop/products/vdv427300.jpg?v=1646010568")</f>
        <v/>
      </c>
      <c r="H635">
        <f>_xludf.IMAGE("https://m.media-amazon.com/images/I/51JNLLq52ZL._AC_UL320_.jpg")</f>
        <v/>
      </c>
      <c r="I635" t="inlineStr">
        <is>
          <t>39.97</t>
        </is>
      </c>
      <c r="J635" t="n">
        <v>82</v>
      </c>
      <c r="K635" s="3" t="inlineStr">
        <is>
          <t>105.15%</t>
        </is>
      </c>
      <c r="L635" t="n">
        <v>4</v>
      </c>
      <c r="M635" t="n">
        <v>1</v>
      </c>
      <c r="O635" t="inlineStr">
        <is>
          <t>InStock</t>
        </is>
      </c>
      <c r="P635" t="inlineStr">
        <is>
          <t>55.98</t>
        </is>
      </c>
      <c r="Q635" t="inlineStr">
        <is>
          <t>7620069818584</t>
        </is>
      </c>
    </row>
    <row r="636">
      <c r="A636" s="2">
        <f>HYPERLINK("https://edmondsonsupply.com/collections/electricians-tools/products/klein-tools-605-6-1-4-inch-cabinet-tip-screwdriver-heavy-duty-6-inch", "https://edmondsonsupply.com/collections/electricians-tools/products/klein-tools-605-6-1-4-inch-cabinet-tip-screwdriver-heavy-duty-6-inch")</f>
        <v/>
      </c>
      <c r="B636" s="2">
        <f>HYPERLINK("https://edmondsonsupply.com/products/klein-tools-605-6-1-4-inch-cabinet-tip-screwdriver-heavy-duty-6-inch", "https://edmondsonsupply.com/products/klein-tools-605-6-1-4-inch-cabinet-tip-screwdriver-heavy-duty-6-inch")</f>
        <v/>
      </c>
      <c r="C636" t="inlineStr">
        <is>
          <t>Klein Tools 605-6 1/4-Inch Cabinet Tip Screwdriver, Heavy Duty, 6-Inch</t>
        </is>
      </c>
      <c r="D636" t="inlineStr">
        <is>
          <t>Klein Tools 603-4 Screwdriver, 2 Phillips Tip with Cushion Grip Handle, Precision Machined Electrician Screwdriver, 8-Inch &amp; 605-6 1/4-Inch Cabinet Tip Screwdriver, Heavy Duty, 6-Inch</t>
        </is>
      </c>
      <c r="E636" s="2">
        <f>HYPERLINK("https://www.amazon.com/Klein-Tools-Screwdriver-Precision-Electrician/dp/B0BR23NNNH/ref=sr_1_2?keywords=Klein+Tools+605-6+1%2F4-Inch+Cabinet+Tip+Screwdriver%2C+Heavy+Duty%2C+6-Inch&amp;qid=1695173888&amp;sr=8-2", "https://www.amazon.com/Klein-Tools-Screwdriver-Precision-Electrician/dp/B0BR23NNNH/ref=sr_1_2?keywords=Klein+Tools+605-6+1%2F4-Inch+Cabinet+Tip+Screwdriver%2C+Heavy+Duty%2C+6-Inch&amp;qid=1695173888&amp;sr=8-2")</f>
        <v/>
      </c>
      <c r="F636" t="inlineStr">
        <is>
          <t>B0BR23NNNH</t>
        </is>
      </c>
      <c r="G636">
        <f>_xludf.IMAGE("https://edmondsonsupply.com/cdn/shop/products/605-6.jpg?v=1587149759")</f>
        <v/>
      </c>
      <c r="H636">
        <f>_xludf.IMAGE("https://m.media-amazon.com/images/I/316TumgEKzL._AC_UL320_.jpg")</f>
        <v/>
      </c>
      <c r="I636" t="inlineStr">
        <is>
          <t>9.49</t>
        </is>
      </c>
      <c r="J636" t="n">
        <v>19.38</v>
      </c>
      <c r="K636" s="3" t="inlineStr">
        <is>
          <t>104.21%</t>
        </is>
      </c>
      <c r="L636" t="n">
        <v>5</v>
      </c>
      <c r="M636" t="n">
        <v>3</v>
      </c>
      <c r="O636" t="inlineStr">
        <is>
          <t>InStock</t>
        </is>
      </c>
      <c r="P636" t="inlineStr">
        <is>
          <t>14.38</t>
        </is>
      </c>
      <c r="Q636" t="inlineStr">
        <is>
          <t>4512371310692</t>
        </is>
      </c>
    </row>
    <row r="637">
      <c r="A637" s="2">
        <f>HYPERLINK("https://edmondsonsupply.com/collections/electricians-tools/products/klein-tools-jth9m8-8-mm-hex-key-journeyman%E2%84%A2-t-handle-9-inch", "https://edmondsonsupply.com/collections/electricians-tools/products/klein-tools-jth9m8-8-mm-hex-key-journeyman%E2%84%A2-t-handle-9-inch")</f>
        <v/>
      </c>
      <c r="B637" s="2">
        <f>HYPERLINK("https://edmondsonsupply.com/products/klein-tools-jth9m8-8-mm-hex-key-journeyman%e2%84%a2-t-handle-9-inch", "https://edmondsonsupply.com/products/klein-tools-jth9m8-8-mm-hex-key-journeyman%e2%84%a2-t-handle-9-inch")</f>
        <v/>
      </c>
      <c r="C637" t="inlineStr">
        <is>
          <t>Klein Tools JTH9M8 8 mm Hex Key, Journeyman™ T-Handle, 9-Inch</t>
        </is>
      </c>
      <c r="D637" t="inlineStr">
        <is>
          <t>Klein Tools JTH9M8 8 mm Hex Key with Journeyman T-Handle, 9-Inch</t>
        </is>
      </c>
      <c r="E637" s="2">
        <f>HYPERLINK("https://www.amazon.com/Journeyman-T-Handle-Klein-Tools-JTH9M8/dp/B005G3HJSC/ref=sr_1_1?keywords=Klein+Tools+JTH9M8+8+mm+Hex+Key%2C+Journeyman%E2%84%A2+T-Handle%2C+9-Inch&amp;qid=1695174169&amp;sr=8-1", "https://www.amazon.com/Journeyman-T-Handle-Klein-Tools-JTH9M8/dp/B005G3HJSC/ref=sr_1_1?keywords=Klein+Tools+JTH9M8+8+mm+Hex+Key%2C+Journeyman%E2%84%A2+T-Handle%2C+9-Inch&amp;qid=1695174169&amp;sr=8-1")</f>
        <v/>
      </c>
      <c r="F637" t="inlineStr">
        <is>
          <t>B005G3HJSC</t>
        </is>
      </c>
      <c r="G637">
        <f>_xludf.IMAGE("https://edmondsonsupply.com/cdn/shop/products/jth6m8_03ba3d30-ff38-4b9e-93e7-b0fc6da199d0.jpg?v=1662658324")</f>
        <v/>
      </c>
      <c r="H637">
        <f>_xludf.IMAGE("https://m.media-amazon.com/images/I/51+1x0vz9XL._AC_UL320_.jpg")</f>
        <v/>
      </c>
      <c r="I637" t="inlineStr">
        <is>
          <t>7.99</t>
        </is>
      </c>
      <c r="J637" t="n">
        <v>16.27</v>
      </c>
      <c r="K637" s="3" t="inlineStr">
        <is>
          <t>103.63%</t>
        </is>
      </c>
      <c r="L637" t="n">
        <v>5</v>
      </c>
      <c r="M637" t="n">
        <v>4</v>
      </c>
      <c r="O637" t="inlineStr">
        <is>
          <t>InStock</t>
        </is>
      </c>
      <c r="P637" t="inlineStr">
        <is>
          <t>12.1</t>
        </is>
      </c>
      <c r="Q637" t="inlineStr">
        <is>
          <t>7809334018264</t>
        </is>
      </c>
    </row>
    <row r="638">
      <c r="A638" s="2">
        <f>HYPERLINK("https://edmondsonsupply.com/collections/electricians-tools/products/rack-a-tiers-80050-the-nut-snugger-magnetic-locknut-holder", "https://edmondsonsupply.com/collections/electricians-tools/products/rack-a-tiers-80050-the-nut-snugger-magnetic-locknut-holder")</f>
        <v/>
      </c>
      <c r="B638" s="2">
        <f>HYPERLINK("https://edmondsonsupply.com/products/rack-a-tiers-80050-the-nut-snugger-magnetic-locknut-holder", "https://edmondsonsupply.com/products/rack-a-tiers-80050-the-nut-snugger-magnetic-locknut-holder")</f>
        <v/>
      </c>
      <c r="C638" t="inlineStr">
        <is>
          <t>Rack-A-Tiers 80050 The Nut Snugger - 1/2" Magnetic Locknut Holder</t>
        </is>
      </c>
      <c r="D638" t="inlineStr">
        <is>
          <t>Rack-A-Tiers Nut Snugger Kit 1ea: 1/2" &amp; 3/4" Magnetic Locknut Holder (80090)</t>
        </is>
      </c>
      <c r="E638" s="2">
        <f>HYPERLINK("https://www.amazon.com/Rack-Tiers-Nut-Snugger-Kit/dp/B0BX4MB59Q/ref=sr_1_1?keywords=Rack-A-Tiers+80050+The+Nut+Snugger+-+1%2F2%22+Magnetic+Locknut+Holder&amp;qid=1695173910&amp;sr=8-1", "https://www.amazon.com/Rack-Tiers-Nut-Snugger-Kit/dp/B0BX4MB59Q/ref=sr_1_1?keywords=Rack-A-Tiers+80050+The+Nut+Snugger+-+1%2F2%22+Magnetic+Locknut+Holder&amp;qid=1695173910&amp;sr=8-1")</f>
        <v/>
      </c>
      <c r="F638" t="inlineStr">
        <is>
          <t>B0BX4MB59Q</t>
        </is>
      </c>
      <c r="G638">
        <f>_xludf.IMAGE("https://edmondsonsupply.com/cdn/shop/products/820XX-Nut-Snugger.png?v=1667152378")</f>
        <v/>
      </c>
      <c r="H638">
        <f>_xludf.IMAGE("https://m.media-amazon.com/images/I/31gF-2h5bgL._AC_UY218_.jpg")</f>
        <v/>
      </c>
      <c r="I638" t="inlineStr">
        <is>
          <t>33.99</t>
        </is>
      </c>
      <c r="J638" t="n">
        <v>68.98999999999999</v>
      </c>
      <c r="K638" s="3" t="inlineStr">
        <is>
          <t>102.97%</t>
        </is>
      </c>
      <c r="L638" t="n">
        <v>5</v>
      </c>
      <c r="M638" t="n">
        <v>2</v>
      </c>
      <c r="O638" t="inlineStr">
        <is>
          <t>InStock</t>
        </is>
      </c>
      <c r="P638" t="inlineStr">
        <is>
          <t>36.49</t>
        </is>
      </c>
      <c r="Q638" t="inlineStr">
        <is>
          <t>7871146983640</t>
        </is>
      </c>
    </row>
    <row r="639">
      <c r="A639" s="2">
        <f>HYPERLINK("https://edmondsonsupply.com/collections/electricians-tools/products/klein-tools-rt250-gfci-receptacle-tester-with-lcd", "https://edmondsonsupply.com/collections/electricians-tools/products/klein-tools-rt250-gfci-receptacle-tester-with-lcd")</f>
        <v/>
      </c>
      <c r="B639" s="2">
        <f>HYPERLINK("https://edmondsonsupply.com/products/klein-tools-rt250-gfci-receptacle-tester-with-lcd", "https://edmondsonsupply.com/products/klein-tools-rt250-gfci-receptacle-tester-with-lcd")</f>
        <v/>
      </c>
      <c r="C639" t="inlineStr">
        <is>
          <t>Klein Tools RT250 GFCI Receptacle Tester with LCD</t>
        </is>
      </c>
      <c r="D639" t="inlineStr">
        <is>
          <t>Klein Tools RT250KIT Non-Contact Voltage Tester and GFCI Receptacle Tester with LCD and Flashlight, Voltage Electrical Test Kit</t>
        </is>
      </c>
      <c r="E639" s="2">
        <f>HYPERLINK("https://www.amazon.com/Non-Contact-Receptacle-Klein-Tools-RT250KIT/dp/B08YDFQ2FV/ref=sr_1_4?keywords=Klein+Tools+RT250+GFCI+Receptacle+Tester+with+LCD&amp;qid=1695174176&amp;sr=8-4", "https://www.amazon.com/Non-Contact-Receptacle-Klein-Tools-RT250KIT/dp/B08YDFQ2FV/ref=sr_1_4?keywords=Klein+Tools+RT250+GFCI+Receptacle+Tester+with+LCD&amp;qid=1695174176&amp;sr=8-4")</f>
        <v/>
      </c>
      <c r="F639" t="inlineStr">
        <is>
          <t>B08YDFQ2FV</t>
        </is>
      </c>
      <c r="G639">
        <f>_xludf.IMAGE("https://edmondsonsupply.com/cdn/shop/products/rt250_photo_c.jpg?v=1661363824")</f>
        <v/>
      </c>
      <c r="H639">
        <f>_xludf.IMAGE("https://m.media-amazon.com/images/I/61WaBlkJfxL._AC_UL320_.jpg")</f>
        <v/>
      </c>
      <c r="I639" t="inlineStr">
        <is>
          <t>21.97</t>
        </is>
      </c>
      <c r="J639" t="n">
        <v>44.54</v>
      </c>
      <c r="K639" s="3" t="inlineStr">
        <is>
          <t>102.73%</t>
        </is>
      </c>
      <c r="L639" t="n">
        <v>4.8</v>
      </c>
      <c r="M639" t="n">
        <v>1269</v>
      </c>
      <c r="O639" t="inlineStr">
        <is>
          <t>InStock</t>
        </is>
      </c>
      <c r="P639" t="inlineStr">
        <is>
          <t>30.78</t>
        </is>
      </c>
      <c r="Q639" t="inlineStr">
        <is>
          <t>7793138729176</t>
        </is>
      </c>
    </row>
    <row r="640">
      <c r="A640" s="2">
        <f>HYPERLINK("https://edmondsonsupply.com/collections/electricians-tools/products/klein-tools-69381-heavy-duty-alligator-clip-test-leads-3-foot", "https://edmondsonsupply.com/collections/electricians-tools/products/klein-tools-69381-heavy-duty-alligator-clip-test-leads-3-foot")</f>
        <v/>
      </c>
      <c r="B640" s="2">
        <f>HYPERLINK("https://edmondsonsupply.com/products/klein-tools-69381-heavy-duty-alligator-clip-test-leads-3-foot", "https://edmondsonsupply.com/products/klein-tools-69381-heavy-duty-alligator-clip-test-leads-3-foot")</f>
        <v/>
      </c>
      <c r="C640" t="inlineStr">
        <is>
          <t>Klein Tools 69381 Heavy-Duty Alligator Clip Test Leads, 3-Foot</t>
        </is>
      </c>
      <c r="D640" t="inlineStr">
        <is>
          <t>Klein Tools 69367 Alligator Clip Test Leads, Heavy-Duty Replacement Meter Leads, for All Meters Using Banana Plug Meter Leads, 10-Foot</t>
        </is>
      </c>
      <c r="E640" s="2">
        <f>HYPERLINK("https://www.amazon.com/Klein-Tools-69367-Heavy-Duty-Replacement/dp/B09YTDG6FQ/ref=sr_1_7?keywords=Klein+Tools+69381+Heavy-Duty+Alligator+Clip+Test+Leads%2C+3-Foot&amp;qid=1695174138&amp;sr=8-7", "https://www.amazon.com/Klein-Tools-69367-Heavy-Duty-Replacement/dp/B09YTDG6FQ/ref=sr_1_7?keywords=Klein+Tools+69381+Heavy-Duty+Alligator+Clip+Test+Leads%2C+3-Foot&amp;qid=1695174138&amp;sr=8-7")</f>
        <v/>
      </c>
      <c r="F640" t="inlineStr">
        <is>
          <t>B09YTDG6FQ</t>
        </is>
      </c>
      <c r="G640">
        <f>_xludf.IMAGE("https://edmondsonsupply.com/cdn/shop/products/69381_photo.jpg?v=1666889006")</f>
        <v/>
      </c>
      <c r="H640">
        <f>_xludf.IMAGE("https://m.media-amazon.com/images/I/51hh7Ca5KIL._AC_UY218_.jpg")</f>
        <v/>
      </c>
      <c r="I640" t="inlineStr">
        <is>
          <t>14.99</t>
        </is>
      </c>
      <c r="J640" t="n">
        <v>30.3</v>
      </c>
      <c r="K640" s="3" t="inlineStr">
        <is>
          <t>102.13%</t>
        </is>
      </c>
      <c r="L640" t="n">
        <v>4.8</v>
      </c>
      <c r="M640" t="n">
        <v>12</v>
      </c>
      <c r="O640" t="inlineStr">
        <is>
          <t>InStock</t>
        </is>
      </c>
      <c r="P640" t="inlineStr">
        <is>
          <t>20.98</t>
        </is>
      </c>
      <c r="Q640" t="inlineStr">
        <is>
          <t>7867714371800</t>
        </is>
      </c>
    </row>
    <row r="641">
      <c r="A641" s="2">
        <f>HYPERLINK("https://edmondsonsupply.com/collections/electricians-tools/products/milwaukee-2553-22", "https://edmondsonsupply.com/collections/electricians-tools/products/milwaukee-2553-22")</f>
        <v/>
      </c>
      <c r="B641" s="2">
        <f>HYPERLINK("https://edmondsonsupply.com/products/milwaukee-2553-22", "https://edmondsonsupply.com/products/milwaukee-2553-22")</f>
        <v/>
      </c>
      <c r="C641" t="inlineStr">
        <is>
          <t>Milwaukee 2553-22 M12 FUEL™ 1/4" Hex Impact Driver Kit</t>
        </is>
      </c>
      <c r="D641" t="inlineStr">
        <is>
          <t>Milwaukee 2853-22 M18 FUEL 1/4" Hex Impact Driver XC Kit</t>
        </is>
      </c>
      <c r="E641" s="2">
        <f>HYPERLINK("https://www.amazon.com/Milwaukee-2853-22-FUEL-Impact-Driver/dp/B07G9H57FM/ref=sr_1_10?keywords=Milwaukee+2553-22+M12+FUEL%E2%84%A2+1%2F4%22+Hex+Impact+Driver+Kit&amp;qid=1695174118&amp;sr=8-10", "https://www.amazon.com/Milwaukee-2853-22-FUEL-Impact-Driver/dp/B07G9H57FM/ref=sr_1_10?keywords=Milwaukee+2553-22+M12+FUEL%E2%84%A2+1%2F4%22+Hex+Impact+Driver+Kit&amp;qid=1695174118&amp;sr=8-10")</f>
        <v/>
      </c>
      <c r="F641" t="inlineStr">
        <is>
          <t>B07G9H57FM</t>
        </is>
      </c>
      <c r="G641">
        <f>_xludf.IMAGE("https://edmondsonsupply.com/cdn/shop/products/2553-22_Kit.webp?v=1668445129")</f>
        <v/>
      </c>
      <c r="H641">
        <f>_xludf.IMAGE("https://m.media-amazon.com/images/I/61U85JXP9NL._AC_UL320_.jpg")</f>
        <v/>
      </c>
      <c r="I641" t="inlineStr">
        <is>
          <t>169.0</t>
        </is>
      </c>
      <c r="J641" t="n">
        <v>339</v>
      </c>
      <c r="K641" s="3" t="inlineStr">
        <is>
          <t>100.59%</t>
        </is>
      </c>
      <c r="L641" t="n">
        <v>4.8</v>
      </c>
      <c r="M641" t="n">
        <v>528</v>
      </c>
      <c r="O641" t="inlineStr">
        <is>
          <t>InStock</t>
        </is>
      </c>
      <c r="P641" t="inlineStr">
        <is>
          <t>299.0</t>
        </is>
      </c>
      <c r="Q641" t="inlineStr">
        <is>
          <t>7884423528664</t>
        </is>
      </c>
    </row>
    <row r="642">
      <c r="A642" s="2">
        <f>HYPERLINK("https://edmondsonsupply.com/collections/electricians-tools/products/klein-tools-60492-lightweight-knee-pad-sleeves-m-l", "https://edmondsonsupply.com/collections/electricians-tools/products/klein-tools-60492-lightweight-knee-pad-sleeves-m-l")</f>
        <v/>
      </c>
      <c r="B642" s="2">
        <f>HYPERLINK("https://edmondsonsupply.com/products/klein-tools-60492-lightweight-knee-pad-sleeves-m-l", "https://edmondsonsupply.com/products/klein-tools-60492-lightweight-knee-pad-sleeves-m-l")</f>
        <v/>
      </c>
      <c r="C642" t="inlineStr">
        <is>
          <t>Klein Tools 60492 Lightweight Knee Pad Sleeves, M/L</t>
        </is>
      </c>
      <c r="D642" t="inlineStr">
        <is>
          <t>Klein Tools 60615 Knee Pad, Heavy Duty Padded Knee Sleeves, Breathable Mesh Back, Elastic Cuff with Slip-Resistant Silicone, S/M, Black</t>
        </is>
      </c>
      <c r="E642" s="2">
        <f>HYPERLINK("https://www.amazon.com/Klein-Tools-60615-Breathable-Slip-Resistant/dp/B0BWB8VW7J/ref=sr_1_3?keywords=Klein+Tools+60492+Lightweight+Knee+Pad+Sleeves%2C+M%2FL&amp;qid=1695174171&amp;sr=8-3", "https://www.amazon.com/Klein-Tools-60615-Breathable-Slip-Resistant/dp/B0BWB8VW7J/ref=sr_1_3?keywords=Klein+Tools+60492+Lightweight+Knee+Pad+Sleeves%2C+M%2FL&amp;qid=1695174171&amp;sr=8-3")</f>
        <v/>
      </c>
      <c r="F642" t="inlineStr">
        <is>
          <t>B0BWB8VW7J</t>
        </is>
      </c>
      <c r="G642">
        <f>_xludf.IMAGE("https://edmondsonsupply.com/cdn/shop/products/60492_60592_photo.jpg?v=1663255234")</f>
        <v/>
      </c>
      <c r="H642">
        <f>_xludf.IMAGE("https://m.media-amazon.com/images/I/61FKkSJ3xeL._AC_UL320_.jpg")</f>
        <v/>
      </c>
      <c r="I642" t="inlineStr">
        <is>
          <t>19.97</t>
        </is>
      </c>
      <c r="J642" t="n">
        <v>39.99</v>
      </c>
      <c r="K642" s="3" t="inlineStr">
        <is>
          <t>100.25%</t>
        </is>
      </c>
      <c r="L642" t="n">
        <v>4</v>
      </c>
      <c r="M642" t="n">
        <v>18</v>
      </c>
      <c r="O642" t="inlineStr">
        <is>
          <t>InStock</t>
        </is>
      </c>
      <c r="P642" t="inlineStr">
        <is>
          <t>27.98</t>
        </is>
      </c>
      <c r="Q642" t="inlineStr">
        <is>
          <t>7817560293592</t>
        </is>
      </c>
    </row>
    <row r="643">
      <c r="A643" s="2">
        <f>HYPERLINK("https://edmondsonsupply.com/collections/electricians-tools/products/klein-tools-56411-rechargeable-waterproof-led-pocket-light-with-lanyard", "https://edmondsonsupply.com/collections/electricians-tools/products/klein-tools-56411-rechargeable-waterproof-led-pocket-light-with-lanyard")</f>
        <v/>
      </c>
      <c r="B643" s="2">
        <f>HYPERLINK("https://edmondsonsupply.com/products/klein-tools-56411-rechargeable-waterproof-led-pocket-light-with-lanyard", "https://edmondsonsupply.com/products/klein-tools-56411-rechargeable-waterproof-led-pocket-light-with-lanyard")</f>
        <v/>
      </c>
      <c r="C643" t="inlineStr">
        <is>
          <t>Klein Tools 56411 Rechargeable Waterproof LED Pocket Light with Lanyard</t>
        </is>
      </c>
      <c r="D643" t="inlineStr">
        <is>
          <t>Klein Tools 80079 Headlamp Kit with Rechargeable LED Headlamp, Pocket Flashlight and Bracketed Headlamp Strap, for Klein Hard Hats, 3-Piece</t>
        </is>
      </c>
      <c r="E643" s="2">
        <f>HYPERLINK("https://www.amazon.com/Klein-Tools-80079-Rechargeable-Flashlight/dp/B0B11GSP2C/ref=sr_1_4?keywords=Klein+Tools+56411+Rechargeable+Waterproof+LED+Pocket+Light+with+Lanyard&amp;qid=1695174156&amp;sr=8-4", "https://www.amazon.com/Klein-Tools-80079-Rechargeable-Flashlight/dp/B0B11GSP2C/ref=sr_1_4?keywords=Klein+Tools+56411+Rechargeable+Waterproof+LED+Pocket+Light+with+Lanyard&amp;qid=1695174156&amp;sr=8-4")</f>
        <v/>
      </c>
      <c r="F643" t="inlineStr">
        <is>
          <t>B0B11GSP2C</t>
        </is>
      </c>
      <c r="G643">
        <f>_xludf.IMAGE("https://edmondsonsupply.com/cdn/shop/products/56411.jpg?v=1663952448")</f>
        <v/>
      </c>
      <c r="H643">
        <f>_xludf.IMAGE("https://m.media-amazon.com/images/I/61kxSho0oaL._AC_UL320_.jpg")</f>
        <v/>
      </c>
      <c r="I643" t="inlineStr">
        <is>
          <t>29.97</t>
        </is>
      </c>
      <c r="J643" t="n">
        <v>59.99</v>
      </c>
      <c r="K643" s="3" t="inlineStr">
        <is>
          <t>100.17%</t>
        </is>
      </c>
      <c r="L643" t="n">
        <v>4.9</v>
      </c>
      <c r="M643" t="n">
        <v>22</v>
      </c>
      <c r="O643" t="inlineStr">
        <is>
          <t>InStock</t>
        </is>
      </c>
      <c r="P643" t="inlineStr">
        <is>
          <t>42.0</t>
        </is>
      </c>
      <c r="Q643" t="inlineStr">
        <is>
          <t>7827354779864</t>
        </is>
      </c>
    </row>
    <row r="644">
      <c r="A644" s="2">
        <f>HYPERLINK("https://edmondsonsupply.com/collections/electricians-tools/products/klein-tools-srs56038-polymer-fish-rod-set-glow-in-the-dark", "https://edmondsonsupply.com/collections/electricians-tools/products/klein-tools-srs56038-polymer-fish-rod-set-glow-in-the-dark")</f>
        <v/>
      </c>
      <c r="B644" s="2">
        <f>HYPERLINK("https://edmondsonsupply.com/products/klein-tools-srs56038-polymer-fish-rod-set-glow-in-the-dark", "https://edmondsonsupply.com/products/klein-tools-srs56038-polymer-fish-rod-set-glow-in-the-dark")</f>
        <v/>
      </c>
      <c r="C644" t="inlineStr">
        <is>
          <t>Klein Tools SRS56038 Polymer Fish Rod Set Glow-in-The-Dark</t>
        </is>
      </c>
      <c r="D644" t="inlineStr">
        <is>
          <t>Klein Tools 50660 Glow In The Dark Fish Tape, Fiberglass with Nylon Tip and Stainless-Steel Connector for Fish Rod Attachments, 40-Foot</t>
        </is>
      </c>
      <c r="E644" s="2">
        <f>HYPERLINK("https://www.amazon.com/Klein-Tools-50660-Stainless-Steel-Attachments/dp/B0BVJXRH9J/ref=sr_1_2?keywords=Klein+Tools+SRS56038+Polymer+Fish+Rod+Set+Glow-in-The-Dark&amp;qid=1695173917&amp;sr=8-2", "https://www.amazon.com/Klein-Tools-50660-Stainless-Steel-Attachments/dp/B0BVJXRH9J/ref=sr_1_2?keywords=Klein+Tools+SRS56038+Polymer+Fish+Rod+Set+Glow-in-The-Dark&amp;qid=1695173917&amp;sr=8-2")</f>
        <v/>
      </c>
      <c r="F644" t="inlineStr">
        <is>
          <t>B0BVJXRH9J</t>
        </is>
      </c>
      <c r="G644">
        <f>_xludf.IMAGE("https://edmondsonsupply.com/cdn/shop/products/srs56038.jpg?v=1633030781")</f>
        <v/>
      </c>
      <c r="H644">
        <f>_xludf.IMAGE("https://m.media-amazon.com/images/I/61TfZQjceGL._AC_UL320_.jpg")</f>
        <v/>
      </c>
      <c r="I644" t="inlineStr">
        <is>
          <t>29.97</t>
        </is>
      </c>
      <c r="J644" t="n">
        <v>59.97</v>
      </c>
      <c r="K644" s="3" t="inlineStr">
        <is>
          <t>100.10%</t>
        </is>
      </c>
      <c r="L644" t="n">
        <v>4.1</v>
      </c>
      <c r="M644" t="n">
        <v>6</v>
      </c>
      <c r="O644" t="inlineStr">
        <is>
          <t>InStock</t>
        </is>
      </c>
      <c r="P644" t="inlineStr">
        <is>
          <t>40.0</t>
        </is>
      </c>
      <c r="Q644" t="inlineStr">
        <is>
          <t>5966785478824</t>
        </is>
      </c>
    </row>
    <row r="645">
      <c r="A645" s="2">
        <f>HYPERLINK("https://edmondsonsupply.com/collections/electricians-tools/products/klein-tools-32305-15-in-1-multi-bit-ratcheting-screwdriver", "https://edmondsonsupply.com/collections/electricians-tools/products/klein-tools-32305-15-in-1-multi-bit-ratcheting-screwdriver")</f>
        <v/>
      </c>
      <c r="B645" s="2">
        <f>HYPERLINK("https://edmondsonsupply.com/products/klein-tools-32305-15-in-1-multi-bit-ratcheting-screwdriver", "https://edmondsonsupply.com/products/klein-tools-32305-15-in-1-multi-bit-ratcheting-screwdriver")</f>
        <v/>
      </c>
      <c r="C645" t="inlineStr">
        <is>
          <t>Klein Tools 32305 15-in-1 Multi-Bit Ratcheting Screwdriver</t>
        </is>
      </c>
      <c r="D645" t="inlineStr">
        <is>
          <t>Klein Tools 80027 Screwdriver Set, 11-in-1 Multi-bit Screwdriver, 6-in-1 Stubby Screwdriver &amp; 32305 Multi-bit Ratcheting Screwdriver, 15-in-1 Tool with Phillips, Slotted, Square</t>
        </is>
      </c>
      <c r="E645" s="2">
        <f>HYPERLINK("https://www.amazon.com/Klein-Tools-Screwdriver-Multi-bit-Ratcheting/dp/B0CGZMVQLX/ref=sr_1_3?keywords=Klein+Tools+32305+15-in-1+Multi-Bit+Ratcheting+Screwdriver&amp;qid=1695174215&amp;sr=8-3", "https://www.amazon.com/Klein-Tools-Screwdriver-Multi-bit-Ratcheting/dp/B0CGZMVQLX/ref=sr_1_3?keywords=Klein+Tools+32305+15-in-1+Multi-Bit+Ratcheting+Screwdriver&amp;qid=1695174215&amp;sr=8-3")</f>
        <v/>
      </c>
      <c r="F645" t="inlineStr">
        <is>
          <t>B0CGZMVQLX</t>
        </is>
      </c>
      <c r="G645">
        <f>_xludf.IMAGE("https://edmondsonsupply.com/cdn/shop/products/32305.jpg?v=1646965475")</f>
        <v/>
      </c>
      <c r="H645">
        <f>_xludf.IMAGE("https://m.media-amazon.com/images/I/517jUHF-i4L._AC_UL320_.jpg")</f>
        <v/>
      </c>
      <c r="I645" t="inlineStr">
        <is>
          <t>21.97</t>
        </is>
      </c>
      <c r="J645" t="n">
        <v>43.96</v>
      </c>
      <c r="K645" s="3" t="inlineStr">
        <is>
          <t>100.09%</t>
        </is>
      </c>
      <c r="L645" t="n">
        <v>4.8</v>
      </c>
      <c r="M645" t="n">
        <v>13277</v>
      </c>
      <c r="O645" t="inlineStr">
        <is>
          <t>InStock</t>
        </is>
      </c>
      <c r="P645" t="inlineStr">
        <is>
          <t>30.78</t>
        </is>
      </c>
      <c r="Q645" t="inlineStr">
        <is>
          <t>7632426598616</t>
        </is>
      </c>
    </row>
    <row r="646">
      <c r="A646" s="2">
        <f>HYPERLINK("https://edmondsonsupply.com/collections/electricians-tools/products/klein-tools-60537-professional-safety-glasses-full-frame-indoor-outdoor-lens", "https://edmondsonsupply.com/collections/electricians-tools/products/klein-tools-60537-professional-safety-glasses-full-frame-indoor-outdoor-lens")</f>
        <v/>
      </c>
      <c r="B646" s="2">
        <f>HYPERLINK("https://edmondsonsupply.com/products/klein-tools-60537-professional-safety-glasses-full-frame-indoor-outdoor-lens", "https://edmondsonsupply.com/products/klein-tools-60537-professional-safety-glasses-full-frame-indoor-outdoor-lens")</f>
        <v/>
      </c>
      <c r="C646" t="inlineStr">
        <is>
          <t>Klein Tools 60537 Professional Safety Glasses, Full-Frame, Indoor/Outdoor Lens</t>
        </is>
      </c>
      <c r="D646" t="inlineStr">
        <is>
          <t>Klein Tools 60539 Safety Glasses, Professional PPE Protective Eyewear, Full Frame, Scratch Resistant and Anti-Fog, Polarized Lens</t>
        </is>
      </c>
      <c r="E646" s="2">
        <f>HYPERLINK("https://www.amazon.com/Klein-Tools-60539-Professional-Protective/dp/B0BLQ6F4MQ/ref=sr_1_3?keywords=Klein+Tools+60537+Professional+Safety+Glasses%2C+Full-Frame%2C+Indoor%2FOutdoor+Lens&amp;qid=1695174097&amp;sr=8-3", "https://www.amazon.com/Klein-Tools-60539-Professional-Protective/dp/B0BLQ6F4MQ/ref=sr_1_3?keywords=Klein+Tools+60537+Professional+Safety+Glasses%2C+Full-Frame%2C+Indoor%2FOutdoor+Lens&amp;qid=1695174097&amp;sr=8-3")</f>
        <v/>
      </c>
      <c r="F646" t="inlineStr">
        <is>
          <t>B0BLQ6F4MQ</t>
        </is>
      </c>
      <c r="G646">
        <f>_xludf.IMAGE("https://edmondsonsupply.com/cdn/shop/products/60537.jpg?v=1670947087")</f>
        <v/>
      </c>
      <c r="H646">
        <f>_xludf.IMAGE("https://m.media-amazon.com/images/I/41z93jotzdL._AC_UL320_.jpg")</f>
        <v/>
      </c>
      <c r="I646" t="inlineStr">
        <is>
          <t>14.99</t>
        </is>
      </c>
      <c r="J646" t="n">
        <v>29.99</v>
      </c>
      <c r="K646" s="3" t="inlineStr">
        <is>
          <t>100.07%</t>
        </is>
      </c>
      <c r="L646" t="n">
        <v>4.4</v>
      </c>
      <c r="M646" t="n">
        <v>11</v>
      </c>
      <c r="O646" t="inlineStr">
        <is>
          <t>InStock</t>
        </is>
      </c>
      <c r="P646" t="inlineStr">
        <is>
          <t>20.98</t>
        </is>
      </c>
      <c r="Q646" t="inlineStr">
        <is>
          <t>7903997493464</t>
        </is>
      </c>
    </row>
    <row r="647">
      <c r="A647" s="2">
        <f>HYPERLINK("https://edmondsonsupply.com/collections/electricians-tools/products/klein-tools-60163-professional-safety-glasses-full-frame-clear-lens", "https://edmondsonsupply.com/collections/electricians-tools/products/klein-tools-60163-professional-safety-glasses-full-frame-clear-lens")</f>
        <v/>
      </c>
      <c r="B647" s="2">
        <f>HYPERLINK("https://edmondsonsupply.com/products/klein-tools-60163-professional-safety-glasses-full-frame-clear-lens", "https://edmondsonsupply.com/products/klein-tools-60163-professional-safety-glasses-full-frame-clear-lens")</f>
        <v/>
      </c>
      <c r="C647" t="inlineStr">
        <is>
          <t>Klein Tools 60163 Professional Safety Glasses, Full Frame, Clear Lens</t>
        </is>
      </c>
      <c r="D647" t="inlineStr">
        <is>
          <t>Klein Tools 60539 Safety Glasses, Professional PPE Protective Eyewear, Full Frame, Scratch Resistant and Anti-Fog, Polarized Lens</t>
        </is>
      </c>
      <c r="E647" s="2">
        <f>HYPERLINK("https://www.amazon.com/Klein-Tools-60539-Professional-Protective/dp/B0BLQ6F4MQ/ref=sr_1_9?keywords=Klein+Tools+60163+Professional+Safety+Glasses%2C+Full+Frame%2C+Clear+Lens&amp;qid=1695174311&amp;sr=8-9", "https://www.amazon.com/Klein-Tools-60539-Professional-Protective/dp/B0BLQ6F4MQ/ref=sr_1_9?keywords=Klein+Tools+60163+Professional+Safety+Glasses%2C+Full+Frame%2C+Clear+Lens&amp;qid=1695174311&amp;sr=8-9")</f>
        <v/>
      </c>
      <c r="F647" t="inlineStr">
        <is>
          <t>B0BLQ6F4MQ</t>
        </is>
      </c>
      <c r="G647">
        <f>_xludf.IMAGE("https://edmondsonsupply.com/cdn/shop/products/60163.jpg?v=1633030848")</f>
        <v/>
      </c>
      <c r="H647">
        <f>_xludf.IMAGE("https://m.media-amazon.com/images/I/41z93jotzdL._AC_UL320_.jpg")</f>
        <v/>
      </c>
      <c r="I647" t="inlineStr">
        <is>
          <t>14.99</t>
        </is>
      </c>
      <c r="J647" t="n">
        <v>29.99</v>
      </c>
      <c r="K647" s="3" t="inlineStr">
        <is>
          <t>100.07%</t>
        </is>
      </c>
      <c r="L647" t="n">
        <v>4.4</v>
      </c>
      <c r="M647" t="n">
        <v>11</v>
      </c>
      <c r="O647" t="inlineStr">
        <is>
          <t>InStock</t>
        </is>
      </c>
      <c r="P647" t="inlineStr">
        <is>
          <t>20.98</t>
        </is>
      </c>
      <c r="Q647" t="inlineStr">
        <is>
          <t>6094353039533</t>
        </is>
      </c>
    </row>
    <row r="648">
      <c r="A648" s="2">
        <f>HYPERLINK("https://edmondsonsupply.com/collections/electricians-tools/products/klein-tools-60164-professional-safety-glasses-full-frame-gray-lens", "https://edmondsonsupply.com/collections/electricians-tools/products/klein-tools-60164-professional-safety-glasses-full-frame-gray-lens")</f>
        <v/>
      </c>
      <c r="B648" s="2">
        <f>HYPERLINK("https://edmondsonsupply.com/products/klein-tools-60164-professional-safety-glasses-full-frame-gray-lens", "https://edmondsonsupply.com/products/klein-tools-60164-professional-safety-glasses-full-frame-gray-lens")</f>
        <v/>
      </c>
      <c r="C648" t="inlineStr">
        <is>
          <t>Klein Tools 60164 Professional Safety Glasses, Full Frame, Gray Lens</t>
        </is>
      </c>
      <c r="D648" t="inlineStr">
        <is>
          <t>Klein Tools 60539 Safety Glasses, Professional PPE Protective Eyewear, Full Frame, Scratch Resistant and Anti-Fog, Polarized Lens</t>
        </is>
      </c>
      <c r="E648" s="2">
        <f>HYPERLINK("https://www.amazon.com/Klein-Tools-60539-Professional-Protective/dp/B0BLQ6F4MQ/ref=sr_1_7?keywords=Klein+Tools+60164+Professional+Safety+Glasses%2C+Full+Frame%2C+Gray+Lens&amp;qid=1695173933&amp;sr=8-7", "https://www.amazon.com/Klein-Tools-60539-Professional-Protective/dp/B0BLQ6F4MQ/ref=sr_1_7?keywords=Klein+Tools+60164+Professional+Safety+Glasses%2C+Full+Frame%2C+Gray+Lens&amp;qid=1695173933&amp;sr=8-7")</f>
        <v/>
      </c>
      <c r="F648" t="inlineStr">
        <is>
          <t>B0BLQ6F4MQ</t>
        </is>
      </c>
      <c r="G648">
        <f>_xludf.IMAGE("https://edmondsonsupply.com/cdn/shop/products/60164.jpg?v=1633030851")</f>
        <v/>
      </c>
      <c r="H648">
        <f>_xludf.IMAGE("https://m.media-amazon.com/images/I/41z93jotzdL._AC_UL320_.jpg")</f>
        <v/>
      </c>
      <c r="I648" t="inlineStr">
        <is>
          <t>14.99</t>
        </is>
      </c>
      <c r="J648" t="n">
        <v>29.99</v>
      </c>
      <c r="K648" s="3" t="inlineStr">
        <is>
          <t>100.07%</t>
        </is>
      </c>
      <c r="L648" t="n">
        <v>4.4</v>
      </c>
      <c r="M648" t="n">
        <v>11</v>
      </c>
      <c r="O648" t="inlineStr">
        <is>
          <t>InStock</t>
        </is>
      </c>
      <c r="P648" t="inlineStr">
        <is>
          <t>20.98</t>
        </is>
      </c>
      <c r="Q648" t="inlineStr">
        <is>
          <t>6103189520557</t>
        </is>
      </c>
    </row>
    <row r="649">
      <c r="A649" s="2">
        <f>HYPERLINK("https://edmondsonsupply.com/collections/electricians-tools/products/klein-tools-60614-lightweight-knee-pad-sleeves-s-m", "https://edmondsonsupply.com/collections/electricians-tools/products/klein-tools-60614-lightweight-knee-pad-sleeves-s-m")</f>
        <v/>
      </c>
      <c r="B649" s="2">
        <f>HYPERLINK("https://edmondsonsupply.com/products/klein-tools-60614-lightweight-knee-pad-sleeves-s-m", "https://edmondsonsupply.com/products/klein-tools-60614-lightweight-knee-pad-sleeves-s-m")</f>
        <v/>
      </c>
      <c r="C649" t="inlineStr">
        <is>
          <t>Klein Tools 60614 Lightweight Knee Pad Sleeves, S/M</t>
        </is>
      </c>
      <c r="D649" t="inlineStr">
        <is>
          <t>Klein Tools 60615 Knee Pad, Heavy Duty Padded Knee Sleeves, Breathable Mesh Back, Elastic Cuff with Slip-Resistant Silicone, S/M, Black</t>
        </is>
      </c>
      <c r="E649" s="2">
        <f>HYPERLINK("https://www.amazon.com/Klein-Tools-60615-Breathable-Slip-Resistant/dp/B0BWB8VW7J/ref=sr_1_2?keywords=Klein+Tools+60614+Lightweight+Knee+Pad+Sleeves%2C+S%2FM&amp;qid=1695174023&amp;sr=8-2", "https://www.amazon.com/Klein-Tools-60615-Breathable-Slip-Resistant/dp/B0BWB8VW7J/ref=sr_1_2?keywords=Klein+Tools+60614+Lightweight+Knee+Pad+Sleeves%2C+S%2FM&amp;qid=1695174023&amp;sr=8-2")</f>
        <v/>
      </c>
      <c r="F649" t="inlineStr">
        <is>
          <t>B0BWB8VW7J</t>
        </is>
      </c>
      <c r="G649">
        <f>_xludf.IMAGE("https://edmondsonsupply.com/cdn/shop/products/60492_60592_photo_4859ff57-33ad-45f9-87df-8dc6b9372281.jpg?v=1681742927")</f>
        <v/>
      </c>
      <c r="H649">
        <f>_xludf.IMAGE("https://m.media-amazon.com/images/I/61FKkSJ3xeL._AC_UL320_.jpg")</f>
        <v/>
      </c>
      <c r="I649" t="inlineStr">
        <is>
          <t>19.99</t>
        </is>
      </c>
      <c r="J649" t="n">
        <v>39.99</v>
      </c>
      <c r="K649" s="3" t="inlineStr">
        <is>
          <t>100.05%</t>
        </is>
      </c>
      <c r="L649" t="n">
        <v>4</v>
      </c>
      <c r="M649" t="n">
        <v>18</v>
      </c>
      <c r="O649" t="inlineStr">
        <is>
          <t>InStock</t>
        </is>
      </c>
      <c r="P649" t="inlineStr">
        <is>
          <t>27.98</t>
        </is>
      </c>
      <c r="Q649" t="inlineStr">
        <is>
          <t>7980637356248</t>
        </is>
      </c>
    </row>
    <row r="650">
      <c r="A650" s="2">
        <f>HYPERLINK("https://edmondsonsupply.com/collections/electricians-tools/products/klein-tools-d507-8-adjustable-wrench-extra-capacity-8-inch", "https://edmondsonsupply.com/collections/electricians-tools/products/klein-tools-d507-8-adjustable-wrench-extra-capacity-8-inch")</f>
        <v/>
      </c>
      <c r="B650" s="2">
        <f>HYPERLINK("https://edmondsonsupply.com/products/klein-tools-d507-8-adjustable-wrench-extra-capacity-8-inch", "https://edmondsonsupply.com/products/klein-tools-d507-8-adjustable-wrench-extra-capacity-8-inch")</f>
        <v/>
      </c>
      <c r="C650" t="inlineStr">
        <is>
          <t>Klein Tools D507-8 Adjustable Wrench, Extra Capacity 8-Inch</t>
        </is>
      </c>
      <c r="D650" t="inlineStr">
        <is>
          <t>Klein Tools S18HB Strap Wrench, Adjustable Grip-It Strap Wrench Adjusts 1-1/8 to 8-Inch, 18-Inch Handle</t>
        </is>
      </c>
      <c r="E650" s="2">
        <f>HYPERLINK("https://www.amazon.com/Klein-Tools-S18HB-Adjustable-Adjusts/dp/B0BN4LGV19/ref=sr_1_7?keywords=Klein+Tools+D507-8+Adjustable+Wrench%2C+Extra+Capacity+8-Inch&amp;qid=1695173949&amp;sr=8-7", "https://www.amazon.com/Klein-Tools-S18HB-Adjustable-Adjusts/dp/B0BN4LGV19/ref=sr_1_7?keywords=Klein+Tools+D507-8+Adjustable+Wrench%2C+Extra+Capacity+8-Inch&amp;qid=1695173949&amp;sr=8-7")</f>
        <v/>
      </c>
      <c r="F650" t="inlineStr">
        <is>
          <t>B0BN4LGV19</t>
        </is>
      </c>
      <c r="G650">
        <f>_xludf.IMAGE("https://edmondsonsupply.com/cdn/shop/products/d5078_b.jpg?v=1666010497")</f>
        <v/>
      </c>
      <c r="H650">
        <f>_xludf.IMAGE("https://m.media-amazon.com/images/I/51WZHZOQNPL._AC_UL320_.jpg")</f>
        <v/>
      </c>
      <c r="I650" t="inlineStr">
        <is>
          <t>29.99</t>
        </is>
      </c>
      <c r="J650" t="n">
        <v>59.99</v>
      </c>
      <c r="K650" s="3" t="inlineStr">
        <is>
          <t>100.03%</t>
        </is>
      </c>
      <c r="L650" t="n">
        <v>4.2</v>
      </c>
      <c r="M650" t="n">
        <v>9</v>
      </c>
      <c r="O650" t="inlineStr">
        <is>
          <t>InStock</t>
        </is>
      </c>
      <c r="P650" t="inlineStr">
        <is>
          <t>45.44</t>
        </is>
      </c>
      <c r="Q650" t="inlineStr">
        <is>
          <t>4353085014116</t>
        </is>
      </c>
    </row>
    <row r="651">
      <c r="A651" s="2">
        <f>HYPERLINK("https://edmondsonsupply.com/collections/electricians-tools/products/klein-tools-60345-hard-hat-earmuffs-full-brim-style", "https://edmondsonsupply.com/collections/electricians-tools/products/klein-tools-60345-hard-hat-earmuffs-full-brim-style")</f>
        <v/>
      </c>
      <c r="B651" s="2">
        <f>HYPERLINK("https://edmondsonsupply.com/products/klein-tools-60345-hard-hat-earmuffs-full-brim-style", "https://edmondsonsupply.com/products/klein-tools-60345-hard-hat-earmuffs-full-brim-style")</f>
        <v/>
      </c>
      <c r="C651" t="inlineStr">
        <is>
          <t>Klein Tools 60502 Hard Hat Earmuffs, Full Brim Style</t>
        </is>
      </c>
      <c r="D651" t="inlineStr">
        <is>
          <t>Klein Tools 60407RL Hard Hat, Rechargeable Headlamp, Vented, Full Brim Style, Padded Self-Wicking Odor-Resistant Sweatband, White, Large</t>
        </is>
      </c>
      <c r="E651" s="2">
        <f>HYPERLINK("https://www.amazon.com/Klein-Tools-60407RL-Rechargeable-Odor-Resistant/dp/B08DDTV9M3/ref=sr_1_7?keywords=Klein+Tools+60502+Hard+Hat+Earmuffs%2C+Full+Brim+Style&amp;qid=1695174082&amp;sr=8-7", "https://www.amazon.com/Klein-Tools-60407RL-Rechargeable-Odor-Resistant/dp/B08DDTV9M3/ref=sr_1_7?keywords=Klein+Tools+60502+Hard+Hat+Earmuffs%2C+Full+Brim+Style&amp;qid=1695174082&amp;sr=8-7")</f>
        <v/>
      </c>
      <c r="F651" t="inlineStr">
        <is>
          <t>B08DDTV9M3</t>
        </is>
      </c>
      <c r="G651">
        <f>_xludf.IMAGE("https://edmondsonsupply.com/cdn/shop/products/60502.jpg?v=1674486730")</f>
        <v/>
      </c>
      <c r="H651">
        <f>_xludf.IMAGE("https://m.media-amazon.com/images/I/61w2MM+yDgL._AC_UL320_.jpg")</f>
        <v/>
      </c>
      <c r="I651" t="inlineStr">
        <is>
          <t>29.99</t>
        </is>
      </c>
      <c r="J651" t="n">
        <v>59.99</v>
      </c>
      <c r="K651" s="3" t="inlineStr">
        <is>
          <t>100.03%</t>
        </is>
      </c>
      <c r="L651" t="n">
        <v>4.7</v>
      </c>
      <c r="M651" t="n">
        <v>1577</v>
      </c>
      <c r="O651" t="inlineStr">
        <is>
          <t>InStock</t>
        </is>
      </c>
      <c r="P651" t="inlineStr">
        <is>
          <t>41.98</t>
        </is>
      </c>
      <c r="Q651" t="inlineStr">
        <is>
          <t>7931874869464</t>
        </is>
      </c>
    </row>
    <row r="652">
      <c r="A652" s="2">
        <f>HYPERLINK("https://edmondsonsupply.com/collections/electricians-tools/products/klein-tools-32717-all-in-1-precision-screwdriver-set-with-case", "https://edmondsonsupply.com/collections/electricians-tools/products/klein-tools-32717-all-in-1-precision-screwdriver-set-with-case")</f>
        <v/>
      </c>
      <c r="B652" s="2">
        <f>HYPERLINK("https://edmondsonsupply.com/products/klein-tools-32717-all-in-1-precision-screwdriver-set-with-case", "https://edmondsonsupply.com/products/klein-tools-32717-all-in-1-precision-screwdriver-set-with-case")</f>
        <v/>
      </c>
      <c r="C652" t="inlineStr">
        <is>
          <t>Klein Tools 32717 All-in-1 Precision Screwdriver Set with Case</t>
        </is>
      </c>
      <c r="D652" t="inlineStr">
        <is>
          <t>Klein Tools 32510 Magnetic Multibit Screwdriver &amp; 32717 Precision Screwdriver Set with Case, All-in-One Multi-Function Repair Tool Kit Includes 39 Bits for Apple Products</t>
        </is>
      </c>
      <c r="E652" s="2">
        <f>HYPERLINK("https://www.amazon.com/Klein-Tools-Screwdriver-Precision-Multi-Function/dp/B0BGPXB5KD/ref=sr_1_2?keywords=Klein+Tools+32717+All-in-1+Precision+Screwdriver+Set+with+Case&amp;qid=1695174242&amp;sr=8-2", "https://www.amazon.com/Klein-Tools-Screwdriver-Precision-Multi-Function/dp/B0BGPXB5KD/ref=sr_1_2?keywords=Klein+Tools+32717+All-in-1+Precision+Screwdriver+Set+with+Case&amp;qid=1695174242&amp;sr=8-2")</f>
        <v/>
      </c>
      <c r="F652" t="inlineStr">
        <is>
          <t>B0BGPXB5KD</t>
        </is>
      </c>
      <c r="G652">
        <f>_xludf.IMAGE("https://edmondsonsupply.com/cdn/shop/products/32717.jpg?v=1633031161")</f>
        <v/>
      </c>
      <c r="H652">
        <f>_xludf.IMAGE("https://m.media-amazon.com/images/I/51iOtnRuEmL._AC_UL320_.jpg")</f>
        <v/>
      </c>
      <c r="I652" t="inlineStr">
        <is>
          <t>29.97</t>
        </is>
      </c>
      <c r="J652" t="n">
        <v>59.94</v>
      </c>
      <c r="K652" s="3" t="inlineStr">
        <is>
          <t>100.00%</t>
        </is>
      </c>
      <c r="L652" t="n">
        <v>3.9</v>
      </c>
      <c r="M652" t="n">
        <v>4</v>
      </c>
      <c r="O652" t="inlineStr">
        <is>
          <t>InStock</t>
        </is>
      </c>
      <c r="P652" t="inlineStr">
        <is>
          <t>41.98</t>
        </is>
      </c>
      <c r="Q652" t="inlineStr">
        <is>
          <t>6897560453293</t>
        </is>
      </c>
    </row>
    <row r="653">
      <c r="A653" s="2">
        <f>HYPERLINK("https://edmondsonsupply.com/collections/electricians-tools/products/klein-tools-33736ins", "https://edmondsonsupply.com/collections/electricians-tools/products/klein-tools-33736ins")</f>
        <v/>
      </c>
      <c r="B653" s="2">
        <f>HYPERLINK("https://edmondsonsupply.com/products/klein-tools-33736ins", "https://edmondsonsupply.com/products/klein-tools-33736ins")</f>
        <v/>
      </c>
      <c r="C653" t="inlineStr">
        <is>
          <t>Klein Tools 33736INS Screwdriver Set, 1000V Slim-Tip Insulated and Magnetizer, 6-Piece</t>
        </is>
      </c>
      <c r="D653" t="inlineStr">
        <is>
          <t>Klein Tools 33736INS Klein Tools 33736INS Insulated Screwdriver Set, 6-Piece &amp; 32288 Insulated Screwdriver, 8-in-1 Screwdriver Set with Interchangeable Blades, 3 Phillips, 3 Slotted and 2 Square Tips</t>
        </is>
      </c>
      <c r="E653" s="2">
        <f>HYPERLINK("https://www.amazon.com/Klein-Tools-Insulated-Screwdriver-Interchangeable/dp/B0BFXQ67BR/ref=sr_1_4?keywords=Klein+Tools+33736INS+Screwdriver+Set%2C+1000V+Slim-Tip+Insulated+and+Magnetizer%2C+6-Piece&amp;qid=1695173911&amp;sr=8-4", "https://www.amazon.com/Klein-Tools-Insulated-Screwdriver-Interchangeable/dp/B0BFXQ67BR/ref=sr_1_4?keywords=Klein+Tools+33736INS+Screwdriver+Set%2C+1000V+Slim-Tip+Insulated+and+Magnetizer%2C+6-Piece&amp;qid=1695173911&amp;sr=8-4")</f>
        <v/>
      </c>
      <c r="F653" t="inlineStr">
        <is>
          <t>B0BFXQ67BR</t>
        </is>
      </c>
      <c r="G653">
        <f>_xludf.IMAGE("https://edmondsonsupply.com/cdn/shop/products/33736ins.jpg?v=1664807705")</f>
        <v/>
      </c>
      <c r="H653">
        <f>_xludf.IMAGE("https://m.media-amazon.com/images/I/51RxT3qQViL._AC_UL320_.jpg")</f>
        <v/>
      </c>
      <c r="I653" t="inlineStr">
        <is>
          <t>49.99</t>
        </is>
      </c>
      <c r="J653" t="n">
        <v>99.98</v>
      </c>
      <c r="K653" s="3" t="inlineStr">
        <is>
          <t>100.00%</t>
        </is>
      </c>
      <c r="L653" t="n">
        <v>5</v>
      </c>
      <c r="M653" t="n">
        <v>1</v>
      </c>
      <c r="O653" t="inlineStr">
        <is>
          <t>InStock</t>
        </is>
      </c>
      <c r="P653" t="inlineStr">
        <is>
          <t>73.98</t>
        </is>
      </c>
      <c r="Q653" t="inlineStr">
        <is>
          <t>7837641375960</t>
        </is>
      </c>
    </row>
    <row r="654">
      <c r="A654" s="2">
        <f>HYPERLINK("https://edmondsonsupply.com/collections/electricians-tools/products/klein-tools-94130-1000v-insulated-tool-kit-5-piece", "https://edmondsonsupply.com/collections/electricians-tools/products/klein-tools-94130-1000v-insulated-tool-kit-5-piece")</f>
        <v/>
      </c>
      <c r="B654" s="2">
        <f>HYPERLINK("https://edmondsonsupply.com/products/klein-tools-94130-1000v-insulated-tool-kit-5-piece", "https://edmondsonsupply.com/products/klein-tools-94130-1000v-insulated-tool-kit-5-piece")</f>
        <v/>
      </c>
      <c r="C654" t="inlineStr">
        <is>
          <t>Klein Tools 94130 1000V Insulated Tool Kit, 5-Piece</t>
        </is>
      </c>
      <c r="D654" t="inlineStr">
        <is>
          <t>Klein Tools 80021 Tool Set, Screwdriver and Nut Driver Tool Kit, 16-Piece &amp; 94130 1000V Insulated Screwdriver Tool Set with #2 Phillips and 1/4-Inch Cabinet Slim Tips, 2 Pliers and Wire Stripper</t>
        </is>
      </c>
      <c r="E654" s="2">
        <f>HYPERLINK("https://www.amazon.com/Klein-Tools-Screwdriver-16-Piece-Insulated/dp/B0BD4188RR/ref=sr_1_5?keywords=Klein+Tools+94130+1000V+Insulated+Tool+Kit%2C+5-Piece&amp;qid=1695173888&amp;sr=8-5", "https://www.amazon.com/Klein-Tools-Screwdriver-16-Piece-Insulated/dp/B0BD4188RR/ref=sr_1_5?keywords=Klein+Tools+94130+1000V+Insulated+Tool+Kit%2C+5-Piece&amp;qid=1695173888&amp;sr=8-5")</f>
        <v/>
      </c>
      <c r="F654" t="inlineStr">
        <is>
          <t>B0BD4188RR</t>
        </is>
      </c>
      <c r="G654">
        <f>_xludf.IMAGE("https://edmondsonsupply.com/cdn/shop/products/94130.jpg?v=1633030386")</f>
        <v/>
      </c>
      <c r="H654">
        <f>_xludf.IMAGE("https://m.media-amazon.com/images/I/51KtSSZfJ+L._AC_UL320_.jpg")</f>
        <v/>
      </c>
      <c r="I654" t="inlineStr">
        <is>
          <t>99.99</t>
        </is>
      </c>
      <c r="J654" t="n">
        <v>199.98</v>
      </c>
      <c r="K654" s="3" t="inlineStr">
        <is>
          <t>100.00%</t>
        </is>
      </c>
      <c r="L654" t="n">
        <v>5</v>
      </c>
      <c r="M654" t="n">
        <v>1</v>
      </c>
      <c r="O654" t="inlineStr">
        <is>
          <t>InStock</t>
        </is>
      </c>
      <c r="P654" t="inlineStr">
        <is>
          <t>149.98</t>
        </is>
      </c>
      <c r="Q654" t="inlineStr">
        <is>
          <t>5299145146536</t>
        </is>
      </c>
    </row>
    <row r="655">
      <c r="A655" s="2">
        <f>HYPERLINK("https://edmondsonsupply.com/collections/electricians-tools/products/channellock-432", "https://edmondsonsupply.com/collections/electricians-tools/products/channellock-432")</f>
        <v/>
      </c>
      <c r="B655" s="2">
        <f>HYPERLINK("https://edmondsonsupply.com/products/channellock-432", "https://edmondsonsupply.com/products/channellock-432")</f>
        <v/>
      </c>
      <c r="C655" t="inlineStr">
        <is>
          <t>Channellock 440 12" Straight Jaw Tongue &amp; Groove Pliers</t>
        </is>
      </c>
      <c r="D655" t="inlineStr">
        <is>
          <t>Channellock 440 Tongue and Groove Pliers | 12-Inch Straight Jaw Groove Joint Plier with Comfort Grips| Made in USA, Black, Blue, Silver &amp; 442 Tongue and Groove Pliers, 12 In, Black, Blue, Silver</t>
        </is>
      </c>
      <c r="E655" s="2">
        <f>HYPERLINK("https://www.amazon.com/Channellock-Tongue-12-Inch-Straight-Comfort/dp/B0BFXP68V9/ref=sr_1_5?keywords=Channellock+440+12%22+Straight+Jaw+Tongue+%26+Groove+Pliers&amp;qid=1695173955&amp;sr=8-5", "https://www.amazon.com/Channellock-Tongue-12-Inch-Straight-Comfort/dp/B0BFXP68V9/ref=sr_1_5?keywords=Channellock+440+12%22+Straight+Jaw+Tongue+%26+Groove+Pliers&amp;qid=1695173955&amp;sr=8-5")</f>
        <v/>
      </c>
      <c r="F655" t="inlineStr">
        <is>
          <t>B0BFXP68V9</t>
        </is>
      </c>
      <c r="G655">
        <f>_xludf.IMAGE("https://edmondsonsupply.com/cdn/shop/products/440-546x1024.jpg?v=1587148892")</f>
        <v/>
      </c>
      <c r="H655">
        <f>_xludf.IMAGE("https://m.media-amazon.com/images/I/41d-z+Tl0SL._AC_UL320_.jpg")</f>
        <v/>
      </c>
      <c r="I655" t="inlineStr">
        <is>
          <t>21.95</t>
        </is>
      </c>
      <c r="J655" t="n">
        <v>43.9</v>
      </c>
      <c r="K655" s="3" t="inlineStr">
        <is>
          <t>100.00%</t>
        </is>
      </c>
      <c r="L655" t="n">
        <v>5</v>
      </c>
      <c r="M655" t="n">
        <v>2</v>
      </c>
      <c r="O655" t="inlineStr">
        <is>
          <t>InStock</t>
        </is>
      </c>
      <c r="P655" t="inlineStr">
        <is>
          <t>29.82</t>
        </is>
      </c>
      <c r="Q655" t="inlineStr">
        <is>
          <t>3553495908452</t>
        </is>
      </c>
    </row>
    <row r="656">
      <c r="A656" s="2">
        <f>HYPERLINK("https://edmondsonsupply.com/collections/electricians-tools/products/klein-tools-32907-7-in-1-impact-flip-socket-set-no-handle", "https://edmondsonsupply.com/collections/electricians-tools/products/klein-tools-32907-7-in-1-impact-flip-socket-set-no-handle")</f>
        <v/>
      </c>
      <c r="B656" s="2">
        <f>HYPERLINK("https://edmondsonsupply.com/products/klein-tools-32907-7-in-1-impact-flip-socket-set-no-handle", "https://edmondsonsupply.com/products/klein-tools-32907-7-in-1-impact-flip-socket-set-no-handle")</f>
        <v/>
      </c>
      <c r="C656" t="inlineStr">
        <is>
          <t>Klein Tools 32907 7-in-1 Impact Flip Socket Set, No Handle</t>
        </is>
      </c>
      <c r="D656" t="inlineStr">
        <is>
          <t>Wiha 70487 6 Piece Color Coded Magnetic Nut Setter Metric Set &amp; Impact Driver, 7-in-1 Impact Flip Socket Set, 6 Hex Driver Sizes Plus a 1/4-Inch Bit Holder Klein Tools 32907</t>
        </is>
      </c>
      <c r="E656" s="2">
        <f>HYPERLINK("https://www.amazon.com/Wiha-Magnetic-Setter-Metric-Impact/dp/B0C3BBFJC3/ref=sr_1_2?keywords=Klein+Tools+32907+7-in-1+Impact+Flip+Socket+Set%2C+No+Handle&amp;qid=1695173886&amp;sr=8-2", "https://www.amazon.com/Wiha-Magnetic-Setter-Metric-Impact/dp/B0C3BBFJC3/ref=sr_1_2?keywords=Klein+Tools+32907+7-in-1+Impact+Flip+Socket+Set%2C+No+Handle&amp;qid=1695173886&amp;sr=8-2")</f>
        <v/>
      </c>
      <c r="F656" t="inlineStr">
        <is>
          <t>B0C3BBFJC3</t>
        </is>
      </c>
      <c r="G656">
        <f>_xludf.IMAGE("https://edmondsonsupply.com/cdn/shop/products/32907_b.jpg?v=1666025282")</f>
        <v/>
      </c>
      <c r="H656">
        <f>_xludf.IMAGE("https://m.media-amazon.com/images/I/41L9R5NZDWL._AC_UL320_.jpg")</f>
        <v/>
      </c>
      <c r="I656" t="inlineStr">
        <is>
          <t>19.99</t>
        </is>
      </c>
      <c r="J656" t="n">
        <v>39.98</v>
      </c>
      <c r="K656" s="3" t="inlineStr">
        <is>
          <t>100.00%</t>
        </is>
      </c>
      <c r="L656" t="n">
        <v>4.6</v>
      </c>
      <c r="M656" t="n">
        <v>143</v>
      </c>
      <c r="O656" t="inlineStr">
        <is>
          <t>InStock</t>
        </is>
      </c>
      <c r="P656" t="inlineStr">
        <is>
          <t>29.18</t>
        </is>
      </c>
      <c r="Q656" t="inlineStr">
        <is>
          <t>7856653009112</t>
        </is>
      </c>
    </row>
    <row r="657">
      <c r="A657" s="2">
        <f>HYPERLINK("https://edmondsonsupply.com/collections/electricians-tools/products/klein-tools-56221-led-clip-light", "https://edmondsonsupply.com/collections/electricians-tools/products/klein-tools-56221-led-clip-light")</f>
        <v/>
      </c>
      <c r="B657" s="2">
        <f>HYPERLINK("https://edmondsonsupply.com/products/klein-tools-56221-led-clip-light", "https://edmondsonsupply.com/products/klein-tools-56221-led-clip-light")</f>
        <v/>
      </c>
      <c r="C657" t="inlineStr">
        <is>
          <t>Klein Tools 56221 LED Clip Light</t>
        </is>
      </c>
      <c r="D657" t="inlineStr">
        <is>
          <t>Klein Tools 56412 Rechargeable LED Flashlight with Worklight, 500 Lumens, USB Charging Cable, Pocket Clip, Battery Life Indicator, Magnetic</t>
        </is>
      </c>
      <c r="E657" s="2">
        <f>HYPERLINK("https://www.amazon.com/Rechargeable-Flashlight-Worklight-Klein-Tools/dp/B0947YMH51/ref=sr_1_7?keywords=Klein+Tools+56221+LED+Clip+Light&amp;qid=1695174297&amp;sr=8-7", "https://www.amazon.com/Rechargeable-Flashlight-Worklight-Klein-Tools/dp/B0947YMH51/ref=sr_1_7?keywords=Klein+Tools+56221+LED+Clip+Light&amp;qid=1695174297&amp;sr=8-7")</f>
        <v/>
      </c>
      <c r="F657" t="inlineStr">
        <is>
          <t>B0947YMH51</t>
        </is>
      </c>
      <c r="G657">
        <f>_xludf.IMAGE("https://edmondsonsupply.com/cdn/shop/products/56221.jpg?v=1633030868")</f>
        <v/>
      </c>
      <c r="H657">
        <f>_xludf.IMAGE("https://m.media-amazon.com/images/I/51Of8ojN4aS._AC_UL320_.jpg")</f>
        <v/>
      </c>
      <c r="I657" t="inlineStr">
        <is>
          <t>19.99</t>
        </is>
      </c>
      <c r="J657" t="n">
        <v>39.97</v>
      </c>
      <c r="K657" s="3" t="inlineStr">
        <is>
          <t>99.95%</t>
        </is>
      </c>
      <c r="L657" t="n">
        <v>4.6</v>
      </c>
      <c r="M657" t="n">
        <v>424</v>
      </c>
      <c r="O657" t="inlineStr">
        <is>
          <t>InStock</t>
        </is>
      </c>
      <c r="P657" t="inlineStr">
        <is>
          <t>29.96</t>
        </is>
      </c>
      <c r="Q657" t="inlineStr">
        <is>
          <t>6135824285869</t>
        </is>
      </c>
    </row>
    <row r="658">
      <c r="A658" s="2">
        <f>HYPERLINK("https://edmondsonsupply.com/collections/electricians-tools/products/klein-tools-ncvt1xt-non-contact-voltage-tester-70-to-1000v-ac", "https://edmondsonsupply.com/collections/electricians-tools/products/klein-tools-ncvt1xt-non-contact-voltage-tester-70-to-1000v-ac")</f>
        <v/>
      </c>
      <c r="B658" s="2">
        <f>HYPERLINK("https://edmondsonsupply.com/products/klein-tools-ncvt1xt-non-contact-voltage-tester-70-to-1000v-ac", "https://edmondsonsupply.com/products/klein-tools-ncvt1xt-non-contact-voltage-tester-70-to-1000v-ac")</f>
        <v/>
      </c>
      <c r="C658" t="inlineStr">
        <is>
          <t>Klein Tools NCVT1XT Non-Contact Voltage Tester, 70 to 1000V AC</t>
        </is>
      </c>
      <c r="D658" t="inlineStr">
        <is>
          <t>Klein Tools NCVT-3 Voltage Tester, Non-Contact Dual Range Voltage Tester Pen for AC Testing with Integrated Flashlight</t>
        </is>
      </c>
      <c r="E658" s="2">
        <f>HYPERLINK("https://www.amazon.com/Non-Contact-Voltage-Flashlight-Klein-Tools/dp/B00XJQ9ZE4/ref=sr_1_10?keywords=Klein+Tools+NCVT1XT+Non-Contact+Voltage+Tester%2C+70+to+1000V+AC&amp;qid=1695174075&amp;sr=8-10", "https://www.amazon.com/Non-Contact-Voltage-Flashlight-Klein-Tools/dp/B00XJQ9ZE4/ref=sr_1_10?keywords=Klein+Tools+NCVT1XT+Non-Contact+Voltage+Tester%2C+70+to+1000V+AC&amp;qid=1695174075&amp;sr=8-10")</f>
        <v/>
      </c>
      <c r="F658" t="inlineStr">
        <is>
          <t>B00XJQ9ZE4</t>
        </is>
      </c>
      <c r="G658">
        <f>_xludf.IMAGE("https://edmondsonsupply.com/cdn/shop/products/ncvt1xt.jpg?v=1674496568")</f>
        <v/>
      </c>
      <c r="H658">
        <f>_xludf.IMAGE("https://m.media-amazon.com/images/I/51dcyyMwUjL._AC_UL320_.jpg")</f>
        <v/>
      </c>
      <c r="I658" t="inlineStr">
        <is>
          <t>19.97</t>
        </is>
      </c>
      <c r="J658" t="n">
        <v>39.89</v>
      </c>
      <c r="K658" s="3" t="inlineStr">
        <is>
          <t>99.75%</t>
        </is>
      </c>
      <c r="L658" t="n">
        <v>4.5</v>
      </c>
      <c r="M658" t="n">
        <v>1685</v>
      </c>
      <c r="O658" t="inlineStr">
        <is>
          <t>InStock</t>
        </is>
      </c>
      <c r="P658" t="inlineStr">
        <is>
          <t>26.32</t>
        </is>
      </c>
      <c r="Q658" t="inlineStr">
        <is>
          <t>7931947155672</t>
        </is>
      </c>
    </row>
    <row r="659">
      <c r="A659" s="2">
        <f>HYPERLINK("https://edmondsonsupply.com/collections/electricians-tools/products/klein-tools-50900r-locknut-wrench-set", "https://edmondsonsupply.com/collections/electricians-tools/products/klein-tools-50900r-locknut-wrench-set")</f>
        <v/>
      </c>
      <c r="B659" s="2">
        <f>HYPERLINK("https://edmondsonsupply.com/products/klein-tools-50900r-locknut-wrench-set", "https://edmondsonsupply.com/products/klein-tools-50900r-locknut-wrench-set")</f>
        <v/>
      </c>
      <c r="C659" t="inlineStr">
        <is>
          <t>Klein Tools 50900R Locknut Wrench Set</t>
        </is>
      </c>
      <c r="D659" t="inlineStr">
        <is>
          <t>Klein Tools 32581INS Precision Screwdriver, 2-in-1 Insulated Screwdriver &amp; 50900R Conduit Lockout Wrench Set, Tighten and Loosen Locknuts in Tight Spaces, 1/2, 3/4 and 1-Inch, 3-Piece</t>
        </is>
      </c>
      <c r="E659" s="2">
        <f>HYPERLINK("https://www.amazon.com/Klein-Tools-Precision-Screwdriver-Insulated/dp/B0CGZJYYV9/ref=sr_1_2?keywords=Klein+Tools+50900R+Locknut+Wrench+Set&amp;qid=1695174005&amp;sr=8-2", "https://www.amazon.com/Klein-Tools-Precision-Screwdriver-Insulated/dp/B0CGZJYYV9/ref=sr_1_2?keywords=Klein+Tools+50900R+Locknut+Wrench+Set&amp;qid=1695174005&amp;sr=8-2")</f>
        <v/>
      </c>
      <c r="F659" t="inlineStr">
        <is>
          <t>B0CGZJYYV9</t>
        </is>
      </c>
      <c r="G659">
        <f>_xludf.IMAGE("https://edmondsonsupply.com/cdn/shop/files/50900r.jpg?v=1689789107")</f>
        <v/>
      </c>
      <c r="H659">
        <f>_xludf.IMAGE("https://m.media-amazon.com/images/I/41gr5JfVk8L._AC_UL320_.jpg")</f>
        <v/>
      </c>
      <c r="I659" t="inlineStr">
        <is>
          <t>14.99</t>
        </is>
      </c>
      <c r="J659" t="n">
        <v>29.94</v>
      </c>
      <c r="K659" s="3" t="inlineStr">
        <is>
          <t>99.73%</t>
        </is>
      </c>
      <c r="L659" t="n">
        <v>4.7</v>
      </c>
      <c r="M659" t="n">
        <v>90</v>
      </c>
      <c r="O659" t="inlineStr">
        <is>
          <t>InStock</t>
        </is>
      </c>
      <c r="P659" t="inlineStr">
        <is>
          <t>22.46</t>
        </is>
      </c>
      <c r="Q659" t="inlineStr">
        <is>
          <t>8018543968472</t>
        </is>
      </c>
    </row>
    <row r="660">
      <c r="A660" s="2">
        <f>HYPERLINK("https://edmondsonsupply.com/collections/electricians-tools/products/klein-tools-3005cr-ratcheting-crimper-10-22-awg", "https://edmondsonsupply.com/collections/electricians-tools/products/klein-tools-3005cr-ratcheting-crimper-10-22-awg")</f>
        <v/>
      </c>
      <c r="B660" s="2">
        <f>HYPERLINK("https://edmondsonsupply.com/products/klein-tools-3005cr-ratcheting-crimper-10-22-awg", "https://edmondsonsupply.com/products/klein-tools-3005cr-ratcheting-crimper-10-22-awg")</f>
        <v/>
      </c>
      <c r="C660" t="inlineStr">
        <is>
          <t>Klein Tools 3005CR Ratcheting Crimper, 10-22 AWG - Insulated Terminals</t>
        </is>
      </c>
      <c r="D660" t="inlineStr">
        <is>
          <t>Klein Tools 3005CR Wire Crimper Tool &amp; 1005 Cutting/Crimping Tool for 10-22 AWG Terminals and Connectors, Terminal Crimper for Insulated and Non-Insulated Terminals</t>
        </is>
      </c>
      <c r="E660" s="2">
        <f>HYPERLINK("https://www.amazon.com/Klein-Tools-Terminals-Connectors-Non-Insulated/dp/B09T6YD8X4/ref=sr_1_3?keywords=Klein+Tools+3005CR+Ratcheting+Crimper%2C+10-22+AWG+-+Insulated+Terminals&amp;qid=1695173864&amp;sr=8-3", "https://www.amazon.com/Klein-Tools-Terminals-Connectors-Non-Insulated/dp/B09T6YD8X4/ref=sr_1_3?keywords=Klein+Tools+3005CR+Ratcheting+Crimper%2C+10-22+AWG+-+Insulated+Terminals&amp;qid=1695173864&amp;sr=8-3")</f>
        <v/>
      </c>
      <c r="F660" t="inlineStr">
        <is>
          <t>B09T6YD8X4</t>
        </is>
      </c>
      <c r="G660">
        <f>_xludf.IMAGE("https://edmondsonsupply.com/cdn/shop/products/3005cr.jpg?v=1587146892")</f>
        <v/>
      </c>
      <c r="H660">
        <f>_xludf.IMAGE("https://m.media-amazon.com/images/I/41P2x5W+flL._AC_UL320_.jpg")</f>
        <v/>
      </c>
      <c r="I660" t="inlineStr">
        <is>
          <t>29.97</t>
        </is>
      </c>
      <c r="J660" t="n">
        <v>59.45</v>
      </c>
      <c r="K660" s="3" t="inlineStr">
        <is>
          <t>98.37%</t>
        </is>
      </c>
      <c r="L660" t="n">
        <v>5</v>
      </c>
      <c r="M660" t="n">
        <v>1</v>
      </c>
      <c r="O660" t="inlineStr">
        <is>
          <t>InStock</t>
        </is>
      </c>
      <c r="P660" t="inlineStr">
        <is>
          <t>42.9</t>
        </is>
      </c>
      <c r="Q660" t="inlineStr">
        <is>
          <t>3699388907620</t>
        </is>
      </c>
    </row>
    <row r="661">
      <c r="A661" s="2">
        <f>HYPERLINK("https://edmondsonsupply.com/collections/electricians-tools/products/klein-tools-et45-ac-dc-voltage-tester", "https://edmondsonsupply.com/collections/electricians-tools/products/klein-tools-et45-ac-dc-voltage-tester")</f>
        <v/>
      </c>
      <c r="B661" s="2">
        <f>HYPERLINK("https://edmondsonsupply.com/products/klein-tools-et45-ac-dc-voltage-tester", "https://edmondsonsupply.com/products/klein-tools-et45-ac-dc-voltage-tester")</f>
        <v/>
      </c>
      <c r="C661" t="inlineStr">
        <is>
          <t>Klein Tools ET45 AC/DC Voltage Tester</t>
        </is>
      </c>
      <c r="D661" t="inlineStr">
        <is>
          <t>Klein Tools NCVT2P Dual Range, Non-Contact Voltage Tester, 12-1000V AC, Visual and Audible Indicators, Auto Power Off, Green</t>
        </is>
      </c>
      <c r="E661" s="2">
        <f>HYPERLINK("https://www.amazon.com/Klein-Tools-NCVT2P-12-1000V-Flashing/dp/B07L5N8ZWS/ref=sr_1_8?keywords=Klein+Tools+ET45+AC%2FDC+Voltage+Tester&amp;qid=1695174290&amp;sr=8-8", "https://www.amazon.com/Klein-Tools-NCVT2P-12-1000V-Flashing/dp/B07L5N8ZWS/ref=sr_1_8?keywords=Klein+Tools+ET45+AC%2FDC+Voltage+Tester&amp;qid=1695174290&amp;sr=8-8")</f>
        <v/>
      </c>
      <c r="F661" t="inlineStr">
        <is>
          <t>B07L5N8ZWS</t>
        </is>
      </c>
      <c r="G661">
        <f>_xludf.IMAGE("https://edmondsonsupply.com/cdn/shop/products/et45.jpg?v=1647786270")</f>
        <v/>
      </c>
      <c r="H661">
        <f>_xludf.IMAGE("https://m.media-amazon.com/images/I/51GASnKpZ1L._AC_UL320_.jpg")</f>
        <v/>
      </c>
      <c r="I661" t="inlineStr">
        <is>
          <t>11.99</t>
        </is>
      </c>
      <c r="J661" t="n">
        <v>23.76</v>
      </c>
      <c r="K661" s="3" t="inlineStr">
        <is>
          <t>98.17%</t>
        </is>
      </c>
      <c r="L661" t="n">
        <v>4.7</v>
      </c>
      <c r="M661" t="n">
        <v>639</v>
      </c>
      <c r="O661" t="inlineStr">
        <is>
          <t>InStock</t>
        </is>
      </c>
      <c r="P661" t="inlineStr">
        <is>
          <t>16.72</t>
        </is>
      </c>
      <c r="Q661" t="inlineStr">
        <is>
          <t>3688633630820</t>
        </is>
      </c>
    </row>
    <row r="662">
      <c r="A662" s="2">
        <f>HYPERLINK("https://edmondsonsupply.com/collections/electricians-tools/products/klein-tools-d248-8-diagonal-cutting-pliers-angled-head-short-jaw-8-inch", "https://edmondsonsupply.com/collections/electricians-tools/products/klein-tools-d248-8-diagonal-cutting-pliers-angled-head-short-jaw-8-inch")</f>
        <v/>
      </c>
      <c r="B662" s="2">
        <f>HYPERLINK("https://edmondsonsupply.com/products/klein-tools-d248-8-diagonal-cutting-pliers-angled-head-short-jaw-8-inch", "https://edmondsonsupply.com/products/klein-tools-d248-8-diagonal-cutting-pliers-angled-head-short-jaw-8-inch")</f>
        <v/>
      </c>
      <c r="C662" t="inlineStr">
        <is>
          <t>Klein Tools D248-8 Diagonal Cutting Pliers, Angled Head, Short Jaw, 8-Inch</t>
        </is>
      </c>
      <c r="D662" t="inlineStr">
        <is>
          <t>Klein Tools D248-8 Pliers, Diagonal Cutting Multi-Purpose Pliers with Angled Head, High-Leverage Design, and Short Jaw, 8-Inch &amp; 1005 Cutting/Crimping Tool</t>
        </is>
      </c>
      <c r="E662" s="2">
        <f>HYPERLINK("https://www.amazon.com/Klein-Tools-Diagonal-Multi-Purpose-High-Leverage/dp/B0BKQCRLT1/ref=sr_1_3?keywords=Klein+Tools+D248-8+Diagonal+Cutting+Pliers%2C+Angled+Head%2C+Short+Jaw%2C+8-Inch&amp;qid=1695174274&amp;sr=8-3", "https://www.amazon.com/Klein-Tools-Diagonal-Multi-Purpose-High-Leverage/dp/B0BKQCRLT1/ref=sr_1_3?keywords=Klein+Tools+D248-8+Diagonal+Cutting+Pliers%2C+Angled+Head%2C+Short+Jaw%2C+8-Inch&amp;qid=1695174274&amp;sr=8-3")</f>
        <v/>
      </c>
      <c r="F662" t="inlineStr">
        <is>
          <t>B0BKQCRLT1</t>
        </is>
      </c>
      <c r="G662">
        <f>_xludf.IMAGE("https://edmondsonsupply.com/cdn/shop/products/d2488.jpg?v=1633030997")</f>
        <v/>
      </c>
      <c r="H662">
        <f>_xludf.IMAGE("https://m.media-amazon.com/images/I/31gN+DbPGvL._AC_UL320_.jpg")</f>
        <v/>
      </c>
      <c r="I662" t="inlineStr">
        <is>
          <t>29.97</t>
        </is>
      </c>
      <c r="J662" t="n">
        <v>59.35</v>
      </c>
      <c r="K662" s="3" t="inlineStr">
        <is>
          <t>98.03%</t>
        </is>
      </c>
      <c r="L662" t="n">
        <v>5</v>
      </c>
      <c r="M662" t="n">
        <v>1</v>
      </c>
      <c r="O662" t="inlineStr">
        <is>
          <t>InStock</t>
        </is>
      </c>
      <c r="P662" t="inlineStr">
        <is>
          <t>45.42</t>
        </is>
      </c>
      <c r="Q662" t="inlineStr">
        <is>
          <t>6680617091245</t>
        </is>
      </c>
    </row>
    <row r="663">
      <c r="A663" s="2">
        <f>HYPERLINK("https://edmondsonsupply.com/collections/electricians-tools/products/milwaukee-48-59-1812-m18%E2%84%A2-m12%E2%84%A2-multi-voltage-charger", "https://edmondsonsupply.com/collections/electricians-tools/products/milwaukee-48-59-1812-m18%E2%84%A2-m12%E2%84%A2-multi-voltage-charger")</f>
        <v/>
      </c>
      <c r="B663" s="2">
        <f>HYPERLINK("https://edmondsonsupply.com/products/milwaukee-48-59-1812-m18%e2%84%a2-m12%e2%84%a2-multi-voltage-charger", "https://edmondsonsupply.com/products/milwaukee-48-59-1812-m18%e2%84%a2-m12%e2%84%a2-multi-voltage-charger")</f>
        <v/>
      </c>
      <c r="C663" t="inlineStr">
        <is>
          <t>Milwaukee 48-59-1812 M18™ &amp; M12™ Multi-Voltage Charger</t>
        </is>
      </c>
      <c r="D663" t="inlineStr">
        <is>
          <t>Milwaukee 48-59-1850 M18 RED LITHIUM XC 5.0 Ah Batteries (2) + 48-59-1812 M12 and M18 Multi Voltage Charger kit</t>
        </is>
      </c>
      <c r="E663" s="2">
        <f>HYPERLINK("https://www.amazon.com/Milwaukee-48-59-1850-LITHIUM-Batteries-48-59-1812/dp/B015GOE7B2/ref=sr_1_6?keywords=Milwaukee+48-59-1812+M18%E2%84%A2+%26+M12%E2%84%A2+Multi-Voltage+Charger&amp;qid=1695174184&amp;sr=8-6", "https://www.amazon.com/Milwaukee-48-59-1850-LITHIUM-Batteries-48-59-1812/dp/B015GOE7B2/ref=sr_1_6?keywords=Milwaukee+48-59-1812+M18%E2%84%A2+%26+M12%E2%84%A2+Multi-Voltage+Charger&amp;qid=1695174184&amp;sr=8-6")</f>
        <v/>
      </c>
      <c r="F663" t="inlineStr">
        <is>
          <t>B015GOE7B2</t>
        </is>
      </c>
      <c r="G663">
        <f>_xludf.IMAGE("https://edmondsonsupply.com/cdn/shop/products/60113_48-59-1812_3-lg.webp?v=1656530513")</f>
        <v/>
      </c>
      <c r="H663">
        <f>_xludf.IMAGE("https://m.media-amazon.com/images/I/81vOom9f67L._AC_UL320_.jpg")</f>
        <v/>
      </c>
      <c r="I663" t="inlineStr">
        <is>
          <t>79.0</t>
        </is>
      </c>
      <c r="J663" t="n">
        <v>155.95</v>
      </c>
      <c r="K663" s="3" t="inlineStr">
        <is>
          <t>97.41%</t>
        </is>
      </c>
      <c r="L663" t="n">
        <v>4.7</v>
      </c>
      <c r="M663" t="n">
        <v>738</v>
      </c>
      <c r="O663" t="inlineStr">
        <is>
          <t>InStock</t>
        </is>
      </c>
      <c r="P663" t="inlineStr">
        <is>
          <t>126.0</t>
        </is>
      </c>
      <c r="Q663" t="inlineStr">
        <is>
          <t>7733079343320</t>
        </is>
      </c>
    </row>
    <row r="664">
      <c r="A664" s="2">
        <f>HYPERLINK("https://edmondsonsupply.com/collections/electricians-tools/products/rack-a-tiers-80075-the-nut-snugger-3-4-magnetic-locknut-holder", "https://edmondsonsupply.com/collections/electricians-tools/products/rack-a-tiers-80075-the-nut-snugger-3-4-magnetic-locknut-holder")</f>
        <v/>
      </c>
      <c r="B664" s="2">
        <f>HYPERLINK("https://edmondsonsupply.com/products/rack-a-tiers-80075-the-nut-snugger-3-4-magnetic-locknut-holder", "https://edmondsonsupply.com/products/rack-a-tiers-80075-the-nut-snugger-3-4-magnetic-locknut-holder")</f>
        <v/>
      </c>
      <c r="C664" t="inlineStr">
        <is>
          <t>Rack-A-Tiers 80075 The Nut Snugger - 3/4" Magnetic Locknut Holder</t>
        </is>
      </c>
      <c r="D664" t="inlineStr">
        <is>
          <t>Rack-A-Tiers Nut Snugger Kit 1ea: 1/2" &amp; 3/4" Magnetic Locknut Holder (80090)</t>
        </is>
      </c>
      <c r="E664" s="2">
        <f>HYPERLINK("https://www.amazon.com/Rack-Tiers-Nut-Snugger-Kit/dp/B0BX4MB59Q/ref=sr_1_1?keywords=Rack-A-Tiers+80075+The+Nut+Snugger+-+3%2F4%22+Magnetic+Locknut+Holder&amp;qid=1695173904&amp;sr=8-1", "https://www.amazon.com/Rack-Tiers-Nut-Snugger-Kit/dp/B0BX4MB59Q/ref=sr_1_1?keywords=Rack-A-Tiers+80075+The+Nut+Snugger+-+3%2F4%22+Magnetic+Locknut+Holder&amp;qid=1695173904&amp;sr=8-1")</f>
        <v/>
      </c>
      <c r="F664" t="inlineStr">
        <is>
          <t>B0BX4MB59Q</t>
        </is>
      </c>
      <c r="G664">
        <f>_xludf.IMAGE("https://edmondsonsupply.com/cdn/shop/products/820XX-Nut-Snugger_32ac94c2-c07d-4d16-9e48-14a49a647db8.png?v=1667152999")</f>
        <v/>
      </c>
      <c r="H664">
        <f>_xludf.IMAGE("https://m.media-amazon.com/images/I/31gF-2h5bgL._AC_UY218_.jpg")</f>
        <v/>
      </c>
      <c r="I664" t="inlineStr">
        <is>
          <t>34.99</t>
        </is>
      </c>
      <c r="J664" t="n">
        <v>68.98999999999999</v>
      </c>
      <c r="K664" s="3" t="inlineStr">
        <is>
          <t>97.17%</t>
        </is>
      </c>
      <c r="L664" t="n">
        <v>5</v>
      </c>
      <c r="M664" t="n">
        <v>2</v>
      </c>
      <c r="O664" t="inlineStr">
        <is>
          <t>InStock</t>
        </is>
      </c>
      <c r="P664" t="inlineStr">
        <is>
          <t>37.99</t>
        </is>
      </c>
      <c r="Q664" t="inlineStr">
        <is>
          <t>7871152652504</t>
        </is>
      </c>
    </row>
    <row r="665">
      <c r="A665" s="2">
        <f>HYPERLINK("https://edmondsonsupply.com/collections/electricians-tools/products/klein-tools-11053-klein-kurve%C2%AE-wire-stripper-cutter", "https://edmondsonsupply.com/collections/electricians-tools/products/klein-tools-11053-klein-kurve%C2%AE-wire-stripper-cutter")</f>
        <v/>
      </c>
      <c r="B665" s="2">
        <f>HYPERLINK("https://edmondsonsupply.com/products/klein-tools-11053-klein-kurve%c2%ae-wire-stripper-cutter", "https://edmondsonsupply.com/products/klein-tools-11053-klein-kurve%c2%ae-wire-stripper-cutter")</f>
        <v/>
      </c>
      <c r="C665" t="inlineStr">
        <is>
          <t>Klein Tools 11053 Klein-Kurve® Wire Stripper/Cutter</t>
        </is>
      </c>
      <c r="D665" t="inlineStr">
        <is>
          <t>Klein Tools 11053 Klein-Kurve Wire Stripper and Cutter for 6-12 AWG Stranded Wire, 7-1/8-Inch &amp; 11055 Wire Cutter and Wire Stripper, Stranded Wire Cutter, Solid Wire Cutter, Cuts Copper Wire</t>
        </is>
      </c>
      <c r="E665" s="2">
        <f>HYPERLINK("https://www.amazon.com/Klein-Tools-Klein-Kurve-Stripper-Stranded/dp/B0BHVPT335/ref=sr_1_2?keywords=Klein+Tools+11053+Klein-Kurve%C2%AE+Wire+Stripper%2FCutter&amp;qid=1695173869&amp;sr=8-2", "https://www.amazon.com/Klein-Tools-Klein-Kurve-Stripper-Stranded/dp/B0BHVPT335/ref=sr_1_2?keywords=Klein+Tools+11053+Klein-Kurve%C2%AE+Wire+Stripper%2FCutter&amp;qid=1695173869&amp;sr=8-2")</f>
        <v/>
      </c>
      <c r="F665" t="inlineStr">
        <is>
          <t>B0BHVPT335</t>
        </is>
      </c>
      <c r="G665">
        <f>_xludf.IMAGE("https://edmondsonsupply.com/cdn/shop/products/11053.jpg?v=1633030511")</f>
        <v/>
      </c>
      <c r="H665">
        <f>_xludf.IMAGE("https://m.media-amazon.com/images/I/41+jddPUDML._AC_UL320_.jpg")</f>
        <v/>
      </c>
      <c r="I665" t="inlineStr">
        <is>
          <t>20.97</t>
        </is>
      </c>
      <c r="J665" t="n">
        <v>40.96</v>
      </c>
      <c r="K665" s="3" t="inlineStr">
        <is>
          <t>95.33%</t>
        </is>
      </c>
      <c r="L665" t="n">
        <v>4.5</v>
      </c>
      <c r="M665" t="n">
        <v>2</v>
      </c>
      <c r="O665" t="inlineStr">
        <is>
          <t>InStock</t>
        </is>
      </c>
      <c r="P665" t="inlineStr">
        <is>
          <t>31.76</t>
        </is>
      </c>
      <c r="Q665" t="inlineStr">
        <is>
          <t>5387171299496</t>
        </is>
      </c>
    </row>
    <row r="666">
      <c r="A666" s="2">
        <f>HYPERLINK("https://edmondsonsupply.com/collections/electricians-tools/products/klein-tools-60345-hard-hat-premium-karbn%E2%84%A2-pattern-non-vented-full-brim-class-e", "https://edmondsonsupply.com/collections/electricians-tools/products/klein-tools-60345-hard-hat-premium-karbn%E2%84%A2-pattern-non-vented-full-brim-class-e")</f>
        <v/>
      </c>
      <c r="B666" s="2">
        <f>HYPERLINK("https://edmondsonsupply.com/products/klein-tools-60345-hard-hat-premium-karbn%e2%84%a2-pattern-non-vented-full-brim-class-e", "https://edmondsonsupply.com/products/klein-tools-60345-hard-hat-premium-karbn%e2%84%a2-pattern-non-vented-full-brim-class-e")</f>
        <v/>
      </c>
      <c r="C666" t="inlineStr">
        <is>
          <t>Klein Tools 60345 Hard Hat, Premium KARBN™ Pattern, Non-Vented Full Brim, Class E</t>
        </is>
      </c>
      <c r="D666" t="inlineStr">
        <is>
          <t>Klein Tools 60347 Hard Hat, Vented Full Brim, Class C, Premium KARBN Pattern, Rechargeable Lamp, Padded Sweat-Wicking Sweatband, Top Pad</t>
        </is>
      </c>
      <c r="E666" s="2">
        <f>HYPERLINK("https://www.amazon.com/Klein-Tools-60347-Rechargeable-Sweat-Wicking/dp/B08SYM9K52/ref=sr_1_8?keywords=Klein+Tools+60345+Hard+Hat%2C+Premium+KARBN%E2%84%A2+Pattern%2C+Non-Vented+Full+Brim%2C+Class+E&amp;qid=1695174204&amp;sr=8-8", "https://www.amazon.com/Klein-Tools-60347-Rechargeable-Sweat-Wicking/dp/B08SYM9K52/ref=sr_1_8?keywords=Klein+Tools+60345+Hard+Hat%2C+Premium+KARBN%E2%84%A2+Pattern%2C+Non-Vented+Full+Brim%2C+Class+E&amp;qid=1695174204&amp;sr=8-8")</f>
        <v/>
      </c>
      <c r="F666" t="inlineStr">
        <is>
          <t>B08SYM9K52</t>
        </is>
      </c>
      <c r="G666">
        <f>_xludf.IMAGE("https://edmondsonsupply.com/cdn/shop/products/60345.jpg?v=1660171739")</f>
        <v/>
      </c>
      <c r="H666">
        <f>_xludf.IMAGE("https://m.media-amazon.com/images/I/61pIVbITWkL._AC_UL320_.jpg")</f>
        <v/>
      </c>
      <c r="I666" t="inlineStr">
        <is>
          <t>59.99</t>
        </is>
      </c>
      <c r="J666" t="n">
        <v>116.88</v>
      </c>
      <c r="K666" s="3" t="inlineStr">
        <is>
          <t>94.83%</t>
        </is>
      </c>
      <c r="L666" t="n">
        <v>4.7</v>
      </c>
      <c r="M666" t="n">
        <v>2542</v>
      </c>
      <c r="O666" t="inlineStr">
        <is>
          <t>InStock</t>
        </is>
      </c>
      <c r="P666" t="inlineStr">
        <is>
          <t>81.02</t>
        </is>
      </c>
      <c r="Q666" t="inlineStr">
        <is>
          <t>7778045493464</t>
        </is>
      </c>
    </row>
    <row r="667">
      <c r="A667" s="2">
        <f>HYPERLINK("https://edmondsonsupply.com/collections/electricians-tools/products/klein-tools-6826ins-insulated-screwdriver-1-4-inch-cabinet-tip-6-inch-shank", "https://edmondsonsupply.com/collections/electricians-tools/products/klein-tools-6826ins-insulated-screwdriver-1-4-inch-cabinet-tip-6-inch-shank")</f>
        <v/>
      </c>
      <c r="B667" s="2">
        <f>HYPERLINK("https://edmondsonsupply.com/products/klein-tools-6826ins-insulated-screwdriver-1-4-inch-cabinet-tip-6-inch-shank", "https://edmondsonsupply.com/products/klein-tools-6826ins-insulated-screwdriver-1-4-inch-cabinet-tip-6-inch-shank")</f>
        <v/>
      </c>
      <c r="C667" t="inlineStr">
        <is>
          <t>Klein Tools 6826INS Insulated Screwdriver, 1/4-Inch Cabinet Tip, 6-Inch Shank</t>
        </is>
      </c>
      <c r="D667" t="inlineStr">
        <is>
          <t>Klein Tools 605-7-INS Insulated 1/4-Inch Cabinet Tip Screwdriver, 7-Inch</t>
        </is>
      </c>
      <c r="E667" s="2">
        <f>HYPERLINK("https://www.amazon.com/Insulated-Screwdriver-Klein-Tools-605-7-INS/dp/B00J9S1EX6/ref=sr_1_10?keywords=Klein+Tools+6826INS+Insulated+Screwdriver%2C+1%2F4-Inch+Cabinet+Tip%2C+6-Inch+Shank&amp;qid=1695174154&amp;sr=8-10", "https://www.amazon.com/Insulated-Screwdriver-Klein-Tools-605-7-INS/dp/B00J9S1EX6/ref=sr_1_10?keywords=Klein+Tools+6826INS+Insulated+Screwdriver%2C+1%2F4-Inch+Cabinet+Tip%2C+6-Inch+Shank&amp;qid=1695174154&amp;sr=8-10")</f>
        <v/>
      </c>
      <c r="F667" t="inlineStr">
        <is>
          <t>B00J9S1EX6</t>
        </is>
      </c>
      <c r="G667">
        <f>_xludf.IMAGE("https://edmondsonsupply.com/cdn/shop/products/6826ins.jpg?v=1664814069")</f>
        <v/>
      </c>
      <c r="H667">
        <f>_xludf.IMAGE("https://m.media-amazon.com/images/I/41PbqrqWh2L._AC_UL320_.jpg")</f>
        <v/>
      </c>
      <c r="I667" t="inlineStr">
        <is>
          <t>11.97</t>
        </is>
      </c>
      <c r="J667" t="n">
        <v>23.22</v>
      </c>
      <c r="K667" s="3" t="inlineStr">
        <is>
          <t>93.98%</t>
        </is>
      </c>
      <c r="L667" t="n">
        <v>4.8</v>
      </c>
      <c r="M667" t="n">
        <v>1064</v>
      </c>
      <c r="O667" t="inlineStr">
        <is>
          <t>InStock</t>
        </is>
      </c>
      <c r="P667" t="inlineStr">
        <is>
          <t>17.98</t>
        </is>
      </c>
      <c r="Q667" t="inlineStr">
        <is>
          <t>7837707698392</t>
        </is>
      </c>
    </row>
    <row r="668">
      <c r="A668" s="2">
        <f>HYPERLINK("https://edmondsonsupply.com/collections/electricians-tools/products/klein-tools-56403-rechargeable-personal-worklight", "https://edmondsonsupply.com/collections/electricians-tools/products/klein-tools-56403-rechargeable-personal-worklight")</f>
        <v/>
      </c>
      <c r="B668" s="2">
        <f>HYPERLINK("https://edmondsonsupply.com/products/klein-tools-56403-rechargeable-personal-worklight", "https://edmondsonsupply.com/products/klein-tools-56403-rechargeable-personal-worklight")</f>
        <v/>
      </c>
      <c r="C668" t="inlineStr">
        <is>
          <t>Klein Tools 56403 Rechargeable Personal Worklight</t>
        </is>
      </c>
      <c r="D668" t="inlineStr">
        <is>
          <t>Klein Tools 56403 LED Light, Rechargeable Flashlight/Worklight &amp; PJSFM1 Battery Operated Rechargeable Fan with USB-C Charging Cord and Multiple Mounting Options Perfect for the Jobsite</t>
        </is>
      </c>
      <c r="E668" s="2">
        <f>HYPERLINK("https://www.amazon.com/Klein-Tools-Rechargeable-Flashlight-Worklight/dp/B0BC85LX49/ref=sr_1_2?keywords=Klein+Tools+56403+Rechargeable+Personal+Worklight&amp;qid=1695173953&amp;sr=8-2", "https://www.amazon.com/Klein-Tools-Rechargeable-Flashlight-Worklight/dp/B0BC85LX49/ref=sr_1_2?keywords=Klein+Tools+56403+Rechargeable+Personal+Worklight&amp;qid=1695173953&amp;sr=8-2")</f>
        <v/>
      </c>
      <c r="F668" t="inlineStr">
        <is>
          <t>B0BC85LX49</t>
        </is>
      </c>
      <c r="G668">
        <f>_xludf.IMAGE("https://edmondsonsupply.com/cdn/shop/products/56403.jpg?v=1587143308")</f>
        <v/>
      </c>
      <c r="H668">
        <f>_xludf.IMAGE("https://m.media-amazon.com/images/I/61HjyBviEWL._AC_UL320_.jpg")</f>
        <v/>
      </c>
      <c r="I668" t="inlineStr">
        <is>
          <t>49.97</t>
        </is>
      </c>
      <c r="J668" t="n">
        <v>96.47</v>
      </c>
      <c r="K668" s="3" t="inlineStr">
        <is>
          <t>93.06%</t>
        </is>
      </c>
      <c r="L668" t="n">
        <v>5</v>
      </c>
      <c r="M668" t="n">
        <v>1</v>
      </c>
      <c r="O668" t="inlineStr">
        <is>
          <t>InStock</t>
        </is>
      </c>
      <c r="P668" t="inlineStr">
        <is>
          <t>71.02</t>
        </is>
      </c>
      <c r="Q668" t="inlineStr">
        <is>
          <t>3618963947620</t>
        </is>
      </c>
    </row>
    <row r="669">
      <c r="A669" s="2">
        <f>HYPERLINK("https://edmondsonsupply.com/collections/electricians-tools/products/milwaukee-48-22-1521-compact-folding-knife", "https://edmondsonsupply.com/collections/electricians-tools/products/milwaukee-48-22-1521-compact-folding-knife")</f>
        <v/>
      </c>
      <c r="B669" s="2">
        <f>HYPERLINK("https://edmondsonsupply.com/products/milwaukee-48-22-1521-compact-folding-knife", "https://edmondsonsupply.com/products/milwaukee-48-22-1521-compact-folding-knife")</f>
        <v/>
      </c>
      <c r="C669" t="inlineStr">
        <is>
          <t>Milwaukee 48-22-1521 Compact Folding Knife</t>
        </is>
      </c>
      <c r="D669" t="inlineStr">
        <is>
          <t>Milwaukee 48-22-1985 Fastback Hawk Bill Folding Knife w/Belt Clip and Lanyard Hole, Metal</t>
        </is>
      </c>
      <c r="E669" s="2">
        <f>HYPERLINK("https://www.amazon.com/Milwaukee-48-22-1985-Fastback-Folding-Lanyard/dp/B00IQCDWIG/ref=sr_1_8?keywords=Milwaukee+48-22-1521+Compact+Folding+Knife&amp;qid=1695174090&amp;sr=8-8", "https://www.amazon.com/Milwaukee-48-22-1985-Fastback-Folding-Lanyard/dp/B00IQCDWIG/ref=sr_1_8?keywords=Milwaukee+48-22-1521+Compact+Folding+Knife&amp;qid=1695174090&amp;sr=8-8")</f>
        <v/>
      </c>
      <c r="F669" t="inlineStr">
        <is>
          <t>B00IQCDWIG</t>
        </is>
      </c>
      <c r="G669">
        <f>_xludf.IMAGE("https://edmondsonsupply.com/cdn/shop/products/48-22-1521_1.webp?v=1675359641")</f>
        <v/>
      </c>
      <c r="H669">
        <f>_xludf.IMAGE("https://m.media-amazon.com/images/I/714SFoSX-4L._AC_UL320_.jpg")</f>
        <v/>
      </c>
      <c r="I669" t="inlineStr">
        <is>
          <t>12.97</t>
        </is>
      </c>
      <c r="J669" t="n">
        <v>25.01</v>
      </c>
      <c r="K669" s="3" t="inlineStr">
        <is>
          <t>92.83%</t>
        </is>
      </c>
      <c r="L669" t="n">
        <v>4.6</v>
      </c>
      <c r="M669" t="n">
        <v>627</v>
      </c>
      <c r="O669" t="inlineStr">
        <is>
          <t>InStock</t>
        </is>
      </c>
      <c r="P669" t="inlineStr">
        <is>
          <t>15.5</t>
        </is>
      </c>
      <c r="Q669" t="inlineStr">
        <is>
          <t>7937891827928</t>
        </is>
      </c>
    </row>
    <row r="670">
      <c r="A670" s="2">
        <f>HYPERLINK("https://edmondsonsupply.com/collections/electricians-tools/products/klein-tools-11046-wire-stripper-cutter-16-26-awg-stranded", "https://edmondsonsupply.com/collections/electricians-tools/products/klein-tools-11046-wire-stripper-cutter-16-26-awg-stranded")</f>
        <v/>
      </c>
      <c r="B670" s="2">
        <f>HYPERLINK("https://edmondsonsupply.com/products/klein-tools-11046-wire-stripper-cutter-16-26-awg-stranded", "https://edmondsonsupply.com/products/klein-tools-11046-wire-stripper-cutter-16-26-awg-stranded")</f>
        <v/>
      </c>
      <c r="C670" t="inlineStr">
        <is>
          <t>Klein Tools 11046 Wire Stripper/Cutter 16-26 AWG Stranded</t>
        </is>
      </c>
      <c r="D670" t="inlineStr">
        <is>
          <t>Klein Tools 11046 Wire Stripper/Cutter 16-26 AWG Stranded &amp; 11047 Wire Stripper/Cutter, Compact, Lightweight, Hardened Steel, Precision Ground, for Stranded and Solid Wires</t>
        </is>
      </c>
      <c r="E670" s="2">
        <f>HYPERLINK("https://www.amazon.com/Klein-Tools-Stripper-Lightweight-Precision/dp/B0BNL5MC4G/ref=sr_1_2?keywords=Klein+Tools+11046+Wire+Stripper%2FCutter+16-26+AWG+Stranded&amp;qid=1695173951&amp;sr=8-2", "https://www.amazon.com/Klein-Tools-Stripper-Lightweight-Precision/dp/B0BNL5MC4G/ref=sr_1_2?keywords=Klein+Tools+11046+Wire+Stripper%2FCutter+16-26+AWG+Stranded&amp;qid=1695173951&amp;sr=8-2")</f>
        <v/>
      </c>
      <c r="F670" t="inlineStr">
        <is>
          <t>B0BNL5MC4G</t>
        </is>
      </c>
      <c r="G670">
        <f>_xludf.IMAGE("https://edmondsonsupply.com/cdn/shop/products/11046.jpg?v=1587147965")</f>
        <v/>
      </c>
      <c r="H670">
        <f>_xludf.IMAGE("https://m.media-amazon.com/images/I/41uWm6Rw+pL._AC_UL320_.jpg")</f>
        <v/>
      </c>
      <c r="I670" t="inlineStr">
        <is>
          <t>15.97</t>
        </is>
      </c>
      <c r="J670" t="n">
        <v>30.75</v>
      </c>
      <c r="K670" s="3" t="inlineStr">
        <is>
          <t>92.55%</t>
        </is>
      </c>
      <c r="L670" t="n">
        <v>4.6</v>
      </c>
      <c r="M670" t="n">
        <v>7</v>
      </c>
      <c r="O670" t="inlineStr">
        <is>
          <t>InStock</t>
        </is>
      </c>
      <c r="P670" t="inlineStr">
        <is>
          <t>23.56</t>
        </is>
      </c>
      <c r="Q670" t="inlineStr">
        <is>
          <t>3688603910244</t>
        </is>
      </c>
    </row>
    <row r="671">
      <c r="A671" s="2">
        <f>HYPERLINK("https://edmondsonsupply.com/collections/electricians-tools/products/milwaukee-48-22-1521-compact-folding-knife", "https://edmondsonsupply.com/collections/electricians-tools/products/milwaukee-48-22-1521-compact-folding-knife")</f>
        <v/>
      </c>
      <c r="B671" s="2">
        <f>HYPERLINK("https://edmondsonsupply.com/products/milwaukee-48-22-1521-compact-folding-knife", "https://edmondsonsupply.com/products/milwaukee-48-22-1521-compact-folding-knife")</f>
        <v/>
      </c>
      <c r="C671" t="inlineStr">
        <is>
          <t>Milwaukee 48-22-1521 Compact Folding Knife</t>
        </is>
      </c>
      <c r="D671" t="inlineStr">
        <is>
          <t>Milwaukee 48-22-1990 FASTBACK Smooth Folding Knife Stainless Steel</t>
        </is>
      </c>
      <c r="E671" s="2">
        <f>HYPERLINK("https://www.amazon.com/Milwaukee-48-22-1990-FASTBACK-Smooth-Folding/dp/B00IKVFCUO/ref=sr_1_5?keywords=Milwaukee+48-22-1521+Compact+Folding+Knife&amp;qid=1695174090&amp;sr=8-5", "https://www.amazon.com/Milwaukee-48-22-1990-FASTBACK-Smooth-Folding/dp/B00IKVFCUO/ref=sr_1_5?keywords=Milwaukee+48-22-1521+Compact+Folding+Knife&amp;qid=1695174090&amp;sr=8-5")</f>
        <v/>
      </c>
      <c r="F671" t="inlineStr">
        <is>
          <t>B00IKVFCUO</t>
        </is>
      </c>
      <c r="G671">
        <f>_xludf.IMAGE("https://edmondsonsupply.com/cdn/shop/products/48-22-1521_1.webp?v=1675359641")</f>
        <v/>
      </c>
      <c r="H671">
        <f>_xludf.IMAGE("https://m.media-amazon.com/images/I/81wFFG5g9vL._AC_UL320_.jpg")</f>
        <v/>
      </c>
      <c r="I671" t="inlineStr">
        <is>
          <t>12.97</t>
        </is>
      </c>
      <c r="J671" t="n">
        <v>24.97</v>
      </c>
      <c r="K671" s="3" t="inlineStr">
        <is>
          <t>92.52%</t>
        </is>
      </c>
      <c r="L671" t="n">
        <v>4.5</v>
      </c>
      <c r="M671" t="n">
        <v>982</v>
      </c>
      <c r="O671" t="inlineStr">
        <is>
          <t>InStock</t>
        </is>
      </c>
      <c r="P671" t="inlineStr">
        <is>
          <t>15.5</t>
        </is>
      </c>
      <c r="Q671" t="inlineStr">
        <is>
          <t>7937891827928</t>
        </is>
      </c>
    </row>
    <row r="672">
      <c r="A672" s="2">
        <f>HYPERLINK("https://edmondsonsupply.com/collections/electricians-tools/products/klein-tools-60184-lightweight-gel-knee-pads", "https://edmondsonsupply.com/collections/electricians-tools/products/klein-tools-60184-lightweight-gel-knee-pads")</f>
        <v/>
      </c>
      <c r="B672" s="2">
        <f>HYPERLINK("https://edmondsonsupply.com/products/klein-tools-60184-lightweight-gel-knee-pads", "https://edmondsonsupply.com/products/klein-tools-60184-lightweight-gel-knee-pads")</f>
        <v/>
      </c>
      <c r="C672" t="inlineStr">
        <is>
          <t>Klein Tools 60184 Lightweight Gel Knee Pads</t>
        </is>
      </c>
      <c r="D672" t="inlineStr">
        <is>
          <t>Klein Tools 60491 Hinged Knee Pads, Heavy Duty Gel Foam Protective Knee Pads with Quick-Fasten Buckle and Thigh Strap, Black</t>
        </is>
      </c>
      <c r="E672" s="2">
        <f>HYPERLINK("https://www.amazon.com/Klein-Tools-60491-Protective-Quick-Fasten/dp/B0BHXBMBHP/ref=sr_1_2?keywords=Klein+Tools+60184+Lightweight+Gel+Knee+Pads&amp;qid=1695173931&amp;sr=8-2", "https://www.amazon.com/Klein-Tools-60491-Protective-Quick-Fasten/dp/B0BHXBMBHP/ref=sr_1_2?keywords=Klein+Tools+60184+Lightweight+Gel+Knee+Pads&amp;qid=1695173931&amp;sr=8-2")</f>
        <v/>
      </c>
      <c r="F672" t="inlineStr">
        <is>
          <t>B0BHXBMBHP</t>
        </is>
      </c>
      <c r="G672">
        <f>_xludf.IMAGE("https://edmondsonsupply.com/cdn/shop/products/60184.jpg?v=1633030246")</f>
        <v/>
      </c>
      <c r="H672">
        <f>_xludf.IMAGE("https://m.media-amazon.com/images/I/718i4PDcjnL._AC_UL320_.jpg")</f>
        <v/>
      </c>
      <c r="I672" t="inlineStr">
        <is>
          <t>25.97</t>
        </is>
      </c>
      <c r="J672" t="n">
        <v>49.97</v>
      </c>
      <c r="K672" s="3" t="inlineStr">
        <is>
          <t>92.41%</t>
        </is>
      </c>
      <c r="L672" t="n">
        <v>4.4</v>
      </c>
      <c r="M672" t="n">
        <v>289</v>
      </c>
      <c r="O672" t="inlineStr">
        <is>
          <t>InStock</t>
        </is>
      </c>
      <c r="P672" t="inlineStr">
        <is>
          <t>36.04</t>
        </is>
      </c>
      <c r="Q672" t="inlineStr">
        <is>
          <t>4610179170404</t>
        </is>
      </c>
    </row>
    <row r="673">
      <c r="A673" s="2">
        <f>HYPERLINK("https://edmondsonsupply.com/collections/electricians-tools/products/milwaukee-49-56-0197-3-5-8-hole-dozer%E2%84%A2-hole-saw-bi-metal-cup", "https://edmondsonsupply.com/collections/electricians-tools/products/milwaukee-49-56-0197-3-5-8-hole-dozer%E2%84%A2-hole-saw-bi-metal-cup")</f>
        <v/>
      </c>
      <c r="B673" s="2">
        <f>HYPERLINK("https://edmondsonsupply.com/products/milwaukee-49-56-0197-3-5-8-hole-dozer%e2%84%a2-hole-saw-bi-metal-cup", "https://edmondsonsupply.com/products/milwaukee-49-56-0197-3-5-8-hole-dozer%e2%84%a2-hole-saw-bi-metal-cup")</f>
        <v/>
      </c>
      <c r="C673" t="inlineStr">
        <is>
          <t>Milwaukee 49-56-0197 3-5/8" HOLE DOZER™ Hole Saw Bi-Metal Cup</t>
        </is>
      </c>
      <c r="D673" t="inlineStr">
        <is>
          <t>MILWAUKEE'S Hole Saw, Bi-Metal, Black, 3-3/4 in. (49-56-9643T)</t>
        </is>
      </c>
      <c r="E673" s="2">
        <f>HYPERLINK("https://www.amazon.com/Milwaukee-49-56-9643T-MIL-Harden-Hole-Bi-Metal/dp/B007FUN6HC/ref=sr_1_7?keywords=Milwaukee+49-56-0197+3-5%2F8%22+HOLE+DOZER%E2%84%A2+Hole+Saw+Bi-Metal+Cup&amp;qid=1695174058&amp;sr=8-7", "https://www.amazon.com/Milwaukee-49-56-9643T-MIL-Harden-Hole-Bi-Metal/dp/B007FUN6HC/ref=sr_1_7?keywords=Milwaukee+49-56-0197+3-5%2F8%22+HOLE+DOZER%E2%84%A2+Hole+Saw+Bi-Metal+Cup&amp;qid=1695174058&amp;sr=8-7")</f>
        <v/>
      </c>
      <c r="F673" t="inlineStr">
        <is>
          <t>B007FUN6HC</t>
        </is>
      </c>
      <c r="G673">
        <f>_xludf.IMAGE("https://edmondsonsupply.com/cdn/shop/products/49-56-0052_101_1_b485d0b4-965d-40fc-a007-7e23c4d86724.webp?v=1678912947")</f>
        <v/>
      </c>
      <c r="H673">
        <f>_xludf.IMAGE("https://m.media-amazon.com/images/I/51DIlWGVZ6L._AC_UL320_.jpg")</f>
        <v/>
      </c>
      <c r="I673" t="inlineStr">
        <is>
          <t>12.19</t>
        </is>
      </c>
      <c r="J673" t="n">
        <v>23.41</v>
      </c>
      <c r="K673" s="3" t="inlineStr">
        <is>
          <t>92.04%</t>
        </is>
      </c>
      <c r="L673" t="n">
        <v>4.6</v>
      </c>
      <c r="M673" t="n">
        <v>13</v>
      </c>
      <c r="O673" t="inlineStr">
        <is>
          <t>InStock</t>
        </is>
      </c>
      <c r="P673" t="inlineStr">
        <is>
          <t>24.7</t>
        </is>
      </c>
      <c r="Q673" t="inlineStr">
        <is>
          <t>7962124681432</t>
        </is>
      </c>
    </row>
    <row r="674">
      <c r="A674" s="2">
        <f>HYPERLINK("https://edmondsonsupply.com/collections/electricians-tools/products/channellock-804", "https://edmondsonsupply.com/collections/electricians-tools/products/channellock-804")</f>
        <v/>
      </c>
      <c r="B674" s="2">
        <f>HYPERLINK("https://edmondsonsupply.com/products/channellock-804", "https://edmondsonsupply.com/products/channellock-804")</f>
        <v/>
      </c>
      <c r="C674" t="inlineStr">
        <is>
          <t>Channellock 804 4-Inch Chrome Adjustable Wrench</t>
        </is>
      </c>
      <c r="D674" t="inlineStr">
        <is>
          <t>Channellock 808WCB 8-Inch Chrome Adjustable Wrench with Code Blue Grips</t>
        </is>
      </c>
      <c r="E674" s="2">
        <f>HYPERLINK("https://www.amazon.com/Channellock-808WCB-8-Inch-Chrome-Adjustable/dp/B00LFIEQ3S/ref=sr_1_9?keywords=Channellock+804+4-Inch+Chrome+Adjustable+Wrench&amp;qid=1695173945&amp;sr=8-9", "https://www.amazon.com/Channellock-808WCB-8-Inch-Chrome-Adjustable/dp/B00LFIEQ3S/ref=sr_1_9?keywords=Channellock+804+4-Inch+Chrome+Adjustable+Wrench&amp;qid=1695173945&amp;sr=8-9")</f>
        <v/>
      </c>
      <c r="F674" t="inlineStr">
        <is>
          <t>B00LFIEQ3S</t>
        </is>
      </c>
      <c r="G674">
        <f>_xludf.IMAGE("https://edmondsonsupply.com/cdn/shop/products/804-683x1024.jpg?v=1587145853")</f>
        <v/>
      </c>
      <c r="H674">
        <f>_xludf.IMAGE("https://m.media-amazon.com/images/I/717njKwq-cL._AC_UL320_.jpg")</f>
        <v/>
      </c>
      <c r="I674" t="inlineStr">
        <is>
          <t>16.95</t>
        </is>
      </c>
      <c r="J674" t="n">
        <v>32.45</v>
      </c>
      <c r="K674" s="3" t="inlineStr">
        <is>
          <t>91.45%</t>
        </is>
      </c>
      <c r="L674" t="n">
        <v>4.6</v>
      </c>
      <c r="M674" t="n">
        <v>89</v>
      </c>
      <c r="O674" t="inlineStr">
        <is>
          <t>InStock</t>
        </is>
      </c>
      <c r="P674" t="inlineStr">
        <is>
          <t>26.62</t>
        </is>
      </c>
      <c r="Q674" t="inlineStr">
        <is>
          <t>4094611488868</t>
        </is>
      </c>
    </row>
    <row r="675">
      <c r="A675" s="2">
        <f>HYPERLINK("https://edmondsonsupply.com/collections/electricians-tools/products/klein-tools-69357-ac-plug-to-banana-jacks", "https://edmondsonsupply.com/collections/electricians-tools/products/klein-tools-69357-ac-plug-to-banana-jacks")</f>
        <v/>
      </c>
      <c r="B675" s="2">
        <f>HYPERLINK("https://edmondsonsupply.com/products/klein-tools-69357-ac-plug-to-banana-jacks", "https://edmondsonsupply.com/products/klein-tools-69357-ac-plug-to-banana-jacks")</f>
        <v/>
      </c>
      <c r="C675" t="inlineStr">
        <is>
          <t>Klein Tools 69357 AC Plug to Banana Jacks</t>
        </is>
      </c>
      <c r="D675" t="inlineStr">
        <is>
          <t>Klein Tools 69357 AC Outlet Plug to Banana Plug, for use with with Klein Tools Cat. No. ET450 or any Meter with Banana-Type Connectors</t>
        </is>
      </c>
      <c r="E675" s="2">
        <f>HYPERLINK("https://www.amazon.com/Klein-Tools-69357-Banana-Type-Connectors/dp/B0BN2LTKTB/ref=sr_1_1?keywords=Klein+Tools+69357+AC+Plug+to+Banana+Jacks&amp;qid=1695174078&amp;sr=8-1", "https://www.amazon.com/Klein-Tools-69357-Banana-Type-Connectors/dp/B0BN2LTKTB/ref=sr_1_1?keywords=Klein+Tools+69357+AC+Plug+to+Banana+Jacks&amp;qid=1695174078&amp;sr=8-1")</f>
        <v/>
      </c>
      <c r="F675" t="inlineStr">
        <is>
          <t>B0BN2LTKTB</t>
        </is>
      </c>
      <c r="G675">
        <f>_xludf.IMAGE("https://edmondsonsupply.com/cdn/shop/products/69357.jpg?v=1674489211")</f>
        <v/>
      </c>
      <c r="H675">
        <f>_xludf.IMAGE("https://m.media-amazon.com/images/I/51B8PrxCL3L._AC_UY218_.jpg")</f>
        <v/>
      </c>
      <c r="I675" t="inlineStr">
        <is>
          <t>9.99</t>
        </is>
      </c>
      <c r="J675" t="n">
        <v>19.12</v>
      </c>
      <c r="K675" s="3" t="inlineStr">
        <is>
          <t>91.39%</t>
        </is>
      </c>
      <c r="L675" t="n">
        <v>4.5</v>
      </c>
      <c r="M675" t="n">
        <v>2</v>
      </c>
      <c r="O675" t="inlineStr">
        <is>
          <t>InStock</t>
        </is>
      </c>
      <c r="P675" t="inlineStr">
        <is>
          <t>14.98</t>
        </is>
      </c>
      <c r="Q675" t="inlineStr">
        <is>
          <t>7931923300568</t>
        </is>
      </c>
    </row>
    <row r="676">
      <c r="A676" s="2">
        <f>HYPERLINK("https://edmondsonsupply.com/collections/electricians-tools/products/klein-tools-d2000-28-diagonal-cutting-pliers-heavy-duty-high-leverage-8-inch", "https://edmondsonsupply.com/collections/electricians-tools/products/klein-tools-d2000-28-diagonal-cutting-pliers-heavy-duty-high-leverage-8-inch")</f>
        <v/>
      </c>
      <c r="B676" s="2">
        <f>HYPERLINK("https://edmondsonsupply.com/products/klein-tools-d2000-28-diagonal-cutting-pliers-heavy-duty-high-leverage-8-inch", "https://edmondsonsupply.com/products/klein-tools-d2000-28-diagonal-cutting-pliers-heavy-duty-high-leverage-8-inch")</f>
        <v/>
      </c>
      <c r="C676" t="inlineStr">
        <is>
          <t>Klein Tools D2000-28 Diagonal Cutting Pliers, Heavy-Duty, High-Leverage, 8-Inch</t>
        </is>
      </c>
      <c r="D676" t="inlineStr">
        <is>
          <t>Klein Tools D2000-28 Pliers, Diagonal Cutting Pliers, 8-Inch &amp; D213-9NE Pliers, 9-Inch Side Cutters, High Leverage Linesman Pliers Cut Copper, Aluminum and other Soft Metals</t>
        </is>
      </c>
      <c r="E676" s="2">
        <f>HYPERLINK("https://www.amazon.com/Klein-Tools-D2000-28-Diagonal-D213-9NE/dp/B0BD3WQ62S/ref=sr_1_5?keywords=Klein+Tools+D2000-28+Diagonal+Cutting+Pliers%2C+Heavy-Duty%2C+High-Leverage%2C+8-Inch&amp;qid=1695174291&amp;sr=8-5", "https://www.amazon.com/Klein-Tools-D2000-28-Diagonal-D213-9NE/dp/B0BD3WQ62S/ref=sr_1_5?keywords=Klein+Tools+D2000-28+Diagonal+Cutting+Pliers%2C+Heavy-Duty%2C+High-Leverage%2C+8-Inch&amp;qid=1695174291&amp;sr=8-5")</f>
        <v/>
      </c>
      <c r="F676" t="inlineStr">
        <is>
          <t>B0BD3WQ62S</t>
        </is>
      </c>
      <c r="G676">
        <f>_xludf.IMAGE("https://edmondsonsupply.com/cdn/shop/products/d200028.jpg?v=1633030882")</f>
        <v/>
      </c>
      <c r="H676">
        <f>_xludf.IMAGE("https://m.media-amazon.com/images/I/31MK8zfZMnL._AC_UL320_.jpg")</f>
        <v/>
      </c>
      <c r="I676" t="inlineStr">
        <is>
          <t>34.99</t>
        </is>
      </c>
      <c r="J676" t="n">
        <v>66.95999999999999</v>
      </c>
      <c r="K676" s="3" t="inlineStr">
        <is>
          <t>91.37%</t>
        </is>
      </c>
      <c r="L676" t="n">
        <v>5</v>
      </c>
      <c r="M676" t="n">
        <v>2</v>
      </c>
      <c r="O676" t="inlineStr">
        <is>
          <t>InStock</t>
        </is>
      </c>
      <c r="P676" t="inlineStr">
        <is>
          <t>53.0</t>
        </is>
      </c>
      <c r="Q676" t="inlineStr">
        <is>
          <t>6183860568237</t>
        </is>
      </c>
    </row>
    <row r="677">
      <c r="A677" s="2">
        <f>HYPERLINK("https://edmondsonsupply.com/collections/electricians-tools/products/klein-tools-60347-hard-hat-premium-karbn%E2%84%A2-pattern-vented-full-brim-class-c-lamp", "https://edmondsonsupply.com/collections/electricians-tools/products/klein-tools-60347-hard-hat-premium-karbn%E2%84%A2-pattern-vented-full-brim-class-c-lamp")</f>
        <v/>
      </c>
      <c r="B677" s="2">
        <f>HYPERLINK("https://edmondsonsupply.com/products/klein-tools-60347-hard-hat-premium-karbn%e2%84%a2-pattern-vented-full-brim-class-c-lamp", "https://edmondsonsupply.com/products/klein-tools-60347-hard-hat-premium-karbn%e2%84%a2-pattern-vented-full-brim-class-c-lamp")</f>
        <v/>
      </c>
      <c r="C677" t="inlineStr">
        <is>
          <t>Klein Tools 60347 Hard Hat, Premium KARBN™ Pattern, Vented Full Brim, Class C, Lamp</t>
        </is>
      </c>
      <c r="D677" t="inlineStr">
        <is>
          <t>Klein Tools 60407 Hard Hat, White &amp; 60347 Hard Hat, Vented Full Brim, Class C, Premium KARBN Pattern, Rechargeable Lamp, Padded Sweat-Wicking Sweatband, Top Pad</t>
        </is>
      </c>
      <c r="E677" s="2">
        <f>HYPERLINK("https://www.amazon.com/Klein-Tools-Rechargeable-Sweat-Wicking-Sweatband/dp/B0BNL94L4X/ref=sr_1_3?keywords=Klein+Tools+60347+Hard+Hat%2C+Premium+KARBN%E2%84%A2+Pattern%2C+Vented+Full+Brim%2C+Class+C%2C+Lamp&amp;qid=1695174177&amp;sr=8-3", "https://www.amazon.com/Klein-Tools-Rechargeable-Sweat-Wicking-Sweatband/dp/B0BNL94L4X/ref=sr_1_3?keywords=Klein+Tools+60347+Hard+Hat%2C+Premium+KARBN%E2%84%A2+Pattern%2C+Vented+Full+Brim%2C+Class+C%2C+Lamp&amp;qid=1695174177&amp;sr=8-3")</f>
        <v/>
      </c>
      <c r="F677" t="inlineStr">
        <is>
          <t>B0BNL94L4X</t>
        </is>
      </c>
      <c r="G677">
        <f>_xludf.IMAGE("https://edmondsonsupply.com/cdn/shop/products/60347.jpg?v=1659454043")</f>
        <v/>
      </c>
      <c r="H677">
        <f>_xludf.IMAGE("https://m.media-amazon.com/images/I/51A8iWc37VL._AC_UL320_.jpg")</f>
        <v/>
      </c>
      <c r="I677" t="inlineStr">
        <is>
          <t>89.99</t>
        </is>
      </c>
      <c r="J677" t="n">
        <v>171.85</v>
      </c>
      <c r="K677" s="3" t="inlineStr">
        <is>
          <t>90.97%</t>
        </is>
      </c>
      <c r="L677" t="n">
        <v>4.7</v>
      </c>
      <c r="M677" t="n">
        <v>4</v>
      </c>
      <c r="O677" t="inlineStr">
        <is>
          <t>OutOfStock</t>
        </is>
      </c>
      <c r="P677" t="inlineStr">
        <is>
          <t>123.76</t>
        </is>
      </c>
      <c r="Q677" t="inlineStr">
        <is>
          <t>7769755975896</t>
        </is>
      </c>
    </row>
    <row r="678">
      <c r="A678" s="2">
        <f>HYPERLINK("https://edmondsonsupply.com/collections/electricians-tools/products/milwaukee-2880-20-m18-fuel%E2%84%A2-4-1-2-5-grinder-paddle-switch-no-lock", "https://edmondsonsupply.com/collections/electricians-tools/products/milwaukee-2880-20-m18-fuel%E2%84%A2-4-1-2-5-grinder-paddle-switch-no-lock")</f>
        <v/>
      </c>
      <c r="B678" s="2">
        <f>HYPERLINK("https://edmondsonsupply.com/products/milwaukee-2880-20-m18-fuel%e2%84%a2-4-1-2-5-grinder-paddle-switch-no-lock", "https://edmondsonsupply.com/products/milwaukee-2880-20-m18-fuel%e2%84%a2-4-1-2-5-grinder-paddle-switch-no-lock")</f>
        <v/>
      </c>
      <c r="C678" t="inlineStr">
        <is>
          <t>Milwaukee 2880-20 M18 FUEL™ 4-1/2" / 5" Grinder Paddle Switch, No-Lock</t>
        </is>
      </c>
      <c r="D678" t="inlineStr">
        <is>
          <t>MilwaukeeTool Milwaukee M18 FUEL 4-1/2 / 5inch Grinder Paddle Switch, No-Lock Kit 2880-22</t>
        </is>
      </c>
      <c r="E678" s="2">
        <f>HYPERLINK("https://www.amazon.com/MilwaukeeTool-Milwaukee-Grinder-No-Lock-2880-22/dp/B09FBJL179/ref=sr_1_3?keywords=Milwaukee+2880-20+M18+FUEL%E2%84%A2+4-1%2F2%22+%2F+5%22+Grinder+Paddle+Switch%2C+No-Lock&amp;qid=1695174165&amp;sr=8-3", "https://www.amazon.com/MilwaukeeTool-Milwaukee-Grinder-No-Lock-2880-22/dp/B09FBJL179/ref=sr_1_3?keywords=Milwaukee+2880-20+M18+FUEL%E2%84%A2+4-1%2F2%22+%2F+5%22+Grinder+Paddle+Switch%2C+No-Lock&amp;qid=1695174165&amp;sr=8-3")</f>
        <v/>
      </c>
      <c r="F678" t="inlineStr">
        <is>
          <t>B09FBJL179</t>
        </is>
      </c>
      <c r="G678">
        <f>_xludf.IMAGE("https://edmondsonsupply.com/cdn/shop/products/2880-20_1.webp?v=1661698933")</f>
        <v/>
      </c>
      <c r="H678">
        <f>_xludf.IMAGE("https://m.media-amazon.com/images/I/61Vmp8uxgHL._AC_UL320_.jpg")</f>
        <v/>
      </c>
      <c r="I678" t="inlineStr">
        <is>
          <t>199.0</t>
        </is>
      </c>
      <c r="J678" t="n">
        <v>379.94</v>
      </c>
      <c r="K678" s="3" t="inlineStr">
        <is>
          <t>90.92%</t>
        </is>
      </c>
      <c r="L678" t="n">
        <v>4.8</v>
      </c>
      <c r="M678" t="n">
        <v>8</v>
      </c>
      <c r="O678" t="inlineStr">
        <is>
          <t>InStock</t>
        </is>
      </c>
      <c r="P678" t="inlineStr">
        <is>
          <t>330.0</t>
        </is>
      </c>
      <c r="Q678" t="inlineStr">
        <is>
          <t>7795852411096</t>
        </is>
      </c>
    </row>
    <row r="679">
      <c r="A679" s="2">
        <f>HYPERLINK("https://edmondsonsupply.com/collections/electricians-tools/products/klein-tools-vdv526-200-lan-scout-%C2%AE-jr-2-cable-tester", "https://edmondsonsupply.com/collections/electricians-tools/products/klein-tools-vdv526-200-lan-scout-%C2%AE-jr-2-cable-tester")</f>
        <v/>
      </c>
      <c r="B679" s="2">
        <f>HYPERLINK("https://edmondsonsupply.com/products/klein-tools-vdv526-200-lan-scout-%c2%ae-jr-2-cable-tester", "https://edmondsonsupply.com/products/klein-tools-vdv526-200-lan-scout-%c2%ae-jr-2-cable-tester")</f>
        <v/>
      </c>
      <c r="C679" t="inlineStr">
        <is>
          <t>Klein Tools VDV526-200 LAN Scout ® Jr. 2 Cable Tester</t>
        </is>
      </c>
      <c r="D679" t="inlineStr">
        <is>
          <t>Klein Tools VDV226-110 Ratcheting Modular Cable Crimper &amp; VDV526-200 Cable Tester, LAN Scout Jr. 2 Ethernet Cable Tester for CAT 5e, CAT 6/6A Cables with RJ45 Connections</t>
        </is>
      </c>
      <c r="E679" s="2">
        <f>HYPERLINK("https://www.amazon.com/Klein-Tools-VDV226-110-Ratcheting-Connections/dp/B09T6YN1NB/ref=sr_1_7?keywords=Klein+Tools+VDV526-200+LAN+Scout+%C2%AE+Jr.+2+Cable+Tester&amp;qid=1695174153&amp;sr=8-7", "https://www.amazon.com/Klein-Tools-VDV226-110-Ratcheting-Connections/dp/B09T6YN1NB/ref=sr_1_7?keywords=Klein+Tools+VDV526-200+LAN+Scout+%C2%AE+Jr.+2+Cable+Tester&amp;qid=1695174153&amp;sr=8-7")</f>
        <v/>
      </c>
      <c r="F679" t="inlineStr">
        <is>
          <t>B09T6YN1NB</t>
        </is>
      </c>
      <c r="G679">
        <f>_xludf.IMAGE("https://edmondsonsupply.com/cdn/shop/products/vdv526200.jpg?v=1663689949")</f>
        <v/>
      </c>
      <c r="H679">
        <f>_xludf.IMAGE("https://m.media-amazon.com/images/I/51-TxWp0yoL._AC_UY218_.jpg")</f>
        <v/>
      </c>
      <c r="I679" t="inlineStr">
        <is>
          <t>54.97</t>
        </is>
      </c>
      <c r="J679" t="n">
        <v>104.94</v>
      </c>
      <c r="K679" s="3" t="inlineStr">
        <is>
          <t>90.90%</t>
        </is>
      </c>
      <c r="L679" t="n">
        <v>5</v>
      </c>
      <c r="M679" t="n">
        <v>6</v>
      </c>
      <c r="O679" t="inlineStr">
        <is>
          <t>InStock</t>
        </is>
      </c>
      <c r="P679" t="inlineStr">
        <is>
          <t>82.5</t>
        </is>
      </c>
      <c r="Q679" t="inlineStr">
        <is>
          <t>7823726182616</t>
        </is>
      </c>
    </row>
    <row r="680">
      <c r="A680" s="2">
        <f>HYPERLINK("https://edmondsonsupply.com/collections/electricians-tools/products/klein-tools-32305-15-in-1-multi-bit-ratcheting-screwdriver", "https://edmondsonsupply.com/collections/electricians-tools/products/klein-tools-32305-15-in-1-multi-bit-ratcheting-screwdriver")</f>
        <v/>
      </c>
      <c r="B680" s="2">
        <f>HYPERLINK("https://edmondsonsupply.com/products/klein-tools-32305-15-in-1-multi-bit-ratcheting-screwdriver", "https://edmondsonsupply.com/products/klein-tools-32305-15-in-1-multi-bit-ratcheting-screwdriver")</f>
        <v/>
      </c>
      <c r="C680" t="inlineStr">
        <is>
          <t>Klein Tools 32305 15-in-1 Multi-Bit Ratcheting Screwdriver</t>
        </is>
      </c>
      <c r="D680" t="inlineStr">
        <is>
          <t>Klein Tools 32305 Multi-bit Ratcheting Screwdriver, 15-in-1 Tool with Phillips, Slotted, Torx and Combo Bits and 1/4-Inch Nut Driver &amp; 27 in 1 Multi Bit Precision Screwdriver with Tamperproof Bit</t>
        </is>
      </c>
      <c r="E680" s="2">
        <f>HYPERLINK("https://www.amazon.com/Klein-Tools-Ratcheting-Screwdriver-Tamperproof/dp/B0BVG436BF/ref=sr_1_4?keywords=Klein+Tools+32305+15-in-1+Multi-Bit+Ratcheting+Screwdriver&amp;qid=1695174215&amp;sr=8-4", "https://www.amazon.com/Klein-Tools-Ratcheting-Screwdriver-Tamperproof/dp/B0BVG436BF/ref=sr_1_4?keywords=Klein+Tools+32305+15-in-1+Multi-Bit+Ratcheting+Screwdriver&amp;qid=1695174215&amp;sr=8-4")</f>
        <v/>
      </c>
      <c r="F680" t="inlineStr">
        <is>
          <t>B0BVG436BF</t>
        </is>
      </c>
      <c r="G680">
        <f>_xludf.IMAGE("https://edmondsonsupply.com/cdn/shop/products/32305.jpg?v=1646965475")</f>
        <v/>
      </c>
      <c r="H680">
        <f>_xludf.IMAGE("https://m.media-amazon.com/images/I/41WYylf-lZL._AC_UL320_.jpg")</f>
        <v/>
      </c>
      <c r="I680" t="inlineStr">
        <is>
          <t>21.97</t>
        </is>
      </c>
      <c r="J680" t="n">
        <v>41.94</v>
      </c>
      <c r="K680" s="3" t="inlineStr">
        <is>
          <t>90.90%</t>
        </is>
      </c>
      <c r="L680" t="n">
        <v>4.5</v>
      </c>
      <c r="M680" t="n">
        <v>5</v>
      </c>
      <c r="O680" t="inlineStr">
        <is>
          <t>InStock</t>
        </is>
      </c>
      <c r="P680" t="inlineStr">
        <is>
          <t>30.78</t>
        </is>
      </c>
      <c r="Q680" t="inlineStr">
        <is>
          <t>7632426598616</t>
        </is>
      </c>
    </row>
    <row r="681">
      <c r="A681" s="2">
        <f>HYPERLINK("https://edmondsonsupply.com/collections/electricians-tools/products/klein-tools-1550-44-pocket-knife-2-5-8-inch-hawkbill-slitting-blade", "https://edmondsonsupply.com/collections/electricians-tools/products/klein-tools-1550-44-pocket-knife-2-5-8-inch-hawkbill-slitting-blade")</f>
        <v/>
      </c>
      <c r="B681" s="2">
        <f>HYPERLINK("https://edmondsonsupply.com/products/klein-tools-1550-44-pocket-knife-2-5-8-inch-hawkbill-slitting-blade", "https://edmondsonsupply.com/products/klein-tools-1550-44-pocket-knife-2-5-8-inch-hawkbill-slitting-blade")</f>
        <v/>
      </c>
      <c r="C681" t="inlineStr">
        <is>
          <t>Klein Tools 1550-44 Pocket Knife, 2-5/8-Inch Hawkbill Slitting Blade</t>
        </is>
      </c>
      <c r="D681" t="inlineStr">
        <is>
          <t>Klein Tools 44006 Pocket Knife, Electricians Knife with 2-5/8-Inch Hawkbill Blade and Aluminum Handle</t>
        </is>
      </c>
      <c r="E681" s="2">
        <f>HYPERLINK("https://www.amazon.com/Lockback-8-Inch-Aluminum-Klein-Tools/dp/B009EBS4Q8/ref=sr_1_2?keywords=Klein+Tools+1550-44+Pocket+Knife%2C+2-5%2F8-Inch+Hawkbill+Slitting+Blade&amp;qid=1695174173&amp;sr=8-2", "https://www.amazon.com/Lockback-8-Inch-Aluminum-Klein-Tools/dp/B009EBS4Q8/ref=sr_1_2?keywords=Klein+Tools+1550-44+Pocket+Knife%2C+2-5%2F8-Inch+Hawkbill+Slitting+Blade&amp;qid=1695174173&amp;sr=8-2")</f>
        <v/>
      </c>
      <c r="F681" t="inlineStr">
        <is>
          <t>B009EBS4Q8</t>
        </is>
      </c>
      <c r="G681">
        <f>_xludf.IMAGE("https://edmondsonsupply.com/cdn/shop/products/155044_c.jpg?v=1662662355")</f>
        <v/>
      </c>
      <c r="H681">
        <f>_xludf.IMAGE("https://m.media-amazon.com/images/I/41kN3c5N5jS._AC_UL320_.jpg")</f>
        <v/>
      </c>
      <c r="I681" t="inlineStr">
        <is>
          <t>30.93</t>
        </is>
      </c>
      <c r="J681" t="n">
        <v>59</v>
      </c>
      <c r="K681" s="3" t="inlineStr">
        <is>
          <t>90.75%</t>
        </is>
      </c>
      <c r="L681" t="n">
        <v>4.7</v>
      </c>
      <c r="M681" t="n">
        <v>338</v>
      </c>
      <c r="O681" t="inlineStr">
        <is>
          <t>InStock</t>
        </is>
      </c>
      <c r="P681" t="inlineStr">
        <is>
          <t>48.6</t>
        </is>
      </c>
      <c r="Q681" t="inlineStr">
        <is>
          <t>7809379172568</t>
        </is>
      </c>
    </row>
    <row r="682">
      <c r="A682" s="2">
        <f>HYPERLINK("https://edmondsonsupply.com/collections/electricians-tools/products/klein-tools-k11095-klein-kurve%C2%AE-wire-stripper-cutter-8-20-awg", "https://edmondsonsupply.com/collections/electricians-tools/products/klein-tools-k11095-klein-kurve%C2%AE-wire-stripper-cutter-8-20-awg")</f>
        <v/>
      </c>
      <c r="B682" s="2">
        <f>HYPERLINK("https://edmondsonsupply.com/products/klein-tools-k11095-klein-kurve%c2%ae-wire-stripper-cutter-8-20-awg", "https://edmondsonsupply.com/products/klein-tools-k11095-klein-kurve%c2%ae-wire-stripper-cutter-8-20-awg")</f>
        <v/>
      </c>
      <c r="C682" t="inlineStr">
        <is>
          <t>Klein Tools K11095 Klein-Kurve® Wire Stripper / Cutter, 8-20 AWG</t>
        </is>
      </c>
      <c r="D682" t="inlineStr">
        <is>
          <t>Klein Tools K12065CR Wire Stripper / Cutter / Crimper Tool for Cutting, Stripping, Crimping, Twisting (8-18 AWG solid, 10-20 AWG stranded)</t>
        </is>
      </c>
      <c r="E682" s="2">
        <f>HYPERLINK("https://www.amazon.com/Heavy-Stripper-Cutter-Crimper-Multi/dp/B08BX9RTPX/ref=sr_1_8?keywords=Klein+Tools+K11095+Klein-Kurve%C2%AE+Wire+Stripper+%2F+Cutter%2C+8-20+AWG&amp;qid=1695174173&amp;sr=8-8", "https://www.amazon.com/Heavy-Stripper-Cutter-Crimper-Multi/dp/B08BX9RTPX/ref=sr_1_8?keywords=Klein+Tools+K11095+Klein-Kurve%C2%AE+Wire+Stripper+%2F+Cutter%2C+8-20+AWG&amp;qid=1695174173&amp;sr=8-8")</f>
        <v/>
      </c>
      <c r="F682" t="inlineStr">
        <is>
          <t>B08BX9RTPX</t>
        </is>
      </c>
      <c r="G682">
        <f>_xludf.IMAGE("https://edmondsonsupply.com/cdn/shop/products/k11095_b_front_vertical.jpg?v=1661364611")</f>
        <v/>
      </c>
      <c r="H682">
        <f>_xludf.IMAGE("https://m.media-amazon.com/images/I/51Oylu1vHoL._AC_UL320_.jpg")</f>
        <v/>
      </c>
      <c r="I682" t="inlineStr">
        <is>
          <t>20.97</t>
        </is>
      </c>
      <c r="J682" t="n">
        <v>39.97</v>
      </c>
      <c r="K682" s="3" t="inlineStr">
        <is>
          <t>90.61%</t>
        </is>
      </c>
      <c r="L682" t="n">
        <v>4.7</v>
      </c>
      <c r="M682" t="n">
        <v>726</v>
      </c>
      <c r="O682" t="inlineStr">
        <is>
          <t>InStock</t>
        </is>
      </c>
      <c r="P682" t="inlineStr">
        <is>
          <t>29.38</t>
        </is>
      </c>
      <c r="Q682" t="inlineStr">
        <is>
          <t>7793145315544</t>
        </is>
      </c>
    </row>
    <row r="683">
      <c r="A683" s="2">
        <f>HYPERLINK("https://edmondsonsupply.com/collections/electricians-tools/products/wiha-tools-32088-8-piece-insulated-picofinish-precision-screwdriver-set", "https://edmondsonsupply.com/collections/electricians-tools/products/wiha-tools-32088-8-piece-insulated-picofinish-precision-screwdriver-set")</f>
        <v/>
      </c>
      <c r="B683" s="2">
        <f>HYPERLINK("https://edmondsonsupply.com/products/wiha-tools-32088-8-piece-insulated-picofinish-precision-screwdriver-set", "https://edmondsonsupply.com/products/wiha-tools-32088-8-piece-insulated-picofinish-precision-screwdriver-set")</f>
        <v/>
      </c>
      <c r="C683" t="inlineStr">
        <is>
          <t>Wiha Tools 32088 8 Piece Insulated PicoFinish Precision Screwdriver Set</t>
        </is>
      </c>
      <c r="D683" t="inlineStr">
        <is>
          <t>Wiha PicoFinish® Electric Precision Screwdriver Set 7 Pieces Including Holder I Screwdriver for Electricians I VDE I Slotted Phillips (42989)</t>
        </is>
      </c>
      <c r="E683" s="2">
        <f>HYPERLINK("https://www.amazon.com/Wiha-PicoFinish%C2%AE-Screwdriver-Electricians-42989/dp/B07H6SB33W/ref=sr_1_9?keywords=Wiha+Tools+32088+8+Piece+Insulated+PicoFinish+Precision+Screwdriver+Set&amp;qid=1695173981&amp;sr=8-9", "https://www.amazon.com/Wiha-PicoFinish%C2%AE-Screwdriver-Electricians-42989/dp/B07H6SB33W/ref=sr_1_9?keywords=Wiha+Tools+32088+8+Piece+Insulated+PicoFinish+Precision+Screwdriver+Set&amp;qid=1695173981&amp;sr=8-9")</f>
        <v/>
      </c>
      <c r="F683" t="inlineStr">
        <is>
          <t>B07H6SB33W</t>
        </is>
      </c>
      <c r="G683">
        <f>_xludf.IMAGE("https://edmondsonsupply.com/cdn/shop/files/ah1u5hviqxts6itxix4k_1000x_5285634c-51ad-48c4-987e-f1113aaa9ab9.webp?v=1690905519")</f>
        <v/>
      </c>
      <c r="H683">
        <f>_xludf.IMAGE("https://m.media-amazon.com/images/I/61CoYBjxDhL._AC_UL320_.jpg")</f>
        <v/>
      </c>
      <c r="I683" t="inlineStr">
        <is>
          <t>64.55</t>
        </is>
      </c>
      <c r="J683" t="n">
        <v>123</v>
      </c>
      <c r="K683" s="3" t="inlineStr">
        <is>
          <t>90.55%</t>
        </is>
      </c>
      <c r="L683" t="n">
        <v>4.8</v>
      </c>
      <c r="M683" t="n">
        <v>51</v>
      </c>
      <c r="O683" t="inlineStr">
        <is>
          <t>InStock</t>
        </is>
      </c>
      <c r="P683" t="inlineStr">
        <is>
          <t>86.07</t>
        </is>
      </c>
      <c r="Q683" t="inlineStr">
        <is>
          <t>8023413326040</t>
        </is>
      </c>
    </row>
    <row r="684">
      <c r="A684" s="2">
        <f>HYPERLINK("https://edmondsonsupply.com/collections/electricians-tools/products/klein-tools-602-4-ins-1-4-inch-cabinet-tip-insulated-screwdriver-4-inch", "https://edmondsonsupply.com/collections/electricians-tools/products/klein-tools-602-4-ins-1-4-inch-cabinet-tip-insulated-screwdriver-4-inch")</f>
        <v/>
      </c>
      <c r="B684" s="2">
        <f>HYPERLINK("https://edmondsonsupply.com/products/klein-tools-602-4-ins-1-4-inch-cabinet-tip-insulated-screwdriver-4-inch", "https://edmondsonsupply.com/products/klein-tools-602-4-ins-1-4-inch-cabinet-tip-insulated-screwdriver-4-inch")</f>
        <v/>
      </c>
      <c r="C684" t="inlineStr">
        <is>
          <t>Klein Tools 602-4-INS 1/4-Inch Cabinet Tip Insulated Screwdriver, 4-Inch</t>
        </is>
      </c>
      <c r="D684" t="inlineStr">
        <is>
          <t>Klein Tools 33532-INS Electrical Insulated Screwdriver Set of 2, 4-Inch Phillips and Cabinet Set, Made in USA</t>
        </is>
      </c>
      <c r="E684" s="2">
        <f>HYPERLINK("https://www.amazon.com/Electrical-Insulated-Screwdriver-Klein-Tools/dp/B000MKIRBC/ref=sr_1_9?keywords=Klein+Tools+602-4-INS+1%2F4-Inch+Cabinet+Tip+Insulated+Screwdriver%2C+4-Inch&amp;qid=1695174266&amp;sr=8-9", "https://www.amazon.com/Electrical-Insulated-Screwdriver-Klein-Tools/dp/B000MKIRBC/ref=sr_1_9?keywords=Klein+Tools+602-4-INS+1%2F4-Inch+Cabinet+Tip+Insulated+Screwdriver%2C+4-Inch&amp;qid=1695174266&amp;sr=8-9")</f>
        <v/>
      </c>
      <c r="F684" t="inlineStr">
        <is>
          <t>B000MKIRBC</t>
        </is>
      </c>
      <c r="G684">
        <f>_xludf.IMAGE("https://edmondsonsupply.com/cdn/shop/products/602-4-ins-photo.jpg?v=1633031051")</f>
        <v/>
      </c>
      <c r="H684">
        <f>_xludf.IMAGE("https://m.media-amazon.com/images/I/51qrC6b7nFL._AC_UL320_.jpg")</f>
        <v/>
      </c>
      <c r="I684" t="inlineStr">
        <is>
          <t>20.99</t>
        </is>
      </c>
      <c r="J684" t="n">
        <v>39.99</v>
      </c>
      <c r="K684" s="3" t="inlineStr">
        <is>
          <t>90.52%</t>
        </is>
      </c>
      <c r="L684" t="n">
        <v>4.8</v>
      </c>
      <c r="M684" t="n">
        <v>595</v>
      </c>
      <c r="O684" t="inlineStr">
        <is>
          <t>InStock</t>
        </is>
      </c>
      <c r="P684" t="inlineStr">
        <is>
          <t>31.8</t>
        </is>
      </c>
      <c r="Q684" t="inlineStr">
        <is>
          <t>6779496890541</t>
        </is>
      </c>
    </row>
    <row r="685">
      <c r="A685" s="2">
        <f>HYPERLINK("https://edmondsonsupply.com/collections/electricians-tools/products/milwaukee-48-22-7212-12-aluminum-pipe-wrench", "https://edmondsonsupply.com/collections/electricians-tools/products/milwaukee-48-22-7212-12-aluminum-pipe-wrench")</f>
        <v/>
      </c>
      <c r="B685" s="2">
        <f>HYPERLINK("https://edmondsonsupply.com/products/milwaukee-48-22-7212-12-aluminum-pipe-wrench", "https://edmondsonsupply.com/products/milwaukee-48-22-7212-12-aluminum-pipe-wrench")</f>
        <v/>
      </c>
      <c r="C685" t="inlineStr">
        <is>
          <t>Milwaukee 48-22-7212 12" Aluminum Pipe Wrench</t>
        </is>
      </c>
      <c r="D685" t="inlineStr">
        <is>
          <t>MILWAUKEE ELEC TOOL 48 22 7224 Milwaukee 24 In. Aluminum Pipe Wrench</t>
        </is>
      </c>
      <c r="E685" s="2">
        <f>HYPERLINK("https://www.amazon.com/MILWAUKEE-48-22-7224-Milwaukee/dp/B01HOXID1I/ref=sr_1_4?keywords=Milwaukee+48-22-7212+12%22+Aluminum+Pipe+Wrench&amp;qid=1695174041&amp;sr=8-4", "https://www.amazon.com/MILWAUKEE-48-22-7224-Milwaukee/dp/B01HOXID1I/ref=sr_1_4?keywords=Milwaukee+48-22-7212+12%22+Aluminum+Pipe+Wrench&amp;qid=1695174041&amp;sr=8-4")</f>
        <v/>
      </c>
      <c r="F685" t="inlineStr">
        <is>
          <t>B01HOXID1I</t>
        </is>
      </c>
      <c r="G685">
        <f>_xludf.IMAGE("https://edmondsonsupply.com/cdn/shop/products/48-22-7218_2_1.png?v=1680096437")</f>
        <v/>
      </c>
      <c r="H685">
        <f>_xludf.IMAGE("https://m.media-amazon.com/images/I/7198DLJ590L._AC_UL320_.jpg")</f>
        <v/>
      </c>
      <c r="I685" t="inlineStr">
        <is>
          <t>49.97</t>
        </is>
      </c>
      <c r="J685" t="n">
        <v>94.98999999999999</v>
      </c>
      <c r="K685" s="3" t="inlineStr">
        <is>
          <t>90.09%</t>
        </is>
      </c>
      <c r="L685" t="n">
        <v>4.6</v>
      </c>
      <c r="M685" t="n">
        <v>44</v>
      </c>
      <c r="O685" t="inlineStr">
        <is>
          <t>InStock</t>
        </is>
      </c>
      <c r="P685" t="inlineStr">
        <is>
          <t>75.4</t>
        </is>
      </c>
      <c r="Q685" t="inlineStr">
        <is>
          <t>7969537458392</t>
        </is>
      </c>
    </row>
    <row r="686">
      <c r="A686" s="2">
        <f>HYPERLINK("https://edmondsonsupply.com/collections/electricians-tools/products/milwaukee-48-22-7214-14-aluminum-pipe-wrench", "https://edmondsonsupply.com/collections/electricians-tools/products/milwaukee-48-22-7214-14-aluminum-pipe-wrench")</f>
        <v/>
      </c>
      <c r="B686" s="2">
        <f>HYPERLINK("https://edmondsonsupply.com/products/milwaukee-48-22-7214-14-aluminum-pipe-wrench", "https://edmondsonsupply.com/products/milwaukee-48-22-7214-14-aluminum-pipe-wrench")</f>
        <v/>
      </c>
      <c r="C686" t="inlineStr">
        <is>
          <t>Milwaukee 48-22-7214 14" Aluminum Pipe Wrench</t>
        </is>
      </c>
      <c r="D686" t="inlineStr">
        <is>
          <t>MILWAUKEE ELEC TOOL 48 22 7224 Milwaukee 24 In. Aluminum Pipe Wrench</t>
        </is>
      </c>
      <c r="E686" s="2">
        <f>HYPERLINK("https://www.amazon.com/MILWAUKEE-48-22-7224-Milwaukee/dp/B01HOXID1I/ref=sr_1_5?keywords=Milwaukee+48-22-7214+14%22+Aluminum+Pipe+Wrench&amp;qid=1695174078&amp;sr=8-5", "https://www.amazon.com/MILWAUKEE-48-22-7224-Milwaukee/dp/B01HOXID1I/ref=sr_1_5?keywords=Milwaukee+48-22-7214+14%22+Aluminum+Pipe+Wrench&amp;qid=1695174078&amp;sr=8-5")</f>
        <v/>
      </c>
      <c r="F686" t="inlineStr">
        <is>
          <t>B01HOXID1I</t>
        </is>
      </c>
      <c r="G686">
        <f>_xludf.IMAGE("https://edmondsonsupply.com/cdn/shop/products/48-22-7218_2.png?v=1675700722")</f>
        <v/>
      </c>
      <c r="H686">
        <f>_xludf.IMAGE("https://m.media-amazon.com/images/I/7198DLJ590L._AC_UL320_.jpg")</f>
        <v/>
      </c>
      <c r="I686" t="inlineStr">
        <is>
          <t>49.97</t>
        </is>
      </c>
      <c r="J686" t="n">
        <v>94.98999999999999</v>
      </c>
      <c r="K686" s="3" t="inlineStr">
        <is>
          <t>90.09%</t>
        </is>
      </c>
      <c r="L686" t="n">
        <v>4.6</v>
      </c>
      <c r="M686" t="n">
        <v>44</v>
      </c>
      <c r="O686" t="inlineStr">
        <is>
          <t>InStock</t>
        </is>
      </c>
      <c r="P686" t="inlineStr">
        <is>
          <t>75.5</t>
        </is>
      </c>
      <c r="Q686" t="inlineStr">
        <is>
          <t>7940127719640</t>
        </is>
      </c>
    </row>
    <row r="687">
      <c r="A687" s="2">
        <f>HYPERLINK("https://edmondsonsupply.com/collections/electricians-tools/products/klein-tools-d2000-9ne-linemans-pliers-9-inch", "https://edmondsonsupply.com/collections/electricians-tools/products/klein-tools-d2000-9ne-linemans-pliers-9-inch")</f>
        <v/>
      </c>
      <c r="B687" s="2">
        <f>HYPERLINK("https://edmondsonsupply.com/products/klein-tools-d2000-9ne-linemans-pliers-9-inch", "https://edmondsonsupply.com/products/klein-tools-d2000-9ne-linemans-pliers-9-inch")</f>
        <v/>
      </c>
      <c r="C687" t="inlineStr">
        <is>
          <t>Klein Tools D2000-9NE Lineman's Pliers, 9-Inch</t>
        </is>
      </c>
      <c r="D687" t="inlineStr">
        <is>
          <t>Klein Tools D20009NEINS Insulated Lineman's Pliers with Dual Layer Insulation Exceeding tests and Flame and Impact Resistence, 9-Inch</t>
        </is>
      </c>
      <c r="E687" s="2">
        <f>HYPERLINK("https://www.amazon.com/Klein-Tools-D2000-9NE-INS-Insulated-Linemans/dp/B00093DXVQ/ref=sr_1_8?keywords=Klein+Tools+D2000-9NE+Linemans+Pliers%2C+9-Inch&amp;qid=1695174298&amp;sr=8-8", "https://www.amazon.com/Klein-Tools-D2000-9NE-INS-Insulated-Linemans/dp/B00093DXVQ/ref=sr_1_8?keywords=Klein+Tools+D2000-9NE+Linemans+Pliers%2C+9-Inch&amp;qid=1695174298&amp;sr=8-8")</f>
        <v/>
      </c>
      <c r="F687" t="inlineStr">
        <is>
          <t>B00093DXVQ</t>
        </is>
      </c>
      <c r="G687">
        <f>_xludf.IMAGE("https://edmondsonsupply.com/cdn/shop/products/d20009ne.jpg?v=1633030816")</f>
        <v/>
      </c>
      <c r="H687">
        <f>_xludf.IMAGE("https://m.media-amazon.com/images/I/41k4r6WrCiL._AC_UL320_.jpg")</f>
        <v/>
      </c>
      <c r="I687" t="inlineStr">
        <is>
          <t>39.99</t>
        </is>
      </c>
      <c r="J687" t="n">
        <v>75.87</v>
      </c>
      <c r="K687" s="3" t="inlineStr">
        <is>
          <t>89.72%</t>
        </is>
      </c>
      <c r="L687" t="n">
        <v>4.7</v>
      </c>
      <c r="M687" t="n">
        <v>242</v>
      </c>
      <c r="O687" t="inlineStr">
        <is>
          <t>InStock</t>
        </is>
      </c>
      <c r="P687" t="inlineStr">
        <is>
          <t>62.04</t>
        </is>
      </c>
      <c r="Q687" t="inlineStr">
        <is>
          <t>6070895411373</t>
        </is>
      </c>
    </row>
    <row r="688">
      <c r="A688" s="2">
        <f>HYPERLINK("https://edmondsonsupply.com/collections/electricians-tools/products/milwaukee-48-22-2859-demolition-driver", "https://edmondsonsupply.com/collections/electricians-tools/products/milwaukee-48-22-2859-demolition-driver")</f>
        <v/>
      </c>
      <c r="B688" s="2">
        <f>HYPERLINK("https://edmondsonsupply.com/products/milwaukee-48-22-2859-demolition-driver", "https://edmondsonsupply.com/products/milwaukee-48-22-2859-demolition-driver")</f>
        <v/>
      </c>
      <c r="C688" t="inlineStr">
        <is>
          <t>Milwaukee 48-22-2859 Demolition Driver</t>
        </is>
      </c>
      <c r="D688" t="inlineStr">
        <is>
          <t>For Milwaukee 48-22-2702 Tough Durable Demolition Screwdriver Set - 2 PC Length 14.35 in Width 1.7 in. Height 4.35 in.</t>
        </is>
      </c>
      <c r="E688" s="2">
        <f>HYPERLINK("https://www.amazon.com/Milwaukee-48-22-2702-Durable-Demolition-Screwdriver/dp/B0BYJLXHMN/ref=sr_1_2?keywords=Milwaukee+48-22-2859+Demolition+Driver&amp;qid=1695173855&amp;sr=8-2", "https://www.amazon.com/Milwaukee-48-22-2702-Durable-Demolition-Screwdriver/dp/B0BYJLXHMN/ref=sr_1_2?keywords=Milwaukee+48-22-2859+Demolition+Driver&amp;qid=1695173855&amp;sr=8-2")</f>
        <v/>
      </c>
      <c r="F688" t="inlineStr">
        <is>
          <t>B0BYJLXHMN</t>
        </is>
      </c>
      <c r="G688">
        <f>_xludf.IMAGE("https://edmondsonsupply.com/cdn/shop/products/48-22-2859_1.webp?v=1661549628")</f>
        <v/>
      </c>
      <c r="H688">
        <f>_xludf.IMAGE("https://m.media-amazon.com/images/I/41k8Y4OVmHL._AC_UL320_.jpg")</f>
        <v/>
      </c>
      <c r="I688" t="inlineStr">
        <is>
          <t>17.97</t>
        </is>
      </c>
      <c r="J688" t="n">
        <v>33.99</v>
      </c>
      <c r="K688" s="3" t="inlineStr">
        <is>
          <t>89.15%</t>
        </is>
      </c>
      <c r="L688" t="n">
        <v>5</v>
      </c>
      <c r="M688" t="n">
        <v>1</v>
      </c>
      <c r="O688" t="inlineStr">
        <is>
          <t>InStock</t>
        </is>
      </c>
      <c r="P688" t="inlineStr">
        <is>
          <t>30.0</t>
        </is>
      </c>
      <c r="Q688" t="inlineStr">
        <is>
          <t>7794952831192</t>
        </is>
      </c>
    </row>
    <row r="689">
      <c r="A689" s="2">
        <f>HYPERLINK("https://edmondsonsupply.com/collections/electricians-tools/products/klein-tools-605-4-1-4-inch-cabinet-tip-screwdriver-4-inch-shank", "https://edmondsonsupply.com/collections/electricians-tools/products/klein-tools-605-4-1-4-inch-cabinet-tip-screwdriver-4-inch-shank")</f>
        <v/>
      </c>
      <c r="B689" s="2">
        <f>HYPERLINK("https://edmondsonsupply.com/products/klein-tools-605-4-1-4-inch-cabinet-tip-screwdriver-4-inch-shank", "https://edmondsonsupply.com/products/klein-tools-605-4-1-4-inch-cabinet-tip-screwdriver-4-inch-shank")</f>
        <v/>
      </c>
      <c r="C689" t="inlineStr">
        <is>
          <t>Klein Tools 605-4 1/4-Inch Cabinet Tip Screwdriver 4-Inch Shank</t>
        </is>
      </c>
      <c r="D689" t="inlineStr">
        <is>
          <t>Klein Tools 601-4-INS Insulated Screwdriver, 3/16-Inch Cabinet Tip with 4-Inch Shank</t>
        </is>
      </c>
      <c r="E689" s="2">
        <f>HYPERLINK("https://www.amazon.com/Insulated-Screwdriver-Klein-Tools-601-4-INS/dp/B000LEBVIK/ref=sr_1_9?keywords=Klein+Tools+605-4+1%2F4-Inch+Cabinet+Tip+Screwdriver+4-Inch+Shank&amp;qid=1695174135&amp;sr=8-9", "https://www.amazon.com/Insulated-Screwdriver-Klein-Tools-601-4-INS/dp/B000LEBVIK/ref=sr_1_9?keywords=Klein+Tools+605-4+1%2F4-Inch+Cabinet+Tip+Screwdriver+4-Inch+Shank&amp;qid=1695174135&amp;sr=8-9")</f>
        <v/>
      </c>
      <c r="F689" t="inlineStr">
        <is>
          <t>B000LEBVIK</t>
        </is>
      </c>
      <c r="G689">
        <f>_xludf.IMAGE("https://edmondsonsupply.com/cdn/shop/products/605-6_ac5e56ca-920d-4d55-842f-c7dc8361f892.jpg?v=1665688377")</f>
        <v/>
      </c>
      <c r="H689">
        <f>_xludf.IMAGE("https://m.media-amazon.com/images/I/41SIcZZiIAL._AC_UL320_.jpg")</f>
        <v/>
      </c>
      <c r="I689" t="inlineStr">
        <is>
          <t>8.99</t>
        </is>
      </c>
      <c r="J689" t="n">
        <v>16.99</v>
      </c>
      <c r="K689" s="3" t="inlineStr">
        <is>
          <t>88.99%</t>
        </is>
      </c>
      <c r="L689" t="n">
        <v>4.8</v>
      </c>
      <c r="M689" t="n">
        <v>1064</v>
      </c>
      <c r="O689" t="inlineStr">
        <is>
          <t>InStock</t>
        </is>
      </c>
      <c r="P689" t="inlineStr">
        <is>
          <t>13.6</t>
        </is>
      </c>
      <c r="Q689" t="inlineStr">
        <is>
          <t>7852059132120</t>
        </is>
      </c>
    </row>
    <row r="690">
      <c r="A690" s="2">
        <f>HYPERLINK("https://edmondsonsupply.com/collections/electricians-tools/products/klein-tools-vdv526-200-lan-scout-%C2%AE-jr-2-cable-tester", "https://edmondsonsupply.com/collections/electricians-tools/products/klein-tools-vdv526-200-lan-scout-%C2%AE-jr-2-cable-tester")</f>
        <v/>
      </c>
      <c r="B690" s="2">
        <f>HYPERLINK("https://edmondsonsupply.com/products/klein-tools-vdv526-200-lan-scout-%c2%ae-jr-2-cable-tester", "https://edmondsonsupply.com/products/klein-tools-vdv526-200-lan-scout-%c2%ae-jr-2-cable-tester")</f>
        <v/>
      </c>
      <c r="C690" t="inlineStr">
        <is>
          <t>Klein Tools VDV526-200 LAN Scout ® Jr. 2 Cable Tester</t>
        </is>
      </c>
      <c r="D690" t="inlineStr">
        <is>
          <t>Klein Tools 80072 RJ45 Cable Tester Kit with LAN Scout Jr. 2, Coax Crimper / Stripper / Cutter Tool and Pass-Thru Modular Data Plug</t>
        </is>
      </c>
      <c r="E690" s="2">
        <f>HYPERLINK("https://www.amazon.com/Klein-Tools-80072-Stripper-Pass-Thru/dp/B09TPLNBQ2/ref=sr_1_9?keywords=Klein+Tools+VDV526-200+LAN+Scout+%C2%AE+Jr.+2+Cable+Tester&amp;qid=1695174153&amp;sr=8-9", "https://www.amazon.com/Klein-Tools-80072-Stripper-Pass-Thru/dp/B09TPLNBQ2/ref=sr_1_9?keywords=Klein+Tools+VDV526-200+LAN+Scout+%C2%AE+Jr.+2+Cable+Tester&amp;qid=1695174153&amp;sr=8-9")</f>
        <v/>
      </c>
      <c r="F690" t="inlineStr">
        <is>
          <t>B09TPLNBQ2</t>
        </is>
      </c>
      <c r="G690">
        <f>_xludf.IMAGE("https://edmondsonsupply.com/cdn/shop/products/vdv526200.jpg?v=1663689949")</f>
        <v/>
      </c>
      <c r="H690">
        <f>_xludf.IMAGE("https://m.media-amazon.com/images/I/61uYEWe2vLL._AC_UY218_.jpg")</f>
        <v/>
      </c>
      <c r="I690" t="inlineStr">
        <is>
          <t>54.97</t>
        </is>
      </c>
      <c r="J690" t="n">
        <v>103.78</v>
      </c>
      <c r="K690" s="3" t="inlineStr">
        <is>
          <t>88.79%</t>
        </is>
      </c>
      <c r="L690" t="n">
        <v>4.9</v>
      </c>
      <c r="M690" t="n">
        <v>97</v>
      </c>
      <c r="O690" t="inlineStr">
        <is>
          <t>InStock</t>
        </is>
      </c>
      <c r="P690" t="inlineStr">
        <is>
          <t>82.5</t>
        </is>
      </c>
      <c r="Q690" t="inlineStr">
        <is>
          <t>7823726182616</t>
        </is>
      </c>
    </row>
    <row r="691">
      <c r="A691" s="2">
        <f>HYPERLINK("https://edmondsonsupply.com/collections/electricians-tools/products/klein-tools-rt250-gfci-receptacle-tester-with-lcd", "https://edmondsonsupply.com/collections/electricians-tools/products/klein-tools-rt250-gfci-receptacle-tester-with-lcd")</f>
        <v/>
      </c>
      <c r="B691" s="2">
        <f>HYPERLINK("https://edmondsonsupply.com/products/klein-tools-rt250-gfci-receptacle-tester-with-lcd", "https://edmondsonsupply.com/products/klein-tools-rt250-gfci-receptacle-tester-with-lcd")</f>
        <v/>
      </c>
      <c r="C691" t="inlineStr">
        <is>
          <t>Klein Tools RT250 GFCI Receptacle Tester with LCD</t>
        </is>
      </c>
      <c r="D691" t="inlineStr">
        <is>
          <t>Klein Tools RT250 GFCI Receptacle Tester with LCD Display, for Standard 3-Wire 120V Electrical Outlets &amp; Finder Accessory Kit, Circuit Breaker Leads, Circuit Breaker Adapters Klein Tools 69411</t>
        </is>
      </c>
      <c r="E691" s="2">
        <f>HYPERLINK("https://www.amazon.com/Klein-Tools-Receptacle-Electrical-Accessory/dp/B09P83VQDK/ref=sr_1_3?keywords=Klein+Tools+RT250+GFCI+Receptacle+Tester+with+LCD&amp;qid=1695174176&amp;sr=8-3", "https://www.amazon.com/Klein-Tools-Receptacle-Electrical-Accessory/dp/B09P83VQDK/ref=sr_1_3?keywords=Klein+Tools+RT250+GFCI+Receptacle+Tester+with+LCD&amp;qid=1695174176&amp;sr=8-3")</f>
        <v/>
      </c>
      <c r="F691" t="inlineStr">
        <is>
          <t>B09P83VQDK</t>
        </is>
      </c>
      <c r="G691">
        <f>_xludf.IMAGE("https://edmondsonsupply.com/cdn/shop/products/rt250_photo_c.jpg?v=1661363824")</f>
        <v/>
      </c>
      <c r="H691">
        <f>_xludf.IMAGE("https://m.media-amazon.com/images/I/51Y6EmT5N-L._AC_UL320_.jpg")</f>
        <v/>
      </c>
      <c r="I691" t="inlineStr">
        <is>
          <t>21.97</t>
        </is>
      </c>
      <c r="J691" t="n">
        <v>41.4</v>
      </c>
      <c r="K691" s="3" t="inlineStr">
        <is>
          <t>88.44%</t>
        </is>
      </c>
      <c r="L691" t="n">
        <v>4.9</v>
      </c>
      <c r="M691" t="n">
        <v>20</v>
      </c>
      <c r="O691" t="inlineStr">
        <is>
          <t>InStock</t>
        </is>
      </c>
      <c r="P691" t="inlineStr">
        <is>
          <t>30.78</t>
        </is>
      </c>
      <c r="Q691" t="inlineStr">
        <is>
          <t>7793138729176</t>
        </is>
      </c>
    </row>
    <row r="692">
      <c r="A692" s="2">
        <f>HYPERLINK("https://edmondsonsupply.com/collections/electricians-tools/products/klein-tools-11045-wire-stripper-cutter-10-18-awg-solid", "https://edmondsonsupply.com/collections/electricians-tools/products/klein-tools-11045-wire-stripper-cutter-10-18-awg-solid")</f>
        <v/>
      </c>
      <c r="B692" s="2">
        <f>HYPERLINK("https://edmondsonsupply.com/products/klein-tools-11045-wire-stripper-cutter-10-18-awg-solid", "https://edmondsonsupply.com/products/klein-tools-11045-wire-stripper-cutter-10-18-awg-solid")</f>
        <v/>
      </c>
      <c r="C692" t="inlineStr">
        <is>
          <t>Klein Tools 11045 Wire Stripper/Cutter (10-18 AWG Solid)</t>
        </is>
      </c>
      <c r="D692" t="inlineStr">
        <is>
          <t>Klein Tools 11055RINS 1000V Insulated Klein Kurve Wire Stripper/Cutter Cuts and Strips 10-18 Solid and 12-20 Stranded AWG Wire, Orange</t>
        </is>
      </c>
      <c r="E692" s="2">
        <f>HYPERLINK("https://www.amazon.com/Klein-Tools-11055RINS-Insulated-Stripper/dp/B0BFZBQ9XF/ref=sr_1_10?keywords=Klein+Tools+11045+Wire+Stripper%2FCutter+%2810-18+AWG+Solid%29&amp;qid=1695174263&amp;sr=8-10", "https://www.amazon.com/Klein-Tools-11055RINS-Insulated-Stripper/dp/B0BFZBQ9XF/ref=sr_1_10?keywords=Klein+Tools+11045+Wire+Stripper%2FCutter+%2810-18+AWG+Solid%29&amp;qid=1695174263&amp;sr=8-10")</f>
        <v/>
      </c>
      <c r="F692" t="inlineStr">
        <is>
          <t>B0BFZBQ9XF</t>
        </is>
      </c>
      <c r="G692">
        <f>_xludf.IMAGE("https://edmondsonsupply.com/cdn/shop/products/11045.jpg?v=1633031022")</f>
        <v/>
      </c>
      <c r="H692">
        <f>_xludf.IMAGE("https://m.media-amazon.com/images/I/41Pemveg6bL._AC_UL320_.jpg")</f>
        <v/>
      </c>
      <c r="I692" t="inlineStr">
        <is>
          <t>15.97</t>
        </is>
      </c>
      <c r="J692" t="n">
        <v>29.97</v>
      </c>
      <c r="K692" s="3" t="inlineStr">
        <is>
          <t>87.66%</t>
        </is>
      </c>
      <c r="L692" t="n">
        <v>4.6</v>
      </c>
      <c r="M692" t="n">
        <v>55</v>
      </c>
      <c r="O692" t="inlineStr">
        <is>
          <t>InStock</t>
        </is>
      </c>
      <c r="P692" t="inlineStr">
        <is>
          <t>22.8</t>
        </is>
      </c>
      <c r="Q692" t="inlineStr">
        <is>
          <t>6712927027373</t>
        </is>
      </c>
    </row>
    <row r="693">
      <c r="A693" s="2">
        <f>HYPERLINK("https://edmondsonsupply.com/collections/electricians-tools/products/klein-tools-65064-2-in-1-hex-head-screwdriver-1-4-5-16", "https://edmondsonsupply.com/collections/electricians-tools/products/klein-tools-65064-2-in-1-hex-head-screwdriver-1-4-5-16")</f>
        <v/>
      </c>
      <c r="B693" s="2">
        <f>HYPERLINK("https://edmondsonsupply.com/products/klein-tools-65064-2-in-1-hex-head-screwdriver-1-4-5-16", "https://edmondsonsupply.com/products/klein-tools-65064-2-in-1-hex-head-screwdriver-1-4-5-16")</f>
        <v/>
      </c>
      <c r="C693" t="inlineStr">
        <is>
          <t>Klein Tools 65064 2-in-1 Nut Driver, Hex Head, 1/4-Inch and 5/16-Inch</t>
        </is>
      </c>
      <c r="D693" t="inlineStr">
        <is>
          <t>Klein Tools 32807MAG 7-in-1 Nut Driver, Magnetic Driver has SAE Hex Nut Sizes 1/4 to 9/16-Inch, Cushion Grip Handle for Added Torque</t>
        </is>
      </c>
      <c r="E693" s="2">
        <f>HYPERLINK("https://www.amazon.com/Driver-Magnetic-Klein-Tools-32807MAG/dp/B07D4M51DQ/ref=sr_1_9?keywords=Klein+Tools+65064+2-in-1+Nut+Driver%2C+Hex+Head%2C+1%2F4-Inch+and+5%2F16-Inch&amp;qid=1695173915&amp;sr=8-9", "https://www.amazon.com/Driver-Magnetic-Klein-Tools-32807MAG/dp/B07D4M51DQ/ref=sr_1_9?keywords=Klein+Tools+65064+2-in-1+Nut+Driver%2C+Hex+Head%2C+1%2F4-Inch+and+5%2F16-Inch&amp;qid=1695173915&amp;sr=8-9")</f>
        <v/>
      </c>
      <c r="F693" t="inlineStr">
        <is>
          <t>B07D4M51DQ</t>
        </is>
      </c>
      <c r="G693">
        <f>_xludf.IMAGE("https://edmondsonsupply.com/cdn/shop/products/65064.jpg?v=1587147719")</f>
        <v/>
      </c>
      <c r="H693">
        <f>_xludf.IMAGE("https://m.media-amazon.com/images/I/61gwAJBzDAL._AC_UL320_.jpg")</f>
        <v/>
      </c>
      <c r="I693" t="inlineStr">
        <is>
          <t>15.97</t>
        </is>
      </c>
      <c r="J693" t="n">
        <v>29.97</v>
      </c>
      <c r="K693" s="3" t="inlineStr">
        <is>
          <t>87.66%</t>
        </is>
      </c>
      <c r="L693" t="n">
        <v>4.7</v>
      </c>
      <c r="M693" t="n">
        <v>9161</v>
      </c>
      <c r="O693" t="inlineStr">
        <is>
          <t>InStock</t>
        </is>
      </c>
      <c r="P693" t="inlineStr">
        <is>
          <t>23.36</t>
        </is>
      </c>
      <c r="Q693" t="inlineStr">
        <is>
          <t>1707342889060</t>
        </is>
      </c>
    </row>
    <row r="694">
      <c r="A694" s="2">
        <f>HYPERLINK("https://edmondsonsupply.com/collections/electricians-tools/products/klein-tools-6866ins-insulated-screwdriver-5-16-inch-cabinet-tip-6-inch-shank", "https://edmondsonsupply.com/collections/electricians-tools/products/klein-tools-6866ins-insulated-screwdriver-5-16-inch-cabinet-tip-6-inch-shank")</f>
        <v/>
      </c>
      <c r="B694" s="2">
        <f>HYPERLINK("https://edmondsonsupply.com/products/klein-tools-6866ins-insulated-screwdriver-5-16-inch-cabinet-tip-6-inch-shank", "https://edmondsonsupply.com/products/klein-tools-6866ins-insulated-screwdriver-5-16-inch-cabinet-tip-6-inch-shank")</f>
        <v/>
      </c>
      <c r="C694" t="inlineStr">
        <is>
          <t>Klein Tools 6866INS Insulated Screwdriver, 5/16-Inch Cabinet Tip, 6-Inch Shank</t>
        </is>
      </c>
      <c r="D694" t="inlineStr">
        <is>
          <t>Klein Tools 602-7-INS Flathead Screwdriver, 5/16-Inch Cabinet Tip, Insulated, 7-Inch Shank</t>
        </is>
      </c>
      <c r="E694" s="2">
        <f>HYPERLINK("https://www.amazon.com/Screwdriver-Insulated-Klein-Tools-602-7-INS/dp/B00CQL8UM6/ref=sr_1_2?keywords=Klein+Tools+6866INS+Insulated+Screwdriver%2C+5%2F16-Inch+Cabinet+Tip%2C+6-Inch+Shank&amp;qid=1695174142&amp;sr=8-2", "https://www.amazon.com/Screwdriver-Insulated-Klein-Tools-602-7-INS/dp/B00CQL8UM6/ref=sr_1_2?keywords=Klein+Tools+6866INS+Insulated+Screwdriver%2C+5%2F16-Inch+Cabinet+Tip%2C+6-Inch+Shank&amp;qid=1695174142&amp;sr=8-2")</f>
        <v/>
      </c>
      <c r="F694" t="inlineStr">
        <is>
          <t>B00CQL8UM6</t>
        </is>
      </c>
      <c r="G694">
        <f>_xludf.IMAGE("https://edmondsonsupply.com/cdn/shop/products/6866ins.jpg?v=1664818689")</f>
        <v/>
      </c>
      <c r="H694">
        <f>_xludf.IMAGE("https://m.media-amazon.com/images/I/51yWIQxCstL._AC_UL320_.jpg")</f>
        <v/>
      </c>
      <c r="I694" t="inlineStr">
        <is>
          <t>11.97</t>
        </is>
      </c>
      <c r="J694" t="n">
        <v>22.46</v>
      </c>
      <c r="K694" s="3" t="inlineStr">
        <is>
          <t>87.64%</t>
        </is>
      </c>
      <c r="L694" t="n">
        <v>4.8</v>
      </c>
      <c r="M694" t="n">
        <v>1064</v>
      </c>
      <c r="O694" t="inlineStr">
        <is>
          <t>InStock</t>
        </is>
      </c>
      <c r="P694" t="inlineStr">
        <is>
          <t>17.98</t>
        </is>
      </c>
      <c r="Q694" t="inlineStr">
        <is>
          <t>7837748068568</t>
        </is>
      </c>
    </row>
    <row r="695">
      <c r="A695" s="2">
        <f>HYPERLINK("https://edmondsonsupply.com/collections/electricians-tools/products/klein-tools-51606", "https://edmondsonsupply.com/collections/electricians-tools/products/klein-tools-51606")</f>
        <v/>
      </c>
      <c r="B695" s="2">
        <f>HYPERLINK("https://edmondsonsupply.com/products/klein-tools-51606", "https://edmondsonsupply.com/products/klein-tools-51606")</f>
        <v/>
      </c>
      <c r="C695" t="inlineStr">
        <is>
          <t>Klein Tools 51606 Aluminum Conduit Bender Full Assembly, 1/2-Inch EMT with Angle Setter™</t>
        </is>
      </c>
      <c r="D695" t="inlineStr">
        <is>
          <t>Klein Tools 51604 Iron Conduit Bender Full Assembly, 3/4-Inch EMT and 1/2-Inch Rigid, Wide Foot Pedal, Benchmark Symbols and Angle Setter</t>
        </is>
      </c>
      <c r="E695" s="2">
        <f>HYPERLINK("https://www.amazon.com/Conduit-Features-Klein-Tools-51604/dp/B08V8YVWH1/ref=sr_1_6?keywords=Klein+Tools+51606+Aluminum+Conduit+Bender+Full+Assembly%2C+1%2F2-Inch+EMT+with+Angle+Setter%E2%84%A2&amp;qid=1695174158&amp;sr=8-6", "https://www.amazon.com/Conduit-Features-Klein-Tools-51604/dp/B08V8YVWH1/ref=sr_1_6?keywords=Klein+Tools+51606+Aluminum+Conduit+Bender+Full+Assembly%2C+1%2F2-Inch+EMT+with+Angle+Setter%E2%84%A2&amp;qid=1695174158&amp;sr=8-6")</f>
        <v/>
      </c>
      <c r="F695" t="inlineStr">
        <is>
          <t>B08V8YVWH1</t>
        </is>
      </c>
      <c r="G695">
        <f>_xludf.IMAGE("https://edmondsonsupply.com/cdn/shop/products/51606.jpg?v=1663942126")</f>
        <v/>
      </c>
      <c r="H695">
        <f>_xludf.IMAGE("https://m.media-amazon.com/images/I/41DkDVmyczL._AC_UL320_.jpg")</f>
        <v/>
      </c>
      <c r="I695" t="inlineStr">
        <is>
          <t>39.97</t>
        </is>
      </c>
      <c r="J695" t="n">
        <v>74.98999999999999</v>
      </c>
      <c r="K695" s="3" t="inlineStr">
        <is>
          <t>87.62%</t>
        </is>
      </c>
      <c r="L695" t="n">
        <v>4.8</v>
      </c>
      <c r="M695" t="n">
        <v>43</v>
      </c>
      <c r="O695" t="inlineStr">
        <is>
          <t>InStock</t>
        </is>
      </c>
      <c r="P695" t="inlineStr">
        <is>
          <t>55.98</t>
        </is>
      </c>
      <c r="Q695" t="inlineStr">
        <is>
          <t>7827248447704</t>
        </is>
      </c>
    </row>
    <row r="696">
      <c r="A696" s="2">
        <f>HYPERLINK("https://edmondsonsupply.com/collections/electricians-tools/products/klein-tools-69445-rare-earth-magnetic-hanger-no-strap", "https://edmondsonsupply.com/collections/electricians-tools/products/klein-tools-69445-rare-earth-magnetic-hanger-no-strap")</f>
        <v/>
      </c>
      <c r="B696" s="2">
        <f>HYPERLINK("https://edmondsonsupply.com/products/klein-tools-69445-rare-earth-magnetic-hanger-no-strap", "https://edmondsonsupply.com/products/klein-tools-69445-rare-earth-magnetic-hanger-no-strap")</f>
        <v/>
      </c>
      <c r="C696" t="inlineStr">
        <is>
          <t>Klein Tools 69445 Rare Earth Magnetic Hanger, no Strap</t>
        </is>
      </c>
      <c r="D696" t="inlineStr">
        <is>
          <t>Klein Tools 69417 Rare-Earth Magnetic Hanger, with Strap &amp; 69401 Multimeter Carrying Case</t>
        </is>
      </c>
      <c r="E696" s="2">
        <f>HYPERLINK("https://www.amazon.com/Klein-Tools-Rare-Earth-Magnetic-Multimeter/dp/B0BGJ66GX4/ref=sr_1_5?keywords=Klein+Tools+69445+Rare+Earth+Magnetic+Hanger%2C+no+Strap&amp;qid=1695173881&amp;sr=8-5", "https://www.amazon.com/Klein-Tools-Rare-Earth-Magnetic-Multimeter/dp/B0BGJ66GX4/ref=sr_1_5?keywords=Klein+Tools+69445+Rare+Earth+Magnetic+Hanger%2C+no+Strap&amp;qid=1695173881&amp;sr=8-5")</f>
        <v/>
      </c>
      <c r="F696" t="inlineStr">
        <is>
          <t>B0BGJ66GX4</t>
        </is>
      </c>
      <c r="G696">
        <f>_xludf.IMAGE("https://edmondsonsupply.com/cdn/shop/products/69445.jpg?v=1633030859")</f>
        <v/>
      </c>
      <c r="H696">
        <f>_xludf.IMAGE("https://m.media-amazon.com/images/I/51Em03gaEVL._AC_UL320_.jpg")</f>
        <v/>
      </c>
      <c r="I696" t="inlineStr">
        <is>
          <t>15.99</t>
        </is>
      </c>
      <c r="J696" t="n">
        <v>29.99</v>
      </c>
      <c r="K696" s="3" t="inlineStr">
        <is>
          <t>87.55%</t>
        </is>
      </c>
      <c r="L696" t="n">
        <v>5</v>
      </c>
      <c r="M696" t="n">
        <v>2</v>
      </c>
      <c r="O696" t="inlineStr">
        <is>
          <t>InStock</t>
        </is>
      </c>
      <c r="P696" t="inlineStr">
        <is>
          <t>22.84</t>
        </is>
      </c>
      <c r="Q696" t="inlineStr">
        <is>
          <t>6112025280685</t>
        </is>
      </c>
    </row>
    <row r="697">
      <c r="A697" s="2">
        <f>HYPERLINK("https://edmondsonsupply.com/collections/electricians-tools/products/klein-tools-60470-professional-full-frame-gasket-safety-glasses-clear-lens", "https://edmondsonsupply.com/collections/electricians-tools/products/klein-tools-60470-professional-full-frame-gasket-safety-glasses-clear-lens")</f>
        <v/>
      </c>
      <c r="B697" s="2">
        <f>HYPERLINK("https://edmondsonsupply.com/products/klein-tools-60470-professional-full-frame-gasket-safety-glasses-clear-lens", "https://edmondsonsupply.com/products/klein-tools-60470-professional-full-frame-gasket-safety-glasses-clear-lens")</f>
        <v/>
      </c>
      <c r="C697" t="inlineStr">
        <is>
          <t>Klein Tools 60470 Professional Full-Frame Gasket Safety Glasses, Clear Lens</t>
        </is>
      </c>
      <c r="D697" t="inlineStr">
        <is>
          <t>Klein Tools 60539 Safety Glasses, Professional PPE Protective Eyewear, Full Frame, Scratch Resistant and Anti-Fog, Polarized Lens</t>
        </is>
      </c>
      <c r="E697" s="2">
        <f>HYPERLINK("https://www.amazon.com/Klein-Tools-60539-Professional-Protective/dp/B0BLQ6F4MQ/ref=sr_1_8?keywords=Klein+Tools+60470+Professional+Full-Frame+Gasket+Safety+Glasses%2C+Clear+Lens&amp;qid=1695174156&amp;sr=8-8", "https://www.amazon.com/Klein-Tools-60539-Professional-Protective/dp/B0BLQ6F4MQ/ref=sr_1_8?keywords=Klein+Tools+60470+Professional+Full-Frame+Gasket+Safety+Glasses%2C+Clear+Lens&amp;qid=1695174156&amp;sr=8-8")</f>
        <v/>
      </c>
      <c r="F697" t="inlineStr">
        <is>
          <t>B0BLQ6F4MQ</t>
        </is>
      </c>
      <c r="G697">
        <f>_xludf.IMAGE("https://edmondsonsupply.com/cdn/shop/products/60470.jpg?v=1663260659")</f>
        <v/>
      </c>
      <c r="H697">
        <f>_xludf.IMAGE("https://m.media-amazon.com/images/I/41z93jotzdL._AC_UL320_.jpg")</f>
        <v/>
      </c>
      <c r="I697" t="inlineStr">
        <is>
          <t>15.99</t>
        </is>
      </c>
      <c r="J697" t="n">
        <v>29.99</v>
      </c>
      <c r="K697" s="3" t="inlineStr">
        <is>
          <t>87.55%</t>
        </is>
      </c>
      <c r="L697" t="n">
        <v>4.4</v>
      </c>
      <c r="M697" t="n">
        <v>11</v>
      </c>
      <c r="O697" t="inlineStr">
        <is>
          <t>InStock</t>
        </is>
      </c>
      <c r="P697" t="inlineStr">
        <is>
          <t>21.98</t>
        </is>
      </c>
      <c r="Q697" t="inlineStr">
        <is>
          <t>7817690677464</t>
        </is>
      </c>
    </row>
    <row r="698">
      <c r="A698" s="2">
        <f>HYPERLINK("https://edmondsonsupply.com/collections/electricians-tools/products/klein-tools-60471-professional-full-frame-gasket-safety-glasses-gray-lens", "https://edmondsonsupply.com/collections/electricians-tools/products/klein-tools-60471-professional-full-frame-gasket-safety-glasses-gray-lens")</f>
        <v/>
      </c>
      <c r="B698" s="2">
        <f>HYPERLINK("https://edmondsonsupply.com/products/klein-tools-60471-professional-full-frame-gasket-safety-glasses-gray-lens", "https://edmondsonsupply.com/products/klein-tools-60471-professional-full-frame-gasket-safety-glasses-gray-lens")</f>
        <v/>
      </c>
      <c r="C698" t="inlineStr">
        <is>
          <t>Klein Tools 60471 Professional Full-Frame Gasket Safety Glasses, Gray Lens</t>
        </is>
      </c>
      <c r="D698" t="inlineStr">
        <is>
          <t>Klein Tools 60539 Safety Glasses, Professional PPE Protective Eyewear, Full Frame, Scratch Resistant and Anti-Fog, Polarized Lens</t>
        </is>
      </c>
      <c r="E698" s="2">
        <f>HYPERLINK("https://www.amazon.com/Klein-Tools-60539-Professional-Protective/dp/B0BLQ6F4MQ/ref=sr_1_7?keywords=Klein+Tools+60471+Professional+Full-Frame+Gasket+Safety+Glasses%2C+Gray+Lens&amp;qid=1695174157&amp;sr=8-7", "https://www.amazon.com/Klein-Tools-60539-Professional-Protective/dp/B0BLQ6F4MQ/ref=sr_1_7?keywords=Klein+Tools+60471+Professional+Full-Frame+Gasket+Safety+Glasses%2C+Gray+Lens&amp;qid=1695174157&amp;sr=8-7")</f>
        <v/>
      </c>
      <c r="F698" t="inlineStr">
        <is>
          <t>B0BLQ6F4MQ</t>
        </is>
      </c>
      <c r="G698">
        <f>_xludf.IMAGE("https://edmondsonsupply.com/cdn/shop/products/60471.jpg?v=1663257501")</f>
        <v/>
      </c>
      <c r="H698">
        <f>_xludf.IMAGE("https://m.media-amazon.com/images/I/41z93jotzdL._AC_UL320_.jpg")</f>
        <v/>
      </c>
      <c r="I698" t="inlineStr">
        <is>
          <t>15.99</t>
        </is>
      </c>
      <c r="J698" t="n">
        <v>29.99</v>
      </c>
      <c r="K698" s="3" t="inlineStr">
        <is>
          <t>87.55%</t>
        </is>
      </c>
      <c r="L698" t="n">
        <v>4.4</v>
      </c>
      <c r="M698" t="n">
        <v>11</v>
      </c>
      <c r="O698" t="inlineStr">
        <is>
          <t>InStock</t>
        </is>
      </c>
      <c r="P698" t="inlineStr">
        <is>
          <t>21.98</t>
        </is>
      </c>
      <c r="Q698" t="inlineStr">
        <is>
          <t>7817587785944</t>
        </is>
      </c>
    </row>
    <row r="699">
      <c r="A699" s="2">
        <f>HYPERLINK("https://edmondsonsupply.com/collections/electricians-tools/products/klein-tools-51608-1-2-inch-iron-conduit-bender-head", "https://edmondsonsupply.com/collections/electricians-tools/products/klein-tools-51608-1-2-inch-iron-conduit-bender-head")</f>
        <v/>
      </c>
      <c r="B699" s="2">
        <f>HYPERLINK("https://edmondsonsupply.com/products/klein-tools-51608-1-2-inch-iron-conduit-bender-head", "https://edmondsonsupply.com/products/klein-tools-51608-1-2-inch-iron-conduit-bender-head")</f>
        <v/>
      </c>
      <c r="C699" t="inlineStr">
        <is>
          <t>Klein Tools 51608 1/2-inch Iron Conduit Bender Head</t>
        </is>
      </c>
      <c r="D699" t="inlineStr">
        <is>
          <t>Klein Tools 51610 Iron Conduit Bender Head, for 1-Inch EMT or 3/4-Inch Rigid IMC, use with Klein Tools Angle Setter (Cat. No. 51613)</t>
        </is>
      </c>
      <c r="E699" s="2">
        <f>HYPERLINK("https://www.amazon.com/Conduit-Bender-Klein-Tools-51610/dp/B08V8J5CX4/ref=sr_1_10?keywords=Klein+Tools+51608+1%2F2-inch+Iron+Conduit+Bender+Head&amp;qid=1695174222&amp;sr=8-10", "https://www.amazon.com/Conduit-Bender-Klein-Tools-51610/dp/B08V8J5CX4/ref=sr_1_10?keywords=Klein+Tools+51608+1%2F2-inch+Iron+Conduit+Bender+Head&amp;qid=1695174222&amp;sr=8-10")</f>
        <v/>
      </c>
      <c r="F699" t="inlineStr">
        <is>
          <t>B08V8J5CX4</t>
        </is>
      </c>
      <c r="G699">
        <f>_xludf.IMAGE("https://edmondsonsupply.com/cdn/shop/products/51608.jpg?v=1643679335")</f>
        <v/>
      </c>
      <c r="H699">
        <f>_xludf.IMAGE("https://m.media-amazon.com/images/I/61jmGqozuVL._AC_UL320_.jpg")</f>
        <v/>
      </c>
      <c r="I699" t="inlineStr">
        <is>
          <t>39.99</t>
        </is>
      </c>
      <c r="J699" t="n">
        <v>74.98999999999999</v>
      </c>
      <c r="K699" s="3" t="inlineStr">
        <is>
          <t>87.52%</t>
        </is>
      </c>
      <c r="L699" t="n">
        <v>4.8</v>
      </c>
      <c r="M699" t="n">
        <v>11</v>
      </c>
      <c r="O699" t="inlineStr">
        <is>
          <t>InStock</t>
        </is>
      </c>
      <c r="P699" t="inlineStr">
        <is>
          <t>60.66</t>
        </is>
      </c>
      <c r="Q699" t="inlineStr">
        <is>
          <t>7597417693400</t>
        </is>
      </c>
    </row>
    <row r="700">
      <c r="A700" s="2">
        <f>HYPERLINK("https://edmondsonsupply.com/collections/electricians-tools/products/klein-tools-51608-1-2-inch-iron-conduit-bender-head", "https://edmondsonsupply.com/collections/electricians-tools/products/klein-tools-51608-1-2-inch-iron-conduit-bender-head")</f>
        <v/>
      </c>
      <c r="B700" s="2">
        <f>HYPERLINK("https://edmondsonsupply.com/products/klein-tools-51608-1-2-inch-iron-conduit-bender-head", "https://edmondsonsupply.com/products/klein-tools-51608-1-2-inch-iron-conduit-bender-head")</f>
        <v/>
      </c>
      <c r="C700" t="inlineStr">
        <is>
          <t>Klein Tools 51608 1/2-inch Iron Conduit Bender Head</t>
        </is>
      </c>
      <c r="D700" t="inlineStr">
        <is>
          <t>Klein Tools 51604 Iron Conduit Bender Full Assembly, 3/4-Inch EMT and 1/2-Inch Rigid, Wide Foot Pedal, Benchmark Symbols and Angle Setter</t>
        </is>
      </c>
      <c r="E700" s="2">
        <f>HYPERLINK("https://www.amazon.com/Conduit-Features-Klein-Tools-51604/dp/B08V8YVWH1/ref=sr_1_5?keywords=Klein+Tools+51608+1%2F2-inch+Iron+Conduit+Bender+Head&amp;qid=1695174222&amp;sr=8-5", "https://www.amazon.com/Conduit-Features-Klein-Tools-51604/dp/B08V8YVWH1/ref=sr_1_5?keywords=Klein+Tools+51608+1%2F2-inch+Iron+Conduit+Bender+Head&amp;qid=1695174222&amp;sr=8-5")</f>
        <v/>
      </c>
      <c r="F700" t="inlineStr">
        <is>
          <t>B08V8YVWH1</t>
        </is>
      </c>
      <c r="G700">
        <f>_xludf.IMAGE("https://edmondsonsupply.com/cdn/shop/products/51608.jpg?v=1643679335")</f>
        <v/>
      </c>
      <c r="H700">
        <f>_xludf.IMAGE("https://m.media-amazon.com/images/I/41DkDVmyczL._AC_UL320_.jpg")</f>
        <v/>
      </c>
      <c r="I700" t="inlineStr">
        <is>
          <t>39.99</t>
        </is>
      </c>
      <c r="J700" t="n">
        <v>74.98999999999999</v>
      </c>
      <c r="K700" s="3" t="inlineStr">
        <is>
          <t>87.52%</t>
        </is>
      </c>
      <c r="L700" t="n">
        <v>4.8</v>
      </c>
      <c r="M700" t="n">
        <v>43</v>
      </c>
      <c r="O700" t="inlineStr">
        <is>
          <t>InStock</t>
        </is>
      </c>
      <c r="P700" t="inlineStr">
        <is>
          <t>60.66</t>
        </is>
      </c>
      <c r="Q700" t="inlineStr">
        <is>
          <t>7597417693400</t>
        </is>
      </c>
    </row>
    <row r="701">
      <c r="A701" s="2">
        <f>HYPERLINK("https://edmondsonsupply.com/collections/electricians-tools/products/klein-tools-31906-hole-saw-arbor-with-pins-7-16-inch", "https://edmondsonsupply.com/collections/electricians-tools/products/klein-tools-31906-hole-saw-arbor-with-pins-7-16-inch")</f>
        <v/>
      </c>
      <c r="B701" s="2">
        <f>HYPERLINK("https://edmondsonsupply.com/products/klein-tools-31906-hole-saw-arbor-with-pins-7-16-inch", "https://edmondsonsupply.com/products/klein-tools-31906-hole-saw-arbor-with-pins-7-16-inch")</f>
        <v/>
      </c>
      <c r="C701" t="inlineStr">
        <is>
          <t>Klein Tools 31906 Hole Saw Arbor With Pins, 7/16-Inch</t>
        </is>
      </c>
      <c r="D701" t="inlineStr">
        <is>
          <t>Klein Tools 31906 Hole Saw Arbor with Pins, 7/16-Inch and 31958 Bi-Metal Hole Saw, 3-5/8 Inch - Hole Saw Kit</t>
        </is>
      </c>
      <c r="E701" s="2">
        <f>HYPERLINK("https://www.amazon.com/Klein-Tools-31906-16-Inch-Bi-Metal/dp/B0BVGZ3GN2/ref=sr_1_2?keywords=Klein+Tools+31906+Hole+Saw+Arbor+With+Pins%2C+7%2F16-Inch&amp;qid=1695174136&amp;sr=8-2", "https://www.amazon.com/Klein-Tools-31906-16-Inch-Bi-Metal/dp/B0BVGZ3GN2/ref=sr_1_2?keywords=Klein+Tools+31906+Hole+Saw+Arbor+With+Pins%2C+7%2F16-Inch&amp;qid=1695174136&amp;sr=8-2")</f>
        <v/>
      </c>
      <c r="F701" t="inlineStr">
        <is>
          <t>B0BVGZ3GN2</t>
        </is>
      </c>
      <c r="G701">
        <f>_xludf.IMAGE("https://edmondsonsupply.com/cdn/shop/products/31906.jpg?v=1665670390")</f>
        <v/>
      </c>
      <c r="H701">
        <f>_xludf.IMAGE("https://m.media-amazon.com/images/I/21IcyNq4gsL._AC_UL320_.jpg")</f>
        <v/>
      </c>
      <c r="I701" t="inlineStr">
        <is>
          <t>15.99</t>
        </is>
      </c>
      <c r="J701" t="n">
        <v>29.98</v>
      </c>
      <c r="K701" s="3" t="inlineStr">
        <is>
          <t>87.49%</t>
        </is>
      </c>
      <c r="L701" t="n">
        <v>4.6</v>
      </c>
      <c r="M701" t="n">
        <v>406</v>
      </c>
      <c r="O701" t="inlineStr">
        <is>
          <t>InStock</t>
        </is>
      </c>
      <c r="P701" t="inlineStr">
        <is>
          <t>22.44</t>
        </is>
      </c>
      <c r="Q701" t="inlineStr">
        <is>
          <t>7851715494104</t>
        </is>
      </c>
    </row>
    <row r="702">
      <c r="A702" s="2">
        <f>HYPERLINK("https://edmondsonsupply.com/collections/electricians-tools/products/klein-tools-d2000-48-diagonal-cutting-pliers-angled-head-8-inch", "https://edmondsonsupply.com/collections/electricians-tools/products/klein-tools-d2000-48-diagonal-cutting-pliers-angled-head-8-inch")</f>
        <v/>
      </c>
      <c r="B702" s="2">
        <f>HYPERLINK("https://edmondsonsupply.com/products/klein-tools-d2000-48-diagonal-cutting-pliers-angled-head-8-inch", "https://edmondsonsupply.com/products/klein-tools-d2000-48-diagonal-cutting-pliers-angled-head-8-inch")</f>
        <v/>
      </c>
      <c r="C702" t="inlineStr">
        <is>
          <t>Klein Tools D2000-48 Diagonal Cutting Pliers, Angled Head, 8-Inch</t>
        </is>
      </c>
      <c r="D702" t="inlineStr">
        <is>
          <t>Klein Tools D2000-48-INS Pliers, Insulated Heavy-Duty Diagonal Cutting Pliers with Angled Head and 1000V Rated Insulated Grips, 8-Inch</t>
        </is>
      </c>
      <c r="E702" s="2">
        <f>HYPERLINK("https://www.amazon.com/Klein-Tools-D2000-48-INS-Insulated-Leverage/dp/B000LDFIVC/ref=sr_1_4?keywords=Klein+Tools+D2000-48+Diagonal+Cutting+Pliers%2C+Angled+Head%2C+8-Inch&amp;qid=1695174171&amp;sr=8-4", "https://www.amazon.com/Klein-Tools-D2000-48-INS-Insulated-Leverage/dp/B000LDFIVC/ref=sr_1_4?keywords=Klein+Tools+D2000-48+Diagonal+Cutting+Pliers%2C+Angled+Head%2C+8-Inch&amp;qid=1695174171&amp;sr=8-4")</f>
        <v/>
      </c>
      <c r="F702" t="inlineStr">
        <is>
          <t>B000LDFIVC</t>
        </is>
      </c>
      <c r="G702">
        <f>_xludf.IMAGE("https://edmondsonsupply.com/cdn/shop/products/d200048.jpg?v=1660920588")</f>
        <v/>
      </c>
      <c r="H702">
        <f>_xludf.IMAGE("https://m.media-amazon.com/images/I/51D7A8E7ncL._AC_UL320_.jpg")</f>
        <v/>
      </c>
      <c r="I702" t="inlineStr">
        <is>
          <t>34.97</t>
        </is>
      </c>
      <c r="J702" t="n">
        <v>65.28</v>
      </c>
      <c r="K702" s="3" t="inlineStr">
        <is>
          <t>86.67%</t>
        </is>
      </c>
      <c r="L702" t="n">
        <v>4.8</v>
      </c>
      <c r="M702" t="n">
        <v>111</v>
      </c>
      <c r="O702" t="inlineStr">
        <is>
          <t>InStock</t>
        </is>
      </c>
      <c r="P702" t="inlineStr">
        <is>
          <t>49.78</t>
        </is>
      </c>
      <c r="Q702" t="inlineStr">
        <is>
          <t>7786125164760</t>
        </is>
      </c>
    </row>
    <row r="703">
      <c r="A703" s="2">
        <f>HYPERLINK("https://edmondsonsupply.com/collections/electricians-tools/products/klein-tools-j12098-8-journeyman-high-leverage-universal-combination-pliers", "https://edmondsonsupply.com/collections/electricians-tools/products/klein-tools-j12098-8-journeyman-high-leverage-universal-combination-pliers")</f>
        <v/>
      </c>
      <c r="B703" s="2">
        <f>HYPERLINK("https://edmondsonsupply.com/products/klein-tools-j12098-8-journeyman-high-leverage-universal-combination-pliers", "https://edmondsonsupply.com/products/klein-tools-j12098-8-journeyman-high-leverage-universal-combination-pliers")</f>
        <v/>
      </c>
      <c r="C703" t="inlineStr">
        <is>
          <t>Klein Tools J12098 Journeyman Universal Combination Pliers</t>
        </is>
      </c>
      <c r="D703" t="inlineStr">
        <is>
          <t>Klein Tools 12098-INS Insulated Universal Combination Pliers, Side Cutters with Crimper, 8-Inch</t>
        </is>
      </c>
      <c r="E703" s="2">
        <f>HYPERLINK("https://www.amazon.com/Insulated-Combination-Klein-Tools-12098-INS/dp/B0002RI4V8/ref=sr_1_3?keywords=Klein+Tools+J12098+Journeyman+Universal+Combination+Pliers&amp;qid=1695173909&amp;sr=8-3", "https://www.amazon.com/Insulated-Combination-Klein-Tools-12098-INS/dp/B0002RI4V8/ref=sr_1_3?keywords=Klein+Tools+J12098+Journeyman+Universal+Combination+Pliers&amp;qid=1695173909&amp;sr=8-3")</f>
        <v/>
      </c>
      <c r="F703" t="inlineStr">
        <is>
          <t>B0002RI4V8</t>
        </is>
      </c>
      <c r="G703">
        <f>_xludf.IMAGE("https://edmondsonsupply.com/cdn/shop/products/j12098.jpg?v=1587142847")</f>
        <v/>
      </c>
      <c r="H703">
        <f>_xludf.IMAGE("https://m.media-amazon.com/images/I/51I3JjFrgcL._AC_UL320_.jpg")</f>
        <v/>
      </c>
      <c r="I703" t="inlineStr">
        <is>
          <t>34.99</t>
        </is>
      </c>
      <c r="J703" t="n">
        <v>64.98999999999999</v>
      </c>
      <c r="K703" s="3" t="inlineStr">
        <is>
          <t>85.74%</t>
        </is>
      </c>
      <c r="L703" t="n">
        <v>5</v>
      </c>
      <c r="M703" t="n">
        <v>10</v>
      </c>
      <c r="O703" t="inlineStr">
        <is>
          <t>InStock</t>
        </is>
      </c>
      <c r="P703" t="inlineStr">
        <is>
          <t>50.4</t>
        </is>
      </c>
      <c r="Q703" t="inlineStr">
        <is>
          <t>1989504860260</t>
        </is>
      </c>
    </row>
    <row r="704">
      <c r="A704" s="2">
        <f>HYPERLINK("https://edmondsonsupply.com/collections/electricians-tools/products/crescent-tools-cx6dbs2-2-pc-x6%E2%84%A2-4-in-1-black-oxide-spline-ratcheting-sae-wrench-set", "https://edmondsonsupply.com/collections/electricians-tools/products/crescent-tools-cx6dbs2-2-pc-x6%E2%84%A2-4-in-1-black-oxide-spline-ratcheting-sae-wrench-set")</f>
        <v/>
      </c>
      <c r="B704" s="2">
        <f>HYPERLINK("https://edmondsonsupply.com/products/crescent-tools-cx6dbs2-2-pc-x6%e2%84%a2-4-in-1-black-oxide-spline-ratcheting-sae-wrench-set", "https://edmondsonsupply.com/products/crescent-tools-cx6dbs2-2-pc-x6%e2%84%a2-4-in-1-black-oxide-spline-ratcheting-sae-wrench-set")</f>
        <v/>
      </c>
      <c r="C704" t="inlineStr">
        <is>
          <t>Crescent Tools CX6DBS2 2 Pc. X6™ 4-in-1 Black Oxide Spline Ratcheting SAE Wrench Set</t>
        </is>
      </c>
      <c r="D704" t="inlineStr">
        <is>
          <t>Crescent 2 Pc. X6™ 4-in-1 Black Oxide Spline Ratcheting SAE Wrench Set - CX6DBS2 and Crescent 7 Pc. X6™ Black Oxide Spline Open End Ratcheting Combination SAE Wrench Set - CX6RWS7</t>
        </is>
      </c>
      <c r="E704" s="2">
        <f>HYPERLINK("https://www.amazon.com/Crescent-Black-Spline-Ratcheting-Wrench/dp/B0886TQZTW/ref=sr_1_2?keywords=Crescent+Tools+CX6DBS2+2+Pc.+X6%E2%84%A2+4-in-1+Black+Oxide+Spline+Ratcheting+SAE+Wrench+Set&amp;qid=1695174022&amp;sr=8-2", "https://www.amazon.com/Crescent-Black-Spline-Ratcheting-Wrench/dp/B0886TQZTW/ref=sr_1_2?keywords=Crescent+Tools+CX6DBS2+2+Pc.+X6%E2%84%A2+4-in-1+Black+Oxide+Spline+Ratcheting+SAE+Wrench+Set&amp;qid=1695174022&amp;sr=8-2")</f>
        <v/>
      </c>
      <c r="F704" t="inlineStr">
        <is>
          <t>B0886TQZTW</t>
        </is>
      </c>
      <c r="G704">
        <f>_xludf.IMAGE("https://edmondsonsupply.com/cdn/shop/products/CRS_CX6DBS2_FRNT_MAIN.jpg?v=1681319485")</f>
        <v/>
      </c>
      <c r="H704">
        <f>_xludf.IMAGE("https://m.media-amazon.com/images/I/61StFxPJl+L._AC_UL320_.jpg")</f>
        <v/>
      </c>
      <c r="I704" t="inlineStr">
        <is>
          <t>33.98</t>
        </is>
      </c>
      <c r="J704" t="n">
        <v>63.08</v>
      </c>
      <c r="K704" s="3" t="inlineStr">
        <is>
          <t>85.64%</t>
        </is>
      </c>
      <c r="L704" t="n">
        <v>4.5</v>
      </c>
      <c r="M704" t="n">
        <v>7</v>
      </c>
      <c r="O704" t="inlineStr">
        <is>
          <t>InStock</t>
        </is>
      </c>
      <c r="P704" t="inlineStr">
        <is>
          <t>60.67</t>
        </is>
      </c>
      <c r="Q704" t="inlineStr">
        <is>
          <t>7977587376344</t>
        </is>
      </c>
    </row>
    <row r="705">
      <c r="A705" s="2">
        <f>HYPERLINK("https://edmondsonsupply.com/collections/electricians-tools/products/klein-tools-6824ins-insulated-screwdriver-1-4-inch-cabinet-tip-4-inch-round-shank", "https://edmondsonsupply.com/collections/electricians-tools/products/klein-tools-6824ins-insulated-screwdriver-1-4-inch-cabinet-tip-4-inch-round-shank")</f>
        <v/>
      </c>
      <c r="B705" s="2">
        <f>HYPERLINK("https://edmondsonsupply.com/products/klein-tools-6824ins-insulated-screwdriver-1-4-inch-cabinet-tip-4-inch-round-shank", "https://edmondsonsupply.com/products/klein-tools-6824ins-insulated-screwdriver-1-4-inch-cabinet-tip-4-inch-round-shank")</f>
        <v/>
      </c>
      <c r="C705" t="inlineStr">
        <is>
          <t>Klein Tools 6824INS Insulated Screwdriver, 1/4-Inch Cabinet Tip, 4-Inch Round Shank</t>
        </is>
      </c>
      <c r="D705" t="inlineStr">
        <is>
          <t>Klein Tools 601-4-INS Insulated Screwdriver, 3/16-Inch Cabinet Tip with 4-Inch Shank</t>
        </is>
      </c>
      <c r="E705" s="2">
        <f>HYPERLINK("https://www.amazon.com/Insulated-Screwdriver-Klein-Tools-601-4-INS/dp/B000LEBVIK/ref=sr_1_4?keywords=Klein+Tools+6824INS+Insulated+Screwdriver%2C+1%2F4-Inch+Cabinet+Tip%2C+4-Inch+Round+Shank&amp;qid=1695174148&amp;sr=8-4", "https://www.amazon.com/Insulated-Screwdriver-Klein-Tools-601-4-INS/dp/B000LEBVIK/ref=sr_1_4?keywords=Klein+Tools+6824INS+Insulated+Screwdriver%2C+1%2F4-Inch+Cabinet+Tip%2C+4-Inch+Round+Shank&amp;qid=1695174148&amp;sr=8-4")</f>
        <v/>
      </c>
      <c r="F705" t="inlineStr">
        <is>
          <t>B000LEBVIK</t>
        </is>
      </c>
      <c r="G705">
        <f>_xludf.IMAGE("https://edmondsonsupply.com/cdn/shop/products/6824ins.jpg?v=1664813487")</f>
        <v/>
      </c>
      <c r="H705">
        <f>_xludf.IMAGE("https://m.media-amazon.com/images/I/41SIcZZiIAL._AC_UL320_.jpg")</f>
        <v/>
      </c>
      <c r="I705" t="inlineStr">
        <is>
          <t>9.97</t>
        </is>
      </c>
      <c r="J705" t="n">
        <v>18.49</v>
      </c>
      <c r="K705" s="3" t="inlineStr">
        <is>
          <t>85.46%</t>
        </is>
      </c>
      <c r="L705" t="n">
        <v>4.8</v>
      </c>
      <c r="M705" t="n">
        <v>1064</v>
      </c>
      <c r="O705" t="inlineStr">
        <is>
          <t>InStock</t>
        </is>
      </c>
      <c r="P705" t="inlineStr">
        <is>
          <t>15.72</t>
        </is>
      </c>
      <c r="Q705" t="inlineStr">
        <is>
          <t>7837703471320</t>
        </is>
      </c>
    </row>
    <row r="706">
      <c r="A706" s="2">
        <f>HYPERLINK("https://edmondsonsupply.com/collections/electricians-tools/products/komelon-7325-25-x-1-maggrip%E2%84%A2-speedmark%E2%84%A2-magnetic-tape-measure", "https://edmondsonsupply.com/collections/electricians-tools/products/komelon-7325-25-x-1-maggrip%E2%84%A2-speedmark%E2%84%A2-magnetic-tape-measure")</f>
        <v/>
      </c>
      <c r="B706" s="2">
        <f>HYPERLINK("https://edmondsonsupply.com/products/komelon-7325-25-x-1-maggrip%e2%84%a2-speedmark%e2%84%a2-magnetic-tape-measure", "https://edmondsonsupply.com/products/komelon-7325-25-x-1-maggrip%e2%84%a2-speedmark%e2%84%a2-magnetic-tape-measure")</f>
        <v/>
      </c>
      <c r="C706" t="inlineStr">
        <is>
          <t>Komelon 7325 25' X 1" MagGrip™ SpeedMark™, Magnetic Tape Measure</t>
        </is>
      </c>
      <c r="D706" t="inlineStr">
        <is>
          <t>Komelon 7125IE; 25' x 1" Magnetic MagGrip Pro Tape Measure with Inch/Engineer Scale, Yellow/Black</t>
        </is>
      </c>
      <c r="E706" s="2">
        <f>HYPERLINK("https://www.amazon.com/Komelon-7125IE-Engineer-Measuring-Magnetic/dp/B0013L8E8U/ref=sr_1_4?keywords=Komelon+7325+25%27+X+1%22+MagGrip%E2%84%A2+SpeedMark%E2%84%A2%2C+Magnetic+Tape+Measure&amp;qid=1695174274&amp;sr=8-4", "https://www.amazon.com/Komelon-7125IE-Engineer-Measuring-Magnetic/dp/B0013L8E8U/ref=sr_1_4?keywords=Komelon+7325+25%27+X+1%22+MagGrip%E2%84%A2+SpeedMark%E2%84%A2%2C+Magnetic+Tape+Measure&amp;qid=1695174274&amp;sr=8-4")</f>
        <v/>
      </c>
      <c r="F706" t="inlineStr">
        <is>
          <t>B0013L8E8U</t>
        </is>
      </c>
      <c r="G706">
        <f>_xludf.IMAGE("https://edmondsonsupply.com/cdn/shop/products/7325_angleExtended.jpg?v=1633030981")</f>
        <v/>
      </c>
      <c r="H706">
        <f>_xludf.IMAGE("https://m.media-amazon.com/images/I/81rg3hEgjpL._AC_UL320_.jpg")</f>
        <v/>
      </c>
      <c r="I706" t="inlineStr">
        <is>
          <t>13.99</t>
        </is>
      </c>
      <c r="J706" t="n">
        <v>25.7</v>
      </c>
      <c r="K706" s="3" t="inlineStr">
        <is>
          <t>83.70%</t>
        </is>
      </c>
      <c r="L706" t="n">
        <v>4.6</v>
      </c>
      <c r="M706" t="n">
        <v>1534</v>
      </c>
      <c r="O706" t="inlineStr">
        <is>
          <t>InStock</t>
        </is>
      </c>
      <c r="P706" t="inlineStr">
        <is>
          <t>undefined</t>
        </is>
      </c>
      <c r="Q706" t="inlineStr">
        <is>
          <t>6652039692461</t>
        </is>
      </c>
    </row>
    <row r="707">
      <c r="A707" s="2">
        <f>HYPERLINK("https://edmondsonsupply.com/collections/electricians-tools/products/klein-tools-635-1-4-1-4-inch-nut-driver-magnetic-tip-4-inch-shaft", "https://edmondsonsupply.com/collections/electricians-tools/products/klein-tools-635-1-4-1-4-inch-nut-driver-magnetic-tip-4-inch-shaft")</f>
        <v/>
      </c>
      <c r="B707" s="2">
        <f>HYPERLINK("https://edmondsonsupply.com/products/klein-tools-635-1-4-1-4-inch-nut-driver-magnetic-tip-4-inch-shaft", "https://edmondsonsupply.com/products/klein-tools-635-1-4-1-4-inch-nut-driver-magnetic-tip-4-inch-shaft")</f>
        <v/>
      </c>
      <c r="C707" t="inlineStr">
        <is>
          <t>Klein Tools 635-1/4 1/4-Inch Nut Driver, Magnetic Tip, 4-Inch Shaft</t>
        </is>
      </c>
      <c r="D707" t="inlineStr">
        <is>
          <t>Klein Tools 646-1/4-INS Insulated 1/4-Inch Nut Driver with 6-Inch Hollow Shaft and Cushion Grip Handle</t>
        </is>
      </c>
      <c r="E707" s="2">
        <f>HYPERLINK("https://www.amazon.com/Insulated-Klein-Tools-646-1-4-INS/dp/B000MKMH5O/ref=sr_1_6?keywords=Klein+Tools+635-1%2F4+1%2F4-Inch+Nut+Driver%2C+Magnetic+Tip%2C+4-Inch+Shaft&amp;qid=1695174156&amp;sr=8-6", "https://www.amazon.com/Insulated-Klein-Tools-646-1-4-INS/dp/B000MKMH5O/ref=sr_1_6?keywords=Klein+Tools+635-1%2F4+1%2F4-Inch+Nut+Driver%2C+Magnetic+Tip%2C+4-Inch+Shaft&amp;qid=1695174156&amp;sr=8-6")</f>
        <v/>
      </c>
      <c r="F707" t="inlineStr">
        <is>
          <t>B000MKMH5O</t>
        </is>
      </c>
      <c r="G707">
        <f>_xludf.IMAGE("https://edmondsonsupply.com/cdn/shop/products/635-1-4.jpg?v=1666811523")</f>
        <v/>
      </c>
      <c r="H707">
        <f>_xludf.IMAGE("https://m.media-amazon.com/images/I/41Nr0vSgHCL._AC_UL320_.jpg")</f>
        <v/>
      </c>
      <c r="I707" t="inlineStr">
        <is>
          <t>11.99</t>
        </is>
      </c>
      <c r="J707" t="n">
        <v>22.02</v>
      </c>
      <c r="K707" s="3" t="inlineStr">
        <is>
          <t>83.65%</t>
        </is>
      </c>
      <c r="L707" t="n">
        <v>4.7</v>
      </c>
      <c r="M707" t="n">
        <v>274</v>
      </c>
      <c r="O707" t="inlineStr">
        <is>
          <t>InStock</t>
        </is>
      </c>
      <c r="P707" t="inlineStr">
        <is>
          <t>18.18</t>
        </is>
      </c>
      <c r="Q707" t="inlineStr">
        <is>
          <t>7866294010072</t>
        </is>
      </c>
    </row>
    <row r="708">
      <c r="A708" s="2">
        <f>HYPERLINK("https://edmondsonsupply.com/collections/electricians-tools/products/klein-tools-65064-2-in-1-hex-head-screwdriver-1-4-5-16", "https://edmondsonsupply.com/collections/electricians-tools/products/klein-tools-65064-2-in-1-hex-head-screwdriver-1-4-5-16")</f>
        <v/>
      </c>
      <c r="B708" s="2">
        <f>HYPERLINK("https://edmondsonsupply.com/products/klein-tools-65064-2-in-1-hex-head-screwdriver-1-4-5-16", "https://edmondsonsupply.com/products/klein-tools-65064-2-in-1-hex-head-screwdriver-1-4-5-16")</f>
        <v/>
      </c>
      <c r="C708" t="inlineStr">
        <is>
          <t>Klein Tools 65064 2-in-1 Nut Driver, Hex Head, 1/4-Inch and 5/16-Inch</t>
        </is>
      </c>
      <c r="D708" t="inlineStr">
        <is>
          <t>Melnor 65173AMZ RelaxGrip 8 Pattern 16" Pivoting Wand Bundle, Metal, Black, Yellow &amp; Klein Tools 65064 Hex Head 2-in-1 Nut Driver, 1/4-Inch and 5/16-Inch</t>
        </is>
      </c>
      <c r="E708" s="2">
        <f>HYPERLINK("https://www.amazon.com/Melnor-65173AMZ-RelaxGrip-Pattern-Pivoting/dp/B0C6QZGPMM/ref=sr_1_2?keywords=Klein+Tools+65064+2-in-1+Nut+Driver%2C+Hex+Head%2C+1%2F4-Inch+and+5%2F16-Inch&amp;qid=1695173915&amp;sr=8-2", "https://www.amazon.com/Melnor-65173AMZ-RelaxGrip-Pattern-Pivoting/dp/B0C6QZGPMM/ref=sr_1_2?keywords=Klein+Tools+65064+2-in-1+Nut+Driver%2C+Hex+Head%2C+1%2F4-Inch+and+5%2F16-Inch&amp;qid=1695173915&amp;sr=8-2")</f>
        <v/>
      </c>
      <c r="F708" t="inlineStr">
        <is>
          <t>B0C6QZGPMM</t>
        </is>
      </c>
      <c r="G708">
        <f>_xludf.IMAGE("https://edmondsonsupply.com/cdn/shop/products/65064.jpg?v=1587147719")</f>
        <v/>
      </c>
      <c r="H708">
        <f>_xludf.IMAGE("https://m.media-amazon.com/images/I/41ISu9RCylL._AC_UL320_.jpg")</f>
        <v/>
      </c>
      <c r="I708" t="inlineStr">
        <is>
          <t>15.97</t>
        </is>
      </c>
      <c r="J708" t="n">
        <v>29.3</v>
      </c>
      <c r="K708" s="3" t="inlineStr">
        <is>
          <t>83.47%</t>
        </is>
      </c>
      <c r="L708" t="n">
        <v>4.4</v>
      </c>
      <c r="M708" t="n">
        <v>324</v>
      </c>
      <c r="O708" t="inlineStr">
        <is>
          <t>InStock</t>
        </is>
      </c>
      <c r="P708" t="inlineStr">
        <is>
          <t>23.36</t>
        </is>
      </c>
      <c r="Q708" t="inlineStr">
        <is>
          <t>1707342889060</t>
        </is>
      </c>
    </row>
    <row r="709">
      <c r="A709" s="2">
        <f>HYPERLINK("https://edmondsonsupply.com/collections/electricians-tools/products/diablo-tools-dag", "https://edmondsonsupply.com/collections/electricians-tools/products/diablo-tools-dag")</f>
        <v/>
      </c>
      <c r="B709" s="2">
        <f>HYPERLINK("https://edmondsonsupply.com/products/diablo-tools-dag", "https://edmondsonsupply.com/products/diablo-tools-dag")</f>
        <v/>
      </c>
      <c r="C709" t="inlineStr">
        <is>
          <t>Diablo Tools DAG3010 3/8 in. x 17-1/2 in. Auger Bit</t>
        </is>
      </c>
      <c r="D709" t="inlineStr">
        <is>
          <t>Diablo 7/8 in. x 17-1/2 in. Auger Bit</t>
        </is>
      </c>
      <c r="E709" s="2">
        <f>HYPERLINK("https://www.amazon.com/Diablo-17-1-Auger-Bit/dp/B089LG8GYB/ref=sr_1_8?keywords=Diablo+Tools+DAG3010+3%2F8+in.+x+17-1%2F2+in.+Auger+Bit&amp;qid=1695174114&amp;sr=8-8", "https://www.amazon.com/Diablo-17-1-Auger-Bit/dp/B089LG8GYB/ref=sr_1_8?keywords=Diablo+Tools+DAG3010+3%2F8+in.+x+17-1%2F2+in.+Auger+Bit&amp;qid=1695174114&amp;sr=8-8")</f>
        <v/>
      </c>
      <c r="F709" t="inlineStr">
        <is>
          <t>B089LG8GYB</t>
        </is>
      </c>
      <c r="G709">
        <f>_xludf.IMAGE("https://edmondsonsupply.com/cdn/shop/products/xfctdbahz5wx3g461fm8.webp?v=1669991052")</f>
        <v/>
      </c>
      <c r="H709">
        <f>_xludf.IMAGE("https://m.media-amazon.com/images/I/61QXZJGNQTL._AC_UL320_.jpg")</f>
        <v/>
      </c>
      <c r="I709" t="inlineStr">
        <is>
          <t>17.47</t>
        </is>
      </c>
      <c r="J709" t="n">
        <v>31.99</v>
      </c>
      <c r="K709" s="3" t="inlineStr">
        <is>
          <t>83.11%</t>
        </is>
      </c>
      <c r="L709" t="n">
        <v>4.3</v>
      </c>
      <c r="M709" t="n">
        <v>29</v>
      </c>
      <c r="O709" t="inlineStr">
        <is>
          <t>InStock</t>
        </is>
      </c>
      <c r="P709" t="inlineStr">
        <is>
          <t>25.04</t>
        </is>
      </c>
      <c r="Q709" t="inlineStr">
        <is>
          <t>7897480921304</t>
        </is>
      </c>
    </row>
    <row r="710">
      <c r="A710" s="2">
        <f>HYPERLINK("https://edmondsonsupply.com/collections/electricians-tools/products/klein-tools-et310-digital-circuit-breaker-finder-with-gfci-outlet-tester", "https://edmondsonsupply.com/collections/electricians-tools/products/klein-tools-et310-digital-circuit-breaker-finder-with-gfci-outlet-tester")</f>
        <v/>
      </c>
      <c r="B710" s="2">
        <f>HYPERLINK("https://edmondsonsupply.com/products/klein-tools-et310-digital-circuit-breaker-finder-with-gfci-outlet-tester", "https://edmondsonsupply.com/products/klein-tools-et310-digital-circuit-breaker-finder-with-gfci-outlet-tester")</f>
        <v/>
      </c>
      <c r="C710" t="inlineStr">
        <is>
          <t>Klein Tools ET310 Digital Circuit Breaker Finder with GFCI Outlet Tester</t>
        </is>
      </c>
      <c r="D710" t="inlineStr">
        <is>
          <t>Klein Tools ET310 AC Circuit Breaker Finder, Electric Tester with Integrated GFCI Outlet Tester &amp; RT250 GFCI Outlet Tester with LCD Display &amp; Klein Tools 69411 Circuit Breaker Finder Accessory Kit</t>
        </is>
      </c>
      <c r="E710" s="2">
        <f>HYPERLINK("https://www.amazon.com/Klein-Tools-Electric-Integrated-Accessory/dp/B0C9999Y7J/ref=sr_1_5?keywords=Klein+Tools+ET310+Digital+Circuit+Breaker+Finder+with+GFCI+Outlet+Tester&amp;qid=1695173862&amp;sr=8-5", "https://www.amazon.com/Klein-Tools-Electric-Integrated-Accessory/dp/B0C9999Y7J/ref=sr_1_5?keywords=Klein+Tools+ET310+Digital+Circuit+Breaker+Finder+with+GFCI+Outlet+Tester&amp;qid=1695173862&amp;sr=8-5")</f>
        <v/>
      </c>
      <c r="F710" t="inlineStr">
        <is>
          <t>B0C9999Y7J</t>
        </is>
      </c>
      <c r="G710">
        <f>_xludf.IMAGE("https://edmondsonsupply.com/cdn/shop/products/et310_c.jpg?v=1646963918")</f>
        <v/>
      </c>
      <c r="H710">
        <f>_xludf.IMAGE("https://m.media-amazon.com/images/I/612+A-jAqtL._AC_UL320_.jpg")</f>
        <v/>
      </c>
      <c r="I710" t="inlineStr">
        <is>
          <t>49.97</t>
        </is>
      </c>
      <c r="J710" t="n">
        <v>91.37</v>
      </c>
      <c r="K710" s="3" t="inlineStr">
        <is>
          <t>82.85%</t>
        </is>
      </c>
      <c r="L710" t="n">
        <v>4.7</v>
      </c>
      <c r="M710" t="n">
        <v>7</v>
      </c>
      <c r="O710" t="inlineStr">
        <is>
          <t>InStock</t>
        </is>
      </c>
      <c r="P710" t="inlineStr">
        <is>
          <t>75.1</t>
        </is>
      </c>
      <c r="Q710" t="inlineStr">
        <is>
          <t>3389551280228</t>
        </is>
      </c>
    </row>
    <row r="711">
      <c r="A711" s="2">
        <f>HYPERLINK("https://edmondsonsupply.com/collections/electricians-tools/products/diablo-tools-dmamx1360-1-1-2-in-x-16-in-x-21-in-rebar-demon%E2%84%A2-sds-max-4-cutter-carbide-tipped-hammer-drill-bit", "https://edmondsonsupply.com/collections/electricians-tools/products/diablo-tools-dmamx1360-1-1-2-in-x-16-in-x-21-in-rebar-demon%E2%84%A2-sds-max-4-cutter-carbide-tipped-hammer-drill-bit")</f>
        <v/>
      </c>
      <c r="B711" s="2">
        <f>HYPERLINK("https://edmondsonsupply.com/products/diablo-tools-dmamx1360-1-1-2-in-x-16-in-x-21-in-rebar-demon%e2%84%a2-sds-max-4-cutter-carbide-tipped-hammer-drill-bit", "https://edmondsonsupply.com/products/diablo-tools-dmamx1360-1-1-2-in-x-16-in-x-21-in-rebar-demon%e2%84%a2-sds-max-4-cutter-carbide-tipped-hammer-drill-bit")</f>
        <v/>
      </c>
      <c r="C711" t="inlineStr">
        <is>
          <t>Diablo Tools DMAMX1360 1-1/2 in. x 16 in. x 21 in. Rebar Demon™ SDS-Max 4-Cutter Carbide-Tipped Hammer Drill Bit</t>
        </is>
      </c>
      <c r="D711" t="inlineStr">
        <is>
          <t>Diablo by Freud DMAMX1370 1-1/2 in. x 24 in. x 29 in. Rebar Demon SDS-Max 4-Cutter Carbide-Tipped Hammer Bit</t>
        </is>
      </c>
      <c r="E711" s="2">
        <f>HYPERLINK("https://www.amazon.com/Diablo-SDS-Max-4-Cutter-Carbide-Tipped-Hammer/dp/B089LN938F/ref=sr_1_6?keywords=Diablo+Tools+DMAMX1360+1-1%2F2+in.+x+16+in.+x+21+in.+Rebar+Demon%E2%84%A2+SDS-Max+4-Cutter+Carbide-Tipped+Hammer+Drill+Bit&amp;qid=1695174071&amp;sr=8-6", "https://www.amazon.com/Diablo-SDS-Max-4-Cutter-Carbide-Tipped-Hammer/dp/B089LN938F/ref=sr_1_6?keywords=Diablo+Tools+DMAMX1360+1-1%2F2+in.+x+16+in.+x+21+in.+Rebar+Demon%E2%84%A2+SDS-Max+4-Cutter+Carbide-Tipped+Hammer+Drill+Bit&amp;qid=1695174071&amp;sr=8-6")</f>
        <v/>
      </c>
      <c r="F711" t="inlineStr">
        <is>
          <t>B089LN938F</t>
        </is>
      </c>
      <c r="G711">
        <f>_xludf.IMAGE("https://edmondsonsupply.com/cdn/shop/products/z2umcsdaj3y4uvsfnxoh.webp?v=1677257156")</f>
        <v/>
      </c>
      <c r="H711">
        <f>_xludf.IMAGE("https://m.media-amazon.com/images/I/61V0w9ayfFL._AC_UL320_.jpg")</f>
        <v/>
      </c>
      <c r="I711" t="inlineStr">
        <is>
          <t>93.87</t>
        </is>
      </c>
      <c r="J711" t="n">
        <v>171.57</v>
      </c>
      <c r="K711" s="3" t="inlineStr">
        <is>
          <t>82.77%</t>
        </is>
      </c>
      <c r="L711" t="n">
        <v>5</v>
      </c>
      <c r="M711" t="n">
        <v>2</v>
      </c>
      <c r="O711" t="inlineStr">
        <is>
          <t>InStock</t>
        </is>
      </c>
      <c r="P711" t="inlineStr">
        <is>
          <t>149.01</t>
        </is>
      </c>
      <c r="Q711" t="inlineStr">
        <is>
          <t>7950786855128</t>
        </is>
      </c>
    </row>
    <row r="712">
      <c r="A712" s="2">
        <f>HYPERLINK("https://edmondsonsupply.com/collections/electricians-tools/products/klein-tools-rt250-gfci-receptacle-tester-with-lcd", "https://edmondsonsupply.com/collections/electricians-tools/products/klein-tools-rt250-gfci-receptacle-tester-with-lcd")</f>
        <v/>
      </c>
      <c r="B712" s="2">
        <f>HYPERLINK("https://edmondsonsupply.com/products/klein-tools-rt250-gfci-receptacle-tester-with-lcd", "https://edmondsonsupply.com/products/klein-tools-rt250-gfci-receptacle-tester-with-lcd")</f>
        <v/>
      </c>
      <c r="C712" t="inlineStr">
        <is>
          <t>Klein Tools RT250 GFCI Receptacle Tester with LCD</t>
        </is>
      </c>
      <c r="D712" t="inlineStr">
        <is>
          <t>Klein Tools NCVT1P Voltage Tester, Non-Contact Voltage Detector Pen &amp; RT250 GFCI Receptacle Tester with LCD Display, for Standard 3-Wire 120V Electrical Outlets</t>
        </is>
      </c>
      <c r="E712" s="2">
        <f>HYPERLINK("https://www.amazon.com/Klein-Tools-Non-Contact-Receptacle-Electrical/dp/B09Y7XWBF8/ref=sr_1_10?keywords=Klein+Tools+RT250+GFCI+Receptacle+Tester+with+LCD&amp;qid=1695174176&amp;sr=8-10", "https://www.amazon.com/Klein-Tools-Non-Contact-Receptacle-Electrical/dp/B09Y7XWBF8/ref=sr_1_10?keywords=Klein+Tools+RT250+GFCI+Receptacle+Tester+with+LCD&amp;qid=1695174176&amp;sr=8-10")</f>
        <v/>
      </c>
      <c r="F712" t="inlineStr">
        <is>
          <t>B09Y7XWBF8</t>
        </is>
      </c>
      <c r="G712">
        <f>_xludf.IMAGE("https://edmondsonsupply.com/cdn/shop/products/rt250_photo_c.jpg?v=1661363824")</f>
        <v/>
      </c>
      <c r="H712">
        <f>_xludf.IMAGE("https://m.media-amazon.com/images/I/51LNefsL0aL._AC_UL320_.jpg")</f>
        <v/>
      </c>
      <c r="I712" t="inlineStr">
        <is>
          <t>21.97</t>
        </is>
      </c>
      <c r="J712" t="n">
        <v>40.15</v>
      </c>
      <c r="K712" s="3" t="inlineStr">
        <is>
          <t>82.75%</t>
        </is>
      </c>
      <c r="L712" t="n">
        <v>3.9</v>
      </c>
      <c r="M712" t="n">
        <v>8</v>
      </c>
      <c r="O712" t="inlineStr">
        <is>
          <t>InStock</t>
        </is>
      </c>
      <c r="P712" t="inlineStr">
        <is>
          <t>30.78</t>
        </is>
      </c>
      <c r="Q712" t="inlineStr">
        <is>
          <t>7793138729176</t>
        </is>
      </c>
    </row>
    <row r="713">
      <c r="A713" s="2">
        <f>HYPERLINK("https://edmondsonsupply.com/collections/electricians-tools/products/klein-tools-32900-7-in-1-impact-flip-socket-with-handle", "https://edmondsonsupply.com/collections/electricians-tools/products/klein-tools-32900-7-in-1-impact-flip-socket-with-handle")</f>
        <v/>
      </c>
      <c r="B713" s="2">
        <f>HYPERLINK("https://edmondsonsupply.com/products/klein-tools-32900-7-in-1-impact-flip-socket-with-handle", "https://edmondsonsupply.com/products/klein-tools-32900-7-in-1-impact-flip-socket-with-handle")</f>
        <v/>
      </c>
      <c r="C713" t="inlineStr">
        <is>
          <t>Klein Tools 32900 7-in-1 Impact Flip Socket with Handle</t>
        </is>
      </c>
      <c r="D713" t="inlineStr">
        <is>
          <t>Klein Tools 32900 Impact Driver, 7-in-1 Impact Flip Socket Set, 6 Hex Driver Sizes plus a 1/4-Inch Bit Holder &amp; 14-in-1 Adjustable Screwdriver</t>
        </is>
      </c>
      <c r="E713" s="2">
        <f>HYPERLINK("https://www.amazon.com/Klein-Tools-Impact-Adjustable-Screwdriver/dp/B0BGZPZCPF/ref=sr_1_3?keywords=Klein+Tools+32900+7-in-1+Impact+Flip+Socket+with+Handle&amp;qid=1695174143&amp;sr=8-3", "https://www.amazon.com/Klein-Tools-Impact-Adjustable-Screwdriver/dp/B0BGZPZCPF/ref=sr_1_3?keywords=Klein+Tools+32900+7-in-1+Impact+Flip+Socket+with+Handle&amp;qid=1695174143&amp;sr=8-3")</f>
        <v/>
      </c>
      <c r="F713" t="inlineStr">
        <is>
          <t>B0BGZPZCPF</t>
        </is>
      </c>
      <c r="G713">
        <f>_xludf.IMAGE("https://edmondsonsupply.com/cdn/shop/products/32900_b.jpg?v=1666024787")</f>
        <v/>
      </c>
      <c r="H713">
        <f>_xludf.IMAGE("https://m.media-amazon.com/images/I/417x0MgjU7L._AC_UL320_.jpg")</f>
        <v/>
      </c>
      <c r="I713" t="inlineStr">
        <is>
          <t>29.97</t>
        </is>
      </c>
      <c r="J713" t="n">
        <v>54.74</v>
      </c>
      <c r="K713" s="3" t="inlineStr">
        <is>
          <t>82.65%</t>
        </is>
      </c>
      <c r="L713" t="n">
        <v>4.8</v>
      </c>
      <c r="M713" t="n">
        <v>9</v>
      </c>
      <c r="O713" t="inlineStr">
        <is>
          <t>InStock</t>
        </is>
      </c>
      <c r="P713" t="inlineStr">
        <is>
          <t>45.0</t>
        </is>
      </c>
      <c r="Q713" t="inlineStr">
        <is>
          <t>7856651239640</t>
        </is>
      </c>
    </row>
    <row r="714">
      <c r="A714" s="2">
        <f>HYPERLINK("https://edmondsonsupply.com/collections/electricians-tools/products/diablo-tools-dag1110-7-8-in-x-7-1-2-in-auger-bit", "https://edmondsonsupply.com/collections/electricians-tools/products/diablo-tools-dag1110-7-8-in-x-7-1-2-in-auger-bit")</f>
        <v/>
      </c>
      <c r="B714" s="2">
        <f>HYPERLINK("https://edmondsonsupply.com/products/diablo-tools-dag1110-7-8-in-x-7-1-2-in-auger-bit", "https://edmondsonsupply.com/products/diablo-tools-dag1110-7-8-in-x-7-1-2-in-auger-bit")</f>
        <v/>
      </c>
      <c r="C714" t="inlineStr">
        <is>
          <t>Diablo Tools DAG1110 7/8 in. x 7-1/2 in. Auger Bit</t>
        </is>
      </c>
      <c r="D714" t="inlineStr">
        <is>
          <t>Diablo 7/8 in. x 17-1/2 in. Auger Bit</t>
        </is>
      </c>
      <c r="E714" s="2">
        <f>HYPERLINK("https://www.amazon.com/Diablo-17-1-Auger-Bit/dp/B089LG8GYB/ref=sr_1_5?keywords=Diablo+Tools+DAG1110+7%2F8+in.+x+7-1%2F2+in.+Auger+Bit&amp;qid=1695174030&amp;sr=8-5", "https://www.amazon.com/Diablo-17-1-Auger-Bit/dp/B089LG8GYB/ref=sr_1_5?keywords=Diablo+Tools+DAG1110+7%2F8+in.+x+7-1%2F2+in.+Auger+Bit&amp;qid=1695174030&amp;sr=8-5")</f>
        <v/>
      </c>
      <c r="F714" t="inlineStr">
        <is>
          <t>B089LG8GYB</t>
        </is>
      </c>
      <c r="G714">
        <f>_xludf.IMAGE("https://edmondsonsupply.com/cdn/shop/products/yel7mbaiyy08ii0assd5.webp?v=1680187136")</f>
        <v/>
      </c>
      <c r="H714">
        <f>_xludf.IMAGE("https://m.media-amazon.com/images/I/61QXZJGNQTL._AC_UL320_.jpg")</f>
        <v/>
      </c>
      <c r="I714" t="inlineStr">
        <is>
          <t>16.97</t>
        </is>
      </c>
      <c r="J714" t="n">
        <v>30.9</v>
      </c>
      <c r="K714" s="3" t="inlineStr">
        <is>
          <t>82.09%</t>
        </is>
      </c>
      <c r="L714" t="n">
        <v>4.3</v>
      </c>
      <c r="M714" t="n">
        <v>29</v>
      </c>
      <c r="O714" t="inlineStr">
        <is>
          <t>InStock</t>
        </is>
      </c>
      <c r="P714" t="inlineStr">
        <is>
          <t>23.76</t>
        </is>
      </c>
      <c r="Q714" t="inlineStr">
        <is>
          <t>7970459549912</t>
        </is>
      </c>
    </row>
    <row r="715">
      <c r="A715" s="2">
        <f>HYPERLINK("https://edmondsonsupply.com/collections/electricians-tools/products/klein-tools-vdv526-200-lan-scout-%C2%AE-jr-2-cable-tester", "https://edmondsonsupply.com/collections/electricians-tools/products/klein-tools-vdv526-200-lan-scout-%C2%AE-jr-2-cable-tester")</f>
        <v/>
      </c>
      <c r="B715" s="2">
        <f>HYPERLINK("https://edmondsonsupply.com/products/klein-tools-vdv526-200-lan-scout-%c2%ae-jr-2-cable-tester", "https://edmondsonsupply.com/products/klein-tools-vdv526-200-lan-scout-%c2%ae-jr-2-cable-tester")</f>
        <v/>
      </c>
      <c r="C715" t="inlineStr">
        <is>
          <t>Klein Tools VDV526-200 LAN Scout ® Jr. 2 Cable Tester</t>
        </is>
      </c>
      <c r="D715" t="inlineStr">
        <is>
          <t>Klein Tools VDV526-200 Cable Tester, LAN Scout Jr. 2 Ethernet Cable Tester &amp; VDV500-123 Cable Tracer Probe-Pro Tracing Probe with Replaceable Non-Metallic</t>
        </is>
      </c>
      <c r="E715" s="2">
        <f>HYPERLINK("https://www.amazon.com/Klein-Tools-VDV526-200-Replaceable-Non-Metallic/dp/B09Y84486X/ref=sr_1_3?keywords=Klein+Tools+VDV526-200+LAN+Scout+%C2%AE+Jr.+2+Cable+Tester&amp;qid=1695174153&amp;sr=8-3", "https://www.amazon.com/Klein-Tools-VDV526-200-Replaceable-Non-Metallic/dp/B09Y84486X/ref=sr_1_3?keywords=Klein+Tools+VDV526-200+LAN+Scout+%C2%AE+Jr.+2+Cable+Tester&amp;qid=1695174153&amp;sr=8-3")</f>
        <v/>
      </c>
      <c r="F715" t="inlineStr">
        <is>
          <t>B09Y84486X</t>
        </is>
      </c>
      <c r="G715">
        <f>_xludf.IMAGE("https://edmondsonsupply.com/cdn/shop/products/vdv526200.jpg?v=1663689949")</f>
        <v/>
      </c>
      <c r="H715">
        <f>_xludf.IMAGE("https://m.media-amazon.com/images/I/51l43d13j-L._AC_UY218_.jpg")</f>
        <v/>
      </c>
      <c r="I715" t="inlineStr">
        <is>
          <t>54.97</t>
        </is>
      </c>
      <c r="J715" t="n">
        <v>99.95999999999999</v>
      </c>
      <c r="K715" s="3" t="inlineStr">
        <is>
          <t>81.84%</t>
        </is>
      </c>
      <c r="L715" t="n">
        <v>4.8</v>
      </c>
      <c r="M715" t="n">
        <v>12</v>
      </c>
      <c r="O715" t="inlineStr">
        <is>
          <t>InStock</t>
        </is>
      </c>
      <c r="P715" t="inlineStr">
        <is>
          <t>82.5</t>
        </is>
      </c>
      <c r="Q715" t="inlineStr">
        <is>
          <t>7823726182616</t>
        </is>
      </c>
    </row>
    <row r="716">
      <c r="A716" s="2">
        <f>HYPERLINK("https://edmondsonsupply.com/collections/electricians-tools/products/klein-tools-31940-bi-metal-hole-saw-2-1-2-inch", "https://edmondsonsupply.com/collections/electricians-tools/products/klein-tools-31940-bi-metal-hole-saw-2-1-2-inch")</f>
        <v/>
      </c>
      <c r="B716" s="2">
        <f>HYPERLINK("https://edmondsonsupply.com/products/klein-tools-31940-bi-metal-hole-saw-2-1-2-inch", "https://edmondsonsupply.com/products/klein-tools-31940-bi-metal-hole-saw-2-1-2-inch")</f>
        <v/>
      </c>
      <c r="C716" t="inlineStr">
        <is>
          <t>Klein Tools 31940 Bi-Metal Hole Saw, 2-1/2-Inch</t>
        </is>
      </c>
      <c r="D716" t="inlineStr">
        <is>
          <t>LENOX Tools Hole Saw, Bi-Metal, Speed Slot, Arbored, 2-1/2-Inch (1772954)</t>
        </is>
      </c>
      <c r="E716" s="2">
        <f>HYPERLINK("https://www.amazon.com/LENOX-Tools-Bi-Metal-Arbored-Technology/dp/B004YK5DHW/ref=sr_1_3?keywords=Klein+Tools+31940+Bi-Metal+Hole+Saw%2C+2-1%2F2-Inch&amp;qid=1695174215&amp;sr=8-3", "https://www.amazon.com/LENOX-Tools-Bi-Metal-Arbored-Technology/dp/B004YK5DHW/ref=sr_1_3?keywords=Klein+Tools+31940+Bi-Metal+Hole+Saw%2C+2-1%2F2-Inch&amp;qid=1695174215&amp;sr=8-3")</f>
        <v/>
      </c>
      <c r="F716" t="inlineStr">
        <is>
          <t>B004YK5DHW</t>
        </is>
      </c>
      <c r="G716">
        <f>_xludf.IMAGE("https://edmondsonsupply.com/cdn/shop/products/31940.jpg?v=1649380086")</f>
        <v/>
      </c>
      <c r="H716">
        <f>_xludf.IMAGE("https://m.media-amazon.com/images/I/71OOVEuCxtL._AC_UL320_.jpg")</f>
        <v/>
      </c>
      <c r="I716" t="inlineStr">
        <is>
          <t>13.99</t>
        </is>
      </c>
      <c r="J716" t="n">
        <v>25.44</v>
      </c>
      <c r="K716" s="3" t="inlineStr">
        <is>
          <t>81.84%</t>
        </is>
      </c>
      <c r="L716" t="n">
        <v>4.7</v>
      </c>
      <c r="M716" t="n">
        <v>517</v>
      </c>
      <c r="O716" t="inlineStr">
        <is>
          <t>InStock</t>
        </is>
      </c>
      <c r="P716" t="inlineStr">
        <is>
          <t>18.22</t>
        </is>
      </c>
      <c r="Q716" t="inlineStr">
        <is>
          <t>7657257074904</t>
        </is>
      </c>
    </row>
    <row r="717">
      <c r="A717" s="2">
        <f>HYPERLINK("https://edmondsonsupply.com/collections/electricians-tools/products/malco-tools-mshlc1-2-5-8-c-rhex-cleanable-reversible-magnetic-hex-driver-5-16-3-8", "https://edmondsonsupply.com/collections/electricians-tools/products/malco-tools-mshlc1-2-5-8-c-rhex-cleanable-reversible-magnetic-hex-driver-5-16-3-8")</f>
        <v/>
      </c>
      <c r="B717" s="2">
        <f>HYPERLINK("https://edmondsonsupply.com/products/malco-tools-mshlc1-2-5-8-c-rhex-cleanable-reversible-magnetic-hex-driver-5-16-3-8", "https://edmondsonsupply.com/products/malco-tools-mshlc1-2-5-8-c-rhex-cleanable-reversible-magnetic-hex-driver-5-16-3-8")</f>
        <v/>
      </c>
      <c r="C717" t="inlineStr">
        <is>
          <t>Malco Tools MSHLC1 2-5/8" C-Rhex Cleanable, Reversible Magnetic Hex Driver, 5/16" &amp; 3/8"</t>
        </is>
      </c>
      <c r="D717" t="inlineStr">
        <is>
          <t>Malco 5/16" and 3/8" C-RHEX Cleanable Reversible Magnetic Hex Driver (2" Length)</t>
        </is>
      </c>
      <c r="E717" s="2">
        <f>HYPERLINK("https://www.amazon.com/C-RHEX-Cleanable-Reversible-Magnetic-Driver/dp/B09RPKFRDN/ref=sr_1_10?keywords=Malco+Tools+MSHLC1+2-5%2F8%22+C-Rhex+Cleanable%2C+Reversible+Magnetic+Hex+Driver%2C+5%2F16%22+%26+3%2F8%22&amp;qid=1695173902&amp;sr=8-10", "https://www.amazon.com/C-RHEX-Cleanable-Reversible-Magnetic-Driver/dp/B09RPKFRDN/ref=sr_1_10?keywords=Malco+Tools+MSHLC1+2-5%2F8%22+C-Rhex+Cleanable%2C+Reversible+Magnetic+Hex+Driver%2C+5%2F16%22+%26+3%2F8%22&amp;qid=1695173902&amp;sr=8-10")</f>
        <v/>
      </c>
      <c r="F717" t="inlineStr">
        <is>
          <t>B09RPKFRDN</t>
        </is>
      </c>
      <c r="G717">
        <f>_xludf.IMAGE("https://edmondsonsupply.com/cdn/shop/products/Malco-MSHLC1-516-38-1.jpg?v=1647198201")</f>
        <v/>
      </c>
      <c r="H717">
        <f>_xludf.IMAGE("https://m.media-amazon.com/images/I/31qo9UYAsJL._AC_UL320_.jpg")</f>
        <v/>
      </c>
      <c r="I717" t="inlineStr">
        <is>
          <t>8.99</t>
        </is>
      </c>
      <c r="J717" t="n">
        <v>16.25</v>
      </c>
      <c r="K717" s="3" t="inlineStr">
        <is>
          <t>80.76%</t>
        </is>
      </c>
      <c r="L717" t="n">
        <v>5</v>
      </c>
      <c r="M717" t="n">
        <v>1</v>
      </c>
      <c r="O717" t="inlineStr">
        <is>
          <t>InStock</t>
        </is>
      </c>
      <c r="P717" t="inlineStr">
        <is>
          <t>9.92</t>
        </is>
      </c>
      <c r="Q717" t="inlineStr">
        <is>
          <t>4504454037604</t>
        </is>
      </c>
    </row>
    <row r="718">
      <c r="A718" s="2">
        <f>HYPERLINK("https://edmondsonsupply.com/collections/electricians-tools/products/klein-tools-32307-27-in-1-multi-bit-tamperproof-screwdriver", "https://edmondsonsupply.com/collections/electricians-tools/products/klein-tools-32307-27-in-1-multi-bit-tamperproof-screwdriver")</f>
        <v/>
      </c>
      <c r="B718" s="2">
        <f>HYPERLINK("https://edmondsonsupply.com/products/klein-tools-32307-27-in-1-multi-bit-tamperproof-screwdriver", "https://edmondsonsupply.com/products/klein-tools-32307-27-in-1-multi-bit-tamperproof-screwdriver")</f>
        <v/>
      </c>
      <c r="C718" t="inlineStr">
        <is>
          <t>Klein Tools 32307 27-in-1 Multi-Bit Tamperproof Screwdriver</t>
        </is>
      </c>
      <c r="D718" t="inlineStr">
        <is>
          <t>Klein Tools 32305 Multi-bit Ratcheting Screwdriver &amp; 32307 Multi-bit Tamperproof Screwdriver, 27-in-1 Tool with Torx, Hex, Torq and Spanner Bits with 1/4-Inch Nut Driver</t>
        </is>
      </c>
      <c r="E718" s="2">
        <f>HYPERLINK("https://www.amazon.com/Klein-Tools-Ratcheting-Screwdriver-Tamperproof/dp/B09Y7PBFQ1/ref=sr_1_6?keywords=Klein+Tools+32307+27-in-1+Multi-Bit+Tamperproof+Screwdriver&amp;qid=1695174232&amp;sr=8-6", "https://www.amazon.com/Klein-Tools-Ratcheting-Screwdriver-Tamperproof/dp/B09Y7PBFQ1/ref=sr_1_6?keywords=Klein+Tools+32307+27-in-1+Multi-Bit+Tamperproof+Screwdriver&amp;qid=1695174232&amp;sr=8-6")</f>
        <v/>
      </c>
      <c r="F718" t="inlineStr">
        <is>
          <t>B09Y7PBFQ1</t>
        </is>
      </c>
      <c r="G718">
        <f>_xludf.IMAGE("https://edmondsonsupply.com/cdn/shop/products/32307.jpg?v=1647347524")</f>
        <v/>
      </c>
      <c r="H718">
        <f>_xludf.IMAGE("https://m.media-amazon.com/images/I/41T6TsQqpLL._AC_UL320_.jpg")</f>
        <v/>
      </c>
      <c r="I718" t="inlineStr">
        <is>
          <t>25.97</t>
        </is>
      </c>
      <c r="J718" t="n">
        <v>46.94</v>
      </c>
      <c r="K718" s="3" t="inlineStr">
        <is>
          <t>80.75%</t>
        </is>
      </c>
      <c r="L718" t="n">
        <v>4.7</v>
      </c>
      <c r="M718" t="n">
        <v>22</v>
      </c>
      <c r="O718" t="inlineStr">
        <is>
          <t>InStock</t>
        </is>
      </c>
      <c r="P718" t="inlineStr">
        <is>
          <t>36.38</t>
        </is>
      </c>
      <c r="Q718" t="inlineStr">
        <is>
          <t>7637266366680</t>
        </is>
      </c>
    </row>
    <row r="719">
      <c r="A719" s="2">
        <f>HYPERLINK("https://edmondsonsupply.com/collections/electricians-tools/products/klein-tools-70550-pro-folding-hex-key-set-11-fractional-inch-sized-keys", "https://edmondsonsupply.com/collections/electricians-tools/products/klein-tools-70550-pro-folding-hex-key-set-11-fractional-inch-sized-keys")</f>
        <v/>
      </c>
      <c r="B719" s="2">
        <f>HYPERLINK("https://edmondsonsupply.com/products/klein-tools-70550-pro-folding-hex-key-set-11-fractional-inch-sized-keys", "https://edmondsonsupply.com/products/klein-tools-70550-pro-folding-hex-key-set-11-fractional-inch-sized-keys")</f>
        <v/>
      </c>
      <c r="C719" t="inlineStr">
        <is>
          <t>Klein Tools 70550 Pro Folding Hex Key Set, 11-Key, SAE Sizes</t>
        </is>
      </c>
      <c r="D719" t="inlineStr">
        <is>
          <t>Klein Tools 65200 Ratchet Set, 5-Piece Mini Ratchet Set with Phillips, Slotted, and Adapter &amp; 70550 Hex Wrench Key Set, 11 SAE Sizes, Heavy Duty Folding Allen Wrench Tool</t>
        </is>
      </c>
      <c r="E719" s="2">
        <f>HYPERLINK("https://www.amazon.com/Klein-Tools-Ratchet-5-Piece-Phillips/dp/B0CF2CH27G/ref=sr_1_2?keywords=Klein+Tools+70550+Pro+Folding+Hex+Key+Set%2C+11-Key%2C+SAE+Sizes&amp;qid=1695173950&amp;sr=8-2", "https://www.amazon.com/Klein-Tools-Ratchet-5-Piece-Phillips/dp/B0CF2CH27G/ref=sr_1_2?keywords=Klein+Tools+70550+Pro+Folding+Hex+Key+Set%2C+11-Key%2C+SAE+Sizes&amp;qid=1695173950&amp;sr=8-2")</f>
        <v/>
      </c>
      <c r="F719" t="inlineStr">
        <is>
          <t>B0CF2CH27G</t>
        </is>
      </c>
      <c r="G719">
        <f>_xludf.IMAGE("https://edmondsonsupply.com/cdn/shop/products/70550.jpg?v=1587145237")</f>
        <v/>
      </c>
      <c r="H719">
        <f>_xludf.IMAGE("https://m.media-amazon.com/images/I/51I-40ka6EL._AC_UL320_.jpg")</f>
        <v/>
      </c>
      <c r="I719" t="inlineStr">
        <is>
          <t>19.97</t>
        </is>
      </c>
      <c r="J719" t="n">
        <v>35.93</v>
      </c>
      <c r="K719" s="3" t="inlineStr">
        <is>
          <t>79.92%</t>
        </is>
      </c>
      <c r="L719" t="n">
        <v>4.7</v>
      </c>
      <c r="M719" t="n">
        <v>3970</v>
      </c>
      <c r="O719" t="inlineStr">
        <is>
          <t>InStock</t>
        </is>
      </c>
      <c r="P719" t="inlineStr">
        <is>
          <t>27.18</t>
        </is>
      </c>
      <c r="Q719" t="inlineStr">
        <is>
          <t>3693538082916</t>
        </is>
      </c>
    </row>
    <row r="720">
      <c r="A720" s="2">
        <f>HYPERLINK("https://edmondsonsupply.com/collections/electricians-tools/products/klein-tools-56413-rechargeable-2-color-led-flashlight-with-holster", "https://edmondsonsupply.com/collections/electricians-tools/products/klein-tools-56413-rechargeable-2-color-led-flashlight-with-holster")</f>
        <v/>
      </c>
      <c r="B720" s="2">
        <f>HYPERLINK("https://edmondsonsupply.com/products/klein-tools-56413-rechargeable-2-color-led-flashlight-with-holster", "https://edmondsonsupply.com/products/klein-tools-56413-rechargeable-2-color-led-flashlight-with-holster")</f>
        <v/>
      </c>
      <c r="C720" t="inlineStr">
        <is>
          <t>Klein Tools 56413 Rechargeable 2-Color LED Flashlight with Holster</t>
        </is>
      </c>
      <c r="D720" t="inlineStr">
        <is>
          <t>Klein Tools 56040 LED Rechargeable Flashlight &amp; 56413 Rechargeable 2-Color LED Flashlight, Holster, Spotlight, Floodlight, Red LED, 1000 Lumens, USB Cable, Camping, Hunting</t>
        </is>
      </c>
      <c r="E720" s="2">
        <f>HYPERLINK("https://www.amazon.com/Klein-Tools-Rechargeable-Flashlight-Floodlight/dp/B0BXKC43LR/ref=sr_1_4?keywords=Klein+Tools+56413+Rechargeable+2-Color+LED+Flashlight+with+Holster&amp;qid=1695174149&amp;sr=8-4", "https://www.amazon.com/Klein-Tools-Rechargeable-Flashlight-Floodlight/dp/B0BXKC43LR/ref=sr_1_4?keywords=Klein+Tools+56413+Rechargeable+2-Color+LED+Flashlight+with+Holster&amp;qid=1695174149&amp;sr=8-4")</f>
        <v/>
      </c>
      <c r="F720" t="inlineStr">
        <is>
          <t>B0BXKC43LR</t>
        </is>
      </c>
      <c r="G720">
        <f>_xludf.IMAGE("https://edmondsonsupply.com/cdn/shop/products/56413.jpg?v=1663954210")</f>
        <v/>
      </c>
      <c r="H720">
        <f>_xludf.IMAGE("https://m.media-amazon.com/images/I/51VA0R00+KL._AC_UL320_.jpg")</f>
        <v/>
      </c>
      <c r="I720" t="inlineStr">
        <is>
          <t>49.97</t>
        </is>
      </c>
      <c r="J720" t="n">
        <v>89.63</v>
      </c>
      <c r="K720" s="3" t="inlineStr">
        <is>
          <t>79.37%</t>
        </is>
      </c>
      <c r="L720" t="n">
        <v>5</v>
      </c>
      <c r="M720" t="n">
        <v>1</v>
      </c>
      <c r="O720" t="inlineStr">
        <is>
          <t>InStock</t>
        </is>
      </c>
      <c r="P720" t="inlineStr">
        <is>
          <t>72.0</t>
        </is>
      </c>
      <c r="Q720" t="inlineStr">
        <is>
          <t>7827366215896</t>
        </is>
      </c>
    </row>
    <row r="721">
      <c r="A721" s="2">
        <f>HYPERLINK("https://edmondsonsupply.com/collections/electricians-tools/products/klein-tools-32304-14-in-1-hvac-adjustable-length-impact-screwdriver-with-flip-socket", "https://edmondsonsupply.com/collections/electricians-tools/products/klein-tools-32304-14-in-1-hvac-adjustable-length-impact-screwdriver-with-flip-socket")</f>
        <v/>
      </c>
      <c r="B721" s="2">
        <f>HYPERLINK("https://edmondsonsupply.com/products/klein-tools-32304-14-in-1-hvac-adjustable-length-impact-screwdriver-with-flip-socket", "https://edmondsonsupply.com/products/klein-tools-32304-14-in-1-hvac-adjustable-length-impact-screwdriver-with-flip-socket")</f>
        <v/>
      </c>
      <c r="C721" t="inlineStr">
        <is>
          <t>Klein Tools 32304 14-in-1 HVAC Adjustable-Length Impact Screwdriver with Flip Socket</t>
        </is>
      </c>
      <c r="D721" t="inlineStr">
        <is>
          <t>Impact Driver, 7-in-1 Impact Flip Socket Set &amp; 14-in-1 Adjustable Screwdriver with Flip Socket, HVAC Nut Drivers and Bits, Impact Rated Klein Tools 32304</t>
        </is>
      </c>
      <c r="E721" s="2">
        <f>HYPERLINK("https://www.amazon.com/Adjustable-Screwdriver-Drivers-Klein-Tools/dp/B09Y84RPSB/ref=sr_1_4?keywords=Klein+Tools+32304+14-in-1+HVAC+Adjustable-Length+Impact+Screwdriver+with+Flip+Socket&amp;qid=1695173856&amp;sr=8-4", "https://www.amazon.com/Adjustable-Screwdriver-Drivers-Klein-Tools/dp/B09Y84RPSB/ref=sr_1_4?keywords=Klein+Tools+32304+14-in-1+HVAC+Adjustable-Length+Impact+Screwdriver+with+Flip+Socket&amp;qid=1695173856&amp;sr=8-4")</f>
        <v/>
      </c>
      <c r="F721" t="inlineStr">
        <is>
          <t>B09Y84RPSB</t>
        </is>
      </c>
      <c r="G721">
        <f>_xludf.IMAGE("https://edmondsonsupply.com/cdn/shop/products/32304.jpg?v=1666019479")</f>
        <v/>
      </c>
      <c r="H721">
        <f>_xludf.IMAGE("https://m.media-amazon.com/images/I/41KTNungRUL._AC_UL320_.jpg")</f>
        <v/>
      </c>
      <c r="I721" t="inlineStr">
        <is>
          <t>24.97</t>
        </is>
      </c>
      <c r="J721" t="n">
        <v>44.76</v>
      </c>
      <c r="K721" s="3" t="inlineStr">
        <is>
          <t>79.26%</t>
        </is>
      </c>
      <c r="L721" t="n">
        <v>4.8</v>
      </c>
      <c r="M721" t="n">
        <v>88</v>
      </c>
      <c r="O721" t="inlineStr">
        <is>
          <t>InStock</t>
        </is>
      </c>
      <c r="P721" t="inlineStr">
        <is>
          <t>34.98</t>
        </is>
      </c>
      <c r="Q721" t="inlineStr">
        <is>
          <t>7856604578008</t>
        </is>
      </c>
    </row>
    <row r="722">
      <c r="A722" s="2">
        <f>HYPERLINK("https://edmondsonsupply.com/collections/electricians-tools/products/komelon-7325-25-x-1-maggrip%E2%84%A2-speedmark%E2%84%A2-magnetic-tape-measure", "https://edmondsonsupply.com/collections/electricians-tools/products/komelon-7325-25-x-1-maggrip%E2%84%A2-speedmark%E2%84%A2-magnetic-tape-measure")</f>
        <v/>
      </c>
      <c r="B722" s="2">
        <f>HYPERLINK("https://edmondsonsupply.com/products/komelon-7325-25-x-1-maggrip%e2%84%a2-speedmark%e2%84%a2-magnetic-tape-measure", "https://edmondsonsupply.com/products/komelon-7325-25-x-1-maggrip%e2%84%a2-speedmark%e2%84%a2-magnetic-tape-measure")</f>
        <v/>
      </c>
      <c r="C722" t="inlineStr">
        <is>
          <t>Komelon 7325 25' X 1" MagGrip™ SpeedMark™, Magnetic Tape Measure</t>
        </is>
      </c>
      <c r="D722" t="inlineStr">
        <is>
          <t>Komelon 7425; 25' x 1" Magnetic MagGrip Tape Measure, Black/Yellow</t>
        </is>
      </c>
      <c r="E722" s="2">
        <f>HYPERLINK("https://www.amazon.com/Komelon-7425-MagGrip-25-FootMeasuring-Magnetic/dp/B0000DD5GR/ref=sr_1_3?keywords=Komelon+7325+25%27+X+1%22+MagGrip%E2%84%A2+SpeedMark%E2%84%A2%2C+Magnetic+Tape+Measure&amp;qid=1695174274&amp;sr=8-3", "https://www.amazon.com/Komelon-7425-MagGrip-25-FootMeasuring-Magnetic/dp/B0000DD5GR/ref=sr_1_3?keywords=Komelon+7325+25%27+X+1%22+MagGrip%E2%84%A2+SpeedMark%E2%84%A2%2C+Magnetic+Tape+Measure&amp;qid=1695174274&amp;sr=8-3")</f>
        <v/>
      </c>
      <c r="F722" t="inlineStr">
        <is>
          <t>B0000DD5GR</t>
        </is>
      </c>
      <c r="G722">
        <f>_xludf.IMAGE("https://edmondsonsupply.com/cdn/shop/products/7325_angleExtended.jpg?v=1633030981")</f>
        <v/>
      </c>
      <c r="H722">
        <f>_xludf.IMAGE("https://m.media-amazon.com/images/I/71-NeT37yWL._AC_UL320_.jpg")</f>
        <v/>
      </c>
      <c r="I722" t="inlineStr">
        <is>
          <t>13.99</t>
        </is>
      </c>
      <c r="J722" t="n">
        <v>25.03</v>
      </c>
      <c r="K722" s="3" t="inlineStr">
        <is>
          <t>78.91%</t>
        </is>
      </c>
      <c r="L722" t="n">
        <v>4.5</v>
      </c>
      <c r="M722" t="n">
        <v>124</v>
      </c>
      <c r="O722" t="inlineStr">
        <is>
          <t>InStock</t>
        </is>
      </c>
      <c r="P722" t="inlineStr">
        <is>
          <t>undefined</t>
        </is>
      </c>
      <c r="Q722" t="inlineStr">
        <is>
          <t>6652039692461</t>
        </is>
      </c>
    </row>
    <row r="723">
      <c r="A723" s="2">
        <f>HYPERLINK("https://edmondsonsupply.com/collections/electricians-tools/products/klein-tools-cl220-digital-clamp-meter-ac-auto-ranging-400-amp-with-temp", "https://edmondsonsupply.com/collections/electricians-tools/products/klein-tools-cl220-digital-clamp-meter-ac-auto-ranging-400-amp-with-temp")</f>
        <v/>
      </c>
      <c r="B723" s="2">
        <f>HYPERLINK("https://edmondsonsupply.com/products/klein-tools-cl220-digital-clamp-meter-ac-auto-ranging-400-amp-with-temp", "https://edmondsonsupply.com/products/klein-tools-cl220-digital-clamp-meter-ac-auto-ranging-400-amp-with-temp")</f>
        <v/>
      </c>
      <c r="C723" t="inlineStr">
        <is>
          <t>Klein Tools CL220 Digital Clamp Meter, AC Auto-Ranging 400 Amp with Temp</t>
        </is>
      </c>
      <c r="D723" t="inlineStr">
        <is>
          <t>Klein Tools CL220 Digital Clamp Meter, Auto-Ranging 400 Amp AC, AC/DC Voltage, TRMS, Resistance, Continuity, NCVT Detection, and Temp &amp; 80016 Circuit Breaker Finder Tool Kit</t>
        </is>
      </c>
      <c r="E723" s="2">
        <f>HYPERLINK("https://www.amazon.com/Klein-Tools-Auto-Ranging-Resistance-Continuity/dp/B0BNL6NFV7/ref=sr_1_4?keywords=Klein+Tools+CL220+Digital+Clamp+Meter%2C+AC+Auto-Ranging+400+Amp+with+Temp&amp;qid=1695174305&amp;sr=8-4", "https://www.amazon.com/Klein-Tools-Auto-Ranging-Resistance-Continuity/dp/B0BNL6NFV7/ref=sr_1_4?keywords=Klein+Tools+CL220+Digital+Clamp+Meter%2C+AC+Auto-Ranging+400+Amp+with+Temp&amp;qid=1695174305&amp;sr=8-4")</f>
        <v/>
      </c>
      <c r="F723" t="inlineStr">
        <is>
          <t>B0BNL6NFV7</t>
        </is>
      </c>
      <c r="G723">
        <f>_xludf.IMAGE("https://edmondsonsupply.com/cdn/shop/products/cl220.jpg?v=1633030821")</f>
        <v/>
      </c>
      <c r="H723">
        <f>_xludf.IMAGE("https://m.media-amazon.com/images/I/51F5hkzephL._AC_UY218_.jpg")</f>
        <v/>
      </c>
      <c r="I723" t="inlineStr">
        <is>
          <t>69.97</t>
        </is>
      </c>
      <c r="J723" t="n">
        <v>124.96</v>
      </c>
      <c r="K723" s="3" t="inlineStr">
        <is>
          <t>78.59%</t>
        </is>
      </c>
      <c r="L723" t="n">
        <v>5</v>
      </c>
      <c r="M723" t="n">
        <v>1</v>
      </c>
      <c r="O723" t="inlineStr">
        <is>
          <t>InStock</t>
        </is>
      </c>
      <c r="P723" t="inlineStr">
        <is>
          <t>93.22</t>
        </is>
      </c>
      <c r="Q723" t="inlineStr">
        <is>
          <t>6080846463149</t>
        </is>
      </c>
    </row>
    <row r="724">
      <c r="A724" s="2">
        <f>HYPERLINK("https://edmondsonsupply.com/collections/electricians-tools/products/klein-tools-ncvt1pkit-non-contact-voltage-and-gfci-receptacle-test-kit", "https://edmondsonsupply.com/collections/electricians-tools/products/klein-tools-ncvt1pkit-non-contact-voltage-and-gfci-receptacle-test-kit")</f>
        <v/>
      </c>
      <c r="B724" s="2">
        <f>HYPERLINK("https://edmondsonsupply.com/products/klein-tools-ncvt1pkit-non-contact-voltage-and-gfci-receptacle-test-kit", "https://edmondsonsupply.com/products/klein-tools-ncvt1pkit-non-contact-voltage-and-gfci-receptacle-test-kit")</f>
        <v/>
      </c>
      <c r="C724" t="inlineStr">
        <is>
          <t>Klein Tools NCVT1PKIT Non-Contact Voltage and GFCI Receptacle Test Kit</t>
        </is>
      </c>
      <c r="D724" t="inlineStr">
        <is>
          <t>Klein Tools RT250KIT Non-Contact Voltage Tester and GFCI Receptacle Tester with LCD and Flashlight, Voltage Electrical Test Kit</t>
        </is>
      </c>
      <c r="E724" s="2">
        <f>HYPERLINK("https://www.amazon.com/Non-Contact-Receptacle-Klein-Tools-RT250KIT/dp/B08YDFQ2FV/ref=sr_1_3?keywords=Klein+Tools+NCVT1PKIT+Non-Contact+Voltage+and+GFCI+Receptacle+Test+Kit&amp;qid=1695174067&amp;sr=8-3", "https://www.amazon.com/Non-Contact-Receptacle-Klein-Tools-RT250KIT/dp/B08YDFQ2FV/ref=sr_1_3?keywords=Klein+Tools+NCVT1PKIT+Non-Contact+Voltage+and+GFCI+Receptacle+Test+Kit&amp;qid=1695174067&amp;sr=8-3")</f>
        <v/>
      </c>
      <c r="F724" t="inlineStr">
        <is>
          <t>B08YDFQ2FV</t>
        </is>
      </c>
      <c r="G724">
        <f>_xludf.IMAGE("https://edmondsonsupply.com/cdn/shop/products/ncvt1pkit.jpg?v=1677682920")</f>
        <v/>
      </c>
      <c r="H724">
        <f>_xludf.IMAGE("https://m.media-amazon.com/images/I/61WaBlkJfxL._AC_UL320_.jpg")</f>
        <v/>
      </c>
      <c r="I724" t="inlineStr">
        <is>
          <t>24.97</t>
        </is>
      </c>
      <c r="J724" t="n">
        <v>44.54</v>
      </c>
      <c r="K724" s="3" t="inlineStr">
        <is>
          <t>78.37%</t>
        </is>
      </c>
      <c r="L724" t="n">
        <v>4.8</v>
      </c>
      <c r="M724" t="n">
        <v>1269</v>
      </c>
      <c r="O724" t="inlineStr">
        <is>
          <t>InStock</t>
        </is>
      </c>
      <c r="P724" t="inlineStr">
        <is>
          <t>35.38</t>
        </is>
      </c>
      <c r="Q724" t="inlineStr">
        <is>
          <t>7953960698072</t>
        </is>
      </c>
    </row>
    <row r="725">
      <c r="A725" s="2">
        <f>HYPERLINK("https://edmondsonsupply.com/collections/electricians-tools/products/klein-tools-ncvt1xtkit-non-contact-voltage-and-gfci-receptacle-premium-test-kit", "https://edmondsonsupply.com/collections/electricians-tools/products/klein-tools-ncvt1xtkit-non-contact-voltage-and-gfci-receptacle-premium-test-kit")</f>
        <v/>
      </c>
      <c r="B725" s="2">
        <f>HYPERLINK("https://edmondsonsupply.com/products/klein-tools-ncvt1xtkit-non-contact-voltage-and-gfci-receptacle-premium-test-kit", "https://edmondsonsupply.com/products/klein-tools-ncvt1xtkit-non-contact-voltage-and-gfci-receptacle-premium-test-kit")</f>
        <v/>
      </c>
      <c r="C725" t="inlineStr">
        <is>
          <t>Klein Tools NCVT1XTKIT Non-Contact Voltage and GFCI Receptacle Premium Test Kit</t>
        </is>
      </c>
      <c r="D725" t="inlineStr">
        <is>
          <t>Klein Tools RT250KIT Non-Contact Voltage Tester and GFCI Receptacle Tester with LCD and Flashlight, Voltage Electrical Test Kit</t>
        </is>
      </c>
      <c r="E725" s="2">
        <f>HYPERLINK("https://www.amazon.com/Non-Contact-Receptacle-Klein-Tools-RT250KIT/dp/B08YDFQ2FV/ref=sr_1_2?keywords=Klein+Tools+NCVT1XTKIT+Non-Contact+Voltage+and+GFCI+Receptacle+Premium+Test+Kit&amp;qid=1695173872&amp;sr=8-2", "https://www.amazon.com/Non-Contact-Receptacle-Klein-Tools-RT250KIT/dp/B08YDFQ2FV/ref=sr_1_2?keywords=Klein+Tools+NCVT1XTKIT+Non-Contact+Voltage+and+GFCI+Receptacle+Premium+Test+Kit&amp;qid=1695173872&amp;sr=8-2")</f>
        <v/>
      </c>
      <c r="F725" t="inlineStr">
        <is>
          <t>B08YDFQ2FV</t>
        </is>
      </c>
      <c r="G725">
        <f>_xludf.IMAGE("https://edmondsonsupply.com/cdn/shop/products/ncvt1xtkit.jpg?v=1674497102")</f>
        <v/>
      </c>
      <c r="H725">
        <f>_xludf.IMAGE("https://m.media-amazon.com/images/I/61WaBlkJfxL._AC_UL320_.jpg")</f>
        <v/>
      </c>
      <c r="I725" t="inlineStr">
        <is>
          <t>24.99</t>
        </is>
      </c>
      <c r="J725" t="n">
        <v>44.54</v>
      </c>
      <c r="K725" s="3" t="inlineStr">
        <is>
          <t>78.23%</t>
        </is>
      </c>
      <c r="L725" t="n">
        <v>4.8</v>
      </c>
      <c r="M725" t="n">
        <v>1269</v>
      </c>
      <c r="O725" t="inlineStr">
        <is>
          <t>InStock</t>
        </is>
      </c>
      <c r="P725" t="inlineStr">
        <is>
          <t>32.98</t>
        </is>
      </c>
      <c r="Q725" t="inlineStr">
        <is>
          <t>7931949187288</t>
        </is>
      </c>
    </row>
    <row r="726">
      <c r="A726" s="2">
        <f>HYPERLINK("https://edmondsonsupply.com/collections/electricians-tools/products/klein-tools-60159-standard-safety-glasses-clear-lens", "https://edmondsonsupply.com/collections/electricians-tools/products/klein-tools-60159-standard-safety-glasses-clear-lens")</f>
        <v/>
      </c>
      <c r="B726" s="2">
        <f>HYPERLINK("https://edmondsonsupply.com/products/klein-tools-60159-standard-safety-glasses-clear-lens", "https://edmondsonsupply.com/products/klein-tools-60159-standard-safety-glasses-clear-lens")</f>
        <v/>
      </c>
      <c r="C726" t="inlineStr">
        <is>
          <t>Klein Tools 60159 Standard Safety Glasses, Clear Lens</t>
        </is>
      </c>
      <c r="D726" t="inlineStr">
        <is>
          <t>Klein Tools 60161 Safety Glasses, Professional PPE Protective Eyewear with Semi Frame, Scratch Resistant and Anti-Fog, Clear Lens</t>
        </is>
      </c>
      <c r="E726" s="2">
        <f>HYPERLINK("https://www.amazon.com/Klein-60161-Professional-Protective-Resistant/dp/B08B496F57/ref=sr_1_4?keywords=Klein+Tools+60159+Standard+Safety+Glasses%2C+Clear+Lens&amp;qid=1695174312&amp;sr=8-4", "https://www.amazon.com/Klein-60161-Professional-Protective-Resistant/dp/B08B496F57/ref=sr_1_4?keywords=Klein+Tools+60159+Standard+Safety+Glasses%2C+Clear+Lens&amp;qid=1695174312&amp;sr=8-4")</f>
        <v/>
      </c>
      <c r="F726" t="inlineStr">
        <is>
          <t>B08B496F57</t>
        </is>
      </c>
      <c r="G726">
        <f>_xludf.IMAGE("https://edmondsonsupply.com/cdn/shop/products/60159.jpg?v=1633030842")</f>
        <v/>
      </c>
      <c r="H726">
        <f>_xludf.IMAGE("https://m.media-amazon.com/images/I/515pVZPvJ0L._AC_UL320_.jpg")</f>
        <v/>
      </c>
      <c r="I726" t="inlineStr">
        <is>
          <t>8.99</t>
        </is>
      </c>
      <c r="J726" t="n">
        <v>15.99</v>
      </c>
      <c r="K726" s="3" t="inlineStr">
        <is>
          <t>77.86%</t>
        </is>
      </c>
      <c r="L726" t="n">
        <v>4.4</v>
      </c>
      <c r="M726" t="n">
        <v>374</v>
      </c>
      <c r="O726" t="inlineStr">
        <is>
          <t>InStock</t>
        </is>
      </c>
      <c r="P726" t="inlineStr">
        <is>
          <t>12.6</t>
        </is>
      </c>
      <c r="Q726" t="inlineStr">
        <is>
          <t>6091658428589</t>
        </is>
      </c>
    </row>
    <row r="727">
      <c r="A727" s="2">
        <f>HYPERLINK("https://edmondsonsupply.com/collections/electricians-tools/products/klein-tools-60159-standard-safety-glasses-clear-lens", "https://edmondsonsupply.com/collections/electricians-tools/products/klein-tools-60159-standard-safety-glasses-clear-lens")</f>
        <v/>
      </c>
      <c r="B727" s="2">
        <f>HYPERLINK("https://edmondsonsupply.com/products/klein-tools-60159-standard-safety-glasses-clear-lens", "https://edmondsonsupply.com/products/klein-tools-60159-standard-safety-glasses-clear-lens")</f>
        <v/>
      </c>
      <c r="C727" t="inlineStr">
        <is>
          <t>Klein Tools 60159 Standard Safety Glasses, Clear Lens</t>
        </is>
      </c>
      <c r="D727" t="inlineStr">
        <is>
          <t>Klein Tools 60470 Safety Glasses, ANSI Z87.1+ Pro Full Frame Gasket Safety Glasses, Clear Lenses, UV Protection, Anti-Fog, Scratch Resistant, Black/Orange</t>
        </is>
      </c>
      <c r="E727" s="2">
        <f>HYPERLINK("https://www.amazon.com/Klein-60470-Protection-Anti-Fog-Resistant/dp/B0B69KPRPF/ref=sr_1_2?keywords=Klein+Tools+60159+Standard+Safety+Glasses%2C+Clear+Lens&amp;qid=1695174312&amp;sr=8-2", "https://www.amazon.com/Klein-60470-Protection-Anti-Fog-Resistant/dp/B0B69KPRPF/ref=sr_1_2?keywords=Klein+Tools+60159+Standard+Safety+Glasses%2C+Clear+Lens&amp;qid=1695174312&amp;sr=8-2")</f>
        <v/>
      </c>
      <c r="F727" t="inlineStr">
        <is>
          <t>B0B69KPRPF</t>
        </is>
      </c>
      <c r="G727">
        <f>_xludf.IMAGE("https://edmondsonsupply.com/cdn/shop/products/60159.jpg?v=1633030842")</f>
        <v/>
      </c>
      <c r="H727">
        <f>_xludf.IMAGE("https://m.media-amazon.com/images/I/51TkfiRMYgL._AC_UL320_.jpg")</f>
        <v/>
      </c>
      <c r="I727" t="inlineStr">
        <is>
          <t>8.99</t>
        </is>
      </c>
      <c r="J727" t="n">
        <v>15.99</v>
      </c>
      <c r="K727" s="3" t="inlineStr">
        <is>
          <t>77.86%</t>
        </is>
      </c>
      <c r="L727" t="n">
        <v>4</v>
      </c>
      <c r="M727" t="n">
        <v>29</v>
      </c>
      <c r="O727" t="inlineStr">
        <is>
          <t>InStock</t>
        </is>
      </c>
      <c r="P727" t="inlineStr">
        <is>
          <t>12.6</t>
        </is>
      </c>
      <c r="Q727" t="inlineStr">
        <is>
          <t>6091658428589</t>
        </is>
      </c>
    </row>
    <row r="728">
      <c r="A728" s="2">
        <f>HYPERLINK("https://edmondsonsupply.com/collections/electricians-tools/products/klein-tools-60160-standard-safety-glasses-gray-lens", "https://edmondsonsupply.com/collections/electricians-tools/products/klein-tools-60160-standard-safety-glasses-gray-lens")</f>
        <v/>
      </c>
      <c r="B728" s="2">
        <f>HYPERLINK("https://edmondsonsupply.com/products/klein-tools-60160-standard-safety-glasses-gray-lens", "https://edmondsonsupply.com/products/klein-tools-60160-standard-safety-glasses-gray-lens")</f>
        <v/>
      </c>
      <c r="C728" t="inlineStr">
        <is>
          <t>Klein Tools 60160 Standard Safety Glasses, Gray Lens</t>
        </is>
      </c>
      <c r="D728" t="inlineStr">
        <is>
          <t>Klein Tools 60471 Safety Glasses, ANSI Z87.1+ Pro Full Frame Gasket Safety Glasses, Gray Lens, UV Protection, Anti-Fog, Scratch Resistant</t>
        </is>
      </c>
      <c r="E728" s="2">
        <f>HYPERLINK("https://www.amazon.com/Klein-60471-Protection-Anti-Fog-Resistant/dp/B0B69LNT2Y/ref=sr_1_5?keywords=Klein+Tools+60160+Standard+Safety+Glasses%2C+Gray+Lens&amp;qid=1695174305&amp;sr=8-5", "https://www.amazon.com/Klein-60471-Protection-Anti-Fog-Resistant/dp/B0B69LNT2Y/ref=sr_1_5?keywords=Klein+Tools+60160+Standard+Safety+Glasses%2C+Gray+Lens&amp;qid=1695174305&amp;sr=8-5")</f>
        <v/>
      </c>
      <c r="F728" t="inlineStr">
        <is>
          <t>B0B69LNT2Y</t>
        </is>
      </c>
      <c r="G728">
        <f>_xludf.IMAGE("https://edmondsonsupply.com/cdn/shop/products/60160.jpg?v=1633030843")</f>
        <v/>
      </c>
      <c r="H728">
        <f>_xludf.IMAGE("https://m.media-amazon.com/images/I/51z-a2tdJlL._AC_UL320_.jpg")</f>
        <v/>
      </c>
      <c r="I728" t="inlineStr">
        <is>
          <t>8.99</t>
        </is>
      </c>
      <c r="J728" t="n">
        <v>15.99</v>
      </c>
      <c r="K728" s="3" t="inlineStr">
        <is>
          <t>77.86%</t>
        </is>
      </c>
      <c r="L728" t="n">
        <v>4.3</v>
      </c>
      <c r="M728" t="n">
        <v>56</v>
      </c>
      <c r="O728" t="inlineStr">
        <is>
          <t>InStock</t>
        </is>
      </c>
      <c r="P728" t="inlineStr">
        <is>
          <t>12.6</t>
        </is>
      </c>
      <c r="Q728" t="inlineStr">
        <is>
          <t>6091953111213</t>
        </is>
      </c>
    </row>
    <row r="729">
      <c r="A729" s="2">
        <f>HYPERLINK("https://edmondsonsupply.com/collections/electricians-tools/products/klein-tools-31905-hole-saw-arbor-with-adapter-3-8-inch", "https://edmondsonsupply.com/collections/electricians-tools/products/klein-tools-31905-hole-saw-arbor-with-adapter-3-8-inch")</f>
        <v/>
      </c>
      <c r="B729" s="2">
        <f>HYPERLINK("https://edmondsonsupply.com/products/klein-tools-31905-hole-saw-arbor-with-adapter-3-8-inch", "https://edmondsonsupply.com/products/klein-tools-31905-hole-saw-arbor-with-adapter-3-8-inch")</f>
        <v/>
      </c>
      <c r="C729" t="inlineStr">
        <is>
          <t>Klein Tools 31905 Hole Saw Arbor with Adapter, 3/8-Inch</t>
        </is>
      </c>
      <c r="D729" t="inlineStr">
        <is>
          <t>Klein Tools 31906 Hole Saw Arbor With Pins, 7/16-Inch</t>
        </is>
      </c>
      <c r="E729" s="2">
        <f>HYPERLINK("https://www.amazon.com/Arbor-16-Inch-Klein-Tools-31906/dp/B0198751UO/ref=sr_1_2?keywords=Klein+Tools+31905+Hole+Saw+Arbor+with+Adapter%2C+3%2F8-Inch&amp;qid=1695174150&amp;sr=8-2", "https://www.amazon.com/Arbor-16-Inch-Klein-Tools-31906/dp/B0198751UO/ref=sr_1_2?keywords=Klein+Tools+31905+Hole+Saw+Arbor+with+Adapter%2C+3%2F8-Inch&amp;qid=1695174150&amp;sr=8-2")</f>
        <v/>
      </c>
      <c r="F729" t="inlineStr">
        <is>
          <t>B0198751UO</t>
        </is>
      </c>
      <c r="G729">
        <f>_xludf.IMAGE("https://edmondsonsupply.com/cdn/shop/products/31905.jpg?v=1665602746")</f>
        <v/>
      </c>
      <c r="H729">
        <f>_xludf.IMAGE("https://m.media-amazon.com/images/I/51WjO5DQ0bL._AC_UL320_.jpg")</f>
        <v/>
      </c>
      <c r="I729" t="inlineStr">
        <is>
          <t>8.99</t>
        </is>
      </c>
      <c r="J729" t="n">
        <v>15.99</v>
      </c>
      <c r="K729" s="3" t="inlineStr">
        <is>
          <t>77.86%</t>
        </is>
      </c>
      <c r="L729" t="n">
        <v>4.5</v>
      </c>
      <c r="M729" t="n">
        <v>233</v>
      </c>
      <c r="O729" t="inlineStr">
        <is>
          <t>InStock</t>
        </is>
      </c>
      <c r="P729" t="inlineStr">
        <is>
          <t>12.62</t>
        </is>
      </c>
      <c r="Q729" t="inlineStr">
        <is>
          <t>7850183360728</t>
        </is>
      </c>
    </row>
    <row r="730">
      <c r="A730" s="2">
        <f>HYPERLINK("https://edmondsonsupply.com/collections/electricians-tools/products/klein-tools-jth68mb-6-inch-metric-ball-end-t-handle-set-8-piece", "https://edmondsonsupply.com/collections/electricians-tools/products/klein-tools-jth68mb-6-inch-metric-ball-end-t-handle-set-8-piece")</f>
        <v/>
      </c>
      <c r="B730" s="2">
        <f>HYPERLINK("https://edmondsonsupply.com/products/klein-tools-jth68mb-6-inch-metric-ball-end-t-handle-set-8-piece", "https://edmondsonsupply.com/products/klein-tools-jth68mb-6-inch-metric-ball-end-t-handle-set-8-piece")</f>
        <v/>
      </c>
      <c r="C730" t="inlineStr">
        <is>
          <t>Klein Tools JTH68MB Hex Kit Set, Metric, Ball End T-Handle, 6-Inch with Stand, 8-Piece</t>
        </is>
      </c>
      <c r="D730" t="inlineStr">
        <is>
          <t>Klein Tools JTH68MB Hex Kit Set, Metric Ball End T-Handle Hex Key Allen Wrench Set with 6-Inch Blades, Stand Included, 8-Piece</t>
        </is>
      </c>
      <c r="E730" s="2">
        <f>HYPERLINK("https://www.amazon.com/T-Handle-8-Piece-Klein-Tools-JTH68MB/dp/B004DB8GSK/ref=sr_1_1?keywords=Klein+Tools+JTH68MB+Hex+Kit+Set%2C+Metric%2C+Ball+End+T-Handle%2C+6-Inch+with+Stand%2C+8-Piece&amp;qid=1695173917&amp;sr=8-1", "https://www.amazon.com/T-Handle-8-Piece-Klein-Tools-JTH68MB/dp/B004DB8GSK/ref=sr_1_1?keywords=Klein+Tools+JTH68MB+Hex+Kit+Set%2C+Metric%2C+Ball+End+T-Handle%2C+6-Inch+with+Stand%2C+8-Piece&amp;qid=1695173917&amp;sr=8-1")</f>
        <v/>
      </c>
      <c r="F730" t="inlineStr">
        <is>
          <t>B004DB8GSK</t>
        </is>
      </c>
      <c r="G730">
        <f>_xludf.IMAGE("https://edmondsonsupply.com/cdn/shop/products/jth68mb.jpg?v=1587142826")</f>
        <v/>
      </c>
      <c r="H730">
        <f>_xludf.IMAGE("https://m.media-amazon.com/images/I/61XP-1Qh3UL._AC_UL320_.jpg")</f>
        <v/>
      </c>
      <c r="I730" t="inlineStr">
        <is>
          <t>49.99</t>
        </is>
      </c>
      <c r="J730" t="n">
        <v>88.87</v>
      </c>
      <c r="K730" s="3" t="inlineStr">
        <is>
          <t>77.78%</t>
        </is>
      </c>
      <c r="L730" t="n">
        <v>4.6</v>
      </c>
      <c r="M730" t="n">
        <v>426</v>
      </c>
      <c r="O730" t="inlineStr">
        <is>
          <t>InStock</t>
        </is>
      </c>
      <c r="P730" t="inlineStr">
        <is>
          <t>75.74</t>
        </is>
      </c>
      <c r="Q730" t="inlineStr">
        <is>
          <t>3679146639460</t>
        </is>
      </c>
    </row>
    <row r="731">
      <c r="A731" s="2">
        <f>HYPERLINK("https://edmondsonsupply.com/collections/electricians-tools/products/klein-tools-56220-led-headlamp-flashlight-with-strap-for-hard-hat", "https://edmondsonsupply.com/collections/electricians-tools/products/klein-tools-56220-led-headlamp-flashlight-with-strap-for-hard-hat")</f>
        <v/>
      </c>
      <c r="B731" s="2">
        <f>HYPERLINK("https://edmondsonsupply.com/products/klein-tools-56220-led-headlamp-flashlight-with-strap-for-hard-hat", "https://edmondsonsupply.com/products/klein-tools-56220-led-headlamp-flashlight-with-strap-for-hard-hat")</f>
        <v/>
      </c>
      <c r="C731" t="inlineStr">
        <is>
          <t>Klein Tools 56220 LED Headlamp with Silicone Hard Hat Strap</t>
        </is>
      </c>
      <c r="D731" t="inlineStr">
        <is>
          <t>Klein Tools 56064 Rechargeable Auto-Off LED Headlamp, Silicone Strap, 400 LMS, All-Day Runtime, for Work, Running, Outdoor Hiking, Camping &amp; Headlamp Bracket with Fabric Strap</t>
        </is>
      </c>
      <c r="E731" s="2">
        <f>HYPERLINK("https://www.amazon.com/Klein-Tools-Rechargeable-Auto-Off-Headlamp/dp/B09Z932C3Z/ref=sr_1_8?keywords=Klein+Tools+56220+LED+Headlamp+with+Silicone+Hard+Hat+Strap&amp;qid=1695173937&amp;sr=8-8", "https://www.amazon.com/Klein-Tools-Rechargeable-Auto-Off-Headlamp/dp/B09Z932C3Z/ref=sr_1_8?keywords=Klein+Tools+56220+LED+Headlamp+with+Silicone+Hard+Hat+Strap&amp;qid=1695173937&amp;sr=8-8")</f>
        <v/>
      </c>
      <c r="F731" t="inlineStr">
        <is>
          <t>B09Z932C3Z</t>
        </is>
      </c>
      <c r="G731">
        <f>_xludf.IMAGE("https://edmondsonsupply.com/cdn/shop/files/56220_874194e8-71d5-41d8-a579-6dec47b3f455.jpg?v=1687356671")</f>
        <v/>
      </c>
      <c r="H731">
        <f>_xludf.IMAGE("https://m.media-amazon.com/images/I/51-nHtYlwEL._AC_UL320_.jpg")</f>
        <v/>
      </c>
      <c r="I731" t="inlineStr">
        <is>
          <t>26.97</t>
        </is>
      </c>
      <c r="J731" t="n">
        <v>47.94</v>
      </c>
      <c r="K731" s="3" t="inlineStr">
        <is>
          <t>77.75%</t>
        </is>
      </c>
      <c r="L731" t="n">
        <v>5</v>
      </c>
      <c r="M731" t="n">
        <v>1</v>
      </c>
      <c r="O731" t="inlineStr">
        <is>
          <t>InStock</t>
        </is>
      </c>
      <c r="P731" t="inlineStr">
        <is>
          <t>37.8</t>
        </is>
      </c>
      <c r="Q731" t="inlineStr">
        <is>
          <t>4167511605348</t>
        </is>
      </c>
    </row>
    <row r="732">
      <c r="A732" s="2">
        <f>HYPERLINK("https://edmondsonsupply.com/collections/electricians-tools/products/klein-tools-vdv500-123-probe-pro-tracing-probe", "https://edmondsonsupply.com/collections/electricians-tools/products/klein-tools-vdv500-123-probe-pro-tracing-probe")</f>
        <v/>
      </c>
      <c r="B732" s="2">
        <f>HYPERLINK("https://edmondsonsupply.com/products/klein-tools-vdv500-123-probe-pro-tracing-probe", "https://edmondsonsupply.com/products/klein-tools-vdv500-123-probe-pro-tracing-probe")</f>
        <v/>
      </c>
      <c r="C732" t="inlineStr">
        <is>
          <t>Klein Tools VDV500-123 Probe-PRO Tracing Probe</t>
        </is>
      </c>
      <c r="D732" t="inlineStr">
        <is>
          <t>Klein Tools VDV500-820 Cable Tracer with Probe Tone Pro Kit for Telephone, Internet, Video, Data and Communications Cables, Beige</t>
        </is>
      </c>
      <c r="E732" s="2">
        <f>HYPERLINK("https://www.amazon.com/Klein-Tools-Tone-Probe-PRO/dp/B07VYN98QV/ref=sr_1_10?keywords=Klein+Tools+VDV500-123+Probe-PRO+Tracing+Probe&amp;qid=1695173898&amp;sr=8-10", "https://www.amazon.com/Klein-Tools-Tone-Probe-PRO/dp/B07VYN98QV/ref=sr_1_10?keywords=Klein+Tools+VDV500-123+Probe-PRO+Tracing+Probe&amp;qid=1695173898&amp;sr=8-10")</f>
        <v/>
      </c>
      <c r="F732" t="inlineStr">
        <is>
          <t>B07VYN98QV</t>
        </is>
      </c>
      <c r="G732">
        <f>_xludf.IMAGE("https://edmondsonsupply.com/cdn/shop/products/vdv500123.jpg?v=1587142783")</f>
        <v/>
      </c>
      <c r="H732">
        <f>_xludf.IMAGE("https://m.media-amazon.com/images/I/612EgCjy2xL._AC_UY218_.jpg")</f>
        <v/>
      </c>
      <c r="I732" t="inlineStr">
        <is>
          <t>44.99</t>
        </is>
      </c>
      <c r="J732" t="n">
        <v>79.97</v>
      </c>
      <c r="K732" s="3" t="inlineStr">
        <is>
          <t>77.75%</t>
        </is>
      </c>
      <c r="L732" t="n">
        <v>4.7</v>
      </c>
      <c r="M732" t="n">
        <v>3617</v>
      </c>
      <c r="O732" t="inlineStr">
        <is>
          <t>InStock</t>
        </is>
      </c>
      <c r="P732" t="inlineStr">
        <is>
          <t>63.0</t>
        </is>
      </c>
      <c r="Q732" t="inlineStr">
        <is>
          <t>4274361466980</t>
        </is>
      </c>
    </row>
    <row r="733">
      <c r="A733" s="2">
        <f>HYPERLINK("https://edmondsonsupply.com/collections/electricians-tools/products/klein-tools-32305-15-in-1-multi-bit-ratcheting-screwdriver", "https://edmondsonsupply.com/collections/electricians-tools/products/klein-tools-32305-15-in-1-multi-bit-ratcheting-screwdriver")</f>
        <v/>
      </c>
      <c r="B733" s="2">
        <f>HYPERLINK("https://edmondsonsupply.com/products/klein-tools-32305-15-in-1-multi-bit-ratcheting-screwdriver", "https://edmondsonsupply.com/products/klein-tools-32305-15-in-1-multi-bit-ratcheting-screwdriver")</f>
        <v/>
      </c>
      <c r="C733" t="inlineStr">
        <is>
          <t>Klein Tools 32305 15-in-1 Multi-Bit Ratcheting Screwdriver</t>
        </is>
      </c>
      <c r="D733" t="inlineStr">
        <is>
          <t>Klein Tools 32308 Multi-bit Stubby Screwdriver &amp; 32305 Multi-bit Ratcheting Screwdriver, 15-in-1 Tool with Phillips, Slotted, Square, Torx and Combo Bits and 1/4-Inch Nut Driver</t>
        </is>
      </c>
      <c r="E733" s="2">
        <f>HYPERLINK("https://www.amazon.com/Klein-Tools-Multi-bit-Screwdriver-Ratcheting/dp/B0B56L1H2R/ref=sr_1_2?keywords=Klein+Tools+32305+15-in-1+Multi-Bit+Ratcheting+Screwdriver&amp;qid=1695174215&amp;sr=8-2", "https://www.amazon.com/Klein-Tools-Multi-bit-Screwdriver-Ratcheting/dp/B0B56L1H2R/ref=sr_1_2?keywords=Klein+Tools+32305+15-in-1+Multi-Bit+Ratcheting+Screwdriver&amp;qid=1695174215&amp;sr=8-2")</f>
        <v/>
      </c>
      <c r="F733" t="inlineStr">
        <is>
          <t>B0B56L1H2R</t>
        </is>
      </c>
      <c r="G733">
        <f>_xludf.IMAGE("https://edmondsonsupply.com/cdn/shop/products/32305.jpg?v=1646965475")</f>
        <v/>
      </c>
      <c r="H733">
        <f>_xludf.IMAGE("https://m.media-amazon.com/images/I/51Y3KYHxHyL._AC_UL320_.jpg")</f>
        <v/>
      </c>
      <c r="I733" t="inlineStr">
        <is>
          <t>21.97</t>
        </is>
      </c>
      <c r="J733" t="n">
        <v>38.94</v>
      </c>
      <c r="K733" s="3" t="inlineStr">
        <is>
          <t>77.24%</t>
        </is>
      </c>
      <c r="L733" t="n">
        <v>4.7</v>
      </c>
      <c r="M733" t="n">
        <v>127</v>
      </c>
      <c r="O733" t="inlineStr">
        <is>
          <t>InStock</t>
        </is>
      </c>
      <c r="P733" t="inlineStr">
        <is>
          <t>30.78</t>
        </is>
      </c>
      <c r="Q733" t="inlineStr">
        <is>
          <t>7632426598616</t>
        </is>
      </c>
    </row>
    <row r="734">
      <c r="A734" s="2">
        <f>HYPERLINK("https://edmondsonsupply.com/collections/electricians-tools/products/klein-tools-vdv770-126-carrying-case-for-scout%C2%AE-pro-3-tester-and-locator-remotes", "https://edmondsonsupply.com/collections/electricians-tools/products/klein-tools-vdv770-126-carrying-case-for-scout%C2%AE-pro-3-tester-and-locator-remotes")</f>
        <v/>
      </c>
      <c r="B734" s="2">
        <f>HYPERLINK("https://edmondsonsupply.com/products/klein-tools-vdv770-126-carrying-case-for-scout%c2%ae-pro-3-tester-and-locator-remotes", "https://edmondsonsupply.com/products/klein-tools-vdv770-126-carrying-case-for-scout%c2%ae-pro-3-tester-and-locator-remotes")</f>
        <v/>
      </c>
      <c r="C734" t="inlineStr">
        <is>
          <t>Klein Tools VDV770-126 Carrying Case for Scout® Pro 3 Tester and Locator Remotes</t>
        </is>
      </c>
      <c r="D734" t="inlineStr">
        <is>
          <t>Klein Tools VDV770-125 Replacement Carrying Case for Scout Pro 3 Series Testers and Test + Map Remotes, Black</t>
        </is>
      </c>
      <c r="E734" s="2">
        <f>HYPERLINK("https://www.amazon.com/Klein-Tools-VDV770-125-Replacement-Carrying/dp/B08C4LJTX8/ref=sr_1_3?keywords=Klein+Tools+VDV770-126+Carrying+Case+for+Scout%C2%AE+Pro+3+Tester+and+Locator+Remotes&amp;qid=1695174229&amp;sr=8-3", "https://www.amazon.com/Klein-Tools-VDV770-125-Replacement-Carrying/dp/B08C4LJTX8/ref=sr_1_3?keywords=Klein+Tools+VDV770-126+Carrying+Case+for+Scout%C2%AE+Pro+3+Tester+and+Locator+Remotes&amp;qid=1695174229&amp;sr=8-3")</f>
        <v/>
      </c>
      <c r="F734" t="inlineStr">
        <is>
          <t>B08C4LJTX8</t>
        </is>
      </c>
      <c r="G734">
        <f>_xludf.IMAGE("https://edmondsonsupply.com/cdn/shop/products/vdv770126.jpg?v=1646011163")</f>
        <v/>
      </c>
      <c r="H734">
        <f>_xludf.IMAGE("https://m.media-amazon.com/images/I/713iEVC-N0L._AC_UL320_.jpg")</f>
        <v/>
      </c>
      <c r="I734" t="inlineStr">
        <is>
          <t>32.49</t>
        </is>
      </c>
      <c r="J734" t="n">
        <v>57.49</v>
      </c>
      <c r="K734" s="3" t="inlineStr">
        <is>
          <t>76.95%</t>
        </is>
      </c>
      <c r="L734" t="n">
        <v>4.8</v>
      </c>
      <c r="M734" t="n">
        <v>44</v>
      </c>
      <c r="O734" t="inlineStr">
        <is>
          <t>InStock</t>
        </is>
      </c>
      <c r="P734" t="inlineStr">
        <is>
          <t>48.14</t>
        </is>
      </c>
      <c r="Q734" t="inlineStr">
        <is>
          <t>7620077256920</t>
        </is>
      </c>
    </row>
    <row r="735">
      <c r="A735" s="2">
        <f>HYPERLINK("https://edmondsonsupply.com/collections/electricians-tools/products/channellock-428", "https://edmondsonsupply.com/collections/electricians-tools/products/channellock-428")</f>
        <v/>
      </c>
      <c r="B735" s="2">
        <f>HYPERLINK("https://edmondsonsupply.com/products/channellock-428", "https://edmondsonsupply.com/products/channellock-428")</f>
        <v/>
      </c>
      <c r="C735" t="inlineStr">
        <is>
          <t>Channellock 428 8-Inch Straight Jaw Tongue &amp; Groove Pliers</t>
        </is>
      </c>
      <c r="D735" t="inlineStr">
        <is>
          <t>Channellock 2 Piece Tongue and Groove Pliers Set - 9.5-Inch, 6.5-Inch | Straight Jaw Groove Joint Pliers | Laser Heat-Treated 90° Teeth| Forged from High Carbon Steel | Patented Reinforcing Edge Minimizes Stress Breakage | Made in USA</t>
        </is>
      </c>
      <c r="E735" s="2">
        <f>HYPERLINK("https://www.amazon.com/Channellock-GS-1-2-Inch-Tongue-Groove/dp/B00011V0GG/ref=sr_1_9?keywords=Channellock+428+8-Inch+Straight+Jaw+Tongue+%26+Groove+Pliers&amp;qid=1695173963&amp;sr=8-9", "https://www.amazon.com/Channellock-GS-1-2-Inch-Tongue-Groove/dp/B00011V0GG/ref=sr_1_9?keywords=Channellock+428+8-Inch+Straight+Jaw+Tongue+%26+Groove+Pliers&amp;qid=1695173963&amp;sr=8-9")</f>
        <v/>
      </c>
      <c r="F735" t="inlineStr">
        <is>
          <t>B00011V0GG</t>
        </is>
      </c>
      <c r="G735">
        <f>_xludf.IMAGE("https://edmondsonsupply.com/cdn/shop/products/428-683x1024.jpg?v=1587145854")</f>
        <v/>
      </c>
      <c r="H735">
        <f>_xludf.IMAGE("https://m.media-amazon.com/images/I/71s6rp1zXLL._AC_UL320_.jpg")</f>
        <v/>
      </c>
      <c r="I735" t="inlineStr">
        <is>
          <t>16.95</t>
        </is>
      </c>
      <c r="J735" t="n">
        <v>29.95</v>
      </c>
      <c r="K735" s="3" t="inlineStr">
        <is>
          <t>76.70%</t>
        </is>
      </c>
      <c r="L735" t="n">
        <v>4.8</v>
      </c>
      <c r="M735" t="n">
        <v>5487</v>
      </c>
      <c r="O735" t="inlineStr">
        <is>
          <t>InStock</t>
        </is>
      </c>
      <c r="P735" t="inlineStr">
        <is>
          <t>25.06</t>
        </is>
      </c>
      <c r="Q735" t="inlineStr">
        <is>
          <t>3523408527460</t>
        </is>
      </c>
    </row>
    <row r="736">
      <c r="A736" s="2">
        <f>HYPERLINK("https://edmondsonsupply.com/collections/electricians-tools/products/klein-tools-94155-american-legacy-lineman-pliers-and-klein-kurve%C2%AE-wire-stripper-cutter", "https://edmondsonsupply.com/collections/electricians-tools/products/klein-tools-94155-american-legacy-lineman-pliers-and-klein-kurve%C2%AE-wire-stripper-cutter")</f>
        <v/>
      </c>
      <c r="B736" s="2">
        <f>HYPERLINK("https://edmondsonsupply.com/products/klein-tools-94155-american-legacy-lineman-pliers-and-klein-kurve%c2%ae-wire-stripper-cutter", "https://edmondsonsupply.com/products/klein-tools-94155-american-legacy-lineman-pliers-and-klein-kurve%c2%ae-wire-stripper-cutter")</f>
        <v/>
      </c>
      <c r="C736" t="inlineStr">
        <is>
          <t>Klein Tools 94155 American Legacy Lineman Pliers and Klein-Kurve® Wire Stripper / Cutter</t>
        </is>
      </c>
      <c r="D736" t="inlineStr">
        <is>
          <t>Klein Tools 80043 Heavy Duty Tool Set, Includes Lineman's Side-Cutting Pliers, Diagonal Cutters and Wire Stripper, 3-Piece</t>
        </is>
      </c>
      <c r="E736" s="2">
        <f>HYPERLINK("https://www.amazon.com/Linemans-Side-Cutting-Klein-Tools-80043/dp/B0977RM5G5/ref=sr_1_4?keywords=Klein+Tools+94155+American+Legacy+Lineman+Pliers+and+Klein-Kurve%C2%AE+Wire+Stripper+%2F+Cutter&amp;qid=1695173851&amp;sr=8-4", "https://www.amazon.com/Linemans-Side-Cutting-Klein-Tools-80043/dp/B0977RM5G5/ref=sr_1_4?keywords=Klein+Tools+94155+American+Legacy+Lineman+Pliers+and+Klein-Kurve%C2%AE+Wire+Stripper+%2F+Cutter&amp;qid=1695173851&amp;sr=8-4")</f>
        <v/>
      </c>
      <c r="F736" t="inlineStr">
        <is>
          <t>B0977RM5G5</t>
        </is>
      </c>
      <c r="G736">
        <f>_xludf.IMAGE("https://edmondsonsupply.com/cdn/shop/products/94155.jpg?v=1674141590")</f>
        <v/>
      </c>
      <c r="H736">
        <f>_xludf.IMAGE("https://m.media-amazon.com/images/I/51t8JGB+SAS._AC_UL320_.jpg")</f>
        <v/>
      </c>
      <c r="I736" t="inlineStr">
        <is>
          <t>39.99</t>
        </is>
      </c>
      <c r="J736" t="n">
        <v>69.98999999999999</v>
      </c>
      <c r="K736" s="3" t="inlineStr">
        <is>
          <t>75.02%</t>
        </is>
      </c>
      <c r="L736" t="n">
        <v>4.8</v>
      </c>
      <c r="M736" t="n">
        <v>1451</v>
      </c>
      <c r="O736" t="inlineStr">
        <is>
          <t>InStock</t>
        </is>
      </c>
      <c r="P736" t="inlineStr">
        <is>
          <t>59.98</t>
        </is>
      </c>
      <c r="Q736" t="inlineStr">
        <is>
          <t>7926859104472</t>
        </is>
      </c>
    </row>
    <row r="737">
      <c r="A737" s="2">
        <f>HYPERLINK("https://edmondsonsupply.com/collections/electricians-tools/products/klein-tools-vdv526-052-cable-tester-lan-scout%C2%AE-jr-continuity-tester", "https://edmondsonsupply.com/collections/electricians-tools/products/klein-tools-vdv526-052-cable-tester-lan-scout%C2%AE-jr-continuity-tester")</f>
        <v/>
      </c>
      <c r="B737" s="2">
        <f>HYPERLINK("https://edmondsonsupply.com/products/klein-tools-vdv526-052-cable-tester-lan-scout%c2%ae-jr-continuity-tester", "https://edmondsonsupply.com/products/klein-tools-vdv526-052-cable-tester-lan-scout%c2%ae-jr-continuity-tester")</f>
        <v/>
      </c>
      <c r="C737" t="inlineStr">
        <is>
          <t>Klein Tools VDV526-052 Cable Tester, LAN Scout® Jr. Continuity Tester</t>
        </is>
      </c>
      <c r="D737" t="inlineStr">
        <is>
          <t>Klein Tools VDV226-110 Ratcheting Modular Cable Crimper &amp; VDV526-200 Cable Tester, LAN Scout Jr. 2 Ethernet Cable Tester for CAT 5e, CAT 6/6A Cables with RJ45 Connections</t>
        </is>
      </c>
      <c r="E737" s="2">
        <f>HYPERLINK("https://www.amazon.com/Klein-Tools-VDV226-110-Ratcheting-Connections/dp/B09T6YN1NB/ref=sr_1_9?keywords=Klein+Tools+VDV526-052+Cable+Tester%2C+LAN+Scout%C2%AE+Jr.+Continuity+Tester&amp;qid=1695174034&amp;sr=8-9", "https://www.amazon.com/Klein-Tools-VDV226-110-Ratcheting-Connections/dp/B09T6YN1NB/ref=sr_1_9?keywords=Klein+Tools+VDV526-052+Cable+Tester%2C+LAN+Scout%C2%AE+Jr.+Continuity+Tester&amp;qid=1695174034&amp;sr=8-9")</f>
        <v/>
      </c>
      <c r="F737" t="inlineStr">
        <is>
          <t>B09T6YN1NB</t>
        </is>
      </c>
      <c r="G737">
        <f>_xludf.IMAGE("https://edmondsonsupply.com/cdn/shop/files/vdv526-052.jpg?v=1685032494")</f>
        <v/>
      </c>
      <c r="H737">
        <f>_xludf.IMAGE("https://m.media-amazon.com/images/I/51-TxWp0yoL._AC_UY218_.jpg")</f>
        <v/>
      </c>
      <c r="I737" t="inlineStr">
        <is>
          <t>59.97</t>
        </is>
      </c>
      <c r="J737" t="n">
        <v>104.94</v>
      </c>
      <c r="K737" s="3" t="inlineStr">
        <is>
          <t>74.99%</t>
        </is>
      </c>
      <c r="L737" t="n">
        <v>5</v>
      </c>
      <c r="M737" t="n">
        <v>6</v>
      </c>
      <c r="O737" t="inlineStr">
        <is>
          <t>InStock</t>
        </is>
      </c>
      <c r="P737" t="inlineStr">
        <is>
          <t>96.68</t>
        </is>
      </c>
      <c r="Q737" t="inlineStr">
        <is>
          <t>7995835678936</t>
        </is>
      </c>
    </row>
    <row r="738">
      <c r="A738" s="2">
        <f>HYPERLINK("https://edmondsonsupply.com/collections/electricians-tools/products/klein-tools-70550-pro-folding-hex-key-set-11-fractional-inch-sized-keys", "https://edmondsonsupply.com/collections/electricians-tools/products/klein-tools-70550-pro-folding-hex-key-set-11-fractional-inch-sized-keys")</f>
        <v/>
      </c>
      <c r="B738" s="2">
        <f>HYPERLINK("https://edmondsonsupply.com/products/klein-tools-70550-pro-folding-hex-key-set-11-fractional-inch-sized-keys", "https://edmondsonsupply.com/products/klein-tools-70550-pro-folding-hex-key-set-11-fractional-inch-sized-keys")</f>
        <v/>
      </c>
      <c r="C738" t="inlineStr">
        <is>
          <t>Klein Tools 70550 Pro Folding Hex Key Set, 11-Key, SAE Sizes</t>
        </is>
      </c>
      <c r="D738" t="inlineStr">
        <is>
          <t>Klein Tools 50900R Conduit Lockout Wrench Set, Tighten and Loosen Locknuts in Tight Spaces &amp; 70550 Hex Wrench Key Set, 11 SAE Sizes, Heavy Duty Folding Allen Wrench Tool</t>
        </is>
      </c>
      <c r="E738" s="2">
        <f>HYPERLINK("https://www.amazon.com/Klein-Tools-Conduit-Lockout-Locknuts/dp/B0CF2F1JTM/ref=sr_1_6?keywords=Klein+Tools+70550+Pro+Folding+Hex+Key+Set%2C+11-Key%2C+SAE+Sizes&amp;qid=1695173950&amp;sr=8-6", "https://www.amazon.com/Klein-Tools-Conduit-Lockout-Locknuts/dp/B0CF2F1JTM/ref=sr_1_6?keywords=Klein+Tools+70550+Pro+Folding+Hex+Key+Set%2C+11-Key%2C+SAE+Sizes&amp;qid=1695173950&amp;sr=8-6")</f>
        <v/>
      </c>
      <c r="F738" t="inlineStr">
        <is>
          <t>B0CF2F1JTM</t>
        </is>
      </c>
      <c r="G738">
        <f>_xludf.IMAGE("https://edmondsonsupply.com/cdn/shop/products/70550.jpg?v=1587145237")</f>
        <v/>
      </c>
      <c r="H738">
        <f>_xludf.IMAGE("https://m.media-amazon.com/images/I/41bIGhL6z5L._AC_UL320_.jpg")</f>
        <v/>
      </c>
      <c r="I738" t="inlineStr">
        <is>
          <t>19.97</t>
        </is>
      </c>
      <c r="J738" t="n">
        <v>34.94</v>
      </c>
      <c r="K738" s="3" t="inlineStr">
        <is>
          <t>74.96%</t>
        </is>
      </c>
      <c r="L738" t="n">
        <v>4.5</v>
      </c>
      <c r="M738" t="n">
        <v>127</v>
      </c>
      <c r="O738" t="inlineStr">
        <is>
          <t>InStock</t>
        </is>
      </c>
      <c r="P738" t="inlineStr">
        <is>
          <t>27.18</t>
        </is>
      </c>
      <c r="Q738" t="inlineStr">
        <is>
          <t>3693538082916</t>
        </is>
      </c>
    </row>
    <row r="739">
      <c r="A739" s="2">
        <f>HYPERLINK("https://edmondsonsupply.com/collections/electricians-tools/products/klein-tools-32907-7-in-1-impact-flip-socket-set-no-handle", "https://edmondsonsupply.com/collections/electricians-tools/products/klein-tools-32907-7-in-1-impact-flip-socket-set-no-handle")</f>
        <v/>
      </c>
      <c r="B739" s="2">
        <f>HYPERLINK("https://edmondsonsupply.com/products/klein-tools-32907-7-in-1-impact-flip-socket-set-no-handle", "https://edmondsonsupply.com/products/klein-tools-32907-7-in-1-impact-flip-socket-set-no-handle")</f>
        <v/>
      </c>
      <c r="C739" t="inlineStr">
        <is>
          <t>Klein Tools 32907 7-in-1 Impact Flip Socket Set, No Handle</t>
        </is>
      </c>
      <c r="D739" t="inlineStr">
        <is>
          <t>Klein Tools 50900R Conduit Lockout Wrench Set, Tighten and Loosen Locknuts in Tight Spaces &amp; Impact Driver, 7-in-1 Impact Flip Socket Set, 6 Hex Driver Sizes plus a 1/4-Inch Bit Holder 32907</t>
        </is>
      </c>
      <c r="E739" s="2">
        <f>HYPERLINK("https://www.amazon.com/Klein-Tools-Conduit-Lockout-Locknuts/dp/B0CF2DNQ9B/ref=sr_1_7?keywords=Klein+Tools+32907+7-in-1+Impact+Flip+Socket+Set%2C+No+Handle&amp;qid=1695173886&amp;sr=8-7", "https://www.amazon.com/Klein-Tools-Conduit-Lockout-Locknuts/dp/B0CF2DNQ9B/ref=sr_1_7?keywords=Klein+Tools+32907+7-in-1+Impact+Flip+Socket+Set%2C+No+Handle&amp;qid=1695173886&amp;sr=8-7")</f>
        <v/>
      </c>
      <c r="F739" t="inlineStr">
        <is>
          <t>B0CF2DNQ9B</t>
        </is>
      </c>
      <c r="G739">
        <f>_xludf.IMAGE("https://edmondsonsupply.com/cdn/shop/products/32907_b.jpg?v=1666025282")</f>
        <v/>
      </c>
      <c r="H739">
        <f>_xludf.IMAGE("https://m.media-amazon.com/images/I/41kMxpco1dL._AC_UL320_.jpg")</f>
        <v/>
      </c>
      <c r="I739" t="inlineStr">
        <is>
          <t>19.99</t>
        </is>
      </c>
      <c r="J739" t="n">
        <v>34.96</v>
      </c>
      <c r="K739" s="3" t="inlineStr">
        <is>
          <t>74.89%</t>
        </is>
      </c>
      <c r="L739" t="n">
        <v>4.5</v>
      </c>
      <c r="M739" t="n">
        <v>127</v>
      </c>
      <c r="O739" t="inlineStr">
        <is>
          <t>InStock</t>
        </is>
      </c>
      <c r="P739" t="inlineStr">
        <is>
          <t>29.18</t>
        </is>
      </c>
      <c r="Q739" t="inlineStr">
        <is>
          <t>7856653009112</t>
        </is>
      </c>
    </row>
    <row r="740">
      <c r="A740" s="2">
        <f>HYPERLINK("https://edmondsonsupply.com/collections/electricians-tools/products/milwaukee-49-56-0509-diamond-max%E2%84%A2-hole-saws", "https://edmondsonsupply.com/collections/electricians-tools/products/milwaukee-49-56-0509-diamond-max%E2%84%A2-hole-saws")</f>
        <v/>
      </c>
      <c r="B740" s="2">
        <f>HYPERLINK("https://edmondsonsupply.com/products/milwaukee-49-56-0509-diamond-max%e2%84%a2-hole-saws", "https://edmondsonsupply.com/products/milwaukee-49-56-0509-diamond-max%e2%84%a2-hole-saws")</f>
        <v/>
      </c>
      <c r="C740" t="inlineStr">
        <is>
          <t>Milwaukee 49-56-0509 3/8" Diamond MAX™ Hole Saw</t>
        </is>
      </c>
      <c r="D740" t="inlineStr">
        <is>
          <t>Milwaukee 49-56-0500 Diamond Max Diamond Grit Hole Saw 3 Piece Set 49560500 0</t>
        </is>
      </c>
      <c r="E740" s="2">
        <f>HYPERLINK("https://www.amazon.com/Milwaukee-49-56-0500-Diamond-Grit-Piece/dp/B09L5DZ2TG/ref=sr_1_1?keywords=Milwaukee+49-56-0509+3%2F8%22+Diamond+MAX%E2%84%A2+Hole+Saw&amp;qid=1695174089&amp;sr=8-1", "https://www.amazon.com/Milwaukee-49-56-0500-Diamond-Grit-Piece/dp/B09L5DZ2TG/ref=sr_1_1?keywords=Milwaukee+49-56-0509+3%2F8%22+Diamond+MAX%E2%84%A2+Hole+Saw&amp;qid=1695174089&amp;sr=8-1")</f>
        <v/>
      </c>
      <c r="F740" t="inlineStr">
        <is>
          <t>B09L5DZ2TG</t>
        </is>
      </c>
      <c r="G740">
        <f>_xludf.IMAGE("https://edmondsonsupply.com/cdn/shop/products/images.jpg?v=1678461630")</f>
        <v/>
      </c>
      <c r="H740">
        <f>_xludf.IMAGE("https://m.media-amazon.com/images/I/71KrmL0Rx7L._AC_UL320_.jpg")</f>
        <v/>
      </c>
      <c r="I740" t="inlineStr">
        <is>
          <t>19.98</t>
        </is>
      </c>
      <c r="J740" t="n">
        <v>34.88</v>
      </c>
      <c r="K740" s="3" t="inlineStr">
        <is>
          <t>74.57%</t>
        </is>
      </c>
      <c r="L740" t="n">
        <v>4.8</v>
      </c>
      <c r="M740" t="n">
        <v>31</v>
      </c>
      <c r="O740" t="inlineStr">
        <is>
          <t>InStock</t>
        </is>
      </c>
      <c r="P740" t="inlineStr">
        <is>
          <t>30.9</t>
        </is>
      </c>
      <c r="Q740" t="inlineStr">
        <is>
          <t>7910281019608</t>
        </is>
      </c>
    </row>
    <row r="741">
      <c r="A741" s="2">
        <f>HYPERLINK("https://edmondsonsupply.com/collections/electricians-tools/products/clc-1528-11", "https://edmondsonsupply.com/collections/electricians-tools/products/clc-1528-11")</f>
        <v/>
      </c>
      <c r="B741" s="2">
        <f>HYPERLINK("https://edmondsonsupply.com/products/clc-1528-11", "https://edmondsonsupply.com/products/clc-1528-11")</f>
        <v/>
      </c>
      <c r="C741" t="inlineStr">
        <is>
          <t>CLC 1528 11" Electrical &amp; Maintenance Tool Carrier</t>
        </is>
      </c>
      <c r="D741" t="inlineStr">
        <is>
          <t>CLC WORK GEAR 1530 Electrical and Maintenance Tool Carrier, 43 Pocket &amp; CLC Custom LeatherCraft 1528 Large Electrical and Maintenance Tool Carrier, 22 Pocket, Black, 11" x 10" x 19"h</t>
        </is>
      </c>
      <c r="E741" s="2">
        <f>HYPERLINK("https://www.amazon.com/Electrical-Maintenance-Carrier-Custom-LeatherCraft/dp/B0BFXQS1YT/ref=sr_1_3?keywords=CLC+1528+11%22+Electrical+%26+Maintenance+Tool+Carrier&amp;qid=1695173922&amp;sr=8-3", "https://www.amazon.com/Electrical-Maintenance-Carrier-Custom-LeatherCraft/dp/B0BFXQS1YT/ref=sr_1_3?keywords=CLC+1528+11%22+Electrical+%26+Maintenance+Tool+Carrier&amp;qid=1695173922&amp;sr=8-3")</f>
        <v/>
      </c>
      <c r="F741" t="inlineStr">
        <is>
          <t>B0BFXQS1YT</t>
        </is>
      </c>
      <c r="G741">
        <f>_xludf.IMAGE("https://edmondsonsupply.com/cdn/shop/products/clc-1528__1_321x_3x.progressive_bf390c4e-ab2d-4119-a706-a1ca10a9b643.jpg?v=1609778372")</f>
        <v/>
      </c>
      <c r="H741">
        <f>_xludf.IMAGE("https://m.media-amazon.com/images/I/51Ev+6BezpL._AC_UL320_.jpg")</f>
        <v/>
      </c>
      <c r="I741" t="inlineStr">
        <is>
          <t>69.95</t>
        </is>
      </c>
      <c r="J741" t="n">
        <v>121.75</v>
      </c>
      <c r="K741" s="3" t="inlineStr">
        <is>
          <t>74.05%</t>
        </is>
      </c>
      <c r="L741" t="n">
        <v>4.7</v>
      </c>
      <c r="M741" t="n">
        <v>1781</v>
      </c>
      <c r="O741" t="inlineStr">
        <is>
          <t>InStock</t>
        </is>
      </c>
      <c r="P741" t="inlineStr">
        <is>
          <t>94.95</t>
        </is>
      </c>
      <c r="Q741" t="inlineStr">
        <is>
          <t>5267577110696</t>
        </is>
      </c>
    </row>
    <row r="742">
      <c r="A742" s="2">
        <f>HYPERLINK("https://edmondsonsupply.com/collections/electricians-tools/products/milwaukee-48-22-1502-fastback%E2%84%A2-folding-utility-knife-w-blade-storage", "https://edmondsonsupply.com/collections/electricians-tools/products/milwaukee-48-22-1502-fastback%E2%84%A2-folding-utility-knife-w-blade-storage")</f>
        <v/>
      </c>
      <c r="B742" s="2">
        <f>HYPERLINK("https://edmondsonsupply.com/products/milwaukee-48-22-1502-fastback%e2%84%a2-folding-utility-knife-w-blade-storage", "https://edmondsonsupply.com/products/milwaukee-48-22-1502-fastback%e2%84%a2-folding-utility-knife-w-blade-storage")</f>
        <v/>
      </c>
      <c r="C742" t="inlineStr">
        <is>
          <t>Milwaukee 48-22-1502 FASTBACK™ Folding Utility Knife w/ Blade Storage</t>
        </is>
      </c>
      <c r="D742" t="inlineStr">
        <is>
          <t>For Milwaukee Tool 48-22-1505 Fastback™ 6In1 Folding Utility Knife</t>
        </is>
      </c>
      <c r="E742" s="2">
        <f>HYPERLINK("https://www.amazon.com/Milwaukee-48-22-1505-FastbackTM-Folding-Utility/dp/B0C69TGH9K/ref=sr_1_4?keywords=Milwaukee+48-22-1502+FASTBACK%E2%84%A2+Folding+Utility+Knife+w%2F+Blade+Storage&amp;qid=1695173847&amp;sr=8-4", "https://www.amazon.com/Milwaukee-48-22-1505-FastbackTM-Folding-Utility/dp/B0C69TGH9K/ref=sr_1_4?keywords=Milwaukee+48-22-1502+FASTBACK%E2%84%A2+Folding+Utility+Knife+w%2F+Blade+Storage&amp;qid=1695173847&amp;sr=8-4")</f>
        <v/>
      </c>
      <c r="F742" t="inlineStr">
        <is>
          <t>B0C69TGH9K</t>
        </is>
      </c>
      <c r="G742">
        <f>_xludf.IMAGE("https://edmondsonsupply.com/cdn/shop/products/48-22-1502_3.png?v=1587148345")</f>
        <v/>
      </c>
      <c r="H742">
        <f>_xludf.IMAGE("https://m.media-amazon.com/images/I/41ZUsUsHByL._AC_UL320_.jpg")</f>
        <v/>
      </c>
      <c r="I742" t="inlineStr">
        <is>
          <t>14.97</t>
        </is>
      </c>
      <c r="J742" t="n">
        <v>26</v>
      </c>
      <c r="K742" s="3" t="inlineStr">
        <is>
          <t>73.68%</t>
        </is>
      </c>
      <c r="L742" t="n">
        <v>4.7</v>
      </c>
      <c r="M742" t="n">
        <v>4</v>
      </c>
      <c r="O742" t="inlineStr">
        <is>
          <t>InStock</t>
        </is>
      </c>
      <c r="P742" t="inlineStr">
        <is>
          <t>23.0</t>
        </is>
      </c>
      <c r="Q742" t="inlineStr">
        <is>
          <t>4399154069604</t>
        </is>
      </c>
    </row>
    <row r="743">
      <c r="A743" s="2">
        <f>HYPERLINK("https://edmondsonsupply.com/collections/electricians-tools/products/klein-tools-k1412-klein-kurve%C2%AE-dual-nm-cable-stripper-cutter", "https://edmondsonsupply.com/collections/electricians-tools/products/klein-tools-k1412-klein-kurve%C2%AE-dual-nm-cable-stripper-cutter")</f>
        <v/>
      </c>
      <c r="B743" s="2">
        <f>HYPERLINK("https://edmondsonsupply.com/products/klein-tools-k1412-klein-kurve%c2%ae-dual-nm-cable-stripper-cutter", "https://edmondsonsupply.com/products/klein-tools-k1412-klein-kurve%c2%ae-dual-nm-cable-stripper-cutter")</f>
        <v/>
      </c>
      <c r="C743" t="inlineStr">
        <is>
          <t>Klein Tools K1412 Klein-Kurve® Dual NM Cable Stripper/Cutter</t>
        </is>
      </c>
      <c r="D743" t="inlineStr">
        <is>
          <t>Klein Tools K1412 Wire Cutter/Wire Stripper, Dual NM Cable Stripper/Cutter Cuts Solid Copper Wire &amp; 11061 Wire Stripper/Wire Cutter for Solid and Stranded AWG Wire</t>
        </is>
      </c>
      <c r="E743" s="2">
        <f>HYPERLINK("https://www.amazon.com/Klein-Tools-Cutter-Stripper-Stranded/dp/B0C3BBD1YQ/ref=sr_1_3?keywords=Klein+Tools+K1412+Klein-Kurve%C2%AE+Dual+NM+Cable+Stripper%2FCutter&amp;qid=1695174281&amp;sr=8-3", "https://www.amazon.com/Klein-Tools-Cutter-Stripper-Stranded/dp/B0C3BBD1YQ/ref=sr_1_3?keywords=Klein+Tools+K1412+Klein-Kurve%C2%AE+Dual+NM+Cable+Stripper%2FCutter&amp;qid=1695174281&amp;sr=8-3")</f>
        <v/>
      </c>
      <c r="F743" t="inlineStr">
        <is>
          <t>B0C3BBD1YQ</t>
        </is>
      </c>
      <c r="G743">
        <f>_xludf.IMAGE("https://edmondsonsupply.com/cdn/shop/products/k1412_b.jpg?v=1646350543")</f>
        <v/>
      </c>
      <c r="H743">
        <f>_xludf.IMAGE("https://m.media-amazon.com/images/I/51josYM6p8L._AC_UL320_.jpg")</f>
        <v/>
      </c>
      <c r="I743" t="inlineStr">
        <is>
          <t>29.97</t>
        </is>
      </c>
      <c r="J743" t="n">
        <v>51.94</v>
      </c>
      <c r="K743" s="3" t="inlineStr">
        <is>
          <t>73.31%</t>
        </is>
      </c>
      <c r="L743" t="n">
        <v>5</v>
      </c>
      <c r="M743" t="n">
        <v>1</v>
      </c>
      <c r="O743" t="inlineStr">
        <is>
          <t>InStock</t>
        </is>
      </c>
      <c r="P743" t="inlineStr">
        <is>
          <t>42.1</t>
        </is>
      </c>
      <c r="Q743" t="inlineStr">
        <is>
          <t>6562532130989</t>
        </is>
      </c>
    </row>
    <row r="744">
      <c r="A744" s="2">
        <f>HYPERLINK("https://edmondsonsupply.com/collections/electricians-tools/products/greenlee-611-1-1-4-foam-conduit-piston", "https://edmondsonsupply.com/collections/electricians-tools/products/greenlee-611-1-1-4-foam-conduit-piston")</f>
        <v/>
      </c>
      <c r="B744" s="2">
        <f>HYPERLINK("https://edmondsonsupply.com/products/greenlee-611-1-1-4-foam-conduit-piston", "https://edmondsonsupply.com/products/greenlee-611-1-1-4-foam-conduit-piston")</f>
        <v/>
      </c>
      <c r="C744" t="inlineStr">
        <is>
          <t>Greenlee 611 1-1/4" Foam Conduit Piston</t>
        </is>
      </c>
      <c r="D744" t="inlineStr">
        <is>
          <t>Greenlee - Piston, Boxed-1-1/4", Fishing (611)</t>
        </is>
      </c>
      <c r="E744" s="2">
        <f>HYPERLINK("https://www.amazon.com/Greenlee-611-Single-Piston-Conduit/dp/B00270XDXM/ref=sr_1_6?keywords=Greenlee+611+1-1%2F4%22+Foam+Conduit+Piston&amp;qid=1695174011&amp;sr=8-6", "https://www.amazon.com/Greenlee-611-Single-Piston-Conduit/dp/B00270XDXM/ref=sr_1_6?keywords=Greenlee+611+1-1%2F4%22+Foam+Conduit+Piston&amp;qid=1695174011&amp;sr=8-6")</f>
        <v/>
      </c>
      <c r="F744" t="inlineStr">
        <is>
          <t>B00270XDXM</t>
        </is>
      </c>
      <c r="G744">
        <f>_xludf.IMAGE("https://edmondsonsupply.com/cdn/shop/files/Greenlee-611_1.jpg?v=1687449194")</f>
        <v/>
      </c>
      <c r="H744">
        <f>_xludf.IMAGE("https://m.media-amazon.com/images/I/814+dDxYnOL._AC_UL320_.jpg")</f>
        <v/>
      </c>
      <c r="I744" t="inlineStr">
        <is>
          <t>8.89</t>
        </is>
      </c>
      <c r="J744" t="n">
        <v>15.37</v>
      </c>
      <c r="K744" s="3" t="inlineStr">
        <is>
          <t>72.89%</t>
        </is>
      </c>
      <c r="L744" t="n">
        <v>5</v>
      </c>
      <c r="M744" t="n">
        <v>6</v>
      </c>
      <c r="O744" t="inlineStr">
        <is>
          <t>InStock</t>
        </is>
      </c>
      <c r="P744" t="inlineStr">
        <is>
          <t>9.25</t>
        </is>
      </c>
      <c r="Q744" t="inlineStr">
        <is>
          <t>8007992017112</t>
        </is>
      </c>
    </row>
    <row r="745">
      <c r="A745" s="2">
        <f>HYPERLINK("https://edmondsonsupply.com/collections/electricians-tools/products/klein-tools-630-3-8m-3-8-magnetic-tip-nut-driver-3-hollow-shank", "https://edmondsonsupply.com/collections/electricians-tools/products/klein-tools-630-3-8m-3-8-magnetic-tip-nut-driver-3-hollow-shank")</f>
        <v/>
      </c>
      <c r="B745" s="2">
        <f>HYPERLINK("https://edmondsonsupply.com/products/klein-tools-630-3-8m-3-8-magnetic-tip-nut-driver-3-hollow-shank", "https://edmondsonsupply.com/products/klein-tools-630-3-8m-3-8-magnetic-tip-nut-driver-3-hollow-shank")</f>
        <v/>
      </c>
      <c r="C745" t="inlineStr">
        <is>
          <t>Klein Tools 630-3/8M 3/8-Inch Magnetic Tip Nut Driver</t>
        </is>
      </c>
      <c r="D745" t="inlineStr">
        <is>
          <t>Klein Tools 630M 3" Hollow Shank Magnetic Tip Nut Driver Set (2 Pieces)</t>
        </is>
      </c>
      <c r="E745" s="2">
        <f>HYPERLINK("https://www.amazon.com/Klein-Tools-Hollow-Magnetic-Driver/dp/B00080FO5I/ref=sr_1_10?keywords=Klein+Tools+630-3%2F8M+3%2F8-Inch+Magnetic+Tip+Nut+Driver&amp;qid=1695174153&amp;sr=8-10", "https://www.amazon.com/Klein-Tools-Hollow-Magnetic-Driver/dp/B00080FO5I/ref=sr_1_10?keywords=Klein+Tools+630-3%2F8M+3%2F8-Inch+Magnetic+Tip+Nut+Driver&amp;qid=1695174153&amp;sr=8-10")</f>
        <v/>
      </c>
      <c r="F745" t="inlineStr">
        <is>
          <t>B00080FO5I</t>
        </is>
      </c>
      <c r="G745">
        <f>_xludf.IMAGE("https://edmondsonsupply.com/cdn/shop/products/630-3-8m.jpg?v=1587145139")</f>
        <v/>
      </c>
      <c r="H745">
        <f>_xludf.IMAGE("https://m.media-amazon.com/images/I/41lx1kHoCZL._AC_UL320_.jpg")</f>
        <v/>
      </c>
      <c r="I745" t="inlineStr">
        <is>
          <t>10.99</t>
        </is>
      </c>
      <c r="J745" t="n">
        <v>18.99</v>
      </c>
      <c r="K745" s="3" t="inlineStr">
        <is>
          <t>72.79%</t>
        </is>
      </c>
      <c r="L745" t="n">
        <v>4.6</v>
      </c>
      <c r="M745" t="n">
        <v>451</v>
      </c>
      <c r="O745" t="inlineStr">
        <is>
          <t>InStock</t>
        </is>
      </c>
      <c r="P745" t="inlineStr">
        <is>
          <t>16.66</t>
        </is>
      </c>
      <c r="Q745" t="inlineStr">
        <is>
          <t>2766802288740</t>
        </is>
      </c>
    </row>
    <row r="746">
      <c r="A746" s="2">
        <f>HYPERLINK("https://edmondsonsupply.com/collections/electricians-tools/products/diablo-tools-dou125bw", "https://edmondsonsupply.com/collections/electricians-tools/products/diablo-tools-dou125bw")</f>
        <v/>
      </c>
      <c r="B746" s="2">
        <f>HYPERLINK("https://edmondsonsupply.com/products/diablo-tools-dou125bw", "https://edmondsonsupply.com/products/diablo-tools-dou125bw")</f>
        <v/>
      </c>
      <c r="C746" t="inlineStr">
        <is>
          <t>Diablo Tools DOU125BW 1-1/4 in. Universal Fit Bi-Metal Oscillating Blade for Nail-Embedded Wood</t>
        </is>
      </c>
      <c r="D746" t="inlineStr">
        <is>
          <t>Diablo 2-1/2" Universal Fit Bi-Metal Osc. Blades for Nail-Embedded Wood,3Pk</t>
        </is>
      </c>
      <c r="E746" s="2">
        <f>HYPERLINK("https://www.amazon.com/Diablo-Universal-Bi-Metal-Blades-Nail-Embedded/dp/B089KW4T8J/ref=sr_1_8?keywords=Diablo+Tools+DOU125BW+1-1%2F4+in.+Universal+Fit+Bi-Metal+Oscillating+Blade+for+Nail-Embedded+Wood&amp;qid=1695174264&amp;sr=8-8", "https://www.amazon.com/Diablo-Universal-Bi-Metal-Blades-Nail-Embedded/dp/B089KW4T8J/ref=sr_1_8?keywords=Diablo+Tools+DOU125BW+1-1%2F4+in.+Universal+Fit+Bi-Metal+Oscillating+Blade+for+Nail-Embedded+Wood&amp;qid=1695174264&amp;sr=8-8")</f>
        <v/>
      </c>
      <c r="F746" t="inlineStr">
        <is>
          <t>B089KW4T8J</t>
        </is>
      </c>
      <c r="G746">
        <f>_xludf.IMAGE("https://edmondsonsupply.com/cdn/shop/products/gnn0wpqc8veb3qhldcrb.webp?v=1676040020")</f>
        <v/>
      </c>
      <c r="H746">
        <f>_xludf.IMAGE("https://m.media-amazon.com/images/I/71fhfiK3NaL._AC_UL320_.jpg")</f>
        <v/>
      </c>
      <c r="I746" t="inlineStr">
        <is>
          <t>17.97</t>
        </is>
      </c>
      <c r="J746" t="n">
        <v>31</v>
      </c>
      <c r="K746" s="3" t="inlineStr">
        <is>
          <t>72.51%</t>
        </is>
      </c>
      <c r="L746" t="n">
        <v>4.8</v>
      </c>
      <c r="M746" t="n">
        <v>37</v>
      </c>
      <c r="O746" t="inlineStr">
        <is>
          <t>InStock</t>
        </is>
      </c>
      <c r="P746" t="inlineStr">
        <is>
          <t>22.79</t>
        </is>
      </c>
      <c r="Q746" t="inlineStr">
        <is>
          <t>6846081433773</t>
        </is>
      </c>
    </row>
    <row r="747">
      <c r="A747" s="2">
        <f>HYPERLINK("https://edmondsonsupply.com/collections/electricians-tools/products/klein-tools-ncvt-2p-dual-range-non-contact-voltage-tester-12-1000v-ac", "https://edmondsonsupply.com/collections/electricians-tools/products/klein-tools-ncvt-2p-dual-range-non-contact-voltage-tester-12-1000v-ac")</f>
        <v/>
      </c>
      <c r="B747" s="2">
        <f>HYPERLINK("https://edmondsonsupply.com/products/klein-tools-ncvt-2p-dual-range-non-contact-voltage-tester-12-1000v-ac", "https://edmondsonsupply.com/products/klein-tools-ncvt-2p-dual-range-non-contact-voltage-tester-12-1000v-ac")</f>
        <v/>
      </c>
      <c r="C747" t="inlineStr">
        <is>
          <t>Klein Tools NCVT-2P Dual Range Non-Contact Voltage Tester 12 - 1000V AC</t>
        </is>
      </c>
      <c r="D747" t="inlineStr">
        <is>
          <t>Klein Tools NCVT-6 Non-Contact Volt Tester, 12 - 1000V AC Pen with Integrated Laser Distance Measure, LED and Audible Alarms, Pocket Clip</t>
        </is>
      </c>
      <c r="E747" s="2">
        <f>HYPERLINK("https://www.amazon.com/Klein-Tools-Non-Contact-Voltage-Distance/dp/B07SLFX6B2/ref=sr_1_8?keywords=Klein+Tools+NCVT-2P+Dual+Range+Non-Contact+Voltage+Tester+12+-+1000V+AC&amp;qid=1695174301&amp;sr=8-8", "https://www.amazon.com/Klein-Tools-Non-Contact-Voltage-Distance/dp/B07SLFX6B2/ref=sr_1_8?keywords=Klein+Tools+NCVT-2P+Dual+Range+Non-Contact+Voltage+Tester+12+-+1000V+AC&amp;qid=1695174301&amp;sr=8-8")</f>
        <v/>
      </c>
      <c r="F747" t="inlineStr">
        <is>
          <t>B07SLFX6B2</t>
        </is>
      </c>
      <c r="G747">
        <f>_xludf.IMAGE("https://edmondsonsupply.com/cdn/shop/products/ncvt2p.jpg?v=1633030824")</f>
        <v/>
      </c>
      <c r="H747">
        <f>_xludf.IMAGE("https://m.media-amazon.com/images/I/519VhV+q+VL._AC_UL320_.jpg")</f>
        <v/>
      </c>
      <c r="I747" t="inlineStr">
        <is>
          <t>27.97</t>
        </is>
      </c>
      <c r="J747" t="n">
        <v>48.2</v>
      </c>
      <c r="K747" s="3" t="inlineStr">
        <is>
          <t>72.33%</t>
        </is>
      </c>
      <c r="L747" t="n">
        <v>4.7</v>
      </c>
      <c r="M747" t="n">
        <v>4139</v>
      </c>
      <c r="O747" t="inlineStr">
        <is>
          <t>InStock</t>
        </is>
      </c>
      <c r="P747" t="inlineStr">
        <is>
          <t>35.76</t>
        </is>
      </c>
      <c r="Q747" t="inlineStr">
        <is>
          <t>6080875626669</t>
        </is>
      </c>
    </row>
    <row r="748">
      <c r="A748" s="2">
        <f>HYPERLINK("https://edmondsonsupply.com/collections/electricians-tools/products/klein-tools-85073ins-screwdriver-set-1000v-insulated-3-piece", "https://edmondsonsupply.com/collections/electricians-tools/products/klein-tools-85073ins-screwdriver-set-1000v-insulated-3-piece")</f>
        <v/>
      </c>
      <c r="B748" s="2">
        <f>HYPERLINK("https://edmondsonsupply.com/products/klein-tools-85073ins-screwdriver-set-1000v-insulated-3-piece", "https://edmondsonsupply.com/products/klein-tools-85073ins-screwdriver-set-1000v-insulated-3-piece")</f>
        <v/>
      </c>
      <c r="C748" t="inlineStr">
        <is>
          <t>Klein Tools 85073INS Screwdriver Set, 1000V Insulated, 3-Piece</t>
        </is>
      </c>
      <c r="D748" t="inlineStr">
        <is>
          <t>Klein Tools 33734INS 1000V Slim Tip Insulated Screwdriver Set, Phillips, Cabinet, Square Slim-Tip, Cushion Grip Handle, 4-Piece</t>
        </is>
      </c>
      <c r="E748" s="2">
        <f>HYPERLINK("https://www.amazon.com/Klein-Tools-33734INS-Insulated-Screwdriver/dp/B088NQ1D2B/ref=sr_1_8?keywords=Klein+Tools+85073INS+Screwdriver+Set%2C+1000V+Insulated%2C+3-Piece&amp;qid=1695173857&amp;sr=8-8", "https://www.amazon.com/Klein-Tools-33734INS-Insulated-Screwdriver/dp/B088NQ1D2B/ref=sr_1_8?keywords=Klein+Tools+85073INS+Screwdriver+Set%2C+1000V+Insulated%2C+3-Piece&amp;qid=1695173857&amp;sr=8-8")</f>
        <v/>
      </c>
      <c r="F748" t="inlineStr">
        <is>
          <t>B088NQ1D2B</t>
        </is>
      </c>
      <c r="G748">
        <f>_xludf.IMAGE("https://edmondsonsupply.com/cdn/shop/products/85073ins.jpg?v=1664890503")</f>
        <v/>
      </c>
      <c r="H748">
        <f>_xludf.IMAGE("https://m.media-amazon.com/images/I/41+LCtq0IpL._AC_UL320_.jpg")</f>
        <v/>
      </c>
      <c r="I748" t="inlineStr">
        <is>
          <t>21.97</t>
        </is>
      </c>
      <c r="J748" t="n">
        <v>37.7</v>
      </c>
      <c r="K748" s="3" t="inlineStr">
        <is>
          <t>71.60%</t>
        </is>
      </c>
      <c r="L748" t="n">
        <v>4.8</v>
      </c>
      <c r="M748" t="n">
        <v>1361</v>
      </c>
      <c r="O748" t="inlineStr">
        <is>
          <t>InStock</t>
        </is>
      </c>
      <c r="P748" t="inlineStr">
        <is>
          <t>32.98</t>
        </is>
      </c>
      <c r="Q748" t="inlineStr">
        <is>
          <t>7839219613912</t>
        </is>
      </c>
    </row>
    <row r="749">
      <c r="A749" s="2">
        <f>HYPERLINK("https://edmondsonsupply.com/collections/electricians-tools/products/klein-tools-32500mag-11-in-1-magnetic-screwdriver-nut-driver", "https://edmondsonsupply.com/collections/electricians-tools/products/klein-tools-32500mag-11-in-1-magnetic-screwdriver-nut-driver")</f>
        <v/>
      </c>
      <c r="B749" s="2">
        <f>HYPERLINK("https://edmondsonsupply.com/products/klein-tools-32500mag-11-in-1-magnetic-screwdriver-nut-driver", "https://edmondsonsupply.com/products/klein-tools-32500mag-11-in-1-magnetic-screwdriver-nut-driver")</f>
        <v/>
      </c>
      <c r="C749" t="inlineStr">
        <is>
          <t>Klein Tools 32500MAG 11-in-1 Magnetic Screwdriver / Nut Driver</t>
        </is>
      </c>
      <c r="D749" t="inlineStr">
        <is>
          <t>Klein Tools 32500MAG Magnetic Multi-Bit Screwdriver/Nut Driver &amp; 32314 Electronic Screwdriver, 14-in-1 with 8 Precision Tips, Slotted, Phillips, and Tamperproof TORX Bits, 6 Precision Nut Drivers</t>
        </is>
      </c>
      <c r="E749" s="2">
        <f>HYPERLINK("https://www.amazon.com/Klein-Tools-Screwdriver-Electronic-Tamperproof/dp/B0BC81C7SH/ref=sr_1_5?keywords=Klein+Tools+32500MAG+11-in-1+Magnetic+Screwdriver+%2F+Nut+Driver&amp;qid=1695174303&amp;sr=8-5", "https://www.amazon.com/Klein-Tools-Screwdriver-Electronic-Tamperproof/dp/B0BC81C7SH/ref=sr_1_5?keywords=Klein+Tools+32500MAG+11-in-1+Magnetic+Screwdriver+%2F+Nut+Driver&amp;qid=1695174303&amp;sr=8-5")</f>
        <v/>
      </c>
      <c r="F749" t="inlineStr">
        <is>
          <t>B0BC81C7SH</t>
        </is>
      </c>
      <c r="G749">
        <f>_xludf.IMAGE("https://edmondsonsupply.com/cdn/shop/products/32500mag.jpg?v=1633030832")</f>
        <v/>
      </c>
      <c r="H749">
        <f>_xludf.IMAGE("https://m.media-amazon.com/images/I/412Eu5ze4AL._AC_UL320_.jpg")</f>
        <v/>
      </c>
      <c r="I749" t="inlineStr">
        <is>
          <t>20.97</t>
        </is>
      </c>
      <c r="J749" t="n">
        <v>35.94</v>
      </c>
      <c r="K749" s="3" t="inlineStr">
        <is>
          <t>71.39%</t>
        </is>
      </c>
      <c r="L749" t="n">
        <v>5</v>
      </c>
      <c r="M749" t="n">
        <v>2</v>
      </c>
      <c r="O749" t="inlineStr">
        <is>
          <t>InStock</t>
        </is>
      </c>
      <c r="P749" t="inlineStr">
        <is>
          <t>29.38</t>
        </is>
      </c>
      <c r="Q749" t="inlineStr">
        <is>
          <t>6082199814317</t>
        </is>
      </c>
    </row>
    <row r="750">
      <c r="A750" s="2">
        <f>HYPERLINK("https://edmondsonsupply.com/collections/electricians-tools/products/channellock-804", "https://edmondsonsupply.com/collections/electricians-tools/products/channellock-804")</f>
        <v/>
      </c>
      <c r="B750" s="2">
        <f>HYPERLINK("https://edmondsonsupply.com/products/channellock-804", "https://edmondsonsupply.com/products/channellock-804")</f>
        <v/>
      </c>
      <c r="C750" t="inlineStr">
        <is>
          <t>Channellock 804 4-Inch Chrome Adjustable Wrench</t>
        </is>
      </c>
      <c r="D750" t="inlineStr">
        <is>
          <t>Channellock 804 Adjustable Wrench, Chrome Plated</t>
        </is>
      </c>
      <c r="E750" s="2">
        <f>HYPERLINK("https://www.amazon.com/Channellock-Adjustable-Wrench-Chrome-Plated/dp/B017082YG2/ref=sr_1_1?keywords=Channellock+804+4-Inch+Chrome+Adjustable+Wrench&amp;qid=1695173945&amp;sr=8-1", "https://www.amazon.com/Channellock-Adjustable-Wrench-Chrome-Plated/dp/B017082YG2/ref=sr_1_1?keywords=Channellock+804+4-Inch+Chrome+Adjustable+Wrench&amp;qid=1695173945&amp;sr=8-1")</f>
        <v/>
      </c>
      <c r="F750" t="inlineStr">
        <is>
          <t>B017082YG2</t>
        </is>
      </c>
      <c r="G750">
        <f>_xludf.IMAGE("https://edmondsonsupply.com/cdn/shop/products/804-683x1024.jpg?v=1587145853")</f>
        <v/>
      </c>
      <c r="H750">
        <f>_xludf.IMAGE("https://m.media-amazon.com/images/I/51KTfUlRtzL._AC_UL320_.jpg")</f>
        <v/>
      </c>
      <c r="I750" t="inlineStr">
        <is>
          <t>16.95</t>
        </is>
      </c>
      <c r="J750" t="n">
        <v>28.91</v>
      </c>
      <c r="K750" s="3" t="inlineStr">
        <is>
          <t>70.56%</t>
        </is>
      </c>
      <c r="L750" t="n">
        <v>5</v>
      </c>
      <c r="M750" t="n">
        <v>3</v>
      </c>
      <c r="O750" t="inlineStr">
        <is>
          <t>InStock</t>
        </is>
      </c>
      <c r="P750" t="inlineStr">
        <is>
          <t>26.62</t>
        </is>
      </c>
      <c r="Q750" t="inlineStr">
        <is>
          <t>4094611488868</t>
        </is>
      </c>
    </row>
    <row r="751">
      <c r="A751" s="2">
        <f>HYPERLINK("https://edmondsonsupply.com/collections/electricians-tools/products/klein-tools-d502-10-pump-pliers-10-inch", "https://edmondsonsupply.com/collections/electricians-tools/products/klein-tools-d502-10-pump-pliers-10-inch")</f>
        <v/>
      </c>
      <c r="B751" s="2">
        <f>HYPERLINK("https://edmondsonsupply.com/products/klein-tools-d502-10-pump-pliers-10-inch", "https://edmondsonsupply.com/products/klein-tools-d502-10-pump-pliers-10-inch")</f>
        <v/>
      </c>
      <c r="C751" t="inlineStr">
        <is>
          <t>Klein Tools D502-10 Pump Pliers, 10-Inch</t>
        </is>
      </c>
      <c r="D751" t="inlineStr">
        <is>
          <t>Klein Tools D504-10B Pump Pliers, Quick-Adjust Tongue and Groove Klaw Water Pump Pliers, 10-Inch</t>
        </is>
      </c>
      <c r="E751" s="2">
        <f>HYPERLINK("https://www.amazon.com/Quick-Adjust-10-Inch-Klein-Tools-D504-10B/dp/B00BJ4ORDM/ref=sr_1_8?keywords=Klein+Tools+D502-10+Pump+Pliers%2C+10-Inch&amp;qid=1695174291&amp;sr=8-8", "https://www.amazon.com/Quick-Adjust-10-Inch-Klein-Tools-D504-10B/dp/B00BJ4ORDM/ref=sr_1_8?keywords=Klein+Tools+D502-10+Pump+Pliers%2C+10-Inch&amp;qid=1695174291&amp;sr=8-8")</f>
        <v/>
      </c>
      <c r="F751" t="inlineStr">
        <is>
          <t>B00BJ4ORDM</t>
        </is>
      </c>
      <c r="G751">
        <f>_xludf.IMAGE("https://edmondsonsupply.com/cdn/shop/products/d50210_alt1.jpg?v=1633030884")</f>
        <v/>
      </c>
      <c r="H751">
        <f>_xludf.IMAGE("https://m.media-amazon.com/images/I/51G8XuICYiL._AC_UL320_.jpg")</f>
        <v/>
      </c>
      <c r="I751" t="inlineStr">
        <is>
          <t>24.99</t>
        </is>
      </c>
      <c r="J751" t="n">
        <v>42.56</v>
      </c>
      <c r="K751" s="3" t="inlineStr">
        <is>
          <t>70.31%</t>
        </is>
      </c>
      <c r="L751" t="n">
        <v>4.7</v>
      </c>
      <c r="M751" t="n">
        <v>259</v>
      </c>
      <c r="O751" t="inlineStr">
        <is>
          <t>InStock</t>
        </is>
      </c>
      <c r="P751" t="inlineStr">
        <is>
          <t>37.84</t>
        </is>
      </c>
      <c r="Q751" t="inlineStr">
        <is>
          <t>6203936669869</t>
        </is>
      </c>
    </row>
    <row r="752">
      <c r="A752" s="2">
        <f>HYPERLINK("https://edmondsonsupply.com/collections/electricians-tools/products/klein-tools-935dag-digital-angle-gauge-and-level", "https://edmondsonsupply.com/collections/electricians-tools/products/klein-tools-935dag-digital-angle-gauge-and-level")</f>
        <v/>
      </c>
      <c r="B752" s="2">
        <f>HYPERLINK("https://edmondsonsupply.com/products/klein-tools-935dag-digital-angle-gauge-and-level", "https://edmondsonsupply.com/products/klein-tools-935dag-digital-angle-gauge-and-level")</f>
        <v/>
      </c>
      <c r="C752" t="inlineStr">
        <is>
          <t>Klein Tools 935DAG Digital Angle Gauge and Level</t>
        </is>
      </c>
      <c r="D752" t="inlineStr">
        <is>
          <t>Klein Tools 935DAG Digital Electronic Level and Angle Gauge, Measures and Sets Angles &amp; General Tools T-Bevel Gauge &amp; Protractor - Digital Angle Finder with Full LCD Display &amp; 8" Stainless Steel Blade</t>
        </is>
      </c>
      <c r="E752" s="2">
        <f>HYPERLINK("https://www.amazon.com/Klein-Tools-Electronic-Measures-Protractor/dp/B09P843CWF/ref=sr_1_8?keywords=Klein+Tools+935DAG+Digital+Angle+Gauge+and+Level&amp;qid=1695173893&amp;sr=8-8", "https://www.amazon.com/Klein-Tools-Electronic-Measures-Protractor/dp/B09P843CWF/ref=sr_1_8?keywords=Klein+Tools+935DAG+Digital+Angle+Gauge+and+Level&amp;qid=1695173893&amp;sr=8-8")</f>
        <v/>
      </c>
      <c r="F752" t="inlineStr">
        <is>
          <t>B09P843CWF</t>
        </is>
      </c>
      <c r="G752">
        <f>_xludf.IMAGE("https://edmondsonsupply.com/cdn/shop/products/935dag.jpg?v=1587145032")</f>
        <v/>
      </c>
      <c r="H752">
        <f>_xludf.IMAGE("https://m.media-amazon.com/images/I/51nqC5OG7xL._AC_UL320_.jpg")</f>
        <v/>
      </c>
      <c r="I752" t="inlineStr">
        <is>
          <t>29.97</t>
        </is>
      </c>
      <c r="J752" t="n">
        <v>51.04</v>
      </c>
      <c r="K752" s="3" t="inlineStr">
        <is>
          <t>70.30%</t>
        </is>
      </c>
      <c r="L752" t="n">
        <v>4.8</v>
      </c>
      <c r="M752" t="n">
        <v>29</v>
      </c>
      <c r="O752" t="inlineStr">
        <is>
          <t>InStock</t>
        </is>
      </c>
      <c r="P752" t="inlineStr">
        <is>
          <t>45.0</t>
        </is>
      </c>
      <c r="Q752" t="inlineStr">
        <is>
          <t>4167487094884</t>
        </is>
      </c>
    </row>
    <row r="753">
      <c r="A753" s="2">
        <f>HYPERLINK("https://edmondsonsupply.com/collections/electricians-tools/products/klein-tools-69410-replacement-test-lead-set-right-angle", "https://edmondsonsupply.com/collections/electricians-tools/products/klein-tools-69410-replacement-test-lead-set-right-angle")</f>
        <v/>
      </c>
      <c r="B753" s="2">
        <f>HYPERLINK("https://edmondsonsupply.com/products/klein-tools-69410-replacement-test-lead-set-right-angle", "https://edmondsonsupply.com/products/klein-tools-69410-replacement-test-lead-set-right-angle")</f>
        <v/>
      </c>
      <c r="C753" t="inlineStr">
        <is>
          <t>Klein Tools 69410 Replacement Test Lead Set, Right Angle</t>
        </is>
      </c>
      <c r="D753" t="inlineStr">
        <is>
          <t>Klein Tools 69410 Replacement Test Lead Set, Right Angle &amp; 69381 Alligator Clip Test Leads, Heavy-Duty Replacement Meter Leads, for All Meters Using Banana Plug Meter Leads, 3-Foot</t>
        </is>
      </c>
      <c r="E753" s="2">
        <f>HYPERLINK("https://www.amazon.com/Klein-Tools-Replacement-Alligator-Heavy-Duty/dp/B0C3B9WXP6/ref=sr_1_2?keywords=Klein+Tools+69410+Replacement+Test+Lead+Set%2C+Right+Angle&amp;qid=1695173944&amp;sr=8-2", "https://www.amazon.com/Klein-Tools-Replacement-Alligator-Heavy-Duty/dp/B0C3B9WXP6/ref=sr_1_2?keywords=Klein+Tools+69410+Replacement+Test+Lead+Set%2C+Right+Angle&amp;qid=1695173944&amp;sr=8-2")</f>
        <v/>
      </c>
      <c r="F753" t="inlineStr">
        <is>
          <t>B0C3B9WXP6</t>
        </is>
      </c>
      <c r="G753">
        <f>_xludf.IMAGE("https://edmondsonsupply.com/cdn/shop/products/69410.jpg?v=1587143393")</f>
        <v/>
      </c>
      <c r="H753">
        <f>_xludf.IMAGE("https://m.media-amazon.com/images/I/51n7wUjxshL._AC_UY218_.jpg")</f>
        <v/>
      </c>
      <c r="I753" t="inlineStr">
        <is>
          <t>19.97</t>
        </is>
      </c>
      <c r="J753" t="n">
        <v>33.96</v>
      </c>
      <c r="K753" s="3" t="inlineStr">
        <is>
          <t>70.06%</t>
        </is>
      </c>
      <c r="L753" t="n">
        <v>4.5</v>
      </c>
      <c r="M753" t="n">
        <v>10</v>
      </c>
      <c r="O753" t="inlineStr">
        <is>
          <t>InStock</t>
        </is>
      </c>
      <c r="P753" t="inlineStr">
        <is>
          <t>27.1</t>
        </is>
      </c>
      <c r="Q753" t="inlineStr">
        <is>
          <t>4274171543652</t>
        </is>
      </c>
    </row>
    <row r="754">
      <c r="A754" s="2">
        <f>HYPERLINK("https://edmondsonsupply.com/collections/electricians-tools/products/klein-tools-d507-8-adjustable-wrench-extra-capacity-8-inch", "https://edmondsonsupply.com/collections/electricians-tools/products/klein-tools-d507-8-adjustable-wrench-extra-capacity-8-inch")</f>
        <v/>
      </c>
      <c r="B754" s="2">
        <f>HYPERLINK("https://edmondsonsupply.com/products/klein-tools-d507-8-adjustable-wrench-extra-capacity-8-inch", "https://edmondsonsupply.com/products/klein-tools-d507-8-adjustable-wrench-extra-capacity-8-inch")</f>
        <v/>
      </c>
      <c r="C754" t="inlineStr">
        <is>
          <t>Klein Tools D507-8 Adjustable Wrench, Extra Capacity 8-Inch</t>
        </is>
      </c>
      <c r="D754" t="inlineStr">
        <is>
          <t>Klein Tools D507-12 Adjustable Drive Wrench, Forged with Extra Capacity Jaw and High Polish Chrome Finish, 12-inch</t>
        </is>
      </c>
      <c r="E754" s="2">
        <f>HYPERLINK("https://www.amazon.com/Adjustable-Capacity-Klein-Tools-D507-12/dp/B000936OVW/ref=sr_1_5?keywords=Klein+Tools+D507-8+Adjustable+Wrench%2C+Extra+Capacity+8-Inch&amp;qid=1695173949&amp;sr=8-5", "https://www.amazon.com/Adjustable-Capacity-Klein-Tools-D507-12/dp/B000936OVW/ref=sr_1_5?keywords=Klein+Tools+D507-8+Adjustable+Wrench%2C+Extra+Capacity+8-Inch&amp;qid=1695173949&amp;sr=8-5")</f>
        <v/>
      </c>
      <c r="F754" t="inlineStr">
        <is>
          <t>B000936OVW</t>
        </is>
      </c>
      <c r="G754">
        <f>_xludf.IMAGE("https://edmondsonsupply.com/cdn/shop/products/d5078_b.jpg?v=1666010497")</f>
        <v/>
      </c>
      <c r="H754">
        <f>_xludf.IMAGE("https://m.media-amazon.com/images/I/51Bvc2AeFZL._AC_UL320_.jpg")</f>
        <v/>
      </c>
      <c r="I754" t="inlineStr">
        <is>
          <t>29.99</t>
        </is>
      </c>
      <c r="J754" t="n">
        <v>50.99</v>
      </c>
      <c r="K754" s="3" t="inlineStr">
        <is>
          <t>70.02%</t>
        </is>
      </c>
      <c r="L754" t="n">
        <v>4.8</v>
      </c>
      <c r="M754" t="n">
        <v>383</v>
      </c>
      <c r="O754" t="inlineStr">
        <is>
          <t>InStock</t>
        </is>
      </c>
      <c r="P754" t="inlineStr">
        <is>
          <t>45.44</t>
        </is>
      </c>
      <c r="Q754" t="inlineStr">
        <is>
          <t>4353085014116</t>
        </is>
      </c>
    </row>
    <row r="755">
      <c r="A755" s="2">
        <f>HYPERLINK("https://edmondsonsupply.com/collections/electricians-tools/products/crescent-wiss-m2p-9-3-4-compound-action-straight-and-right-cut-aviation-snips", "https://edmondsonsupply.com/collections/electricians-tools/products/crescent-wiss-m2p-9-3-4-compound-action-straight-and-right-cut-aviation-snips")</f>
        <v/>
      </c>
      <c r="B755" s="2">
        <f>HYPERLINK("https://edmondsonsupply.com/products/crescent-wiss-m2p-9-3-4-compound-action-straight-and-right-cut-aviation-snips", "https://edmondsonsupply.com/products/crescent-wiss-m2p-9-3-4-compound-action-straight-and-right-cut-aviation-snips")</f>
        <v/>
      </c>
      <c r="C755" t="inlineStr">
        <is>
          <t>Crescent Wiss M2P 9-3/4" Compound Action Straight and Right Cut Aviation Snips</t>
        </is>
      </c>
      <c r="D755" t="inlineStr">
        <is>
          <t>Crescent Wiss 9-1/4" Metalmaster Offset Straight and Left Cut Aviation Snips - M6R &amp; Crescent Wiss 9-1/4" Metalmaster Offset Straight and Right Cut Aviation Snips - M7R</t>
        </is>
      </c>
      <c r="E755" s="2">
        <f>HYPERLINK("https://www.amazon.com/Crescent-Wiss-Metalmaster-Straight-Aviation/dp/B087492PJS/ref=sr_1_7?keywords=Crescent+Wiss+M2P+9-3%2F4%22+Compound+Action+Straight+and+Right+Cut+Aviation+Snips&amp;qid=1695174052&amp;sr=8-7", "https://www.amazon.com/Crescent-Wiss-Metalmaster-Straight-Aviation/dp/B087492PJS/ref=sr_1_7?keywords=Crescent+Wiss+M2P+9-3%2F4%22+Compound+Action+Straight+and+Right+Cut+Aviation+Snips&amp;qid=1695174052&amp;sr=8-7")</f>
        <v/>
      </c>
      <c r="F755" t="inlineStr">
        <is>
          <t>B087492PJS</t>
        </is>
      </c>
      <c r="G755">
        <f>_xludf.IMAGE("https://edmondsonsupply.com/cdn/shop/products/WIS_M2P_IMG_ANG_01.jpg?v=1679674099")</f>
        <v/>
      </c>
      <c r="H755">
        <f>_xludf.IMAGE("https://m.media-amazon.com/images/I/71EUUFflT7S._AC_UL320_.jpg")</f>
        <v/>
      </c>
      <c r="I755" t="inlineStr">
        <is>
          <t>19.99</t>
        </is>
      </c>
      <c r="J755" t="n">
        <v>33.98</v>
      </c>
      <c r="K755" s="3" t="inlineStr">
        <is>
          <t>69.98%</t>
        </is>
      </c>
      <c r="L755" t="n">
        <v>4.1</v>
      </c>
      <c r="M755" t="n">
        <v>34</v>
      </c>
      <c r="O755" t="inlineStr">
        <is>
          <t>InStock</t>
        </is>
      </c>
      <c r="P755" t="inlineStr">
        <is>
          <t>36.51</t>
        </is>
      </c>
      <c r="Q755" t="inlineStr">
        <is>
          <t>7966255579352</t>
        </is>
      </c>
    </row>
    <row r="756">
      <c r="A756" s="2">
        <f>HYPERLINK("https://edmondsonsupply.com/collections/electricians-tools/products/milwaukee-48-22-0305-folding-jab-saw", "https://edmondsonsupply.com/collections/electricians-tools/products/milwaukee-48-22-0305-folding-jab-saw")</f>
        <v/>
      </c>
      <c r="B756" s="2">
        <f>HYPERLINK("https://edmondsonsupply.com/products/milwaukee-48-22-0305-folding-jab-saw", "https://edmondsonsupply.com/products/milwaukee-48-22-0305-folding-jab-saw")</f>
        <v/>
      </c>
      <c r="C756" t="inlineStr">
        <is>
          <t>Milwaukee 48-22-0305 Folding Jab Saw</t>
        </is>
      </c>
      <c r="D756" t="inlineStr">
        <is>
          <t>Milwaukee 48-22-0305 Folding Jab Saw</t>
        </is>
      </c>
      <c r="E756" s="2">
        <f>HYPERLINK("https://www.amazon.com/Milwaukee-48-22-0305-Folding-Jab-Saw/dp/B07FB3LJ2M/ref=sr_1_4?keywords=Milwaukee+48-22-0305+Folding+Jab+Saw&amp;qid=1695173950&amp;sr=8-4", "https://www.amazon.com/Milwaukee-48-22-0305-Folding-Jab-Saw/dp/B07FB3LJ2M/ref=sr_1_4?keywords=Milwaukee+48-22-0305+Folding+Jab+Saw&amp;qid=1695173950&amp;sr=8-4")</f>
        <v/>
      </c>
      <c r="F756" t="inlineStr">
        <is>
          <t>B07FB3LJ2M</t>
        </is>
      </c>
      <c r="G756">
        <f>_xludf.IMAGE("https://edmondsonsupply.com/cdn/shop/products/49678_48-22-0305-lg.jpg?v=1587148349")</f>
        <v/>
      </c>
      <c r="H756">
        <f>_xludf.IMAGE("https://m.media-amazon.com/images/I/31MwF2AgpNL._AC_UL320_.jpg")</f>
        <v/>
      </c>
      <c r="I756" t="inlineStr">
        <is>
          <t>19.97</t>
        </is>
      </c>
      <c r="J756" t="n">
        <v>33.87</v>
      </c>
      <c r="K756" s="3" t="inlineStr">
        <is>
          <t>69.60%</t>
        </is>
      </c>
      <c r="L756" t="n">
        <v>4.1</v>
      </c>
      <c r="M756" t="n">
        <v>19</v>
      </c>
      <c r="O756" t="inlineStr">
        <is>
          <t>InStock</t>
        </is>
      </c>
      <c r="P756" t="inlineStr">
        <is>
          <t>31.1</t>
        </is>
      </c>
      <c r="Q756" t="inlineStr">
        <is>
          <t>4349655449700</t>
        </is>
      </c>
    </row>
    <row r="757">
      <c r="A757" s="2">
        <f>HYPERLINK("https://edmondsonsupply.com/collections/electricians-tools/products/fluke-373-true-rms-ac-clamp-meter", "https://edmondsonsupply.com/collections/electricians-tools/products/fluke-373-true-rms-ac-clamp-meter")</f>
        <v/>
      </c>
      <c r="B757" s="2">
        <f>HYPERLINK("https://edmondsonsupply.com/products/fluke-373-true-rms-ac-clamp-meter", "https://edmondsonsupply.com/products/fluke-373-true-rms-ac-clamp-meter")</f>
        <v/>
      </c>
      <c r="C757" t="inlineStr">
        <is>
          <t>Fluke 373 True-RMS AC Clamp Meter</t>
        </is>
      </c>
      <c r="D757" t="inlineStr">
        <is>
          <t>Fluke - 374-FC-AMZNCAL 374-FC-AMZN True-RMS AC/DC Clamp Meter, 600A/600V with a NIST-Traceable Calibration Certificate with Data</t>
        </is>
      </c>
      <c r="E757" s="2">
        <f>HYPERLINK("https://www.amazon.com/Fluke-374-FC-AMZN-NIST-Traceable-Calibration-Certificate/dp/B01CFXIMCC/ref=sr_1_7?keywords=Fluke+373+True-RMS+AC+Clamp+Meter&amp;qid=1695173996&amp;sr=8-7", "https://www.amazon.com/Fluke-374-FC-AMZN-NIST-Traceable-Calibration-Certificate/dp/B01CFXIMCC/ref=sr_1_7?keywords=Fluke+373+True-RMS+AC+Clamp+Meter&amp;qid=1695173996&amp;sr=8-7")</f>
        <v/>
      </c>
      <c r="F757" t="inlineStr">
        <is>
          <t>B01CFXIMCC</t>
        </is>
      </c>
      <c r="G757">
        <f>_xludf.IMAGE("https://edmondsonsupply.com/cdn/shop/files/f-373-01d-1500x1000.webp?v=1689369435")</f>
        <v/>
      </c>
      <c r="H757">
        <f>_xludf.IMAGE("https://m.media-amazon.com/images/I/61cUiZ0qhwL._AC_UY218_.jpg")</f>
        <v/>
      </c>
      <c r="I757" t="inlineStr">
        <is>
          <t>290.05</t>
        </is>
      </c>
      <c r="J757" t="n">
        <v>490</v>
      </c>
      <c r="K757" s="3" t="inlineStr">
        <is>
          <t>68.94%</t>
        </is>
      </c>
      <c r="L757" t="n">
        <v>3.8</v>
      </c>
      <c r="M757" t="n">
        <v>12</v>
      </c>
      <c r="O757" t="inlineStr">
        <is>
          <t>InStock</t>
        </is>
      </c>
      <c r="P757" t="inlineStr">
        <is>
          <t>undefined</t>
        </is>
      </c>
      <c r="Q757" t="inlineStr">
        <is>
          <t>8016406773976</t>
        </is>
      </c>
    </row>
    <row r="758">
      <c r="A758" s="2">
        <f>HYPERLINK("https://edmondsonsupply.com/collections/electricians-tools/products/klein-tools-et450-advanced-circuit-tracer-kit", "https://edmondsonsupply.com/collections/electricians-tools/products/klein-tools-et450-advanced-circuit-tracer-kit")</f>
        <v/>
      </c>
      <c r="B758" s="2">
        <f>HYPERLINK("https://edmondsonsupply.com/products/klein-tools-et450-advanced-circuit-tracer-kit", "https://edmondsonsupply.com/products/klein-tools-et450-advanced-circuit-tracer-kit")</f>
        <v/>
      </c>
      <c r="C758" t="inlineStr">
        <is>
          <t>Klein Tools ET450 Advanced Circuit Tracer Kit</t>
        </is>
      </c>
      <c r="D758" t="inlineStr">
        <is>
          <t>Klein Tools ET600 Multimeter, Megohmmeter Insulation Tester, 4000 Ohms Resistance, 125V/250V/500V/1000V, Auto-Ranging TRMS Multimeter &amp; ET450 Advanced Circuit Breaker Finder and Wire Tracer Kit</t>
        </is>
      </c>
      <c r="E758" s="2">
        <f>HYPERLINK("https://www.amazon.com/Klein-Tools-Megohmmeter-Insulation-Ohms-Resistance-Auto-Ranging/dp/B0C2V14DQF/ref=sr_1_9?keywords=Klein+Tools+ET450+Advanced+Circuit+Tracer+Kit&amp;qid=1695173869&amp;sr=8-9", "https://www.amazon.com/Klein-Tools-Megohmmeter-Insulation-Ohms-Resistance-Auto-Ranging/dp/B0C2V14DQF/ref=sr_1_9?keywords=Klein+Tools+ET450+Advanced+Circuit+Tracer+Kit&amp;qid=1695173869&amp;sr=8-9")</f>
        <v/>
      </c>
      <c r="F758" t="inlineStr">
        <is>
          <t>B0C2V14DQF</t>
        </is>
      </c>
      <c r="G758">
        <f>_xludf.IMAGE("https://edmondsonsupply.com/cdn/shop/products/et450.jpg?v=1660165248")</f>
        <v/>
      </c>
      <c r="H758">
        <f>_xludf.IMAGE("https://m.media-amazon.com/images/I/61413mHKf0L._AC_UL320_.jpg")</f>
        <v/>
      </c>
      <c r="I758" t="inlineStr">
        <is>
          <t>239.99</t>
        </is>
      </c>
      <c r="J758" t="n">
        <v>404.98</v>
      </c>
      <c r="K758" s="3" t="inlineStr">
        <is>
          <t>68.75%</t>
        </is>
      </c>
      <c r="L758" t="n">
        <v>5</v>
      </c>
      <c r="M758" t="n">
        <v>1</v>
      </c>
      <c r="O758" t="inlineStr">
        <is>
          <t>InStock</t>
        </is>
      </c>
      <c r="P758" t="inlineStr">
        <is>
          <t>359.98</t>
        </is>
      </c>
      <c r="Q758" t="inlineStr">
        <is>
          <t>7778011971800</t>
        </is>
      </c>
    </row>
    <row r="759">
      <c r="A759" s="2">
        <f>HYPERLINK("https://edmondsonsupply.com/collections/electricians-tools/products/klein-tools-jth6m10-10-mm-hex-key-journeyman-t-handle-6-inch", "https://edmondsonsupply.com/collections/electricians-tools/products/klein-tools-jth6m10-10-mm-hex-key-journeyman-t-handle-6-inch")</f>
        <v/>
      </c>
      <c r="B759" s="2">
        <f>HYPERLINK("https://edmondsonsupply.com/products/klein-tools-jth6m10-10-mm-hex-key-journeyman-t-handle-6-inch", "https://edmondsonsupply.com/products/klein-tools-jth6m10-10-mm-hex-key-journeyman-t-handle-6-inch")</f>
        <v/>
      </c>
      <c r="C759" t="inlineStr">
        <is>
          <t>Klein Tools JTH6M10 10 mm Hex Key Journeyman T-Handle 6-Inch</t>
        </is>
      </c>
      <c r="D759" t="inlineStr">
        <is>
          <t>Klein Tools JTH9M10 10 mm Hex Key with Journeyman T-Handle, 9-Inch</t>
        </is>
      </c>
      <c r="E759" s="2">
        <f>HYPERLINK("https://www.amazon.com/Journeyman-T-Handle-Klein-Tools-JTH9M10/dp/B005G3HIA6/ref=sr_1_2?keywords=Klein+Tools+JTH6M10+10+mm+Hex+Key+Journeyman+T-Handle+6-Inch&amp;qid=1695174255&amp;sr=8-2", "https://www.amazon.com/Journeyman-T-Handle-Klein-Tools-JTH9M10/dp/B005G3HIA6/ref=sr_1_2?keywords=Klein+Tools+JTH6M10+10+mm+Hex+Key+Journeyman+T-Handle+6-Inch&amp;qid=1695174255&amp;sr=8-2")</f>
        <v/>
      </c>
      <c r="F759" t="inlineStr">
        <is>
          <t>B005G3HIA6</t>
        </is>
      </c>
      <c r="G759">
        <f>_xludf.IMAGE("https://edmondsonsupply.com/cdn/shop/products/jth6m8_64c2c8d3-e13e-4b81-9b34-745be7fd837a.jpg?v=1627827117")</f>
        <v/>
      </c>
      <c r="H759">
        <f>_xludf.IMAGE("https://m.media-amazon.com/images/I/51+1x0vz9XL._AC_UL320_.jpg")</f>
        <v/>
      </c>
      <c r="I759" t="inlineStr">
        <is>
          <t>8.99</t>
        </is>
      </c>
      <c r="J759" t="n">
        <v>15.15</v>
      </c>
      <c r="K759" s="3" t="inlineStr">
        <is>
          <t>68.52%</t>
        </is>
      </c>
      <c r="L759" t="n">
        <v>5</v>
      </c>
      <c r="M759" t="n">
        <v>2</v>
      </c>
      <c r="O759" t="inlineStr">
        <is>
          <t>InStock</t>
        </is>
      </c>
      <c r="P759" t="inlineStr">
        <is>
          <t>13.56</t>
        </is>
      </c>
      <c r="Q759" t="inlineStr">
        <is>
          <t>6852298014893</t>
        </is>
      </c>
    </row>
    <row r="760">
      <c r="A760" s="2">
        <f>HYPERLINK("https://edmondsonsupply.com/collections/electricians-tools/products/klein-tools-602-4-1-4-inch-keystone-screwdriver-4-inch-round-shank", "https://edmondsonsupply.com/collections/electricians-tools/products/klein-tools-602-4-1-4-inch-keystone-screwdriver-4-inch-round-shank")</f>
        <v/>
      </c>
      <c r="B760" s="2">
        <f>HYPERLINK("https://edmondsonsupply.com/products/klein-tools-602-4-1-4-inch-keystone-screwdriver-4-inch-round-shank", "https://edmondsonsupply.com/products/klein-tools-602-4-1-4-inch-keystone-screwdriver-4-inch-round-shank")</f>
        <v/>
      </c>
      <c r="C760" t="inlineStr">
        <is>
          <t>Klein Tools 602-4 1/4-Inch Keystone Screwdriver, 4-Inch Round Shank</t>
        </is>
      </c>
      <c r="D760" t="inlineStr">
        <is>
          <t>Klein Tools 602-4DD Demolition Driver with Keystone Tip and 4-Inch Shank, Made in USA</t>
        </is>
      </c>
      <c r="E760" s="2">
        <f>HYPERLINK("https://www.amazon.com/Keystone-Demolition-Klein-Tools-602-4DD/dp/B00B9HIC12/ref=sr_1_3?keywords=Klein+Tools+602-4+1%2F4-Inch+Keystone+Screwdriver%2C+4-Inch+Round+Shank&amp;qid=1695174315&amp;sr=8-3", "https://www.amazon.com/Keystone-Demolition-Klein-Tools-602-4DD/dp/B00B9HIC12/ref=sr_1_3?keywords=Klein+Tools+602-4+1%2F4-Inch+Keystone+Screwdriver%2C+4-Inch+Round+Shank&amp;qid=1695174315&amp;sr=8-3")</f>
        <v/>
      </c>
      <c r="F760" t="inlineStr">
        <is>
          <t>B00B9HIC12</t>
        </is>
      </c>
      <c r="G760">
        <f>_xludf.IMAGE("https://edmondsonsupply.com/cdn/shop/products/602-6.jpg?v=1633030821")</f>
        <v/>
      </c>
      <c r="H760">
        <f>_xludf.IMAGE("https://m.media-amazon.com/images/I/41LGnPo9m-L._AC_UL320_.jpg")</f>
        <v/>
      </c>
      <c r="I760" t="inlineStr">
        <is>
          <t>9.49</t>
        </is>
      </c>
      <c r="J760" t="n">
        <v>15.99</v>
      </c>
      <c r="K760" s="3" t="inlineStr">
        <is>
          <t>68.49%</t>
        </is>
      </c>
      <c r="L760" t="n">
        <v>4.8</v>
      </c>
      <c r="M760" t="n">
        <v>996</v>
      </c>
      <c r="O760" t="inlineStr">
        <is>
          <t>InStock</t>
        </is>
      </c>
      <c r="P760" t="inlineStr">
        <is>
          <t>14.36</t>
        </is>
      </c>
      <c r="Q760" t="inlineStr">
        <is>
          <t>6080792363181</t>
        </is>
      </c>
    </row>
    <row r="761">
      <c r="A761" s="2">
        <f>HYPERLINK("https://edmondsonsupply.com/collections/electricians-tools/products/milwaukee-2111-21-475-lumen-usb-rechargeable-hard-hat-headlamp", "https://edmondsonsupply.com/collections/electricians-tools/products/milwaukee-2111-21-475-lumen-usb-rechargeable-hard-hat-headlamp")</f>
        <v/>
      </c>
      <c r="B761" s="2">
        <f>HYPERLINK("https://edmondsonsupply.com/products/milwaukee-2111-21-475-lumen-usb-rechargeable-hard-hat-headlamp", "https://edmondsonsupply.com/products/milwaukee-2111-21-475-lumen-usb-rechargeable-hard-hat-headlamp")</f>
        <v/>
      </c>
      <c r="C761" t="inlineStr">
        <is>
          <t>Milwaukee 2111-21 475-Lumen USB Rechargeable Hard Hat Headlamp</t>
        </is>
      </c>
      <c r="D761" t="inlineStr">
        <is>
          <t>Milwaukee 2111-21 475 Lumens USB Rechargeable TRUEVIEW HD Headlamp New</t>
        </is>
      </c>
      <c r="E761" s="2">
        <f>HYPERLINK("https://www.amazon.com/Milwaukee-2111-21-Rechargeable-TRUEVIEW-Headlamp/dp/B07XZFN514/ref=sr_1_1?keywords=Milwaukee+2111-21+475-Lumen+USB+Rechargeable+Hard+Hat+Headlamp&amp;qid=1695173940&amp;sr=8-1", "https://www.amazon.com/Milwaukee-2111-21-Rechargeable-TRUEVIEW-Headlamp/dp/B07XZFN514/ref=sr_1_1?keywords=Milwaukee+2111-21+475-Lumen+USB+Rechargeable+Hard+Hat+Headlamp&amp;qid=1695173940&amp;sr=8-1")</f>
        <v/>
      </c>
      <c r="F761" t="inlineStr">
        <is>
          <t>B07XZFN514</t>
        </is>
      </c>
      <c r="G761">
        <f>_xludf.IMAGE("https://edmondsonsupply.com/cdn/shop/products/2111-21_3_Overlay_1.png?v=1587142535")</f>
        <v/>
      </c>
      <c r="H761">
        <f>_xludf.IMAGE("https://m.media-amazon.com/images/I/71r+OMacODL._AC_UL320_.jpg")</f>
        <v/>
      </c>
      <c r="I761" t="inlineStr">
        <is>
          <t>69.97</t>
        </is>
      </c>
      <c r="J761" t="n">
        <v>117.84</v>
      </c>
      <c r="K761" s="3" t="inlineStr">
        <is>
          <t>68.42%</t>
        </is>
      </c>
      <c r="L761" t="n">
        <v>4.7</v>
      </c>
      <c r="M761" t="n">
        <v>264</v>
      </c>
      <c r="O761" t="inlineStr">
        <is>
          <t>OutOfStock</t>
        </is>
      </c>
      <c r="P761" t="inlineStr">
        <is>
          <t>106.0</t>
        </is>
      </c>
      <c r="Q761" t="inlineStr">
        <is>
          <t>4334127775844</t>
        </is>
      </c>
    </row>
    <row r="762">
      <c r="A762" s="2">
        <f>HYPERLINK("https://edmondsonsupply.com/collections/electricians-tools/products/uei-dl429b-true-rms-digital-clamp-meter-w-wireless-and-differential-temperature", "https://edmondsonsupply.com/collections/electricians-tools/products/uei-dl429b-true-rms-digital-clamp-meter-w-wireless-and-differential-temperature")</f>
        <v/>
      </c>
      <c r="B762" s="2">
        <f>HYPERLINK("https://edmondsonsupply.com/products/uei-dl429b-true-rms-digital-clamp-meter-w-wireless-and-differential-temperature", "https://edmondsonsupply.com/products/uei-dl429b-true-rms-digital-clamp-meter-w-wireless-and-differential-temperature")</f>
        <v/>
      </c>
      <c r="C762" t="inlineStr">
        <is>
          <t>UEi DL479 AC 600A True RMS HVAC/R Clamp Meter</t>
        </is>
      </c>
      <c r="D762" t="inlineStr">
        <is>
          <t>UEi Test Instruments DL429B Digital HVAC Clamp Meter True RMS Wireless Multimeter Auto-ranging 6000 Counts Voltage Tester, Measures Inrush AC/DC Current Temperature Capacitance Resistance Diodes NCV</t>
        </is>
      </c>
      <c r="E762" s="2">
        <f>HYPERLINK("https://www.amazon.com/UEi-Test-Instruments-DL429-Phoenix/dp/B00W5B15P6/ref=sr_1_3?keywords=UEi+DL479+AC+600A+True+RMS+HVAC%2FR+Clamp+Meter&amp;qid=1695173895&amp;sr=8-3", "https://www.amazon.com/UEi-Test-Instruments-DL429-Phoenix/dp/B00W5B15P6/ref=sr_1_3?keywords=UEi+DL479+AC+600A+True+RMS+HVAC%2FR+Clamp+Meter&amp;qid=1695173895&amp;sr=8-3")</f>
        <v/>
      </c>
      <c r="F762" t="inlineStr">
        <is>
          <t>B00W5B15P6</t>
        </is>
      </c>
      <c r="G762">
        <f>_xludf.IMAGE("https://edmondsonsupply.com/cdn/shop/products/DL479-1.jpg?v=1587142104")</f>
        <v/>
      </c>
      <c r="H762">
        <f>_xludf.IMAGE("https://m.media-amazon.com/images/I/61BXB98tFDS._AC_UY218_.jpg")</f>
        <v/>
      </c>
      <c r="I762" t="inlineStr">
        <is>
          <t>138.51</t>
        </is>
      </c>
      <c r="J762" t="n">
        <v>232.99</v>
      </c>
      <c r="K762" s="3" t="inlineStr">
        <is>
          <t>68.21%</t>
        </is>
      </c>
      <c r="L762" t="n">
        <v>4.5</v>
      </c>
      <c r="M762" t="n">
        <v>184</v>
      </c>
      <c r="O762" t="inlineStr">
        <is>
          <t>OutOfStock</t>
        </is>
      </c>
      <c r="P762" t="inlineStr">
        <is>
          <t>162.95</t>
        </is>
      </c>
      <c r="Q762" t="inlineStr">
        <is>
          <t>3564094488676</t>
        </is>
      </c>
    </row>
    <row r="763">
      <c r="A763" s="2">
        <f>HYPERLINK("https://edmondsonsupply.com/collections/electricians-tools/products/klein-tools-60246-p100-half-mask-respirator-s-m", "https://edmondsonsupply.com/collections/electricians-tools/products/klein-tools-60246-p100-half-mask-respirator-s-m")</f>
        <v/>
      </c>
      <c r="B763" s="2">
        <f>HYPERLINK("https://edmondsonsupply.com/products/klein-tools-60246-p100-half-mask-respirator-s-m", "https://edmondsonsupply.com/products/klein-tools-60246-p100-half-mask-respirator-s-m")</f>
        <v/>
      </c>
      <c r="C763" t="inlineStr">
        <is>
          <t>Klein Tools 60246 P100 Half-Mask Respirator, S/M</t>
        </is>
      </c>
      <c r="D763" t="inlineStr">
        <is>
          <t>Klein Tools 80044 Face Mask, P100 Half-Mask Respirator Kit with P100 Mask and Replacement Filters For Dust, Metal Fumes, and Mists, Size M/L</t>
        </is>
      </c>
      <c r="E763" s="2">
        <f>HYPERLINK("https://www.amazon.com/Klein-80044-Half-Mask-Respirator-Replacement/dp/B09FW2FRX8/ref=sr_1_2?keywords=Klein+Tools+60246+P100+Half-Mask+Respirator%2C+S%2FM&amp;qid=1695173886&amp;sr=8-2", "https://www.amazon.com/Klein-80044-Half-Mask-Respirator-Replacement/dp/B09FW2FRX8/ref=sr_1_2?keywords=Klein+Tools+60246+P100+Half-Mask+Respirator%2C+S%2FM&amp;qid=1695173886&amp;sr=8-2")</f>
        <v/>
      </c>
      <c r="F763" t="inlineStr">
        <is>
          <t>B09FW2FRX8</t>
        </is>
      </c>
      <c r="G763">
        <f>_xludf.IMAGE("https://edmondsonsupply.com/cdn/shop/products/60246.jpg?v=1661862728")</f>
        <v/>
      </c>
      <c r="H763">
        <f>_xludf.IMAGE("https://m.media-amazon.com/images/I/61kQgRHQL4L._AC_UL320_.jpg")</f>
        <v/>
      </c>
      <c r="I763" t="inlineStr">
        <is>
          <t>29.99</t>
        </is>
      </c>
      <c r="J763" t="n">
        <v>50.35</v>
      </c>
      <c r="K763" s="3" t="inlineStr">
        <is>
          <t>67.89%</t>
        </is>
      </c>
      <c r="L763" t="n">
        <v>4.5</v>
      </c>
      <c r="M763" t="n">
        <v>21</v>
      </c>
      <c r="O763" t="inlineStr">
        <is>
          <t>InStock</t>
        </is>
      </c>
      <c r="P763" t="inlineStr">
        <is>
          <t>43.5</t>
        </is>
      </c>
      <c r="Q763" t="inlineStr">
        <is>
          <t>7797322383576</t>
        </is>
      </c>
    </row>
    <row r="764">
      <c r="A764" s="2">
        <f>HYPERLINK("https://edmondsonsupply.com/collections/electricians-tools/products/klein-tools-60244-p100-half-mask-respirator-m-l", "https://edmondsonsupply.com/collections/electricians-tools/products/klein-tools-60244-p100-half-mask-respirator-m-l")</f>
        <v/>
      </c>
      <c r="B764" s="2">
        <f>HYPERLINK("https://edmondsonsupply.com/products/klein-tools-60244-p100-half-mask-respirator-m-l", "https://edmondsonsupply.com/products/klein-tools-60244-p100-half-mask-respirator-m-l")</f>
        <v/>
      </c>
      <c r="C764" t="inlineStr">
        <is>
          <t>Klein Tools 60244 P100 Half-Mask Respirator, M/L</t>
        </is>
      </c>
      <c r="D764" t="inlineStr">
        <is>
          <t>Klein Tools 80044 Face Mask, P100 Half-Mask Respirator Kit with P100 Mask and Replacement Filters For Dust, Metal Fumes, and Mists, Size M/L</t>
        </is>
      </c>
      <c r="E764" s="2">
        <f>HYPERLINK("https://www.amazon.com/Klein-80044-Half-Mask-Respirator-Replacement/dp/B09FW2FRX8/ref=sr_1_3?keywords=Klein+Tools+60244+P100+Half-Mask+Respirator%2C+M%2FL&amp;qid=1695174163&amp;sr=8-3", "https://www.amazon.com/Klein-80044-Half-Mask-Respirator-Replacement/dp/B09FW2FRX8/ref=sr_1_3?keywords=Klein+Tools+60244+P100+Half-Mask+Respirator%2C+M%2FL&amp;qid=1695174163&amp;sr=8-3")</f>
        <v/>
      </c>
      <c r="F764" t="inlineStr">
        <is>
          <t>B09FW2FRX8</t>
        </is>
      </c>
      <c r="G764">
        <f>_xludf.IMAGE("https://edmondsonsupply.com/cdn/shop/products/60246_7e68115f-7e07-4587-a48b-41d81558644a.jpg?v=1661864149")</f>
        <v/>
      </c>
      <c r="H764">
        <f>_xludf.IMAGE("https://m.media-amazon.com/images/I/61kQgRHQL4L._AC_UL320_.jpg")</f>
        <v/>
      </c>
      <c r="I764" t="inlineStr">
        <is>
          <t>29.99</t>
        </is>
      </c>
      <c r="J764" t="n">
        <v>50.35</v>
      </c>
      <c r="K764" s="3" t="inlineStr">
        <is>
          <t>67.89%</t>
        </is>
      </c>
      <c r="L764" t="n">
        <v>4.5</v>
      </c>
      <c r="M764" t="n">
        <v>21</v>
      </c>
      <c r="O764" t="inlineStr">
        <is>
          <t>InStock</t>
        </is>
      </c>
      <c r="P764" t="inlineStr">
        <is>
          <t>43.5</t>
        </is>
      </c>
      <c r="Q764" t="inlineStr">
        <is>
          <t>7797350039768</t>
        </is>
      </c>
    </row>
    <row r="765">
      <c r="A765" s="2">
        <f>HYPERLINK("https://edmondsonsupply.com/collections/electricians-tools/products/greenlee-gsb02-1-2-step-bit-2", "https://edmondsonsupply.com/collections/electricians-tools/products/greenlee-gsb02-1-2-step-bit-2")</f>
        <v/>
      </c>
      <c r="B765" s="2">
        <f>HYPERLINK("https://edmondsonsupply.com/products/greenlee-gsb02-1-2-step-bit-2", "https://edmondsonsupply.com/products/greenlee-gsb02-1-2-step-bit-2")</f>
        <v/>
      </c>
      <c r="C765" t="inlineStr">
        <is>
          <t>Greenlee GSB02 1/2" Step Bit (#2)</t>
        </is>
      </c>
      <c r="D765" t="inlineStr">
        <is>
          <t>Greenlee GSB09 1-1/8" Step Bit (#9) Metal Cutter with Patented Split-Step Design, 1-1/8" Metal Cutting Tool for 1/2" Drill Chucks</t>
        </is>
      </c>
      <c r="E765" s="2">
        <f>HYPERLINK("https://www.amazon.com/Greenlee-Patented-Split-Step-Design-Cutting/dp/B08TVGF4MS/ref=sr_1_4?keywords=Greenlee+GSB02+1%2F2%22+Step+Bit+%28%232%29&amp;qid=1695173993&amp;sr=8-4", "https://www.amazon.com/Greenlee-Patented-Split-Step-Design-Cutting/dp/B08TVGF4MS/ref=sr_1_4?keywords=Greenlee+GSB02+1%2F2%22+Step+Bit+%28%232%29&amp;qid=1695173993&amp;sr=8-4")</f>
        <v/>
      </c>
      <c r="F765" t="inlineStr">
        <is>
          <t>B08TVGF4MS</t>
        </is>
      </c>
      <c r="G765">
        <f>_xludf.IMAGE("https://edmondsonsupply.com/cdn/shop/files/GSB02_CAT1_72dpi.jpg?v=1687783943")</f>
        <v/>
      </c>
      <c r="H765">
        <f>_xludf.IMAGE("https://m.media-amazon.com/images/I/41J5YEXJLpL._AC_UY218_.jpg")</f>
        <v/>
      </c>
      <c r="I765" t="inlineStr">
        <is>
          <t>39.29</t>
        </is>
      </c>
      <c r="J765" t="n">
        <v>65.81</v>
      </c>
      <c r="K765" s="3" t="inlineStr">
        <is>
          <t>67.50%</t>
        </is>
      </c>
      <c r="L765" t="n">
        <v>3.8</v>
      </c>
      <c r="M765" t="n">
        <v>5</v>
      </c>
      <c r="O765" t="inlineStr">
        <is>
          <t>InStock</t>
        </is>
      </c>
      <c r="P765" t="inlineStr">
        <is>
          <t>40.55</t>
        </is>
      </c>
      <c r="Q765" t="inlineStr">
        <is>
          <t>8008010137816</t>
        </is>
      </c>
    </row>
    <row r="766">
      <c r="A766" s="2">
        <f>HYPERLINK("https://edmondsonsupply.com/collections/electricians-tools/products/fluke-393-solar-clamp-meter-cat-iii-1500-v", "https://edmondsonsupply.com/collections/electricians-tools/products/fluke-393-solar-clamp-meter-cat-iii-1500-v")</f>
        <v/>
      </c>
      <c r="B766" s="2">
        <f>HYPERLINK("https://edmondsonsupply.com/products/fluke-393-solar-clamp-meter-cat-iii-1500-v", "https://edmondsonsupply.com/products/fluke-393-solar-clamp-meter-cat-iii-1500-v")</f>
        <v/>
      </c>
      <c r="C766" t="inlineStr">
        <is>
          <t>Fluke 393 FC Solar Clamp Meter CAT III 1500 V</t>
        </is>
      </c>
      <c r="D766" t="inlineStr">
        <is>
          <t>Fluke 393FC Clamp Meter with Irradiance Meter and Solar Test Lead Kit, CAT III 1500 V Rated, Measure Solar Irradiance, Ambient and PV Module Temperature, with MC4 Test Leads</t>
        </is>
      </c>
      <c r="E766" s="2">
        <f>HYPERLINK("https://www.amazon.com/Fluke-Irradiance-Measure-Ambient-Temperature/dp/B0B49954PS/ref=sr_1_4?keywords=Fluke+393+FC+Solar+Clamp+Meter+CAT+III+1500+V&amp;qid=1695174164&amp;sr=8-4", "https://www.amazon.com/Fluke-Irradiance-Measure-Ambient-Temperature/dp/B0B49954PS/ref=sr_1_4?keywords=Fluke+393+FC+Solar+Clamp+Meter+CAT+III+1500+V&amp;qid=1695174164&amp;sr=8-4")</f>
        <v/>
      </c>
      <c r="F766" t="inlineStr">
        <is>
          <t>B0B49954PS</t>
        </is>
      </c>
      <c r="G766">
        <f>_xludf.IMAGE("https://edmondsonsupply.com/cdn/shop/products/F-393fc_01a_w.webp?v=1662652371")</f>
        <v/>
      </c>
      <c r="H766">
        <f>_xludf.IMAGE("https://m.media-amazon.com/images/I/61ej9j9PdPL._AC_UY218_.jpg")</f>
        <v/>
      </c>
      <c r="I766" t="inlineStr">
        <is>
          <t>676.79</t>
        </is>
      </c>
      <c r="J766" t="n">
        <v>1132.99</v>
      </c>
      <c r="K766" s="3" t="inlineStr">
        <is>
          <t>67.41%</t>
        </is>
      </c>
      <c r="L766" t="n">
        <v>4</v>
      </c>
      <c r="M766" t="n">
        <v>2</v>
      </c>
      <c r="O766" t="inlineStr">
        <is>
          <t>InStock</t>
        </is>
      </c>
      <c r="P766" t="inlineStr">
        <is>
          <t>751.99</t>
        </is>
      </c>
      <c r="Q766" t="inlineStr">
        <is>
          <t>7809266090200</t>
        </is>
      </c>
    </row>
    <row r="767">
      <c r="A767" s="2">
        <f>HYPERLINK("https://edmondsonsupply.com/collections/electricians-tools/products/klein-tools-et45vp-ac-dc-voltage-and-gfci-receptacle-outlet-test-kit", "https://edmondsonsupply.com/collections/electricians-tools/products/klein-tools-et45vp-ac-dc-voltage-and-gfci-receptacle-outlet-test-kit")</f>
        <v/>
      </c>
      <c r="B767" s="2">
        <f>HYPERLINK("https://edmondsonsupply.com/products/klein-tools-et45vp-ac-dc-voltage-and-gfci-receptacle-outlet-test-kit", "https://edmondsonsupply.com/products/klein-tools-et45vp-ac-dc-voltage-and-gfci-receptacle-outlet-test-kit")</f>
        <v/>
      </c>
      <c r="C767" t="inlineStr">
        <is>
          <t>Klein Tools ET45VP AC/DC Voltage and GFCI Receptacle Outlet Test Kit</t>
        </is>
      </c>
      <c r="D767" t="inlineStr">
        <is>
          <t>Klein Tools 80077 Voltage Tester Kit with Electronic AC/DC GFCI Outlet Tester and Non-Contact Voltage Tester Pen, 3-Piece , Green</t>
        </is>
      </c>
      <c r="E767" s="2">
        <f>HYPERLINK("https://www.amazon.com/Klein-Tools-80077-Electronic-Non-Contact/dp/B0B11F7Q69/ref=sr_1_7?keywords=Klein+Tools+ET45VP+AC%2FDC+Voltage+and+GFCI+Receptacle+Outlet+Test+Kit&amp;qid=1695174178&amp;sr=8-7", "https://www.amazon.com/Klein-Tools-80077-Electronic-Non-Contact/dp/B0B11F7Q69/ref=sr_1_7?keywords=Klein+Tools+ET45VP+AC%2FDC+Voltage+and+GFCI+Receptacle+Outlet+Test+Kit&amp;qid=1695174178&amp;sr=8-7")</f>
        <v/>
      </c>
      <c r="F767" t="inlineStr">
        <is>
          <t>B0B11F7Q69</t>
        </is>
      </c>
      <c r="G767">
        <f>_xludf.IMAGE("https://edmondsonsupply.com/cdn/shop/products/et45vp.jpg?v=1660755922")</f>
        <v/>
      </c>
      <c r="H767">
        <f>_xludf.IMAGE("https://m.media-amazon.com/images/I/51cU3aEkbCL._AC_UL320_.jpg")</f>
        <v/>
      </c>
      <c r="I767" t="inlineStr">
        <is>
          <t>17.97</t>
        </is>
      </c>
      <c r="J767" t="n">
        <v>29.99</v>
      </c>
      <c r="K767" s="3" t="inlineStr">
        <is>
          <t>66.89%</t>
        </is>
      </c>
      <c r="L767" t="n">
        <v>4.6</v>
      </c>
      <c r="M767" t="n">
        <v>183</v>
      </c>
      <c r="O767" t="inlineStr">
        <is>
          <t>InStock</t>
        </is>
      </c>
      <c r="P767" t="inlineStr">
        <is>
          <t>25.82</t>
        </is>
      </c>
      <c r="Q767" t="inlineStr">
        <is>
          <t>7783562084568</t>
        </is>
      </c>
    </row>
    <row r="768">
      <c r="A768" s="2">
        <f>HYPERLINK("https://edmondsonsupply.com/collections/electricians-tools/products/klein-tools-32900-7-in-1-impact-flip-socket-with-handle", "https://edmondsonsupply.com/collections/electricians-tools/products/klein-tools-32900-7-in-1-impact-flip-socket-with-handle")</f>
        <v/>
      </c>
      <c r="B768" s="2">
        <f>HYPERLINK("https://edmondsonsupply.com/products/klein-tools-32900-7-in-1-impact-flip-socket-with-handle", "https://edmondsonsupply.com/products/klein-tools-32900-7-in-1-impact-flip-socket-with-handle")</f>
        <v/>
      </c>
      <c r="C768" t="inlineStr">
        <is>
          <t>Klein Tools 32900 7-in-1 Impact Flip Socket with Handle</t>
        </is>
      </c>
      <c r="D768" t="inlineStr">
        <is>
          <t>Klein Tools 66070 Impact Socket Set, Impact Driver Flip Socket, Five Sockets with 1/4-Inch Hex and 1/2-Inch Square Socket Adapters, 7-Piece</t>
        </is>
      </c>
      <c r="E768" s="2">
        <f>HYPERLINK("https://www.amazon.com/Klein-Tools-66070-Sockets-Adapters/dp/B0B33XLXD1/ref=sr_1_10?keywords=Klein+Tools+32900+7-in-1+Impact+Flip+Socket+with+Handle&amp;qid=1695174143&amp;sr=8-10", "https://www.amazon.com/Klein-Tools-66070-Sockets-Adapters/dp/B0B33XLXD1/ref=sr_1_10?keywords=Klein+Tools+32900+7-in-1+Impact+Flip+Socket+with+Handle&amp;qid=1695174143&amp;sr=8-10")</f>
        <v/>
      </c>
      <c r="F768" t="inlineStr">
        <is>
          <t>B0B33XLXD1</t>
        </is>
      </c>
      <c r="G768">
        <f>_xludf.IMAGE("https://edmondsonsupply.com/cdn/shop/products/32900_b.jpg?v=1666024787")</f>
        <v/>
      </c>
      <c r="H768">
        <f>_xludf.IMAGE("https://m.media-amazon.com/images/I/71D23SffznL._AC_UL320_.jpg")</f>
        <v/>
      </c>
      <c r="I768" t="inlineStr">
        <is>
          <t>29.97</t>
        </is>
      </c>
      <c r="J768" t="n">
        <v>49.97</v>
      </c>
      <c r="K768" s="3" t="inlineStr">
        <is>
          <t>66.73%</t>
        </is>
      </c>
      <c r="L768" t="n">
        <v>4.8</v>
      </c>
      <c r="M768" t="n">
        <v>1158</v>
      </c>
      <c r="O768" t="inlineStr">
        <is>
          <t>InStock</t>
        </is>
      </c>
      <c r="P768" t="inlineStr">
        <is>
          <t>45.0</t>
        </is>
      </c>
      <c r="Q768" t="inlineStr">
        <is>
          <t>7856651239640</t>
        </is>
      </c>
    </row>
    <row r="769">
      <c r="A769" s="2">
        <f>HYPERLINK("https://edmondsonsupply.com/collections/electricians-tools/products/klein-tools-602-6-5-16-inch-keystone-tip-screwdriver-cushion-grip-6-inch", "https://edmondsonsupply.com/collections/electricians-tools/products/klein-tools-602-6-5-16-inch-keystone-tip-screwdriver-cushion-grip-6-inch")</f>
        <v/>
      </c>
      <c r="B769" s="2">
        <f>HYPERLINK("https://edmondsonsupply.com/products/klein-tools-602-6-5-16-inch-keystone-tip-screwdriver-cushion-grip-6-inch", "https://edmondsonsupply.com/products/klein-tools-602-6-5-16-inch-keystone-tip-screwdriver-cushion-grip-6-inch")</f>
        <v/>
      </c>
      <c r="C769" t="inlineStr">
        <is>
          <t>Klein Tools 602-6 5/16-Inch Keystone Tip Screwdriver, Cushion Grip, 6-Inch</t>
        </is>
      </c>
      <c r="D769" t="inlineStr">
        <is>
          <t>Klein Tools 602-7DD 5/16-Inch Keystone Demolition Driver, 7-Inch Shank</t>
        </is>
      </c>
      <c r="E769" s="2">
        <f>HYPERLINK("https://www.amazon.com/16-Inch-Keystone-Demolition-Klein-Tools/dp/B00B9HIBYA/ref=sr_1_4?keywords=Klein+Tools+602-6+5%2F16-Inch+Keystone+Tip+Screwdriver%2C+Cushion+Grip%2C+6-Inch&amp;qid=1695174298&amp;sr=8-4", "https://www.amazon.com/16-Inch-Keystone-Demolition-Klein-Tools/dp/B00B9HIBYA/ref=sr_1_4?keywords=Klein+Tools+602-6+5%2F16-Inch+Keystone+Tip+Screwdriver%2C+Cushion+Grip%2C+6-Inch&amp;qid=1695174298&amp;sr=8-4")</f>
        <v/>
      </c>
      <c r="F769" t="inlineStr">
        <is>
          <t>B00B9HIBYA</t>
        </is>
      </c>
      <c r="G769">
        <f>_xludf.IMAGE("https://edmondsonsupply.com/cdn/shop/products/602-6_162e3283-acea-47de-aecf-2a25f009fdcb.jpg?v=1633030880")</f>
        <v/>
      </c>
      <c r="H769">
        <f>_xludf.IMAGE("https://m.media-amazon.com/images/I/41sh3Q2vVYL._AC_UL320_.jpg")</f>
        <v/>
      </c>
      <c r="I769" t="inlineStr">
        <is>
          <t>11.99</t>
        </is>
      </c>
      <c r="J769" t="n">
        <v>19.99</v>
      </c>
      <c r="K769" s="3" t="inlineStr">
        <is>
          <t>66.72%</t>
        </is>
      </c>
      <c r="L769" t="n">
        <v>4.8</v>
      </c>
      <c r="M769" t="n">
        <v>1377</v>
      </c>
      <c r="O769" t="inlineStr">
        <is>
          <t>InStock</t>
        </is>
      </c>
      <c r="P769" t="inlineStr">
        <is>
          <t>18.18</t>
        </is>
      </c>
      <c r="Q769" t="inlineStr">
        <is>
          <t>6169213501613</t>
        </is>
      </c>
    </row>
    <row r="770">
      <c r="A770" s="2">
        <f>HYPERLINK("https://edmondsonsupply.com/collections/electricians-tools/products/wiha-tools-66991-13-piece-magicring-ball-end-hex-l-key-set-inch", "https://edmondsonsupply.com/collections/electricians-tools/products/wiha-tools-66991-13-piece-magicring-ball-end-hex-l-key-set-inch")</f>
        <v/>
      </c>
      <c r="B770" s="2">
        <f>HYPERLINK("https://edmondsonsupply.com/products/wiha-tools-66991-13-piece-magicring-ball-end-hex-l-key-set-inch", "https://edmondsonsupply.com/products/wiha-tools-66991-13-piece-magicring-ball-end-hex-l-key-set-inch")</f>
        <v/>
      </c>
      <c r="C770" t="inlineStr">
        <is>
          <t>Wiha Tools 66991 13 Piece MagicRing Ball End Hex L-Key Set - Inch</t>
        </is>
      </c>
      <c r="D770" t="inlineStr">
        <is>
          <t>Wiha 66992 MagicRing Ball End Hex L-Key Set In Holders, 22 Piece</t>
        </is>
      </c>
      <c r="E770" s="2">
        <f>HYPERLINK("https://www.amazon.com/Wiha-66992-MagicRing-L-Key-Holders/dp/B000LF2LJM/ref=sr_1_3?keywords=Wiha+Tools+66991+13+Piece+MagicRing+Ball+End+Hex+L-Key+Set+-+Inch&amp;qid=1695173986&amp;sr=8-3", "https://www.amazon.com/Wiha-66992-MagicRing-L-Key-Holders/dp/B000LF2LJM/ref=sr_1_3?keywords=Wiha+Tools+66991+13+Piece+MagicRing+Ball+End+Hex+L-Key+Set+-+Inch&amp;qid=1695173986&amp;sr=8-3")</f>
        <v/>
      </c>
      <c r="F770" t="inlineStr">
        <is>
          <t>B000LF2LJM</t>
        </is>
      </c>
      <c r="G770">
        <f>_xludf.IMAGE("https://edmondsonsupply.com/cdn/shop/files/203e9943d7bc6da0913f39b14430d97570f6257a_1000x_25f5521b-5db2-4e3a-9496-a87eed5e7da1.webp?v=1690841742")</f>
        <v/>
      </c>
      <c r="H770">
        <f>_xludf.IMAGE("https://m.media-amazon.com/images/I/71eB60IkANL._AC_UL320_.jpg")</f>
        <v/>
      </c>
      <c r="I770" t="inlineStr">
        <is>
          <t>48.61</t>
        </is>
      </c>
      <c r="J770" t="n">
        <v>81.03</v>
      </c>
      <c r="K770" s="3" t="inlineStr">
        <is>
          <t>66.69%</t>
        </is>
      </c>
      <c r="L770" t="n">
        <v>4.7</v>
      </c>
      <c r="M770" t="n">
        <v>533</v>
      </c>
      <c r="O770" t="inlineStr">
        <is>
          <t>InStock</t>
        </is>
      </c>
      <c r="P770" t="inlineStr">
        <is>
          <t>64.81</t>
        </is>
      </c>
      <c r="Q770" t="inlineStr">
        <is>
          <t>8023273668824</t>
        </is>
      </c>
    </row>
    <row r="771">
      <c r="A771" s="2">
        <f>HYPERLINK("https://edmondsonsupply.com/collections/electricians-tools/products/klein-tools-60539-professional-safety-glasses-full-frame-polarized-lens", "https://edmondsonsupply.com/collections/electricians-tools/products/klein-tools-60539-professional-safety-glasses-full-frame-polarized-lens")</f>
        <v/>
      </c>
      <c r="B771" s="2">
        <f>HYPERLINK("https://edmondsonsupply.com/products/klein-tools-60539-professional-safety-glasses-full-frame-polarized-lens", "https://edmondsonsupply.com/products/klein-tools-60539-professional-safety-glasses-full-frame-polarized-lens")</f>
        <v/>
      </c>
      <c r="C771" t="inlineStr">
        <is>
          <t>Klein Tools 60539 Professional Safety Glasses, Full Frame, Polarized Lens</t>
        </is>
      </c>
      <c r="D771" t="inlineStr">
        <is>
          <t>Klein Tools 80055 Safety Glasses Kit, Professional Safety Glasses with Full Frame, Gray Lens and Breakaway Lanyard, 8-Piece</t>
        </is>
      </c>
      <c r="E771" s="2">
        <f>HYPERLINK("https://www.amazon.com/Klein-80055-Glasses-Professional-Breakaway/dp/B09HR9RV4H/ref=sr_1_5?keywords=Klein+Tools+60539+Professional+Safety+Glasses%2C+Full+Frame%2C+Polarized+Lens&amp;qid=1695174102&amp;sr=8-5", "https://www.amazon.com/Klein-80055-Glasses-Professional-Breakaway/dp/B09HR9RV4H/ref=sr_1_5?keywords=Klein+Tools+60539+Professional+Safety+Glasses%2C+Full+Frame%2C+Polarized+Lens&amp;qid=1695174102&amp;sr=8-5")</f>
        <v/>
      </c>
      <c r="F771" t="inlineStr">
        <is>
          <t>B09HR9RV4H</t>
        </is>
      </c>
      <c r="G771">
        <f>_xludf.IMAGE("https://edmondsonsupply.com/cdn/shop/products/60539.jpg?v=1670948006")</f>
        <v/>
      </c>
      <c r="H771">
        <f>_xludf.IMAGE("https://m.media-amazon.com/images/I/61L5l7dmmiL._AC_UL320_.jpg")</f>
        <v/>
      </c>
      <c r="I771" t="inlineStr">
        <is>
          <t>29.99</t>
        </is>
      </c>
      <c r="J771" t="n">
        <v>49.99</v>
      </c>
      <c r="K771" s="3" t="inlineStr">
        <is>
          <t>66.69%</t>
        </is>
      </c>
      <c r="L771" t="n">
        <v>4.5</v>
      </c>
      <c r="M771" t="n">
        <v>13</v>
      </c>
      <c r="O771" t="inlineStr">
        <is>
          <t>InStock</t>
        </is>
      </c>
      <c r="P771" t="inlineStr">
        <is>
          <t>41.98</t>
        </is>
      </c>
      <c r="Q771" t="inlineStr">
        <is>
          <t>7904008536280</t>
        </is>
      </c>
    </row>
    <row r="772">
      <c r="A772" s="2">
        <f>HYPERLINK("https://edmondsonsupply.com/collections/electricians-tools/products/klein-tools-vdv526-052-cable-tester-lan-scout%C2%AE-jr-continuity-tester", "https://edmondsonsupply.com/collections/electricians-tools/products/klein-tools-vdv526-052-cable-tester-lan-scout%C2%AE-jr-continuity-tester")</f>
        <v/>
      </c>
      <c r="B772" s="2">
        <f>HYPERLINK("https://edmondsonsupply.com/products/klein-tools-vdv526-052-cable-tester-lan-scout%c2%ae-jr-continuity-tester", "https://edmondsonsupply.com/products/klein-tools-vdv526-052-cable-tester-lan-scout%c2%ae-jr-continuity-tester")</f>
        <v/>
      </c>
      <c r="C772" t="inlineStr">
        <is>
          <t>Klein Tools VDV526-052 Cable Tester, LAN Scout® Jr. Continuity Tester</t>
        </is>
      </c>
      <c r="D772" t="inlineStr">
        <is>
          <t>Klein Tools VDV526-200 Cable Tester, LAN Scout Jr. 2 Ethernet Cable Tester &amp; VDV500-123 Cable Tracer Probe-Pro Tracing Probe with Replaceable Non-Metallic</t>
        </is>
      </c>
      <c r="E772" s="2">
        <f>HYPERLINK("https://www.amazon.com/Klein-Tools-VDV526-200-Replaceable-Non-Metallic/dp/B09Y84486X/ref=sr_1_4?keywords=Klein+Tools+VDV526-052+Cable+Tester%2C+LAN+Scout%C2%AE+Jr.+Continuity+Tester&amp;qid=1695174034&amp;sr=8-4", "https://www.amazon.com/Klein-Tools-VDV526-200-Replaceable-Non-Metallic/dp/B09Y84486X/ref=sr_1_4?keywords=Klein+Tools+VDV526-052+Cable+Tester%2C+LAN+Scout%C2%AE+Jr.+Continuity+Tester&amp;qid=1695174034&amp;sr=8-4")</f>
        <v/>
      </c>
      <c r="F772" t="inlineStr">
        <is>
          <t>B09Y84486X</t>
        </is>
      </c>
      <c r="G772">
        <f>_xludf.IMAGE("https://edmondsonsupply.com/cdn/shop/files/vdv526-052.jpg?v=1685032494")</f>
        <v/>
      </c>
      <c r="H772">
        <f>_xludf.IMAGE("https://m.media-amazon.com/images/I/51l43d13j-L._AC_UY218_.jpg")</f>
        <v/>
      </c>
      <c r="I772" t="inlineStr">
        <is>
          <t>59.97</t>
        </is>
      </c>
      <c r="J772" t="n">
        <v>99.95999999999999</v>
      </c>
      <c r="K772" s="3" t="inlineStr">
        <is>
          <t>66.68%</t>
        </is>
      </c>
      <c r="L772" t="n">
        <v>4.8</v>
      </c>
      <c r="M772" t="n">
        <v>12</v>
      </c>
      <c r="O772" t="inlineStr">
        <is>
          <t>InStock</t>
        </is>
      </c>
      <c r="P772" t="inlineStr">
        <is>
          <t>96.68</t>
        </is>
      </c>
      <c r="Q772" t="inlineStr">
        <is>
          <t>7995835678936</t>
        </is>
      </c>
    </row>
    <row r="773">
      <c r="A773" s="2">
        <f>HYPERLINK("https://edmondsonsupply.com/collections/electricians-tools/products/klein-tools-51607-aluminum-conduit-bender-full-assembly-3-4-inch-emt-with-angle-setter%E2%84%A2", "https://edmondsonsupply.com/collections/electricians-tools/products/klein-tools-51607-aluminum-conduit-bender-full-assembly-3-4-inch-emt-with-angle-setter%E2%84%A2")</f>
        <v/>
      </c>
      <c r="B773" s="2">
        <f>HYPERLINK("https://edmondsonsupply.com/products/klein-tools-51607-aluminum-conduit-bender-full-assembly-3-4-inch-emt-with-angle-setter%e2%84%a2", "https://edmondsonsupply.com/products/klein-tools-51607-aluminum-conduit-bender-full-assembly-3-4-inch-emt-with-angle-setter%e2%84%a2")</f>
        <v/>
      </c>
      <c r="C773" t="inlineStr">
        <is>
          <t>Klein Tools 51607 Aluminum Conduit Bender Full Assembly, 3/4-Inch EMT with Angle Setter™</t>
        </is>
      </c>
      <c r="D773" t="inlineStr">
        <is>
          <t>Klein Tools 51604 Iron Conduit Bender Full Assembly, 3/4-Inch EMT and 1/2-Inch Rigid, Wide Foot Pedal, Benchmark Symbols and Angle Setter</t>
        </is>
      </c>
      <c r="E773" s="2">
        <f>HYPERLINK("https://www.amazon.com/Conduit-Features-Klein-Tools-51604/dp/B08V8YVWH1/ref=sr_1_4?keywords=Klein+Tools+51607+Aluminum+Conduit+Bender+Full+Assembly%2C+3%2F4-Inch+EMT+with+Angle+Setter%E2%84%A2&amp;qid=1695174169&amp;sr=8-4", "https://www.amazon.com/Conduit-Features-Klein-Tools-51604/dp/B08V8YVWH1/ref=sr_1_4?keywords=Klein+Tools+51607+Aluminum+Conduit+Bender+Full+Assembly%2C+3%2F4-Inch+EMT+with+Angle+Setter%E2%84%A2&amp;qid=1695174169&amp;sr=8-4")</f>
        <v/>
      </c>
      <c r="F773" t="inlineStr">
        <is>
          <t>B08V8YVWH1</t>
        </is>
      </c>
      <c r="G773">
        <f>_xludf.IMAGE("https://edmondsonsupply.com/cdn/shop/products/51607.jpg?v=1663942654")</f>
        <v/>
      </c>
      <c r="H773">
        <f>_xludf.IMAGE("https://m.media-amazon.com/images/I/41DkDVmyczL._AC_UL320_.jpg")</f>
        <v/>
      </c>
      <c r="I773" t="inlineStr">
        <is>
          <t>44.99</t>
        </is>
      </c>
      <c r="J773" t="n">
        <v>74.98999999999999</v>
      </c>
      <c r="K773" s="3" t="inlineStr">
        <is>
          <t>66.68%</t>
        </is>
      </c>
      <c r="L773" t="n">
        <v>4.8</v>
      </c>
      <c r="M773" t="n">
        <v>43</v>
      </c>
      <c r="O773" t="inlineStr">
        <is>
          <t>InStock</t>
        </is>
      </c>
      <c r="P773" t="inlineStr">
        <is>
          <t>63.0</t>
        </is>
      </c>
      <c r="Q773" t="inlineStr">
        <is>
          <t>7827252216024</t>
        </is>
      </c>
    </row>
    <row r="774">
      <c r="A774" s="2">
        <f>HYPERLINK("https://edmondsonsupply.com/collections/electricians-tools/products/klein-tools-60345-hard-hat-premium-karbn%E2%84%A2-pattern-non-vented-full-brim-class-e", "https://edmondsonsupply.com/collections/electricians-tools/products/klein-tools-60345-hard-hat-premium-karbn%E2%84%A2-pattern-non-vented-full-brim-class-e")</f>
        <v/>
      </c>
      <c r="B774" s="2">
        <f>HYPERLINK("https://edmondsonsupply.com/products/klein-tools-60345-hard-hat-premium-karbn%e2%84%a2-pattern-non-vented-full-brim-class-e", "https://edmondsonsupply.com/products/klein-tools-60345-hard-hat-premium-karbn%e2%84%a2-pattern-non-vented-full-brim-class-e")</f>
        <v/>
      </c>
      <c r="C774" t="inlineStr">
        <is>
          <t>Klein Tools 60345 Hard Hat, Premium KARBN™ Pattern, Non-Vented Full Brim, Class E</t>
        </is>
      </c>
      <c r="D774" t="inlineStr">
        <is>
          <t>Klein Tools 60346 Hard Hat, Non-Vented Full Brim, Class E, Premium KARBN Pattern &amp; 60181 Cooling Helmet Liner, Under Hard Hat Cap with Mesh Fabric at Crown</t>
        </is>
      </c>
      <c r="E774" s="2">
        <f>HYPERLINK("https://www.amazon.com/Klein-Tools-Non-Vented-Premium-Pattern/dp/B09Z8ZC2TJ/ref=sr_1_3?keywords=Klein+Tools+60345+Hard+Hat%2C+Premium+KARBN%E2%84%A2+Pattern%2C+Non-Vented+Full+Brim%2C+Class+E&amp;qid=1695174204&amp;sr=8-3", "https://www.amazon.com/Klein-Tools-Non-Vented-Premium-Pattern/dp/B09Z8ZC2TJ/ref=sr_1_3?keywords=Klein+Tools+60345+Hard+Hat%2C+Premium+KARBN%E2%84%A2+Pattern%2C+Non-Vented+Full+Brim%2C+Class+E&amp;qid=1695174204&amp;sr=8-3")</f>
        <v/>
      </c>
      <c r="F774" t="inlineStr">
        <is>
          <t>B09Z8ZC2TJ</t>
        </is>
      </c>
      <c r="G774">
        <f>_xludf.IMAGE("https://edmondsonsupply.com/cdn/shop/products/60345.jpg?v=1660171739")</f>
        <v/>
      </c>
      <c r="H774">
        <f>_xludf.IMAGE("https://m.media-amazon.com/images/I/51OeMTIeiuL._AC_UL320_.jpg")</f>
        <v/>
      </c>
      <c r="I774" t="inlineStr">
        <is>
          <t>59.99</t>
        </is>
      </c>
      <c r="J774" t="n">
        <v>99.98</v>
      </c>
      <c r="K774" s="3" t="inlineStr">
        <is>
          <t>66.66%</t>
        </is>
      </c>
      <c r="L774" t="n">
        <v>4.7</v>
      </c>
      <c r="M774" t="n">
        <v>8</v>
      </c>
      <c r="O774" t="inlineStr">
        <is>
          <t>InStock</t>
        </is>
      </c>
      <c r="P774" t="inlineStr">
        <is>
          <t>81.02</t>
        </is>
      </c>
      <c r="Q774" t="inlineStr">
        <is>
          <t>7778045493464</t>
        </is>
      </c>
    </row>
    <row r="775">
      <c r="A775" s="2">
        <f>HYPERLINK("https://edmondsonsupply.com/collections/electricians-tools/products/klein-tools-51603-iron-conduit-bender-full-assembly-1-2-inch-emt-with-angle-setter%E2%84%A2", "https://edmondsonsupply.com/collections/electricians-tools/products/klein-tools-51603-iron-conduit-bender-full-assembly-1-2-inch-emt-with-angle-setter%E2%84%A2")</f>
        <v/>
      </c>
      <c r="B775" s="2">
        <f>HYPERLINK("https://edmondsonsupply.com/products/klein-tools-51603-iron-conduit-bender-full-assembly-1-2-inch-emt-with-angle-setter%e2%84%a2", "https://edmondsonsupply.com/products/klein-tools-51603-iron-conduit-bender-full-assembly-1-2-inch-emt-with-angle-setter%e2%84%a2")</f>
        <v/>
      </c>
      <c r="C775" t="inlineStr">
        <is>
          <t>Klein Tools 51603 Iron Conduit Bender Full Assembly, 1/2-Inch EMT with Angle Setter™</t>
        </is>
      </c>
      <c r="D775" t="inlineStr">
        <is>
          <t>Klein Tools 51605 Iron Conduit Bender Full Assembly, 1-Inch EMT and 3/4-Inch Rigid, Wide Foot Pedal, Benchmark Symbols and Angle Setter</t>
        </is>
      </c>
      <c r="E775" s="2">
        <f>HYPERLINK("https://www.amazon.com/Conduit-Technology-Benchmark-Klein-Tools/dp/B08L3ZQCT1/ref=sr_1_6?keywords=Klein+Tools+51603+Iron+Conduit+Bender+Full+Assembly%2C+1%2F2-Inch+EMT+with+Angle+Setter%E2%84%A2&amp;qid=1695173919&amp;sr=8-6", "https://www.amazon.com/Conduit-Technology-Benchmark-Klein-Tools/dp/B08L3ZQCT1/ref=sr_1_6?keywords=Klein+Tools+51603+Iron+Conduit+Bender+Full+Assembly%2C+1%2F2-Inch+EMT+with+Angle+Setter%E2%84%A2&amp;qid=1695173919&amp;sr=8-6")</f>
        <v/>
      </c>
      <c r="F775" t="inlineStr">
        <is>
          <t>B08L3ZQCT1</t>
        </is>
      </c>
      <c r="G775">
        <f>_xludf.IMAGE("https://edmondsonsupply.com/cdn/shop/products/51604.jpg?v=1663940749")</f>
        <v/>
      </c>
      <c r="H775">
        <f>_xludf.IMAGE("https://m.media-amazon.com/images/I/41stj4NcdUL._AC_UL320_.jpg")</f>
        <v/>
      </c>
      <c r="I775" t="inlineStr">
        <is>
          <t>59.99</t>
        </is>
      </c>
      <c r="J775" t="n">
        <v>99.97</v>
      </c>
      <c r="K775" s="3" t="inlineStr">
        <is>
          <t>66.64%</t>
        </is>
      </c>
      <c r="L775" t="n">
        <v>4.7</v>
      </c>
      <c r="M775" t="n">
        <v>60</v>
      </c>
      <c r="O775" t="inlineStr">
        <is>
          <t>InStock</t>
        </is>
      </c>
      <c r="P775" t="inlineStr">
        <is>
          <t>86.4</t>
        </is>
      </c>
      <c r="Q775" t="inlineStr">
        <is>
          <t>7827227574488</t>
        </is>
      </c>
    </row>
    <row r="776">
      <c r="A776" s="2">
        <f>HYPERLINK("https://edmondsonsupply.com/collections/electricians-tools/products/klein-tools-51609-3-4-inch-iron-conduit-bender-head", "https://edmondsonsupply.com/collections/electricians-tools/products/klein-tools-51609-3-4-inch-iron-conduit-bender-head")</f>
        <v/>
      </c>
      <c r="B776" s="2">
        <f>HYPERLINK("https://edmondsonsupply.com/products/klein-tools-51609-3-4-inch-iron-conduit-bender-head", "https://edmondsonsupply.com/products/klein-tools-51609-3-4-inch-iron-conduit-bender-head")</f>
        <v/>
      </c>
      <c r="C776" t="inlineStr">
        <is>
          <t>Klein Tools 51609 3/4-Inch Iron Conduit Bender Head</t>
        </is>
      </c>
      <c r="D776" t="inlineStr">
        <is>
          <t>Klein Tools 51605 Iron Conduit Bender Full Assembly, 1-Inch EMT and 3/4-Inch Rigid, Wide Foot Pedal, Benchmark Symbols and Angle Setter</t>
        </is>
      </c>
      <c r="E776" s="2">
        <f>HYPERLINK("https://www.amazon.com/Conduit-Technology-Benchmark-Klein-Tools/dp/B08L3ZQCT1/ref=sr_1_6?keywords=Klein+Tools+51609+3%2F4-Inch+Iron+Conduit+Bender+Head&amp;qid=1695174173&amp;sr=8-6", "https://www.amazon.com/Conduit-Technology-Benchmark-Klein-Tools/dp/B08L3ZQCT1/ref=sr_1_6?keywords=Klein+Tools+51609+3%2F4-Inch+Iron+Conduit+Bender+Head&amp;qid=1695174173&amp;sr=8-6")</f>
        <v/>
      </c>
      <c r="F776" t="inlineStr">
        <is>
          <t>B08L3ZQCT1</t>
        </is>
      </c>
      <c r="G776">
        <f>_xludf.IMAGE("https://edmondsonsupply.com/cdn/shop/products/51609.jpg?v=1661867147")</f>
        <v/>
      </c>
      <c r="H776">
        <f>_xludf.IMAGE("https://m.media-amazon.com/images/I/41stj4NcdUL._AC_UL320_.jpg")</f>
        <v/>
      </c>
      <c r="I776" t="inlineStr">
        <is>
          <t>59.99</t>
        </is>
      </c>
      <c r="J776" t="n">
        <v>99.97</v>
      </c>
      <c r="K776" s="3" t="inlineStr">
        <is>
          <t>66.64%</t>
        </is>
      </c>
      <c r="L776" t="n">
        <v>4.7</v>
      </c>
      <c r="M776" t="n">
        <v>60</v>
      </c>
      <c r="O776" t="inlineStr">
        <is>
          <t>InStock</t>
        </is>
      </c>
      <c r="P776" t="inlineStr">
        <is>
          <t>90.22</t>
        </is>
      </c>
      <c r="Q776" t="inlineStr">
        <is>
          <t>7797415837912</t>
        </is>
      </c>
    </row>
    <row r="777">
      <c r="A777" s="2">
        <f>HYPERLINK("https://edmondsonsupply.com/collections/electricians-tools/products/klein-1550-2-pocket-knife-carbon-steel-2-1-2-spearpoint-screwdriver-tip", "https://edmondsonsupply.com/collections/electricians-tools/products/klein-1550-2-pocket-knife-carbon-steel-2-1-2-spearpoint-screwdriver-tip")</f>
        <v/>
      </c>
      <c r="B777" s="2">
        <f>HYPERLINK("https://edmondsonsupply.com/products/klein-1550-2-pocket-knife-carbon-steel-2-1-2-spearpoint-screwdriver-tip", "https://edmondsonsupply.com/products/klein-1550-2-pocket-knife-carbon-steel-2-1-2-spearpoint-screwdriver-tip")</f>
        <v/>
      </c>
      <c r="C777" t="inlineStr">
        <is>
          <t>Klein Tools 1550-2 2 Blade Pocket Knife, Steel, 2-1/2-Inch Blade</t>
        </is>
      </c>
      <c r="D777" t="inlineStr">
        <is>
          <t>Klein Tools 44007 Electricians Knife, Lightweight Lockback Knife with 2-1/2-Inch Coping Blade and Silver Handle</t>
        </is>
      </c>
      <c r="E777" s="2">
        <f>HYPERLINK("https://www.amazon.com/Lightweight-Lockback-Klein-Tools-44007/dp/B001TJ1JVK/ref=sr_1_3?keywords=Klein+Tools+1550-2+2+Blade+Pocket+Knife%2C+Steel%2C+2-1%2F2-Inch+Blade&amp;qid=1695174176&amp;sr=8-3", "https://www.amazon.com/Lightweight-Lockback-Klein-Tools-44007/dp/B001TJ1JVK/ref=sr_1_3?keywords=Klein+Tools+1550-2+2+Blade+Pocket+Knife%2C+Steel%2C+2-1%2F2-Inch+Blade&amp;qid=1695174176&amp;sr=8-3")</f>
        <v/>
      </c>
      <c r="F777" t="inlineStr">
        <is>
          <t>B001TJ1JVK</t>
        </is>
      </c>
      <c r="G777">
        <f>_xludf.IMAGE("https://edmondsonsupply.com/cdn/shop/products/15502_b.jpg?v=1658020543")</f>
        <v/>
      </c>
      <c r="H777">
        <f>_xludf.IMAGE("https://m.media-amazon.com/images/I/71-kYHzVBIL._AC_UL320_.jpg")</f>
        <v/>
      </c>
      <c r="I777" t="inlineStr">
        <is>
          <t>29.99</t>
        </is>
      </c>
      <c r="J777" t="n">
        <v>49.97</v>
      </c>
      <c r="K777" s="3" t="inlineStr">
        <is>
          <t>66.62%</t>
        </is>
      </c>
      <c r="L777" t="n">
        <v>4.6</v>
      </c>
      <c r="M777" t="n">
        <v>60</v>
      </c>
      <c r="O777" t="inlineStr">
        <is>
          <t>InStock</t>
        </is>
      </c>
      <c r="P777" t="inlineStr">
        <is>
          <t>45.52</t>
        </is>
      </c>
      <c r="Q777" t="inlineStr">
        <is>
          <t>2766536409188</t>
        </is>
      </c>
    </row>
    <row r="778">
      <c r="A778" s="2">
        <f>HYPERLINK("https://edmondsonsupply.com/collections/electricians-tools/products/klein-tools-66078-flip-impact-socket-adapter-large-1-2-to-1-2-inch", "https://edmondsonsupply.com/collections/electricians-tools/products/klein-tools-66078-flip-impact-socket-adapter-large-1-2-to-1-2-inch")</f>
        <v/>
      </c>
      <c r="B778" s="2">
        <f>HYPERLINK("https://edmondsonsupply.com/products/klein-tools-66078-flip-impact-socket-adapter-large-1-2-to-1-2-inch", "https://edmondsonsupply.com/products/klein-tools-66078-flip-impact-socket-adapter-large-1-2-to-1-2-inch")</f>
        <v/>
      </c>
      <c r="C778" t="inlineStr">
        <is>
          <t>Klein Tools 66078 Flip Impact Socket Adapter, Large, 1/2 to 1/2-Inch</t>
        </is>
      </c>
      <c r="D778" t="inlineStr">
        <is>
          <t>Klein Tools 66078 Impact Flip Socket Adapter, Large 1/2 to 1/2 -Inch Square Adapter, Use with Klein Tools Flip Impact Socket Set 66070</t>
        </is>
      </c>
      <c r="E778" s="2">
        <f>HYPERLINK("https://www.amazon.com/Klein-Tools-66078-Impact-Adapter/dp/B0B33T15XS/ref=sr_1_1?keywords=Klein+Tools+66078+Flip+Impact+Socket+Adapter%2C+Large%2C+1%2F2+to+1%2F2-Inch&amp;qid=1695174159&amp;sr=8-1", "https://www.amazon.com/Klein-Tools-66078-Impact-Adapter/dp/B0B33T15XS/ref=sr_1_1?keywords=Klein+Tools+66078+Flip+Impact+Socket+Adapter%2C+Large%2C+1%2F2+to+1%2F2-Inch&amp;qid=1695174159&amp;sr=8-1")</f>
        <v/>
      </c>
      <c r="F778" t="inlineStr">
        <is>
          <t>B0B33T15XS</t>
        </is>
      </c>
      <c r="G778">
        <f>_xludf.IMAGE("https://edmondsonsupply.com/cdn/shop/products/66078.jpg?v=1674145294")</f>
        <v/>
      </c>
      <c r="H778">
        <f>_xludf.IMAGE("https://m.media-amazon.com/images/I/51cFYcsM3kL._AC_UL320_.jpg")</f>
        <v/>
      </c>
      <c r="I778" t="inlineStr">
        <is>
          <t>9.36</t>
        </is>
      </c>
      <c r="J778" t="n">
        <v>15.58</v>
      </c>
      <c r="K778" s="3" t="inlineStr">
        <is>
          <t>66.45%</t>
        </is>
      </c>
      <c r="L778" t="n">
        <v>5</v>
      </c>
      <c r="M778" t="n">
        <v>1</v>
      </c>
      <c r="O778" t="inlineStr">
        <is>
          <t>InStock</t>
        </is>
      </c>
      <c r="P778" t="inlineStr">
        <is>
          <t>15.6</t>
        </is>
      </c>
      <c r="Q778" t="inlineStr">
        <is>
          <t>7814086361304</t>
        </is>
      </c>
    </row>
    <row r="779">
      <c r="A779" s="2">
        <f>HYPERLINK("https://edmondsonsupply.com/collections/electricians-tools/products/diablo-tools-dmamx1360-1-1-2-in-x-16-in-x-21-in-rebar-demon%E2%84%A2-sds-max-4-cutter-carbide-tipped-hammer-drill-bit", "https://edmondsonsupply.com/collections/electricians-tools/products/diablo-tools-dmamx1360-1-1-2-in-x-16-in-x-21-in-rebar-demon%E2%84%A2-sds-max-4-cutter-carbide-tipped-hammer-drill-bit")</f>
        <v/>
      </c>
      <c r="B779" s="2">
        <f>HYPERLINK("https://edmondsonsupply.com/products/diablo-tools-dmamx1360-1-1-2-in-x-16-in-x-21-in-rebar-demon%e2%84%a2-sds-max-4-cutter-carbide-tipped-hammer-drill-bit", "https://edmondsonsupply.com/products/diablo-tools-dmamx1360-1-1-2-in-x-16-in-x-21-in-rebar-demon%e2%84%a2-sds-max-4-cutter-carbide-tipped-hammer-drill-bit")</f>
        <v/>
      </c>
      <c r="C779" t="inlineStr">
        <is>
          <t>Diablo Tools DMAMX1360 1-1/2 in. x 16 in. x 21 in. Rebar Demon™ SDS-Max 4-Cutter Carbide-Tipped Hammer Drill Bit</t>
        </is>
      </c>
      <c r="D779" t="inlineStr">
        <is>
          <t>Diablo by Freud DMAMX1380 1-1/2 in. x 31 in. x 36 in. Rebar Demon SDS-Max 4-Cutter Carbide-Tipped Hammer Bit</t>
        </is>
      </c>
      <c r="E779" s="2">
        <f>HYPERLINK("https://www.amazon.com/Diablo-SDS-Max-4-Cutter-Carbide-Tipped-Hammer/dp/B089KVRR1J/ref=sr_1_5?keywords=Diablo+Tools+DMAMX1360+1-1%2F2+in.+x+16+in.+x+21+in.+Rebar+Demon%E2%84%A2+SDS-Max+4-Cutter+Carbide-Tipped+Hammer+Drill+Bit&amp;qid=1695174071&amp;sr=8-5", "https://www.amazon.com/Diablo-SDS-Max-4-Cutter-Carbide-Tipped-Hammer/dp/B089KVRR1J/ref=sr_1_5?keywords=Diablo+Tools+DMAMX1360+1-1%2F2+in.+x+16+in.+x+21+in.+Rebar+Demon%E2%84%A2+SDS-Max+4-Cutter+Carbide-Tipped+Hammer+Drill+Bit&amp;qid=1695174071&amp;sr=8-5")</f>
        <v/>
      </c>
      <c r="F779" t="inlineStr">
        <is>
          <t>B089KVRR1J</t>
        </is>
      </c>
      <c r="G779">
        <f>_xludf.IMAGE("https://edmondsonsupply.com/cdn/shop/products/z2umcsdaj3y4uvsfnxoh.webp?v=1677257156")</f>
        <v/>
      </c>
      <c r="H779">
        <f>_xludf.IMAGE("https://m.media-amazon.com/images/I/61BDKHxJ3YL._AC_UL320_.jpg")</f>
        <v/>
      </c>
      <c r="I779" t="inlineStr">
        <is>
          <t>93.87</t>
        </is>
      </c>
      <c r="J779" t="n">
        <v>155.99</v>
      </c>
      <c r="K779" s="3" t="inlineStr">
        <is>
          <t>66.18%</t>
        </is>
      </c>
      <c r="L779" t="n">
        <v>5</v>
      </c>
      <c r="M779" t="n">
        <v>3</v>
      </c>
      <c r="O779" t="inlineStr">
        <is>
          <t>InStock</t>
        </is>
      </c>
      <c r="P779" t="inlineStr">
        <is>
          <t>149.01</t>
        </is>
      </c>
      <c r="Q779" t="inlineStr">
        <is>
          <t>7950786855128</t>
        </is>
      </c>
    </row>
    <row r="780">
      <c r="A780" s="2">
        <f>HYPERLINK("https://edmondsonsupply.com/collections/electricians-tools/products/klein-tools-32308-8-in-1-multi-bit-adjustable-length-stubby-screwdriver", "https://edmondsonsupply.com/collections/electricians-tools/products/klein-tools-32308-8-in-1-multi-bit-adjustable-length-stubby-screwdriver")</f>
        <v/>
      </c>
      <c r="B780" s="2">
        <f>HYPERLINK("https://edmondsonsupply.com/products/klein-tools-32308-8-in-1-multi-bit-adjustable-length-stubby-screwdriver", "https://edmondsonsupply.com/products/klein-tools-32308-8-in-1-multi-bit-adjustable-length-stubby-screwdriver")</f>
        <v/>
      </c>
      <c r="C780" t="inlineStr">
        <is>
          <t>Klein Tools 32308 8-in-1 Multi-Bit Adjustable Length Stubby Screwdriver</t>
        </is>
      </c>
      <c r="D780" t="inlineStr">
        <is>
          <t>Klein Tools 32308 Multi-bit Stubby Screwdriver &amp; 32561 Multi-Bit Screwdriver/Nut Driver, 6-in-1 Stubby Screwdriver with 2 Phillips, 2 Slotted Bits, 2 Nut Drivers</t>
        </is>
      </c>
      <c r="E780" s="2">
        <f>HYPERLINK("https://www.amazon.com/Klein-Tools-Multi-bit-Screwdriver-Multi-Bit/dp/B0B7N8RXDY/ref=sr_1_7?keywords=Klein+Tools+32308+8-in-1+Multi-Bit+Adjustable+Length+Stubby+Screwdriver&amp;qid=1695174224&amp;sr=8-7", "https://www.amazon.com/Klein-Tools-Multi-bit-Screwdriver-Multi-Bit/dp/B0B7N8RXDY/ref=sr_1_7?keywords=Klein+Tools+32308+8-in-1+Multi-Bit+Adjustable+Length+Stubby+Screwdriver&amp;qid=1695174224&amp;sr=8-7")</f>
        <v/>
      </c>
      <c r="F780" t="inlineStr">
        <is>
          <t>B0B7N8RXDY</t>
        </is>
      </c>
      <c r="G780">
        <f>_xludf.IMAGE("https://edmondsonsupply.com/cdn/shop/products/32308_b.jpg?v=1647348209")</f>
        <v/>
      </c>
      <c r="H780">
        <f>_xludf.IMAGE("https://m.media-amazon.com/images/I/514uFlHpM3L._AC_UL320_.jpg")</f>
        <v/>
      </c>
      <c r="I780" t="inlineStr">
        <is>
          <t>16.97</t>
        </is>
      </c>
      <c r="J780" t="n">
        <v>27.94</v>
      </c>
      <c r="K780" s="3" t="inlineStr">
        <is>
          <t>64.64%</t>
        </is>
      </c>
      <c r="L780" t="n">
        <v>5</v>
      </c>
      <c r="M780" t="n">
        <v>3</v>
      </c>
      <c r="O780" t="inlineStr">
        <is>
          <t>InStock</t>
        </is>
      </c>
      <c r="P780" t="inlineStr">
        <is>
          <t>23.78</t>
        </is>
      </c>
      <c r="Q780" t="inlineStr">
        <is>
          <t>7637271445720</t>
        </is>
      </c>
    </row>
    <row r="781">
      <c r="A781" s="2">
        <f>HYPERLINK("https://edmondsonsupply.com/collections/electricians-tools/products/klein-tools-rt110-receptacle-tester", "https://edmondsonsupply.com/collections/electricians-tools/products/klein-tools-rt110-receptacle-tester")</f>
        <v/>
      </c>
      <c r="B781" s="2">
        <f>HYPERLINK("https://edmondsonsupply.com/products/klein-tools-rt110-receptacle-tester", "https://edmondsonsupply.com/products/klein-tools-rt110-receptacle-tester")</f>
        <v/>
      </c>
      <c r="C781" t="inlineStr">
        <is>
          <t>Klein Tools RT110 Receptacle Tester</t>
        </is>
      </c>
      <c r="D781" t="inlineStr">
        <is>
          <t>Klein Tools NCVT1P Voltage Tester, 50V to 1000V AC, Audible and Flashing LED Alarms, Pocket Clip &amp; RT110 Outlet Tester, AC Electrical Receptacle Tester for North American Outlets</t>
        </is>
      </c>
      <c r="E781" s="2">
        <f>HYPERLINK("https://www.amazon.com/Klein-Tools-Flashing-Electrical-Receptacle/dp/B0BRM9Q8SF/ref=sr_1_2?keywords=Klein+Tools+RT110+Receptacle+Tester&amp;qid=1695174267&amp;sr=8-2", "https://www.amazon.com/Klein-Tools-Flashing-Electrical-Receptacle/dp/B0BRM9Q8SF/ref=sr_1_2?keywords=Klein+Tools+RT110+Receptacle+Tester&amp;qid=1695174267&amp;sr=8-2")</f>
        <v/>
      </c>
      <c r="F781" t="inlineStr">
        <is>
          <t>B0BRM9Q8SF</t>
        </is>
      </c>
      <c r="G781">
        <f>_xludf.IMAGE("https://edmondsonsupply.com/cdn/shop/products/rt110.jpg?v=1633031036")</f>
        <v/>
      </c>
      <c r="H781">
        <f>_xludf.IMAGE("https://m.media-amazon.com/images/I/41xqNIeskEL._AC_UL320_.jpg")</f>
        <v/>
      </c>
      <c r="I781" t="inlineStr">
        <is>
          <t>9.97</t>
        </is>
      </c>
      <c r="J781" t="n">
        <v>28.69</v>
      </c>
      <c r="K781" s="3" t="inlineStr">
        <is>
          <t>187.76%</t>
        </is>
      </c>
      <c r="L781" t="n">
        <v>5</v>
      </c>
      <c r="M781" t="n">
        <v>2</v>
      </c>
      <c r="O781" t="inlineStr">
        <is>
          <t>InStock</t>
        </is>
      </c>
      <c r="P781" t="inlineStr">
        <is>
          <t>12.12</t>
        </is>
      </c>
      <c r="Q781" t="inlineStr">
        <is>
          <t>6740486619309</t>
        </is>
      </c>
    </row>
    <row r="782">
      <c r="A782" s="2">
        <f>HYPERLINK("https://edmondsonsupply.com/collections/electricians-tools/products/klein-tools-65200-electricians-mini-ratchet-set-5-piece", "https://edmondsonsupply.com/collections/electricians-tools/products/klein-tools-65200-electricians-mini-ratchet-set-5-piece")</f>
        <v/>
      </c>
      <c r="B782" s="2">
        <f>HYPERLINK("https://edmondsonsupply.com/products/klein-tools-65200-electricians-mini-ratchet-set-5-piece", "https://edmondsonsupply.com/products/klein-tools-65200-electricians-mini-ratchet-set-5-piece")</f>
        <v/>
      </c>
      <c r="C782" t="inlineStr">
        <is>
          <t>Klein Tools 65200 Slim-Profile Mini Ratchet Set, 5-Piece</t>
        </is>
      </c>
      <c r="D782" t="inlineStr">
        <is>
          <t>Klein Tools 32717 Precision Screwdriver Set with Case &amp; 65200 Ratchet Set, 5-Piece Mini Ratchet Set with Phillips, Slotted, and Adapter for Other Socket Sizes, For Tight Spaces</t>
        </is>
      </c>
      <c r="E782" s="2">
        <f>HYPERLINK("https://www.amazon.com/Klein-Tools-Precision-Screwdriver-Phillips/dp/B0BK4M6YR9/ref=sr_1_6?keywords=Klein+Tools+65200+Slim-Profile+Mini+Ratchet+Set%2C+5-Piece&amp;qid=1695173845&amp;sr=8-6", "https://www.amazon.com/Klein-Tools-Precision-Screwdriver-Phillips/dp/B0BK4M6YR9/ref=sr_1_6?keywords=Klein+Tools+65200+Slim-Profile+Mini+Ratchet+Set%2C+5-Piece&amp;qid=1695173845&amp;sr=8-6")</f>
        <v/>
      </c>
      <c r="F782" t="inlineStr">
        <is>
          <t>B0BK4M6YR9</t>
        </is>
      </c>
      <c r="G782">
        <f>_xludf.IMAGE("https://edmondsonsupply.com/cdn/shop/products/65200.jpg?v=1633030630")</f>
        <v/>
      </c>
      <c r="H782">
        <f>_xludf.IMAGE("https://m.media-amazon.com/images/I/51dEfrYf+TL._AC_UL320_.jpg")</f>
        <v/>
      </c>
      <c r="I782" t="inlineStr">
        <is>
          <t>15.97</t>
        </is>
      </c>
      <c r="J782" t="n">
        <v>45.93</v>
      </c>
      <c r="K782" s="3" t="inlineStr">
        <is>
          <t>187.60%</t>
        </is>
      </c>
      <c r="L782" t="n">
        <v>5</v>
      </c>
      <c r="M782" t="n">
        <v>5</v>
      </c>
      <c r="O782" t="inlineStr">
        <is>
          <t>InStock</t>
        </is>
      </c>
      <c r="P782" t="inlineStr">
        <is>
          <t>20.96</t>
        </is>
      </c>
      <c r="Q782" t="inlineStr">
        <is>
          <t>5694440964264</t>
        </is>
      </c>
    </row>
    <row r="783">
      <c r="A783" s="2">
        <f>HYPERLINK("https://edmondsonsupply.com/collections/electricians-tools/products/klein-tools-ktsb03-step-drill-bit-double-fluted-3-1-4-to-3-4-inch", "https://edmondsonsupply.com/collections/electricians-tools/products/klein-tools-ktsb03-step-drill-bit-double-fluted-3-1-4-to-3-4-inch")</f>
        <v/>
      </c>
      <c r="B783" s="2">
        <f>HYPERLINK("https://edmondsonsupply.com/products/klein-tools-ktsb03-step-drill-bit-double-fluted-3-1-4-to-3-4-inch", "https://edmondsonsupply.com/products/klein-tools-ktsb03-step-drill-bit-double-fluted-3-1-4-to-3-4-inch")</f>
        <v/>
      </c>
      <c r="C783" t="inlineStr">
        <is>
          <t>Klein Tools KTSB03 Step Drill Bit Double Fluted #3, 1/4 to 3/4-Inch</t>
        </is>
      </c>
      <c r="D783" t="inlineStr">
        <is>
          <t>Klein Tools 25951 Electrician's Step Drill Bit Set, Spiral Double Fluted, Titanium Nitride Coating, 1/4-Inch Impact Shank, Case, 3-Piece</t>
        </is>
      </c>
      <c r="E783" s="2">
        <f>HYPERLINK("https://www.amazon.com/Klein-Tools-25951-Electricians-Titanium/dp/B0BLFRJLDX/ref=sr_1_2?keywords=Klein+Tools+KTSB03+Step+Drill+Bit+Double+Fluted&amp;qid=1695173948&amp;sr=8-2", "https://www.amazon.com/Klein-Tools-25951-Electricians-Titanium/dp/B0BLFRJLDX/ref=sr_1_2?keywords=Klein+Tools+KTSB03+Step+Drill+Bit+Double+Fluted&amp;qid=1695173948&amp;sr=8-2")</f>
        <v/>
      </c>
      <c r="F783" t="inlineStr">
        <is>
          <t>B0BLFRJLDX</t>
        </is>
      </c>
      <c r="G783">
        <f>_xludf.IMAGE("https://edmondsonsupply.com/cdn/shop/products/ktsb03.jpg?v=1666012212")</f>
        <v/>
      </c>
      <c r="H783">
        <f>_xludf.IMAGE("https://m.media-amazon.com/images/I/61dZd3WvlgL._AC_UY218_.jpg")</f>
        <v/>
      </c>
      <c r="I783" t="inlineStr">
        <is>
          <t>34.99</t>
        </is>
      </c>
      <c r="J783" t="n">
        <v>99.98999999999999</v>
      </c>
      <c r="K783" s="3" t="inlineStr">
        <is>
          <t>185.77%</t>
        </is>
      </c>
      <c r="L783" t="n">
        <v>3.8</v>
      </c>
      <c r="M783" t="n">
        <v>6</v>
      </c>
      <c r="O783" t="inlineStr">
        <is>
          <t>InStock</t>
        </is>
      </c>
      <c r="P783" t="inlineStr">
        <is>
          <t>47.68</t>
        </is>
      </c>
      <c r="Q783" t="inlineStr">
        <is>
          <t>4174339670116</t>
        </is>
      </c>
    </row>
    <row r="784">
      <c r="A784" s="2">
        <f>HYPERLINK("https://edmondsonsupply.com/collections/electricians-tools/products/klein-tools-60345-hard-hat-earmuffs-full-brim-style", "https://edmondsonsupply.com/collections/electricians-tools/products/klein-tools-60345-hard-hat-earmuffs-full-brim-style")</f>
        <v/>
      </c>
      <c r="B784" s="2">
        <f>HYPERLINK("https://edmondsonsupply.com/products/klein-tools-60345-hard-hat-earmuffs-full-brim-style", "https://edmondsonsupply.com/products/klein-tools-60345-hard-hat-earmuffs-full-brim-style")</f>
        <v/>
      </c>
      <c r="C784" t="inlineStr">
        <is>
          <t>Klein Tools 60502 Hard Hat Earmuffs, Full Brim Style</t>
        </is>
      </c>
      <c r="D784" t="inlineStr">
        <is>
          <t>Klein Tools 60407 Vented Full Brim Hard Hat with Rechargeable Headlamp and Klein Tools 60502 Earmuffs for Full Brim Style - Ultimate Job Site Protection and Comfort</t>
        </is>
      </c>
      <c r="E784" s="2">
        <f>HYPERLINK("https://www.amazon.com/Klein-Tools-Rechargeable-Headlamp-Earmuffs/dp/B0C1PYTDR6/ref=sr_1_2?keywords=Klein+Tools+60502+Hard+Hat+Earmuffs%2C+Full+Brim+Style&amp;qid=1695174082&amp;sr=8-2", "https://www.amazon.com/Klein-Tools-Rechargeable-Headlamp-Earmuffs/dp/B0C1PYTDR6/ref=sr_1_2?keywords=Klein+Tools+60502+Hard+Hat+Earmuffs%2C+Full+Brim+Style&amp;qid=1695174082&amp;sr=8-2")</f>
        <v/>
      </c>
      <c r="F784" t="inlineStr">
        <is>
          <t>B0C1PYTDR6</t>
        </is>
      </c>
      <c r="G784">
        <f>_xludf.IMAGE("https://edmondsonsupply.com/cdn/shop/products/60502.jpg?v=1674486730")</f>
        <v/>
      </c>
      <c r="H784">
        <f>_xludf.IMAGE("https://m.media-amazon.com/images/I/416L7EyyxQL._AC_UL320_.jpg")</f>
        <v/>
      </c>
      <c r="I784" t="inlineStr">
        <is>
          <t>29.99</t>
        </is>
      </c>
      <c r="J784" t="n">
        <v>84.95999999999999</v>
      </c>
      <c r="K784" s="3" t="inlineStr">
        <is>
          <t>183.29%</t>
        </is>
      </c>
      <c r="L784" t="n">
        <v>5</v>
      </c>
      <c r="M784" t="n">
        <v>1</v>
      </c>
      <c r="O784" t="inlineStr">
        <is>
          <t>InStock</t>
        </is>
      </c>
      <c r="P784" t="inlineStr">
        <is>
          <t>41.98</t>
        </is>
      </c>
      <c r="Q784" t="inlineStr">
        <is>
          <t>7931874869464</t>
        </is>
      </c>
    </row>
    <row r="785">
      <c r="A785" s="2">
        <f>HYPERLINK("https://edmondsonsupply.com/collections/electricians-tools/products/milwaukee-48-22-2930-4-in-1-precision-multi-bit-screwdriver", "https://edmondsonsupply.com/collections/electricians-tools/products/milwaukee-48-22-2930-4-in-1-precision-multi-bit-screwdriver")</f>
        <v/>
      </c>
      <c r="B785" s="2">
        <f>HYPERLINK("https://edmondsonsupply.com/products/milwaukee-48-22-2930-4-in-1-precision-multi-bit-screwdriver", "https://edmondsonsupply.com/products/milwaukee-48-22-2930-4-in-1-precision-multi-bit-screwdriver")</f>
        <v/>
      </c>
      <c r="C785" t="inlineStr">
        <is>
          <t>Milwaukee 48-22-2930 4-in-1 Precision Multi-Bit Screwdriver</t>
        </is>
      </c>
      <c r="D785" t="inlineStr">
        <is>
          <t>48-22-2330 for Milwaukee 8-in-1 Compact Ratcheting Multi-Bit Screwdriver</t>
        </is>
      </c>
      <c r="E785" s="2">
        <f>HYPERLINK("https://www.amazon.com/48-22-2330-Milwaukee-Ratcheting-Multi-Bit-Screwdriver/dp/B0C2VXJ8ZN/ref=sr_1_1?keywords=Milwaukee+48-22-2930+4-in-1+Precision+Multi-Bit+Screwdriver&amp;qid=1695173899&amp;sr=8-1", "https://www.amazon.com/48-22-2330-Milwaukee-Ratcheting-Multi-Bit-Screwdriver/dp/B0C2VXJ8ZN/ref=sr_1_1?keywords=Milwaukee+48-22-2930+4-in-1+Precision+Multi-Bit+Screwdriver&amp;qid=1695173899&amp;sr=8-1")</f>
        <v/>
      </c>
      <c r="F785" t="inlineStr">
        <is>
          <t>B0C2VXJ8ZN</t>
        </is>
      </c>
      <c r="G785">
        <f>_xludf.IMAGE("https://edmondsonsupply.com/cdn/shop/files/48-22-2930_PrimaryImage_WEB.webp?v=1686154438")</f>
        <v/>
      </c>
      <c r="H785">
        <f>_xludf.IMAGE("https://m.media-amazon.com/images/I/51NHRcqTkvL._AC_UL320_.jpg")</f>
        <v/>
      </c>
      <c r="I785" t="inlineStr">
        <is>
          <t>12.97</t>
        </is>
      </c>
      <c r="J785" t="n">
        <v>36.72</v>
      </c>
      <c r="K785" s="3" t="inlineStr">
        <is>
          <t>183.11%</t>
        </is>
      </c>
      <c r="L785" t="n">
        <v>5</v>
      </c>
      <c r="M785" t="n">
        <v>1</v>
      </c>
      <c r="O785" t="inlineStr">
        <is>
          <t>InStock</t>
        </is>
      </c>
      <c r="P785" t="inlineStr">
        <is>
          <t>17.3</t>
        </is>
      </c>
      <c r="Q785" t="inlineStr">
        <is>
          <t>7970427142360</t>
        </is>
      </c>
    </row>
    <row r="786">
      <c r="A786" s="2">
        <f>HYPERLINK("https://edmondsonsupply.com/collections/electricians-tools/products/klein-tools-614-2-1-16-inch-slotted-electronics-screwdriver-2-inch", "https://edmondsonsupply.com/collections/electricians-tools/products/klein-tools-614-2-1-16-inch-slotted-electronics-screwdriver-2-inch")</f>
        <v/>
      </c>
      <c r="B786" s="2">
        <f>HYPERLINK("https://edmondsonsupply.com/products/klein-tools-614-2-1-16-inch-slotted-electronics-screwdriver-2-inch", "https://edmondsonsupply.com/products/klein-tools-614-2-1-16-inch-slotted-electronics-screwdriver-2-inch")</f>
        <v/>
      </c>
      <c r="C786" t="inlineStr">
        <is>
          <t>Klein Tools 614-2 1/16-Inch Slotted Electronics Screwdriver, 2-Inch</t>
        </is>
      </c>
      <c r="D786" t="inlineStr">
        <is>
          <t>Klein Tools 85153K Slotted Screw-Holding Screwdriver Set, 3/16-Inch, 1/4-Inch Split-Blade Flat Head Driver, Positive Gripping Action, 2-Piece</t>
        </is>
      </c>
      <c r="E786" s="2">
        <f>HYPERLINK("https://www.amazon.com/Klein-Tools-85153K-Screw-Holding-Screwdriver/dp/B0CFRP1K3L/ref=sr_1_4?keywords=Klein+Tools+614-2+1%2F16-Inch+Slotted+Electronics+Screwdriver%2C+2-Inch&amp;qid=1695174229&amp;sr=8-4", "https://www.amazon.com/Klein-Tools-85153K-Screw-Holding-Screwdriver/dp/B0CFRP1K3L/ref=sr_1_4?keywords=Klein+Tools+614-2+1%2F16-Inch+Slotted+Electronics+Screwdriver%2C+2-Inch&amp;qid=1695174229&amp;sr=8-4")</f>
        <v/>
      </c>
      <c r="F786" t="inlineStr">
        <is>
          <t>B0CFRP1K3L</t>
        </is>
      </c>
      <c r="G786">
        <f>_xludf.IMAGE("https://edmondsonsupply.com/cdn/shop/products/614-2.jpg?v=1637284311")</f>
        <v/>
      </c>
      <c r="H786">
        <f>_xludf.IMAGE("https://m.media-amazon.com/images/I/41KoRmOkBpL._AC_UL320_.jpg")</f>
        <v/>
      </c>
      <c r="I786" t="inlineStr">
        <is>
          <t>8.49</t>
        </is>
      </c>
      <c r="J786" t="n">
        <v>23.97</v>
      </c>
      <c r="K786" s="3" t="inlineStr">
        <is>
          <t>182.33%</t>
        </is>
      </c>
      <c r="L786" t="n">
        <v>5</v>
      </c>
      <c r="M786" t="n">
        <v>1</v>
      </c>
      <c r="O786" t="inlineStr">
        <is>
          <t>InStock</t>
        </is>
      </c>
      <c r="P786" t="inlineStr">
        <is>
          <t>12.86</t>
        </is>
      </c>
      <c r="Q786" t="inlineStr">
        <is>
          <t>7512018616536</t>
        </is>
      </c>
    </row>
    <row r="787">
      <c r="A787" s="2">
        <f>HYPERLINK("https://edmondsonsupply.com/collections/electricians-tools/products/klein-tools-3005cr-ratcheting-crimper-10-22-awg", "https://edmondsonsupply.com/collections/electricians-tools/products/klein-tools-3005cr-ratcheting-crimper-10-22-awg")</f>
        <v/>
      </c>
      <c r="B787" s="2">
        <f>HYPERLINK("https://edmondsonsupply.com/products/klein-tools-3005cr-ratcheting-crimper-10-22-awg", "https://edmondsonsupply.com/products/klein-tools-3005cr-ratcheting-crimper-10-22-awg")</f>
        <v/>
      </c>
      <c r="C787" t="inlineStr">
        <is>
          <t>Klein Tools 3005CR Ratcheting Crimper, 10-22 AWG - Insulated Terminals</t>
        </is>
      </c>
      <c r="D787" t="inlineStr">
        <is>
          <t>Automatic Wire Stripper 10-24 AWG &amp; Klein Tools 3005CR Wire Crimper Tool, Ratcheting Insulated Terminal Crimper for 10 to 22 AWG Wire</t>
        </is>
      </c>
      <c r="E787" s="2">
        <f>HYPERLINK("https://www.amazon.com/Automatic-Stripper-Ratcheting-Insulated-Terminal/dp/B0BM3NKTGN/ref=sr_1_5?keywords=Klein+Tools+3005CR+Ratcheting+Crimper%2C+10-22+AWG+-+Insulated+Terminals&amp;qid=1695173864&amp;sr=8-5", "https://www.amazon.com/Automatic-Stripper-Ratcheting-Insulated-Terminal/dp/B0BM3NKTGN/ref=sr_1_5?keywords=Klein+Tools+3005CR+Ratcheting+Crimper%2C+10-22+AWG+-+Insulated+Terminals&amp;qid=1695173864&amp;sr=8-5")</f>
        <v/>
      </c>
      <c r="F787" t="inlineStr">
        <is>
          <t>B0BM3NKTGN</t>
        </is>
      </c>
      <c r="G787">
        <f>_xludf.IMAGE("https://edmondsonsupply.com/cdn/shop/products/3005cr.jpg?v=1587146892")</f>
        <v/>
      </c>
      <c r="H787">
        <f>_xludf.IMAGE("https://m.media-amazon.com/images/I/41G9n+KVXLL._AC_UL320_.jpg")</f>
        <v/>
      </c>
      <c r="I787" t="inlineStr">
        <is>
          <t>29.97</t>
        </is>
      </c>
      <c r="J787" t="n">
        <v>84.48999999999999</v>
      </c>
      <c r="K787" s="3" t="inlineStr">
        <is>
          <t>181.92%</t>
        </is>
      </c>
      <c r="L787" t="n">
        <v>4.6</v>
      </c>
      <c r="M787" t="n">
        <v>1243</v>
      </c>
      <c r="O787" t="inlineStr">
        <is>
          <t>InStock</t>
        </is>
      </c>
      <c r="P787" t="inlineStr">
        <is>
          <t>42.9</t>
        </is>
      </c>
      <c r="Q787" t="inlineStr">
        <is>
          <t>3699388907620</t>
        </is>
      </c>
    </row>
    <row r="788">
      <c r="A788" s="2">
        <f>HYPERLINK("https://edmondsonsupply.com/collections/electricians-tools/products/klein-tools-32314-14-in-1-precision-screwdriver-nut-driver", "https://edmondsonsupply.com/collections/electricians-tools/products/klein-tools-32314-14-in-1-precision-screwdriver-nut-driver")</f>
        <v/>
      </c>
      <c r="B788" s="2">
        <f>HYPERLINK("https://edmondsonsupply.com/products/klein-tools-32314-14-in-1-precision-screwdriver-nut-driver", "https://edmondsonsupply.com/products/klein-tools-32314-14-in-1-precision-screwdriver-nut-driver")</f>
        <v/>
      </c>
      <c r="C788" t="inlineStr">
        <is>
          <t>Klein Tools 32314 14-in-1 Precision Screwdriver/ Nut Driver</t>
        </is>
      </c>
      <c r="D788" t="inlineStr">
        <is>
          <t>Klein Tools 32807MAG 7-in-1 Nut Driver &amp; 32314 Electronic Screwdriver, 14-in-1 with 8 Precision Tips, Slotted, Phillips, and Tamperproof TORX Bits, 6 Precision Nut Drivers</t>
        </is>
      </c>
      <c r="E788" s="2">
        <f>HYPERLINK("https://www.amazon.com/Klein-Tools-Electronic-Screwdriver-Tamperproof/dp/B09Q66YZ6V/ref=sr_1_7?keywords=Klein+Tools+32314+14-in-1+Precision+Screwdriver%2F+Nut+Driver&amp;qid=1695173878&amp;sr=8-7", "https://www.amazon.com/Klein-Tools-Electronic-Screwdriver-Tamperproof/dp/B09Q66YZ6V/ref=sr_1_7?keywords=Klein+Tools+32314+14-in-1+Precision+Screwdriver%2F+Nut+Driver&amp;qid=1695173878&amp;sr=8-7")</f>
        <v/>
      </c>
      <c r="F788" t="inlineStr">
        <is>
          <t>B09Q66YZ6V</t>
        </is>
      </c>
      <c r="G788">
        <f>_xludf.IMAGE("https://edmondsonsupply.com/cdn/shop/products/32314.jpg?v=1646593726")</f>
        <v/>
      </c>
      <c r="H788">
        <f>_xludf.IMAGE("https://m.media-amazon.com/images/I/41HuaH+HvHL._AC_UL320_.jpg")</f>
        <v/>
      </c>
      <c r="I788" t="inlineStr">
        <is>
          <t>15.97</t>
        </is>
      </c>
      <c r="J788" t="n">
        <v>44.94</v>
      </c>
      <c r="K788" s="3" t="inlineStr">
        <is>
          <t>181.40%</t>
        </is>
      </c>
      <c r="L788" t="n">
        <v>4.7</v>
      </c>
      <c r="M788" t="n">
        <v>7</v>
      </c>
      <c r="O788" t="inlineStr">
        <is>
          <t>InStock</t>
        </is>
      </c>
      <c r="P788" t="inlineStr">
        <is>
          <t>22.38</t>
        </is>
      </c>
      <c r="Q788" t="inlineStr">
        <is>
          <t>7626984947928</t>
        </is>
      </c>
    </row>
    <row r="789">
      <c r="A789" s="2">
        <f>HYPERLINK("https://edmondsonsupply.com/collections/electricians-tools/products/klein-tools-32314-14-in-1-precision-screwdriver-nut-driver", "https://edmondsonsupply.com/collections/electricians-tools/products/klein-tools-32314-14-in-1-precision-screwdriver-nut-driver")</f>
        <v/>
      </c>
      <c r="B789" s="2">
        <f>HYPERLINK("https://edmondsonsupply.com/products/klein-tools-32314-14-in-1-precision-screwdriver-nut-driver", "https://edmondsonsupply.com/products/klein-tools-32314-14-in-1-precision-screwdriver-nut-driver")</f>
        <v/>
      </c>
      <c r="C789" t="inlineStr">
        <is>
          <t>Klein Tools 32314 14-in-1 Precision Screwdriver/ Nut Driver</t>
        </is>
      </c>
      <c r="D789" t="inlineStr">
        <is>
          <t>Klein Tools 32717 Precision Screwdriver Set &amp; 32314 Electronic Screwdriver, 14-in-1 with 8 Precision Tips, Slotted, Phillips, and Tamperproof TORX Bits, 6 Precision Nut Drivers</t>
        </is>
      </c>
      <c r="E789" s="2">
        <f>HYPERLINK("https://www.amazon.com/Klein-Tools-Screwdriver-Electronic-Tamperproof/dp/B0BF5CJP5B/ref=sr_1_4?keywords=Klein+Tools+32314+14-in-1+Precision+Screwdriver%2F+Nut+Driver&amp;qid=1695173878&amp;sr=8-4", "https://www.amazon.com/Klein-Tools-Screwdriver-Electronic-Tamperproof/dp/B0BF5CJP5B/ref=sr_1_4?keywords=Klein+Tools+32314+14-in-1+Precision+Screwdriver%2F+Nut+Driver&amp;qid=1695173878&amp;sr=8-4")</f>
        <v/>
      </c>
      <c r="F789" t="inlineStr">
        <is>
          <t>B0BF5CJP5B</t>
        </is>
      </c>
      <c r="G789">
        <f>_xludf.IMAGE("https://edmondsonsupply.com/cdn/shop/products/32314.jpg?v=1646593726")</f>
        <v/>
      </c>
      <c r="H789">
        <f>_xludf.IMAGE("https://m.media-amazon.com/images/I/51UXV8J5F1L._AC_UL320_.jpg")</f>
        <v/>
      </c>
      <c r="I789" t="inlineStr">
        <is>
          <t>15.97</t>
        </is>
      </c>
      <c r="J789" t="n">
        <v>44.94</v>
      </c>
      <c r="K789" s="3" t="inlineStr">
        <is>
          <t>181.40%</t>
        </is>
      </c>
      <c r="L789" t="n">
        <v>4.9</v>
      </c>
      <c r="M789" t="n">
        <v>9</v>
      </c>
      <c r="O789" t="inlineStr">
        <is>
          <t>InStock</t>
        </is>
      </c>
      <c r="P789" t="inlineStr">
        <is>
          <t>22.38</t>
        </is>
      </c>
      <c r="Q789" t="inlineStr">
        <is>
          <t>7626984947928</t>
        </is>
      </c>
    </row>
    <row r="790">
      <c r="A790" s="2">
        <f>HYPERLINK("https://edmondsonsupply.com/collections/electricians-tools/products/klein-tools-50611ml-magnetic-wire-puller-replacement-leader", "https://edmondsonsupply.com/collections/electricians-tools/products/klein-tools-50611ml-magnetic-wire-puller-replacement-leader")</f>
        <v/>
      </c>
      <c r="B790" s="2">
        <f>HYPERLINK("https://edmondsonsupply.com/products/klein-tools-50611ml-magnetic-wire-puller-replacement-leader", "https://edmondsonsupply.com/products/klein-tools-50611ml-magnetic-wire-puller-replacement-leader")</f>
        <v/>
      </c>
      <c r="C790" t="inlineStr">
        <is>
          <t>Klein Tools 50611ML Magnetic Wire Puller Replacement Leader</t>
        </is>
      </c>
      <c r="D790" t="inlineStr">
        <is>
          <t>Klein Tools 50611 Magnetic Wire Puller, Fishes and Pulls Wire Cable Behind Walls or Tight Spaces, Stainless-Steel Leader, Rare Earth Magnet</t>
        </is>
      </c>
      <c r="E790" s="2">
        <f>HYPERLINK("https://www.amazon.com/Magnetic-Puller-Stainless-Steel-Klein-Tools/dp/B093J6Z5QT/ref=sr_1_3?keywords=Klein+Tools+50611ML+Magnetic+Wire+Puller+Replacement+Leader&amp;qid=1695174150&amp;sr=8-3", "https://www.amazon.com/Magnetic-Puller-Stainless-Steel-Klein-Tools/dp/B093J6Z5QT/ref=sr_1_3?keywords=Klein+Tools+50611ML+Magnetic+Wire+Puller+Replacement+Leader&amp;qid=1695174150&amp;sr=8-3")</f>
        <v/>
      </c>
      <c r="F790" t="inlineStr">
        <is>
          <t>B093J6Z5QT</t>
        </is>
      </c>
      <c r="G790">
        <f>_xludf.IMAGE("https://edmondsonsupply.com/cdn/shop/products/50611ml.jpg?v=1664399271")</f>
        <v/>
      </c>
      <c r="H790">
        <f>_xludf.IMAGE("https://m.media-amazon.com/images/I/5165nncGD9S._AC_UL320_.jpg")</f>
        <v/>
      </c>
      <c r="I790" t="inlineStr">
        <is>
          <t>24.99</t>
        </is>
      </c>
      <c r="J790" t="n">
        <v>69.97</v>
      </c>
      <c r="K790" s="3" t="inlineStr">
        <is>
          <t>179.99%</t>
        </is>
      </c>
      <c r="L790" t="n">
        <v>4.6</v>
      </c>
      <c r="M790" t="n">
        <v>500</v>
      </c>
      <c r="O790" t="inlineStr">
        <is>
          <t>InStock</t>
        </is>
      </c>
      <c r="P790" t="inlineStr">
        <is>
          <t>36.06</t>
        </is>
      </c>
      <c r="Q790" t="inlineStr">
        <is>
          <t>7832399937752</t>
        </is>
      </c>
    </row>
    <row r="791">
      <c r="A791" s="2">
        <f>HYPERLINK("https://edmondsonsupply.com/collections/electricians-tools/products/klein-tools-66076-flip-impact-socket-9-16-and-1-2-inch", "https://edmondsonsupply.com/collections/electricians-tools/products/klein-tools-66076-flip-impact-socket-9-16-and-1-2-inch")</f>
        <v/>
      </c>
      <c r="B791" s="2">
        <f>HYPERLINK("https://edmondsonsupply.com/products/klein-tools-66076-flip-impact-socket-9-16-and-1-2-inch", "https://edmondsonsupply.com/products/klein-tools-66076-flip-impact-socket-9-16-and-1-2-inch")</f>
        <v/>
      </c>
      <c r="C791" t="inlineStr">
        <is>
          <t>Klein Tools 66076 Flip Impact Socket, 9/16 and 1/2-Inch</t>
        </is>
      </c>
      <c r="D791" t="inlineStr">
        <is>
          <t>Klein Tools 32900 Impact Driver, 7-in-1 Impact Flip Socket Set with Handle, 6 Hex Driver Sizes plus a 1/4-Inch Bit Holder</t>
        </is>
      </c>
      <c r="E791" s="2">
        <f>HYPERLINK("https://www.amazon.com/Klein-Tools-32900-Impact-Driver/dp/B09PZG4F8X/ref=sr_1_7?keywords=Klein+Tools+66076+Flip+Impact+Socket%2C+9%2F16+and+1%2F2-Inch&amp;qid=1695174172&amp;sr=8-7", "https://www.amazon.com/Klein-Tools-32900-Impact-Driver/dp/B09PZG4F8X/ref=sr_1_7?keywords=Klein+Tools+66076+Flip+Impact+Socket%2C+9%2F16+and+1%2F2-Inch&amp;qid=1695174172&amp;sr=8-7")</f>
        <v/>
      </c>
      <c r="F791" t="inlineStr">
        <is>
          <t>B09PZG4F8X</t>
        </is>
      </c>
      <c r="G791">
        <f>_xludf.IMAGE("https://edmondsonsupply.com/cdn/shop/products/66076.jpg?v=1663083814")</f>
        <v/>
      </c>
      <c r="H791">
        <f>_xludf.IMAGE("https://m.media-amazon.com/images/I/51qL2uXqcTL._AC_UL320_.jpg")</f>
        <v/>
      </c>
      <c r="I791" t="inlineStr">
        <is>
          <t>10.71</t>
        </is>
      </c>
      <c r="J791" t="n">
        <v>29.97</v>
      </c>
      <c r="K791" s="3" t="inlineStr">
        <is>
          <t>179.83%</t>
        </is>
      </c>
      <c r="L791" t="n">
        <v>4.7</v>
      </c>
      <c r="M791" t="n">
        <v>2493</v>
      </c>
      <c r="O791" t="inlineStr">
        <is>
          <t>InStock</t>
        </is>
      </c>
      <c r="P791" t="inlineStr">
        <is>
          <t>15.0</t>
        </is>
      </c>
      <c r="Q791" t="inlineStr">
        <is>
          <t>7814133874904</t>
        </is>
      </c>
    </row>
    <row r="792">
      <c r="A792" s="2">
        <f>HYPERLINK("https://edmondsonsupply.com/collections/electricians-tools/products/klein-tools-rt250-gfci-receptacle-tester-with-lcd", "https://edmondsonsupply.com/collections/electricians-tools/products/klein-tools-rt250-gfci-receptacle-tester-with-lcd")</f>
        <v/>
      </c>
      <c r="B792" s="2">
        <f>HYPERLINK("https://edmondsonsupply.com/products/klein-tools-rt250-gfci-receptacle-tester-with-lcd", "https://edmondsonsupply.com/products/klein-tools-rt250-gfci-receptacle-tester-with-lcd")</f>
        <v/>
      </c>
      <c r="C792" t="inlineStr">
        <is>
          <t>Klein Tools RT250 GFCI Receptacle Tester with LCD</t>
        </is>
      </c>
      <c r="D792" t="inlineStr">
        <is>
          <t>Klein Tools RT310 Receptacle Tester, AFCI and GFCI Outlet and Device Tester &amp; Klein Tools RT250 GFCI Receptacle Tester with LCD Display, for Standard 3-Wire 120V Electrical Outlets</t>
        </is>
      </c>
      <c r="E792" s="2">
        <f>HYPERLINK("https://www.amazon.com/Klein-Tools-Receptacle-Standard-Electrical/dp/B0BD3YZ7JV/ref=sr_1_7?keywords=Klein+Tools+RT250+GFCI+Receptacle+Tester+with+LCD&amp;qid=1695174176&amp;sr=8-7", "https://www.amazon.com/Klein-Tools-Receptacle-Standard-Electrical/dp/B0BD3YZ7JV/ref=sr_1_7?keywords=Klein+Tools+RT250+GFCI+Receptacle+Tester+with+LCD&amp;qid=1695174176&amp;sr=8-7")</f>
        <v/>
      </c>
      <c r="F792" t="inlineStr">
        <is>
          <t>B0BD3YZ7JV</t>
        </is>
      </c>
      <c r="G792">
        <f>_xludf.IMAGE("https://edmondsonsupply.com/cdn/shop/products/rt250_photo_c.jpg?v=1661363824")</f>
        <v/>
      </c>
      <c r="H792">
        <f>_xludf.IMAGE("https://m.media-amazon.com/images/I/51iiNw5cTJL._AC_UL320_.jpg")</f>
        <v/>
      </c>
      <c r="I792" t="inlineStr">
        <is>
          <t>21.97</t>
        </is>
      </c>
      <c r="J792" t="n">
        <v>61.4</v>
      </c>
      <c r="K792" s="3" t="inlineStr">
        <is>
          <t>179.47%</t>
        </is>
      </c>
      <c r="L792" t="n">
        <v>4.7</v>
      </c>
      <c r="M792" t="n">
        <v>6</v>
      </c>
      <c r="O792" t="inlineStr">
        <is>
          <t>InStock</t>
        </is>
      </c>
      <c r="P792" t="inlineStr">
        <is>
          <t>30.78</t>
        </is>
      </c>
      <c r="Q792" t="inlineStr">
        <is>
          <t>7793138729176</t>
        </is>
      </c>
    </row>
    <row r="793">
      <c r="A793" s="2">
        <f>HYPERLINK("https://edmondsonsupply.com/collections/electricians-tools/products/klein-tools-85616-precision-screwdriver-set-torx%C2%AE-4-piece", "https://edmondsonsupply.com/collections/electricians-tools/products/klein-tools-85616-precision-screwdriver-set-torx%C2%AE-4-piece")</f>
        <v/>
      </c>
      <c r="B793" s="2">
        <f>HYPERLINK("https://edmondsonsupply.com/products/klein-tools-85616-precision-screwdriver-set-torx%c2%ae-4-piece", "https://edmondsonsupply.com/products/klein-tools-85616-precision-screwdriver-set-torx%c2%ae-4-piece")</f>
        <v/>
      </c>
      <c r="C793" t="inlineStr">
        <is>
          <t>Klein Tools 85616 Precision Screwdriver Set, TORX® 4-Piece</t>
        </is>
      </c>
      <c r="D793" t="inlineStr">
        <is>
          <t>Klein Tools 85614 Precision Screwdriver Set, Electronics Slotted and Phillips Screwdrivers with Rotating Caps and Color-Coded Rings, 5-Piece</t>
        </is>
      </c>
      <c r="E793" s="2">
        <f>HYPERLINK("https://www.amazon.com/Klein-Tools-85614-Electronic-Screwdriver/dp/B0076RWZMQ/ref=sr_1_4?keywords=Klein+Tools+85616+Precision+Screwdriver+Set%2C+TORX%C2%AE+4-Piece&amp;qid=1695173993&amp;sr=8-4", "https://www.amazon.com/Klein-Tools-85614-Electronic-Screwdriver/dp/B0076RWZMQ/ref=sr_1_4?keywords=Klein+Tools+85616+Precision+Screwdriver+Set%2C+TORX%C2%AE+4-Piece&amp;qid=1695173993&amp;sr=8-4")</f>
        <v/>
      </c>
      <c r="F793" t="inlineStr">
        <is>
          <t>B0076RWZMQ</t>
        </is>
      </c>
      <c r="G793">
        <f>_xludf.IMAGE("https://edmondsonsupply.com/cdn/shop/files/85616_kit.jpg?v=1689873488")</f>
        <v/>
      </c>
      <c r="H793">
        <f>_xludf.IMAGE("https://m.media-amazon.com/images/I/510TMeDdIiL._AC_UL320_.jpg")</f>
        <v/>
      </c>
      <c r="I793" t="inlineStr">
        <is>
          <t>19.97</t>
        </is>
      </c>
      <c r="J793" t="n">
        <v>55.67</v>
      </c>
      <c r="K793" s="3" t="inlineStr">
        <is>
          <t>178.77%</t>
        </is>
      </c>
      <c r="L793" t="n">
        <v>4.8</v>
      </c>
      <c r="M793" t="n">
        <v>590</v>
      </c>
      <c r="O793" t="inlineStr">
        <is>
          <t>InStock</t>
        </is>
      </c>
      <c r="P793" t="inlineStr">
        <is>
          <t>27.98</t>
        </is>
      </c>
      <c r="Q793" t="inlineStr">
        <is>
          <t>8018843861208</t>
        </is>
      </c>
    </row>
    <row r="794">
      <c r="A794" s="2">
        <f>HYPERLINK("https://edmondsonsupply.com/collections/electricians-tools/products/klein-tools-32308-8-in-1-multi-bit-adjustable-length-stubby-screwdriver", "https://edmondsonsupply.com/collections/electricians-tools/products/klein-tools-32308-8-in-1-multi-bit-adjustable-length-stubby-screwdriver")</f>
        <v/>
      </c>
      <c r="B794" s="2">
        <f>HYPERLINK("https://edmondsonsupply.com/products/klein-tools-32308-8-in-1-multi-bit-adjustable-length-stubby-screwdriver", "https://edmondsonsupply.com/products/klein-tools-32308-8-in-1-multi-bit-adjustable-length-stubby-screwdriver")</f>
        <v/>
      </c>
      <c r="C794" t="inlineStr">
        <is>
          <t>Klein Tools 32308 8-in-1 Multi-Bit Adjustable Length Stubby Screwdriver</t>
        </is>
      </c>
      <c r="D794" t="inlineStr">
        <is>
          <t>Klein Tools 32807MAG 7-in-1 Nut Driver &amp; 32308 Multi-bit Stubby Screwdriver, Impact Rated 8-in-1 Adjustable Magnetic Tool with Phillips, Slotted, Square and Nut Driver</t>
        </is>
      </c>
      <c r="E794" s="2">
        <f>HYPERLINK("https://www.amazon.com/Klein-Tools-Multi-bit-Screwdriver-Adjustable/dp/B0B2DDKN6X/ref=sr_1_5?keywords=Klein+Tools+32308+8-in-1+Multi-Bit+Adjustable+Length+Stubby+Screwdriver&amp;qid=1695174224&amp;sr=8-5", "https://www.amazon.com/Klein-Tools-Multi-bit-Screwdriver-Adjustable/dp/B0B2DDKN6X/ref=sr_1_5?keywords=Klein+Tools+32308+8-in-1+Multi-Bit+Adjustable+Length+Stubby+Screwdriver&amp;qid=1695174224&amp;sr=8-5")</f>
        <v/>
      </c>
      <c r="F794" t="inlineStr">
        <is>
          <t>B0B2DDKN6X</t>
        </is>
      </c>
      <c r="G794">
        <f>_xludf.IMAGE("https://edmondsonsupply.com/cdn/shop/products/32308_b.jpg?v=1647348209")</f>
        <v/>
      </c>
      <c r="H794">
        <f>_xludf.IMAGE("https://m.media-amazon.com/images/I/513U9I4oXnL._AC_UL320_.jpg")</f>
        <v/>
      </c>
      <c r="I794" t="inlineStr">
        <is>
          <t>16.97</t>
        </is>
      </c>
      <c r="J794" t="n">
        <v>46.94</v>
      </c>
      <c r="K794" s="3" t="inlineStr">
        <is>
          <t>176.61%</t>
        </is>
      </c>
      <c r="L794" t="n">
        <v>4.9</v>
      </c>
      <c r="M794" t="n">
        <v>14</v>
      </c>
      <c r="O794" t="inlineStr">
        <is>
          <t>InStock</t>
        </is>
      </c>
      <c r="P794" t="inlineStr">
        <is>
          <t>23.78</t>
        </is>
      </c>
      <c r="Q794" t="inlineStr">
        <is>
          <t>7637271445720</t>
        </is>
      </c>
    </row>
    <row r="795">
      <c r="A795" s="2">
        <f>HYPERLINK("https://edmondsonsupply.com/collections/electricians-tools/products/milwaukee-2458-21-m12%E2%84%A2-cordless-lithium-ion-palm-nailer-kit", "https://edmondsonsupply.com/collections/electricians-tools/products/milwaukee-2458-21-m12%E2%84%A2-cordless-lithium-ion-palm-nailer-kit")</f>
        <v/>
      </c>
      <c r="B795" s="2">
        <f>HYPERLINK("https://edmondsonsupply.com/products/milwaukee-2458-21-m12%e2%84%a2-cordless-lithium-ion-palm-nailer-kit", "https://edmondsonsupply.com/products/milwaukee-2458-21-m12%e2%84%a2-cordless-lithium-ion-palm-nailer-kit")</f>
        <v/>
      </c>
      <c r="C795" t="inlineStr">
        <is>
          <t>Milwaukee 2458-21 M12™ Cordless Lithium-Ion Palm Nailer Kit</t>
        </is>
      </c>
      <c r="D795" t="inlineStr">
        <is>
          <t>Milwaukee Elec Tool 2742-21CT M18 Fuel Lithiumion Brushless Cordless 16Gauge Angled F Inish Nailer Kit 247221Ct</t>
        </is>
      </c>
      <c r="E795" s="2">
        <f>HYPERLINK("https://www.amazon.com/Milwaukee-2742-21CT-Lithiumion-Brushless-Cordless/dp/B01DE8ZIVK/ref=sr_1_4?keywords=Milwaukee+2458-21+M12%E2%84%A2+Cordless+Lithium-Ion+Palm+Nailer+Kit&amp;qid=1695174057&amp;sr=8-4", "https://www.amazon.com/Milwaukee-2742-21CT-Lithiumion-Brushless-Cordless/dp/B01DE8ZIVK/ref=sr_1_4?keywords=Milwaukee+2458-21+M12%E2%84%A2+Cordless+Lithium-Ion+Palm+Nailer+Kit&amp;qid=1695174057&amp;sr=8-4")</f>
        <v/>
      </c>
      <c r="F795" t="inlineStr">
        <is>
          <t>B01DE8ZIVK</t>
        </is>
      </c>
      <c r="G795">
        <f>_xludf.IMAGE("https://edmondsonsupply.com/cdn/shop/products/52383_2458-20-lg_ec645d87-9219-4c87-aa67-2ea9ff2860d3.webp?v=1679330758")</f>
        <v/>
      </c>
      <c r="H795">
        <f>_xludf.IMAGE("https://m.media-amazon.com/images/I/91k7A8RmbNL._AC_UL320_.jpg")</f>
        <v/>
      </c>
      <c r="I795" t="inlineStr">
        <is>
          <t>199.0</t>
        </is>
      </c>
      <c r="J795" t="n">
        <v>550</v>
      </c>
      <c r="K795" s="3" t="inlineStr">
        <is>
          <t>176.38%</t>
        </is>
      </c>
      <c r="L795" t="n">
        <v>3.8</v>
      </c>
      <c r="M795" t="n">
        <v>33</v>
      </c>
      <c r="O795" t="inlineStr">
        <is>
          <t>InStock</t>
        </is>
      </c>
      <c r="P795" t="inlineStr">
        <is>
          <t>365.0</t>
        </is>
      </c>
      <c r="Q795" t="inlineStr">
        <is>
          <t>7964958490840</t>
        </is>
      </c>
    </row>
    <row r="796">
      <c r="A796" s="2">
        <f>HYPERLINK("https://edmondsonsupply.com/collections/electricians-tools/products/klein-tools-646-1-4-1-4-inch-nut-driver-with-6-inch-hollow-shaft", "https://edmondsonsupply.com/collections/electricians-tools/products/klein-tools-646-1-4-1-4-inch-nut-driver-with-6-inch-hollow-shaft")</f>
        <v/>
      </c>
      <c r="B796" s="2">
        <f>HYPERLINK("https://edmondsonsupply.com/products/klein-tools-646-1-4-1-4-inch-nut-driver-with-6-inch-hollow-shaft", "https://edmondsonsupply.com/products/klein-tools-646-1-4-1-4-inch-nut-driver-with-6-inch-hollow-shaft")</f>
        <v/>
      </c>
      <c r="C796" t="inlineStr">
        <is>
          <t>Klein Tools 646-1/4 1/4-Inch Nut Driver with 6-Inch Hollow Shaft</t>
        </is>
      </c>
      <c r="D796" t="inlineStr">
        <is>
          <t>Klein Tools 646-1/4-INS Insulated 1/4-Inch Nut Driver with 6-Inch Hollow Shaft and Cushion Grip Handle</t>
        </is>
      </c>
      <c r="E796" s="2">
        <f>HYPERLINK("https://www.amazon.com/Insulated-Klein-Tools-646-1-4-INS/dp/B000MKMH5O/ref=sr_1_2?keywords=Klein+Tools+646-1%2F4+1%2F4-Inch+Nut+Driver+with+6-Inch+Hollow+Shaft&amp;qid=1695173897&amp;sr=8-2", "https://www.amazon.com/Insulated-Klein-Tools-646-1-4-INS/dp/B000MKMH5O/ref=sr_1_2?keywords=Klein+Tools+646-1%2F4+1%2F4-Inch+Nut+Driver+with+6-Inch+Hollow+Shaft&amp;qid=1695173897&amp;sr=8-2")</f>
        <v/>
      </c>
      <c r="F796" t="inlineStr">
        <is>
          <t>B000MKMH5O</t>
        </is>
      </c>
      <c r="G796">
        <f>_xludf.IMAGE("https://edmondsonsupply.com/cdn/shop/products/646-1-2_08d87fa9-eac4-4869-8d3b-bb680d4b1d53.jpg?v=1587150676")</f>
        <v/>
      </c>
      <c r="H796">
        <f>_xludf.IMAGE("https://m.media-amazon.com/images/I/41Nr0vSgHCL._AC_UL320_.jpg")</f>
        <v/>
      </c>
      <c r="I796" t="inlineStr">
        <is>
          <t>7.99</t>
        </is>
      </c>
      <c r="J796" t="n">
        <v>22.02</v>
      </c>
      <c r="K796" s="3" t="inlineStr">
        <is>
          <t>175.59%</t>
        </is>
      </c>
      <c r="L796" t="n">
        <v>4.7</v>
      </c>
      <c r="M796" t="n">
        <v>274</v>
      </c>
      <c r="O796" t="inlineStr">
        <is>
          <t>InStock</t>
        </is>
      </c>
      <c r="P796" t="inlineStr">
        <is>
          <t>12.1</t>
        </is>
      </c>
      <c r="Q796" t="inlineStr">
        <is>
          <t>4439433740388</t>
        </is>
      </c>
    </row>
    <row r="797">
      <c r="A797" s="2">
        <f>HYPERLINK("https://edmondsonsupply.com/collections/electricians-tools/products/klein-tools-et45vp-ac-dc-voltage-and-gfci-receptacle-outlet-test-kit", "https://edmondsonsupply.com/collections/electricians-tools/products/klein-tools-et45vp-ac-dc-voltage-and-gfci-receptacle-outlet-test-kit")</f>
        <v/>
      </c>
      <c r="B797" s="2">
        <f>HYPERLINK("https://edmondsonsupply.com/products/klein-tools-et45vp-ac-dc-voltage-and-gfci-receptacle-outlet-test-kit", "https://edmondsonsupply.com/products/klein-tools-et45vp-ac-dc-voltage-and-gfci-receptacle-outlet-test-kit")</f>
        <v/>
      </c>
      <c r="C797" t="inlineStr">
        <is>
          <t>Klein Tools ET45VP AC/DC Voltage and GFCI Receptacle Outlet Test Kit</t>
        </is>
      </c>
      <c r="D797" t="inlineStr">
        <is>
          <t>Klein Tools 80101 Home Tester Kit, GFCI Outlet and Receptacle Testers, Multimeter, NCVT, Circuit Breaker Finder, Leads, 6-Piece, Black</t>
        </is>
      </c>
      <c r="E797" s="2">
        <f>HYPERLINK("https://www.amazon.com/Klein-Tools-Receptacle-Testers-Multimeter/dp/B0B7817ZG5/ref=sr_1_8?keywords=Klein+Tools+ET45VP+AC%2FDC+Voltage+and+GFCI+Receptacle+Outlet+Test+Kit&amp;qid=1695174178&amp;sr=8-8", "https://www.amazon.com/Klein-Tools-Receptacle-Testers-Multimeter/dp/B0B7817ZG5/ref=sr_1_8?keywords=Klein+Tools+ET45VP+AC%2FDC+Voltage+and+GFCI+Receptacle+Outlet+Test+Kit&amp;qid=1695174178&amp;sr=8-8")</f>
        <v/>
      </c>
      <c r="F797" t="inlineStr">
        <is>
          <t>B0B7817ZG5</t>
        </is>
      </c>
      <c r="G797">
        <f>_xludf.IMAGE("https://edmondsonsupply.com/cdn/shop/products/et45vp.jpg?v=1660755922")</f>
        <v/>
      </c>
      <c r="H797">
        <f>_xludf.IMAGE("https://m.media-amazon.com/images/I/61wZRMpKAcL._AC_UL320_.jpg")</f>
        <v/>
      </c>
      <c r="I797" t="inlineStr">
        <is>
          <t>17.97</t>
        </is>
      </c>
      <c r="J797" t="n">
        <v>48.99</v>
      </c>
      <c r="K797" s="3" t="inlineStr">
        <is>
          <t>172.62%</t>
        </is>
      </c>
      <c r="L797" t="n">
        <v>4.7</v>
      </c>
      <c r="M797" t="n">
        <v>406</v>
      </c>
      <c r="O797" t="inlineStr">
        <is>
          <t>InStock</t>
        </is>
      </c>
      <c r="P797" t="inlineStr">
        <is>
          <t>25.82</t>
        </is>
      </c>
      <c r="Q797" t="inlineStr">
        <is>
          <t>7783562084568</t>
        </is>
      </c>
    </row>
    <row r="798">
      <c r="A798" s="2">
        <f>HYPERLINK("https://edmondsonsupply.com/collections/electricians-tools/products/klein-tools-9416r-1000v-insulated-tool-kit-3-piece", "https://edmondsonsupply.com/collections/electricians-tools/products/klein-tools-9416r-1000v-insulated-tool-kit-3-piece")</f>
        <v/>
      </c>
      <c r="B798" s="2">
        <f>HYPERLINK("https://edmondsonsupply.com/products/klein-tools-9416r-1000v-insulated-tool-kit-3-piece", "https://edmondsonsupply.com/products/klein-tools-9416r-1000v-insulated-tool-kit-3-piece")</f>
        <v/>
      </c>
      <c r="C798" t="inlineStr">
        <is>
          <t>Klein Tools 9416R 1000V Insulated Tool Kit, 3-Piece</t>
        </is>
      </c>
      <c r="D798" t="inlineStr">
        <is>
          <t>Klein Tools 33524 Tool Kit, 1000V Insulated Nut Driver Set, Sizes 3/16, 1/4, 5/16, 11/32, 3/8,7/16,1/2,9/16,5/8-Inch, with Case, 9-Piece</t>
        </is>
      </c>
      <c r="E798" s="2">
        <f>HYPERLINK("https://www.amazon.com/Insulated-9-Piece-Klein-Tools-33524/dp/B000MKIR9E/ref=sr_1_2?keywords=Klein+Tools+9416R+1000V+Insulated+Tool+Kit%2C+3-Piece&amp;qid=1695174123&amp;sr=8-2", "https://www.amazon.com/Insulated-9-Piece-Klein-Tools-33524/dp/B000MKIR9E/ref=sr_1_2?keywords=Klein+Tools+9416R+1000V+Insulated+Tool+Kit%2C+3-Piece&amp;qid=1695174123&amp;sr=8-2")</f>
        <v/>
      </c>
      <c r="F798" t="inlineStr">
        <is>
          <t>B000MKIR9E</t>
        </is>
      </c>
      <c r="G798">
        <f>_xludf.IMAGE("https://edmondsonsupply.com/cdn/shop/products/9416r.jpg?v=1667327475")</f>
        <v/>
      </c>
      <c r="H798">
        <f>_xludf.IMAGE("https://m.media-amazon.com/images/I/71+Db525CfL._AC_UL320_.jpg")</f>
        <v/>
      </c>
      <c r="I798" t="inlineStr">
        <is>
          <t>84.99</t>
        </is>
      </c>
      <c r="J798" t="n">
        <v>229.49</v>
      </c>
      <c r="K798" s="3" t="inlineStr">
        <is>
          <t>170.02%</t>
        </is>
      </c>
      <c r="L798" t="n">
        <v>4.4</v>
      </c>
      <c r="M798" t="n">
        <v>26</v>
      </c>
      <c r="O798" t="inlineStr">
        <is>
          <t>InStock</t>
        </is>
      </c>
      <c r="P798" t="inlineStr">
        <is>
          <t>127.48</t>
        </is>
      </c>
      <c r="Q798" t="inlineStr">
        <is>
          <t>7872648347864</t>
        </is>
      </c>
    </row>
    <row r="799">
      <c r="A799" s="2">
        <f>HYPERLINK("https://edmondsonsupply.com/collections/electricians-tools/products/klein-tools-3005cr-ratcheting-crimper-10-22-awg", "https://edmondsonsupply.com/collections/electricians-tools/products/klein-tools-3005cr-ratcheting-crimper-10-22-awg")</f>
        <v/>
      </c>
      <c r="B799" s="2">
        <f>HYPERLINK("https://edmondsonsupply.com/products/klein-tools-3005cr-ratcheting-crimper-10-22-awg", "https://edmondsonsupply.com/products/klein-tools-3005cr-ratcheting-crimper-10-22-awg")</f>
        <v/>
      </c>
      <c r="C799" t="inlineStr">
        <is>
          <t>Klein Tools 3005CR Ratcheting Crimper, 10-22 AWG - Insulated Terminals</t>
        </is>
      </c>
      <c r="D799" t="inlineStr">
        <is>
          <t>Dismantling Knife-1000V Insulated &amp; Klein Tools 3005CR Wire Crimper Tool, Ratcheting Insulated Terminal Crimper for 10 to 22 AWG Wire</t>
        </is>
      </c>
      <c r="E799" s="2">
        <f>HYPERLINK("https://www.amazon.com/Dismantling-Knife-1000V-Insulated-Ratcheting-Terminal/dp/B0BGJ84H4F/ref=sr_1_2?keywords=Klein+Tools+3005CR+Ratcheting+Crimper%2C+10-22+AWG+-+Insulated+Terminals&amp;qid=1695173864&amp;sr=8-2", "https://www.amazon.com/Dismantling-Knife-1000V-Insulated-Ratcheting-Terminal/dp/B0BGJ84H4F/ref=sr_1_2?keywords=Klein+Tools+3005CR+Ratcheting+Crimper%2C+10-22+AWG+-+Insulated+Terminals&amp;qid=1695173864&amp;sr=8-2")</f>
        <v/>
      </c>
      <c r="F799" t="inlineStr">
        <is>
          <t>B0BGJ84H4F</t>
        </is>
      </c>
      <c r="G799">
        <f>_xludf.IMAGE("https://edmondsonsupply.com/cdn/shop/products/3005cr.jpg?v=1587146892")</f>
        <v/>
      </c>
      <c r="H799">
        <f>_xludf.IMAGE("https://m.media-amazon.com/images/I/41tkLMUuJaL._AC_UL320_.jpg")</f>
        <v/>
      </c>
      <c r="I799" t="inlineStr">
        <is>
          <t>29.97</t>
        </is>
      </c>
      <c r="J799" t="n">
        <v>79.69</v>
      </c>
      <c r="K799" s="3" t="inlineStr">
        <is>
          <t>165.90%</t>
        </is>
      </c>
      <c r="L799" t="n">
        <v>4.8</v>
      </c>
      <c r="M799" t="n">
        <v>793</v>
      </c>
      <c r="O799" t="inlineStr">
        <is>
          <t>InStock</t>
        </is>
      </c>
      <c r="P799" t="inlineStr">
        <is>
          <t>42.9</t>
        </is>
      </c>
      <c r="Q799" t="inlineStr">
        <is>
          <t>3699388907620</t>
        </is>
      </c>
    </row>
    <row r="800">
      <c r="A800" s="2">
        <f>HYPERLINK("https://edmondsonsupply.com/collections/electricians-tools/products/klein-tools-32768-3-in-1-impact-flip-socket-set-1-4-inch-5-16-inch-2-piece", "https://edmondsonsupply.com/collections/electricians-tools/products/klein-tools-32768-3-in-1-impact-flip-socket-set-1-4-inch-5-16-inch-2-piece")</f>
        <v/>
      </c>
      <c r="B800" s="2">
        <f>HYPERLINK("https://edmondsonsupply.com/products/klein-tools-32768-3-in-1-impact-flip-socket-set-1-4-inch-5-16-inch-2-piece", "https://edmondsonsupply.com/products/klein-tools-32768-3-in-1-impact-flip-socket-set-1-4-inch-5-16-inch-2-piece")</f>
        <v/>
      </c>
      <c r="C800" t="inlineStr">
        <is>
          <t>Klein Tools 32768 3-in-1 Impact Flip Socket Set, 1/4-Inch, 5/16-Inch, 2-Piece</t>
        </is>
      </c>
      <c r="D800" t="inlineStr">
        <is>
          <t>Klein Tools 32304 Screwdriver &amp; 32768 Impact Driver, 3-in-1 Impact Flip Socket and Bit Holder, 1/4 and 5/16-Inch Hex Drivers, 3 and 5-Inch Lengths, 2-Piece Set</t>
        </is>
      </c>
      <c r="E800" s="2">
        <f>HYPERLINK("https://www.amazon.com/Klein-Tools-Screwdriver-16-Inch-Drivers/dp/B0C4H7N4GS/ref=sr_1_3?keywords=Klein+Tools+32768+3-in-1+Impact+Flip+Socket+Set%2C+1%2F4-Inch%2C+5%2F16-Inch%2C+2-Piece&amp;qid=1695174135&amp;sr=8-3", "https://www.amazon.com/Klein-Tools-Screwdriver-16-Inch-Drivers/dp/B0C4H7N4GS/ref=sr_1_3?keywords=Klein+Tools+32768+3-in-1+Impact+Flip+Socket+Set%2C+1%2F4-Inch%2C+5%2F16-Inch%2C+2-Piece&amp;qid=1695174135&amp;sr=8-3")</f>
        <v/>
      </c>
      <c r="F800" t="inlineStr">
        <is>
          <t>B0C4H7N4GS</t>
        </is>
      </c>
      <c r="G800">
        <f>_xludf.IMAGE("https://edmondsonsupply.com/cdn/shop/products/32768.jpg?v=1666022946")</f>
        <v/>
      </c>
      <c r="H800">
        <f>_xludf.IMAGE("https://m.media-amazon.com/images/I/41GpUvTL7xL._AC_UL320_.jpg")</f>
        <v/>
      </c>
      <c r="I800" t="inlineStr">
        <is>
          <t>14.97</t>
        </is>
      </c>
      <c r="J800" t="n">
        <v>39.76</v>
      </c>
      <c r="K800" s="3" t="inlineStr">
        <is>
          <t>165.60%</t>
        </is>
      </c>
      <c r="L800" t="n">
        <v>5</v>
      </c>
      <c r="M800" t="n">
        <v>1</v>
      </c>
      <c r="O800" t="inlineStr">
        <is>
          <t>InStock</t>
        </is>
      </c>
      <c r="P800" t="inlineStr">
        <is>
          <t>21.98</t>
        </is>
      </c>
      <c r="Q800" t="inlineStr">
        <is>
          <t>7856621977816</t>
        </is>
      </c>
    </row>
    <row r="801">
      <c r="A801" s="2">
        <f>HYPERLINK("https://edmondsonsupply.com/collections/electricians-tools/products/milwaukee-49-56-0072-1-3-8-hole-dozer%E2%84%A2-hole-saw-bi-metal-cup", "https://edmondsonsupply.com/collections/electricians-tools/products/milwaukee-49-56-0072-1-3-8-hole-dozer%E2%84%A2-hole-saw-bi-metal-cup")</f>
        <v/>
      </c>
      <c r="B801" s="2">
        <f>HYPERLINK("https://edmondsonsupply.com/products/milwaukee-49-56-0072-1-3-8-hole-dozer%e2%84%a2-hole-saw-bi-metal-cup", "https://edmondsonsupply.com/products/milwaukee-49-56-0072-1-3-8-hole-dozer%e2%84%a2-hole-saw-bi-metal-cup")</f>
        <v/>
      </c>
      <c r="C801" t="inlineStr">
        <is>
          <t>Milwaukee 49-56-0072 1-3/8" HOLE DOZER™ Hole Saw Bi-Metal Cup</t>
        </is>
      </c>
      <c r="D801" t="inlineStr">
        <is>
          <t>Milwaukee Electric Tool 49-56-0193 Bi-Metal Hole Saw, 3-1/2"</t>
        </is>
      </c>
      <c r="E801" s="2">
        <f>HYPERLINK("https://www.amazon.com/Milwaukee-Electric-Tool-49-56-0193-Bi-Metal/dp/B0017WTULA/ref=sr_1_4?keywords=Milwaukee+49-56-0072+1-3%2F8%22+HOLE+DOZER%E2%84%A2+Hole+Saw+Bi-Metal+Cup&amp;qid=1695174054&amp;sr=8-4", "https://www.amazon.com/Milwaukee-Electric-Tool-49-56-0193-Bi-Metal/dp/B0017WTULA/ref=sr_1_4?keywords=Milwaukee+49-56-0072+1-3%2F8%22+HOLE+DOZER%E2%84%A2+Hole+Saw+Bi-Metal+Cup&amp;qid=1695174054&amp;sr=8-4")</f>
        <v/>
      </c>
      <c r="F801" t="inlineStr">
        <is>
          <t>B0017WTULA</t>
        </is>
      </c>
      <c r="G801">
        <f>_xludf.IMAGE("https://edmondsonsupply.com/cdn/shop/products/49-56-0052_101_2_442dad6a-cfd3-4167-9bee-4c5b358f3b1a.webp?v=1679417936")</f>
        <v/>
      </c>
      <c r="H801">
        <f>_xludf.IMAGE("https://m.media-amazon.com/images/I/51Yfl2-hbuL._AC_UL320_.jpg")</f>
        <v/>
      </c>
      <c r="I801" t="inlineStr">
        <is>
          <t>6.99</t>
        </is>
      </c>
      <c r="J801" t="n">
        <v>18.45</v>
      </c>
      <c r="K801" s="3" t="inlineStr">
        <is>
          <t>163.95%</t>
        </is>
      </c>
      <c r="L801" t="n">
        <v>4.6</v>
      </c>
      <c r="M801" t="n">
        <v>249</v>
      </c>
      <c r="O801" t="inlineStr">
        <is>
          <t>InStock</t>
        </is>
      </c>
      <c r="P801" t="inlineStr">
        <is>
          <t>13.3</t>
        </is>
      </c>
      <c r="Q801" t="inlineStr">
        <is>
          <t>7965261791448</t>
        </is>
      </c>
    </row>
    <row r="802">
      <c r="A802" s="2">
        <f>HYPERLINK("https://edmondsonsupply.com/collections/electricians-tools/products/milwaukee-49-56-0082-1-1-2-hole-dozer%E2%84%A2-hole-saw-bi-metal-cup", "https://edmondsonsupply.com/collections/electricians-tools/products/milwaukee-49-56-0082-1-1-2-hole-dozer%E2%84%A2-hole-saw-bi-metal-cup")</f>
        <v/>
      </c>
      <c r="B802" s="2">
        <f>HYPERLINK("https://edmondsonsupply.com/products/milwaukee-49-56-0082-1-1-2-hole-dozer%e2%84%a2-hole-saw-bi-metal-cup", "https://edmondsonsupply.com/products/milwaukee-49-56-0082-1-1-2-hole-dozer%e2%84%a2-hole-saw-bi-metal-cup")</f>
        <v/>
      </c>
      <c r="C802" t="inlineStr">
        <is>
          <t>Milwaukee 49-56-0082 1-1/2" HOLE DOZER™ Hole Saw Bi-Metal Cup</t>
        </is>
      </c>
      <c r="D802" t="inlineStr">
        <is>
          <t>Milwaukee Electric Tool 49-56-0193 Bi-Metal Hole Saw, 3-1/2"</t>
        </is>
      </c>
      <c r="E802" s="2">
        <f>HYPERLINK("https://www.amazon.com/Milwaukee-Electric-Tool-49-56-0193-Bi-Metal/dp/B0017WTULA/ref=sr_1_4?keywords=Milwaukee+49-56-0082+1-1%2F2%22+HOLE+DOZER%E2%84%A2+Hole+Saw+Bi-Metal+Cup&amp;qid=1695174052&amp;sr=8-4", "https://www.amazon.com/Milwaukee-Electric-Tool-49-56-0193-Bi-Metal/dp/B0017WTULA/ref=sr_1_4?keywords=Milwaukee+49-56-0082+1-1%2F2%22+HOLE+DOZER%E2%84%A2+Hole+Saw+Bi-Metal+Cup&amp;qid=1695174052&amp;sr=8-4")</f>
        <v/>
      </c>
      <c r="F802" t="inlineStr">
        <is>
          <t>B0017WTULA</t>
        </is>
      </c>
      <c r="G802">
        <f>_xludf.IMAGE("https://edmondsonsupply.com/cdn/shop/products/49-56-0052_101_2_3e59b3b5-5134-4f73-a3fb-157d3c19d4d7.webp?v=1679416989")</f>
        <v/>
      </c>
      <c r="H802">
        <f>_xludf.IMAGE("https://m.media-amazon.com/images/I/51Yfl2-hbuL._AC_UL320_.jpg")</f>
        <v/>
      </c>
      <c r="I802" t="inlineStr">
        <is>
          <t>6.99</t>
        </is>
      </c>
      <c r="J802" t="n">
        <v>18.45</v>
      </c>
      <c r="K802" s="3" t="inlineStr">
        <is>
          <t>163.95%</t>
        </is>
      </c>
      <c r="L802" t="n">
        <v>4.6</v>
      </c>
      <c r="M802" t="n">
        <v>249</v>
      </c>
      <c r="O802" t="inlineStr">
        <is>
          <t>InStock</t>
        </is>
      </c>
      <c r="P802" t="inlineStr">
        <is>
          <t>13.3</t>
        </is>
      </c>
      <c r="Q802" t="inlineStr">
        <is>
          <t>7965257498840</t>
        </is>
      </c>
    </row>
    <row r="803">
      <c r="A803" s="2">
        <f>HYPERLINK("https://edmondsonsupply.com/collections/electricians-tools/products/klein-tools-630m-magnetic-nut-driver-set-3-inch-shafts-2-piece", "https://edmondsonsupply.com/collections/electricians-tools/products/klein-tools-630m-magnetic-nut-driver-set-3-inch-shafts-2-piece")</f>
        <v/>
      </c>
      <c r="B803" s="2">
        <f>HYPERLINK("https://edmondsonsupply.com/products/klein-tools-630m-magnetic-nut-driver-set-3-inch-shafts-2-piece", "https://edmondsonsupply.com/products/klein-tools-630m-magnetic-nut-driver-set-3-inch-shafts-2-piece")</f>
        <v/>
      </c>
      <c r="C803" t="inlineStr">
        <is>
          <t>Klein Tools 630M Magnetic Nut Driver Set, 3-Inch Shafts, 2-Piece</t>
        </is>
      </c>
      <c r="D803" t="inlineStr">
        <is>
          <t>Klein Tools 65160 Tool Set, Metric Nut Driver Set Sizes 5, 5.5, 6, 7, 8, 9, and 10 mm, 3-Inch Chrome-Plate Hollow Shafts, 7-Piece</t>
        </is>
      </c>
      <c r="E803" s="2">
        <f>HYPERLINK("https://www.amazon.com/Driver-Metric-3-Inch-7-Piece-Klein/dp/B0009ORXQQ/ref=sr_1_5?keywords=Klein+Tools+630M+Magnetic+Nut+Driver+Set%2C+3-Inch+Shafts%2C+2-Piece&amp;qid=1695173928&amp;sr=8-5", "https://www.amazon.com/Driver-Metric-3-Inch-7-Piece-Klein/dp/B0009ORXQQ/ref=sr_1_5?keywords=Klein+Tools+630M+Magnetic+Nut+Driver+Set%2C+3-Inch+Shafts%2C+2-Piece&amp;qid=1695173928&amp;sr=8-5")</f>
        <v/>
      </c>
      <c r="F803" t="inlineStr">
        <is>
          <t>B0009ORXQQ</t>
        </is>
      </c>
      <c r="G803">
        <f>_xludf.IMAGE("https://edmondsonsupply.com/cdn/shop/products/630m.jpg?v=1587143237")</f>
        <v/>
      </c>
      <c r="H803">
        <f>_xludf.IMAGE("https://m.media-amazon.com/images/I/61CnDJJyViL._AC_UL320_.jpg")</f>
        <v/>
      </c>
      <c r="I803" t="inlineStr">
        <is>
          <t>18.99</t>
        </is>
      </c>
      <c r="J803" t="n">
        <v>49.99</v>
      </c>
      <c r="K803" s="3" t="inlineStr">
        <is>
          <t>163.24%</t>
        </is>
      </c>
      <c r="L803" t="n">
        <v>4.8</v>
      </c>
      <c r="M803" t="n">
        <v>588</v>
      </c>
      <c r="O803" t="inlineStr">
        <is>
          <t>InStock</t>
        </is>
      </c>
      <c r="P803" t="inlineStr">
        <is>
          <t>28.78</t>
        </is>
      </c>
      <c r="Q803" t="inlineStr">
        <is>
          <t>4508216787044</t>
        </is>
      </c>
    </row>
    <row r="804">
      <c r="A804" s="2">
        <f>HYPERLINK("https://edmondsonsupply.com/collections/electricians-tools/products/klein-tools-rt110-receptacle-tester", "https://edmondsonsupply.com/collections/electricians-tools/products/klein-tools-rt110-receptacle-tester")</f>
        <v/>
      </c>
      <c r="B804" s="2">
        <f>HYPERLINK("https://edmondsonsupply.com/products/klein-tools-rt110-receptacle-tester", "https://edmondsonsupply.com/products/klein-tools-rt110-receptacle-tester")</f>
        <v/>
      </c>
      <c r="C804" t="inlineStr">
        <is>
          <t>Klein Tools RT110 Receptacle Tester</t>
        </is>
      </c>
      <c r="D804" t="inlineStr">
        <is>
          <t>Klein Tools 80097 Beginner Tester Kit with GFCI Outlet and Receptacle Tester, Electronic Voltage Tester, Non-Contact Voltage Tester, 3-Piece Red</t>
        </is>
      </c>
      <c r="E804" s="2">
        <f>HYPERLINK("https://www.amazon.com/Klein-Tools-80097-Beginner-3-Piece/dp/B0B7Z178B1/ref=sr_1_9?keywords=Klein+Tools+RT110+Receptacle+Tester&amp;qid=1695174267&amp;sr=8-9", "https://www.amazon.com/Klein-Tools-80097-Beginner-3-Piece/dp/B0B7Z178B1/ref=sr_1_9?keywords=Klein+Tools+RT110+Receptacle+Tester&amp;qid=1695174267&amp;sr=8-9")</f>
        <v/>
      </c>
      <c r="F804" t="inlineStr">
        <is>
          <t>B0B7Z178B1</t>
        </is>
      </c>
      <c r="G804">
        <f>_xludf.IMAGE("https://edmondsonsupply.com/cdn/shop/products/rt110.jpg?v=1633031036")</f>
        <v/>
      </c>
      <c r="H804">
        <f>_xludf.IMAGE("https://m.media-amazon.com/images/I/51TWbZ0INyL._AC_UL320_.jpg")</f>
        <v/>
      </c>
      <c r="I804" t="inlineStr">
        <is>
          <t>9.97</t>
        </is>
      </c>
      <c r="J804" t="n">
        <v>25.99</v>
      </c>
      <c r="K804" s="3" t="inlineStr">
        <is>
          <t>160.68%</t>
        </is>
      </c>
      <c r="L804" t="n">
        <v>4.6</v>
      </c>
      <c r="M804" t="n">
        <v>121</v>
      </c>
      <c r="O804" t="inlineStr">
        <is>
          <t>InStock</t>
        </is>
      </c>
      <c r="P804" t="inlineStr">
        <is>
          <t>12.12</t>
        </is>
      </c>
      <c r="Q804" t="inlineStr">
        <is>
          <t>6740486619309</t>
        </is>
      </c>
    </row>
    <row r="805">
      <c r="A805" s="2">
        <f>HYPERLINK("https://edmondsonsupply.com/collections/electricians-tools/products/klein-tools-vdv427-300-impact-punchdown-tool-66-110-blade", "https://edmondsonsupply.com/collections/electricians-tools/products/klein-tools-vdv427-300-impact-punchdown-tool-66-110-blade")</f>
        <v/>
      </c>
      <c r="B805" s="2">
        <f>HYPERLINK("https://edmondsonsupply.com/products/klein-tools-vdv427-300-impact-punchdown-tool-66-110-blade", "https://edmondsonsupply.com/products/klein-tools-vdv427-300-impact-punchdown-tool-66-110-blade")</f>
        <v/>
      </c>
      <c r="C805" t="inlineStr">
        <is>
          <t>Klein Tools VDV427-300 Impact Punchdown Tool, 66/110 Blade</t>
        </is>
      </c>
      <c r="D805" t="inlineStr">
        <is>
          <t>RJ45 Ethernet Cable Tester and Crimper Kit, Pass-Thru Technology, Includes Connectors for Cat5e / CAT6 Data Applications Klein Tools &amp; Klein Tools VDV427-300 Impact Punchdown Tool, 66/110 Blade</t>
        </is>
      </c>
      <c r="E805" s="2">
        <f>HYPERLINK("https://www.amazon.com/Technology-Connectors-Applications-Klein-Tools/dp/B0BM3B5HST/ref=sr_1_4?keywords=Klein+Tools+VDV427-300+Impact+Punchdown+Tool%2C+66%2F110+Blade&amp;qid=1695174221&amp;sr=8-4", "https://www.amazon.com/Technology-Connectors-Applications-Klein-Tools/dp/B0BM3B5HST/ref=sr_1_4?keywords=Klein+Tools+VDV427-300+Impact+Punchdown+Tool%2C+66%2F110+Blade&amp;qid=1695174221&amp;sr=8-4")</f>
        <v/>
      </c>
      <c r="F805" t="inlineStr">
        <is>
          <t>B0BM3B5HST</t>
        </is>
      </c>
      <c r="G805">
        <f>_xludf.IMAGE("https://edmondsonsupply.com/cdn/shop/products/vdv427300.jpg?v=1646010568")</f>
        <v/>
      </c>
      <c r="H805">
        <f>_xludf.IMAGE("https://m.media-amazon.com/images/I/51XDsqYrc6L._AC_UL320_.jpg")</f>
        <v/>
      </c>
      <c r="I805" t="inlineStr">
        <is>
          <t>39.97</t>
        </is>
      </c>
      <c r="J805" t="n">
        <v>103.96</v>
      </c>
      <c r="K805" s="3" t="inlineStr">
        <is>
          <t>160.10%</t>
        </is>
      </c>
      <c r="L805" t="n">
        <v>4.7</v>
      </c>
      <c r="M805" t="n">
        <v>312</v>
      </c>
      <c r="O805" t="inlineStr">
        <is>
          <t>InStock</t>
        </is>
      </c>
      <c r="P805" t="inlineStr">
        <is>
          <t>55.98</t>
        </is>
      </c>
      <c r="Q805" t="inlineStr">
        <is>
          <t>7620069818584</t>
        </is>
      </c>
    </row>
    <row r="806">
      <c r="A806" s="2">
        <f>HYPERLINK("https://edmondsonsupply.com/collections/electricians-tools/products/klein-tools-rt390", "https://edmondsonsupply.com/collections/electricians-tools/products/klein-tools-rt390")</f>
        <v/>
      </c>
      <c r="B806" s="2">
        <f>HYPERLINK("https://edmondsonsupply.com/products/klein-tools-rt390", "https://edmondsonsupply.com/products/klein-tools-rt390")</f>
        <v/>
      </c>
      <c r="C806" t="inlineStr">
        <is>
          <t>Klein Tools RT390 Circuit Analyzer</t>
        </is>
      </c>
      <c r="D806" t="inlineStr">
        <is>
          <t>Klein Tools ET450 Advanced Circuit Breaker Finder and Wire Tracer Kit &amp; RT390 Circuit Analyzer with Large LCD, Identifies Wiring Faults, GFCI and AFCI Tester, Voltage Drop, Displays Trip Time, Orange</t>
        </is>
      </c>
      <c r="E806" s="2">
        <f>HYPERLINK("https://www.amazon.com/Klein-Tools-Advanced-Analyzer-Identifies/dp/B0CCS6L8DC/ref=sr_1_2?keywords=Klein+Tools+RT390+Circuit+Analyzer&amp;qid=1695173904&amp;sr=8-2", "https://www.amazon.com/Klein-Tools-Advanced-Analyzer-Identifies/dp/B0CCS6L8DC/ref=sr_1_2?keywords=Klein+Tools+RT390+Circuit+Analyzer&amp;qid=1695173904&amp;sr=8-2")</f>
        <v/>
      </c>
      <c r="F806" t="inlineStr">
        <is>
          <t>B0CCS6L8DC</t>
        </is>
      </c>
      <c r="G806">
        <f>_xludf.IMAGE("https://edmondsonsupply.com/cdn/shop/products/rt390.jpg?v=1677683463")</f>
        <v/>
      </c>
      <c r="H806">
        <f>_xludf.IMAGE("https://m.media-amazon.com/images/I/61pWayFxCIL._AC_UL320_.jpg")</f>
        <v/>
      </c>
      <c r="I806" t="inlineStr">
        <is>
          <t>149.99</t>
        </is>
      </c>
      <c r="J806" t="n">
        <v>389.98</v>
      </c>
      <c r="K806" s="3" t="inlineStr">
        <is>
          <t>160.00%</t>
        </is>
      </c>
      <c r="L806" t="n">
        <v>5</v>
      </c>
      <c r="M806" t="n">
        <v>1</v>
      </c>
      <c r="O806" t="inlineStr">
        <is>
          <t>InStock</t>
        </is>
      </c>
      <c r="P806" t="inlineStr">
        <is>
          <t>209.98</t>
        </is>
      </c>
      <c r="Q806" t="inlineStr">
        <is>
          <t>7953963581656</t>
        </is>
      </c>
    </row>
    <row r="807">
      <c r="A807" s="2">
        <f>HYPERLINK("https://edmondsonsupply.com/collections/electricians-tools/products/klein-tools-65064-2-in-1-hex-head-screwdriver-1-4-5-16", "https://edmondsonsupply.com/collections/electricians-tools/products/klein-tools-65064-2-in-1-hex-head-screwdriver-1-4-5-16")</f>
        <v/>
      </c>
      <c r="B807" s="2">
        <f>HYPERLINK("https://edmondsonsupply.com/products/klein-tools-65064-2-in-1-hex-head-screwdriver-1-4-5-16", "https://edmondsonsupply.com/products/klein-tools-65064-2-in-1-hex-head-screwdriver-1-4-5-16")</f>
        <v/>
      </c>
      <c r="C807" t="inlineStr">
        <is>
          <t>Klein Tools 65064 2-in-1 Nut Driver, Hex Head, 1/4-Inch and 5/16-Inch</t>
        </is>
      </c>
      <c r="D807" t="inlineStr">
        <is>
          <t>Klein Tools 646M Tool Set, Magnetic Nut Drivers Sizes 1/4 and 5/16-Inch, 6-Inch Shafts, 2-Piece &amp; 65064 Hex Head 2-in-1 Nut Driver, 1/4-Inch and 5/16-Inch</t>
        </is>
      </c>
      <c r="E807" s="2">
        <f>HYPERLINK("https://www.amazon.com/Klein-Tools-Magnetic-Drivers-16-Inch/dp/B0BGPTVP3Z/ref=sr_1_4?keywords=Klein+Tools+65064+2-in-1+Nut+Driver%2C+Hex+Head%2C+1%2F4-Inch+and+5%2F16-Inch&amp;qid=1695173915&amp;sr=8-4", "https://www.amazon.com/Klein-Tools-Magnetic-Drivers-16-Inch/dp/B0BGPTVP3Z/ref=sr_1_4?keywords=Klein+Tools+65064+2-in-1+Nut+Driver%2C+Hex+Head%2C+1%2F4-Inch+and+5%2F16-Inch&amp;qid=1695173915&amp;sr=8-4")</f>
        <v/>
      </c>
      <c r="F807" t="inlineStr">
        <is>
          <t>B0BGPTVP3Z</t>
        </is>
      </c>
      <c r="G807">
        <f>_xludf.IMAGE("https://edmondsonsupply.com/cdn/shop/products/65064.jpg?v=1587147719")</f>
        <v/>
      </c>
      <c r="H807">
        <f>_xludf.IMAGE("https://m.media-amazon.com/images/I/41iqeifLYLL._AC_UL320_.jpg")</f>
        <v/>
      </c>
      <c r="I807" t="inlineStr">
        <is>
          <t>15.97</t>
        </is>
      </c>
      <c r="J807" t="n">
        <v>40.26</v>
      </c>
      <c r="K807" s="3" t="inlineStr">
        <is>
          <t>152.10%</t>
        </is>
      </c>
      <c r="L807" t="n">
        <v>5</v>
      </c>
      <c r="M807" t="n">
        <v>1</v>
      </c>
      <c r="O807" t="inlineStr">
        <is>
          <t>InStock</t>
        </is>
      </c>
      <c r="P807" t="inlineStr">
        <is>
          <t>23.36</t>
        </is>
      </c>
      <c r="Q807" t="inlineStr">
        <is>
          <t>1707342889060</t>
        </is>
      </c>
    </row>
    <row r="808">
      <c r="A808" s="2">
        <f>HYPERLINK("https://edmondsonsupply.com/collections/electricians-tools/products/klein-tools-jth9e13-1-4-inch-hex-key-with-journeyman-t-handle-9-inch", "https://edmondsonsupply.com/collections/electricians-tools/products/klein-tools-jth9e13-1-4-inch-hex-key-with-journeyman-t-handle-9-inch")</f>
        <v/>
      </c>
      <c r="B808" s="2">
        <f>HYPERLINK("https://edmondsonsupply.com/products/klein-tools-jth9e13-1-4-inch-hex-key-with-journeyman-t-handle-9-inch", "https://edmondsonsupply.com/products/klein-tools-jth9e13-1-4-inch-hex-key-with-journeyman-t-handle-9-inch")</f>
        <v/>
      </c>
      <c r="C808" t="inlineStr">
        <is>
          <t>Klein Tools JTH9E13 1/4-Inch Hex Key with Journeyman T-Handle, 9-Inch</t>
        </is>
      </c>
      <c r="D808" t="inlineStr">
        <is>
          <t>Klein Tools JTH9M8 8 mm Hex Key with Journeyman T-Handle, 9-Inch</t>
        </is>
      </c>
      <c r="E808" s="2">
        <f>HYPERLINK("https://www.amazon.com/Journeyman-T-Handle-Klein-Tools-JTH9M8/dp/B005G3HJSC/ref=sr_1_10?keywords=Klein+Tools+JTH9E13+1%2F4-Inch+Hex+Key+with+Journeyman+T-Handle%2C+9-Inch&amp;qid=1695174307&amp;sr=8-10", "https://www.amazon.com/Journeyman-T-Handle-Klein-Tools-JTH9M8/dp/B005G3HJSC/ref=sr_1_10?keywords=Klein+Tools+JTH9E13+1%2F4-Inch+Hex+Key+with+Journeyman+T-Handle%2C+9-Inch&amp;qid=1695174307&amp;sr=8-10")</f>
        <v/>
      </c>
      <c r="F808" t="inlineStr">
        <is>
          <t>B005G3HJSC</t>
        </is>
      </c>
      <c r="G808">
        <f>_xludf.IMAGE("https://edmondsonsupply.com/cdn/shop/products/jth9e12_7dcdbf9a-5acd-4824-8919-6aeb4a790072.jpg?v=1604060723")</f>
        <v/>
      </c>
      <c r="H808">
        <f>_xludf.IMAGE("https://m.media-amazon.com/images/I/51+1x0vz9XL._AC_UL320_.jpg")</f>
        <v/>
      </c>
      <c r="I808" t="inlineStr">
        <is>
          <t>6.49</t>
        </is>
      </c>
      <c r="J808" t="n">
        <v>16.27</v>
      </c>
      <c r="K808" s="3" t="inlineStr">
        <is>
          <t>150.69%</t>
        </is>
      </c>
      <c r="L808" t="n">
        <v>5</v>
      </c>
      <c r="M808" t="n">
        <v>4</v>
      </c>
      <c r="O808" t="inlineStr">
        <is>
          <t>InStock</t>
        </is>
      </c>
      <c r="P808" t="inlineStr">
        <is>
          <t>9.84</t>
        </is>
      </c>
      <c r="Q808" t="inlineStr">
        <is>
          <t>5999069462696</t>
        </is>
      </c>
    </row>
    <row r="809">
      <c r="A809" s="2">
        <f>HYPERLINK("https://edmondsonsupply.com/collections/electricians-tools/products/klein-tools-11045-wire-stripper-cutter-10-18-awg-solid", "https://edmondsonsupply.com/collections/electricians-tools/products/klein-tools-11045-wire-stripper-cutter-10-18-awg-solid")</f>
        <v/>
      </c>
      <c r="B809" s="2">
        <f>HYPERLINK("https://edmondsonsupply.com/products/klein-tools-11045-wire-stripper-cutter-10-18-awg-solid", "https://edmondsonsupply.com/products/klein-tools-11045-wire-stripper-cutter-10-18-awg-solid")</f>
        <v/>
      </c>
      <c r="C809" t="inlineStr">
        <is>
          <t>Klein Tools 11045 Wire Stripper/Cutter (10-18 AWG Solid)</t>
        </is>
      </c>
      <c r="D809" t="inlineStr">
        <is>
          <t>Klein Tools K12065CR Wire Stripper / Cutter / Crimper Tool for Cutting, Stripping, Crimping, Twisting (8-18 AWG solid, 10-20 AWG stranded)</t>
        </is>
      </c>
      <c r="E809" s="2">
        <f>HYPERLINK("https://www.amazon.com/Heavy-Stripper-Cutter-Crimper-Multi/dp/B08BX9RTPX/ref=sr_1_5?keywords=Klein+Tools+11045+Wire+Stripper%2FCutter+%2810-18+AWG+Solid%29&amp;qid=1695174263&amp;sr=8-5", "https://www.amazon.com/Heavy-Stripper-Cutter-Crimper-Multi/dp/B08BX9RTPX/ref=sr_1_5?keywords=Klein+Tools+11045+Wire+Stripper%2FCutter+%2810-18+AWG+Solid%29&amp;qid=1695174263&amp;sr=8-5")</f>
        <v/>
      </c>
      <c r="F809" t="inlineStr">
        <is>
          <t>B08BX9RTPX</t>
        </is>
      </c>
      <c r="G809">
        <f>_xludf.IMAGE("https://edmondsonsupply.com/cdn/shop/products/11045.jpg?v=1633031022")</f>
        <v/>
      </c>
      <c r="H809">
        <f>_xludf.IMAGE("https://m.media-amazon.com/images/I/51Oylu1vHoL._AC_UL320_.jpg")</f>
        <v/>
      </c>
      <c r="I809" t="inlineStr">
        <is>
          <t>15.97</t>
        </is>
      </c>
      <c r="J809" t="n">
        <v>39.97</v>
      </c>
      <c r="K809" s="3" t="inlineStr">
        <is>
          <t>150.28%</t>
        </is>
      </c>
      <c r="L809" t="n">
        <v>4.7</v>
      </c>
      <c r="M809" t="n">
        <v>726</v>
      </c>
      <c r="O809" t="inlineStr">
        <is>
          <t>InStock</t>
        </is>
      </c>
      <c r="P809" t="inlineStr">
        <is>
          <t>22.8</t>
        </is>
      </c>
      <c r="Q809" t="inlineStr">
        <is>
          <t>6712927027373</t>
        </is>
      </c>
    </row>
    <row r="810">
      <c r="A810" s="2">
        <f>HYPERLINK("https://edmondsonsupply.com/collections/electricians-tools/products/klein-tools-vaco-s10m-5-16-magnetic-nut-driver-3-hollow-shaft", "https://edmondsonsupply.com/collections/electricians-tools/products/klein-tools-vaco-s10m-5-16-magnetic-nut-driver-3-hollow-shaft")</f>
        <v/>
      </c>
      <c r="B810" s="2">
        <f>HYPERLINK("https://edmondsonsupply.com/products/klein-tools-vaco-s10m-5-16-magnetic-nut-driver-3-hollow-shaft", "https://edmondsonsupply.com/products/klein-tools-vaco-s10m-5-16-magnetic-nut-driver-3-hollow-shaft")</f>
        <v/>
      </c>
      <c r="C810" t="inlineStr">
        <is>
          <t>Klein Tools S10M 5/16-Inch Magnetic Nut Driver 3-Inch Shaft</t>
        </is>
      </c>
      <c r="D810" t="inlineStr">
        <is>
          <t>Klein Tools 646M Tool Set, Magnetic Nut Drivers Sizes 1/4 and 5/16-Inch, 6-Inch Shafts, 2-Piece</t>
        </is>
      </c>
      <c r="E810" s="2">
        <f>HYPERLINK("https://www.amazon.com/Magnetic-16-Inch-Klein-Tools-646M/dp/B000936QV0/ref=sr_1_10?keywords=Klein+Tools+S10M+5%2F16-Inch+Magnetic+Nut+Driver+3-Inch+Shaft&amp;qid=1695174019&amp;sr=8-10", "https://www.amazon.com/Magnetic-16-Inch-Klein-Tools-646M/dp/B000936QV0/ref=sr_1_10?keywords=Klein+Tools+S10M+5%2F16-Inch+Magnetic+Nut+Driver+3-Inch+Shaft&amp;qid=1695174019&amp;sr=8-10")</f>
        <v/>
      </c>
      <c r="F810" t="inlineStr">
        <is>
          <t>B000936QV0</t>
        </is>
      </c>
      <c r="G810">
        <f>_xludf.IMAGE("https://edmondsonsupply.com/cdn/shop/products/s10m_alt2.jpg?v=1587143022")</f>
        <v/>
      </c>
      <c r="H810">
        <f>_xludf.IMAGE("https://m.media-amazon.com/images/I/41lkJ6KRq9L._AC_UL320_.jpg")</f>
        <v/>
      </c>
      <c r="I810" t="inlineStr">
        <is>
          <t>9.99</t>
        </is>
      </c>
      <c r="J810" t="n">
        <v>24.99</v>
      </c>
      <c r="K810" s="3" t="inlineStr">
        <is>
          <t>150.15%</t>
        </is>
      </c>
      <c r="L810" t="n">
        <v>4.8</v>
      </c>
      <c r="M810" t="n">
        <v>1654</v>
      </c>
      <c r="O810" t="inlineStr">
        <is>
          <t>InStock</t>
        </is>
      </c>
      <c r="P810" t="inlineStr">
        <is>
          <t>15.08</t>
        </is>
      </c>
      <c r="Q810" t="inlineStr">
        <is>
          <t>2767113125988</t>
        </is>
      </c>
    </row>
    <row r="811">
      <c r="A811" s="2">
        <f>HYPERLINK("https://edmondsonsupply.com/collections/electricians-tools/products/klein-tools-et45-ac-dc-voltage-tester", "https://edmondsonsupply.com/collections/electricians-tools/products/klein-tools-et45-ac-dc-voltage-tester")</f>
        <v/>
      </c>
      <c r="B811" s="2">
        <f>HYPERLINK("https://edmondsonsupply.com/products/klein-tools-et45-ac-dc-voltage-tester", "https://edmondsonsupply.com/products/klein-tools-et45-ac-dc-voltage-tester")</f>
        <v/>
      </c>
      <c r="C811" t="inlineStr">
        <is>
          <t>Klein Tools ET45 AC/DC Voltage Tester</t>
        </is>
      </c>
      <c r="D811" t="inlineStr">
        <is>
          <t>Klein Tools 80077 Voltage Tester Kit with Electronic AC/DC GFCI Outlet Tester and Non-Contact Voltage Tester Pen, 3-Piece , Green</t>
        </is>
      </c>
      <c r="E811" s="2">
        <f>HYPERLINK("https://www.amazon.com/Klein-Tools-80077-Electronic-Non-Contact/dp/B0B11F7Q69/ref=sr_1_7?keywords=Klein+Tools+ET45+AC%2FDC+Voltage+Tester&amp;qid=1695174290&amp;sr=8-7", "https://www.amazon.com/Klein-Tools-80077-Electronic-Non-Contact/dp/B0B11F7Q69/ref=sr_1_7?keywords=Klein+Tools+ET45+AC%2FDC+Voltage+Tester&amp;qid=1695174290&amp;sr=8-7")</f>
        <v/>
      </c>
      <c r="F811" t="inlineStr">
        <is>
          <t>B0B11F7Q69</t>
        </is>
      </c>
      <c r="G811">
        <f>_xludf.IMAGE("https://edmondsonsupply.com/cdn/shop/products/et45.jpg?v=1647786270")</f>
        <v/>
      </c>
      <c r="H811">
        <f>_xludf.IMAGE("https://m.media-amazon.com/images/I/51cU3aEkbCL._AC_UL320_.jpg")</f>
        <v/>
      </c>
      <c r="I811" t="inlineStr">
        <is>
          <t>11.99</t>
        </is>
      </c>
      <c r="J811" t="n">
        <v>29.99</v>
      </c>
      <c r="K811" s="3" t="inlineStr">
        <is>
          <t>150.13%</t>
        </is>
      </c>
      <c r="L811" t="n">
        <v>4.6</v>
      </c>
      <c r="M811" t="n">
        <v>183</v>
      </c>
      <c r="O811" t="inlineStr">
        <is>
          <t>InStock</t>
        </is>
      </c>
      <c r="P811" t="inlineStr">
        <is>
          <t>16.72</t>
        </is>
      </c>
      <c r="Q811" t="inlineStr">
        <is>
          <t>3688633630820</t>
        </is>
      </c>
    </row>
    <row r="812">
      <c r="A812" s="2">
        <f>HYPERLINK("https://edmondsonsupply.com/collections/electricians-tools/products/klein-tools-et920-usb-digital-meter-usb-a-and-usb-c", "https://edmondsonsupply.com/collections/electricians-tools/products/klein-tools-et920-usb-digital-meter-usb-a-and-usb-c")</f>
        <v/>
      </c>
      <c r="B812" s="2">
        <f>HYPERLINK("https://edmondsonsupply.com/products/klein-tools-et920-usb-digital-meter-usb-a-and-usb-c", "https://edmondsonsupply.com/products/klein-tools-et920-usb-digital-meter-usb-a-and-usb-c")</f>
        <v/>
      </c>
      <c r="C812" t="inlineStr">
        <is>
          <t>Klein Tools ET920 USB Digital Meter, USB-A and USB-C</t>
        </is>
      </c>
      <c r="D812" t="inlineStr">
        <is>
          <t>Klein Tools ET920 USB Power Meter, USB-A and USB-C Digital Meter for Voltage &amp; Klein Tools AC Circuit Breaker Kit with GFCI Digital Circuit Breaker Finder, Non-Contact Voltage Tester Pen, 3-Piece</t>
        </is>
      </c>
      <c r="E812" s="2">
        <f>HYPERLINK("https://www.amazon.com/Klein-Tools-Digital-Voltage-Non-Contact/dp/B0BM3QKQ5G/ref=sr_1_2?keywords=Klein+Tools+ET920+USB+Digital+Meter%2C+USB-A+and+USB-C&amp;qid=1695174224&amp;sr=8-2", "https://www.amazon.com/Klein-Tools-Digital-Voltage-Non-Contact/dp/B0BM3QKQ5G/ref=sr_1_2?keywords=Klein+Tools+ET920+USB+Digital+Meter%2C+USB-A+and+USB-C&amp;qid=1695174224&amp;sr=8-2")</f>
        <v/>
      </c>
      <c r="F812" t="inlineStr">
        <is>
          <t>B0BM3QKQ5G</t>
        </is>
      </c>
      <c r="G812">
        <f>_xludf.IMAGE("https://edmondsonsupply.com/cdn/shop/products/et920.jpg?v=1642643803")</f>
        <v/>
      </c>
      <c r="H812">
        <f>_xludf.IMAGE("https://m.media-amazon.com/images/I/51EgBu7yVDL._AC_UL320_.jpg")</f>
        <v/>
      </c>
      <c r="I812" t="inlineStr">
        <is>
          <t>39.97</t>
        </is>
      </c>
      <c r="J812" t="n">
        <v>99.95999999999999</v>
      </c>
      <c r="K812" s="3" t="inlineStr">
        <is>
          <t>150.09%</t>
        </is>
      </c>
      <c r="L812" t="n">
        <v>5</v>
      </c>
      <c r="M812" t="n">
        <v>1</v>
      </c>
      <c r="O812" t="inlineStr">
        <is>
          <t>InStock</t>
        </is>
      </c>
      <c r="P812" t="inlineStr">
        <is>
          <t>47.98</t>
        </is>
      </c>
      <c r="Q812" t="inlineStr">
        <is>
          <t>7584862372056</t>
        </is>
      </c>
    </row>
    <row r="813">
      <c r="A813" s="2">
        <f>HYPERLINK("https://edmondsonsupply.com/collections/electricians-tools/products/klein-tools-607-3-mini-screwdriver-3-32-inch-cabinet-tip-3-inch", "https://edmondsonsupply.com/collections/electricians-tools/products/klein-tools-607-3-mini-screwdriver-3-32-inch-cabinet-tip-3-inch")</f>
        <v/>
      </c>
      <c r="B813" s="2">
        <f>HYPERLINK("https://edmondsonsupply.com/products/klein-tools-607-3-mini-screwdriver-3-32-inch-cabinet-tip-3-inch", "https://edmondsonsupply.com/products/klein-tools-607-3-mini-screwdriver-3-32-inch-cabinet-tip-3-inch")</f>
        <v/>
      </c>
      <c r="C813" t="inlineStr">
        <is>
          <t>Klein Tools 607-3 Mini Screwdriver, 3/32-Inch Cabinet Tip, 3-Inch</t>
        </is>
      </c>
      <c r="D813" t="inlineStr">
        <is>
          <t>Klein Tools 607-3-INS Insulated Screwdriver, 3/32-Inch Cabinet Tip with 3-Inch Shank</t>
        </is>
      </c>
      <c r="E813" s="2">
        <f>HYPERLINK("https://www.amazon.com/Insulated-Screwdriver-Klein-Tools-607-3-INS/dp/B00J9S35OW/ref=sr_1_1?keywords=Klein+Tools+607-3+Mini+Screwdriver%2C+3%2F32-Inch+Cabinet+Tip%2C+3-Inch&amp;qid=1695174302&amp;sr=8-1", "https://www.amazon.com/Insulated-Screwdriver-Klein-Tools-607-3-INS/dp/B00J9S35OW/ref=sr_1_1?keywords=Klein+Tools+607-3+Mini+Screwdriver%2C+3%2F32-Inch+Cabinet+Tip%2C+3-Inch&amp;qid=1695174302&amp;sr=8-1")</f>
        <v/>
      </c>
      <c r="F813" t="inlineStr">
        <is>
          <t>B00J9S35OW</t>
        </is>
      </c>
      <c r="G813">
        <f>_xludf.IMAGE("https://edmondsonsupply.com/cdn/shop/products/607-3_5e9ac034-1968-449c-957e-7d3aa01f1413.jpg?v=1633030814")</f>
        <v/>
      </c>
      <c r="H813">
        <f>_xludf.IMAGE("https://m.media-amazon.com/images/I/51qSRHnYpuL._AC_UL320_.jpg")</f>
        <v/>
      </c>
      <c r="I813" t="inlineStr">
        <is>
          <t>6.99</t>
        </is>
      </c>
      <c r="J813" t="n">
        <v>17.48</v>
      </c>
      <c r="K813" s="3" t="inlineStr">
        <is>
          <t>150.07%</t>
        </is>
      </c>
      <c r="L813" t="n">
        <v>4.2</v>
      </c>
      <c r="M813" t="n">
        <v>62</v>
      </c>
      <c r="O813" t="inlineStr">
        <is>
          <t>InStock</t>
        </is>
      </c>
      <c r="P813" t="inlineStr">
        <is>
          <t>10.58</t>
        </is>
      </c>
      <c r="Q813" t="inlineStr">
        <is>
          <t>6068127203501</t>
        </is>
      </c>
    </row>
    <row r="814">
      <c r="A814" s="2">
        <f>HYPERLINK("https://edmondsonsupply.com/collections/electricians-tools/products/klein-tools-31856-1-1-8-inch-carbide-hole-cutter", "https://edmondsonsupply.com/collections/electricians-tools/products/klein-tools-31856-1-1-8-inch-carbide-hole-cutter")</f>
        <v/>
      </c>
      <c r="B814" s="2">
        <f>HYPERLINK("https://edmondsonsupply.com/products/klein-tools-31856-1-1-8-inch-carbide-hole-cutter", "https://edmondsonsupply.com/products/klein-tools-31856-1-1-8-inch-carbide-hole-cutter")</f>
        <v/>
      </c>
      <c r="C814" t="inlineStr">
        <is>
          <t>Klein Tools 31856 1-1/8-Inch Carbide Hole Cutter</t>
        </is>
      </c>
      <c r="D814" t="inlineStr">
        <is>
          <t>Klein Tools 31872 Heavy Duty Hole Cutter Kit, Includes Carbide Hole Cutters and Pilot Bit in Rust-Proof Molded Plastic Case, 4-Piece</t>
        </is>
      </c>
      <c r="E814" s="2">
        <f>HYPERLINK("https://www.amazon.com/Carbide-Cutter-Klein-Tools-31872/dp/B003CCR97A/ref=sr_1_3?keywords=Klein+Tools+31856+1-1%2F8-Inch+Carbide+Hole+Cutter&amp;qid=1695174011&amp;sr=8-3", "https://www.amazon.com/Carbide-Cutter-Klein-Tools-31872/dp/B003CCR97A/ref=sr_1_3?keywords=Klein+Tools+31856+1-1%2F8-Inch+Carbide+Hole+Cutter&amp;qid=1695174011&amp;sr=8-3")</f>
        <v/>
      </c>
      <c r="F814" t="inlineStr">
        <is>
          <t>B003CCR97A</t>
        </is>
      </c>
      <c r="G814">
        <f>_xludf.IMAGE("https://edmondsonsupply.com/cdn/shop/files/31856.jpg?v=1685712345")</f>
        <v/>
      </c>
      <c r="H814">
        <f>_xludf.IMAGE("https://m.media-amazon.com/images/I/61oX7BDmtJL._AC_UL320_.jpg")</f>
        <v/>
      </c>
      <c r="I814" t="inlineStr">
        <is>
          <t>35.99</t>
        </is>
      </c>
      <c r="J814" t="n">
        <v>89.98999999999999</v>
      </c>
      <c r="K814" s="3" t="inlineStr">
        <is>
          <t>150.04%</t>
        </is>
      </c>
      <c r="L814" t="n">
        <v>4.7</v>
      </c>
      <c r="M814" t="n">
        <v>929</v>
      </c>
      <c r="O814" t="inlineStr">
        <is>
          <t>InStock</t>
        </is>
      </c>
      <c r="P814" t="inlineStr">
        <is>
          <t>50.38</t>
        </is>
      </c>
      <c r="Q814" t="inlineStr">
        <is>
          <t>7999529910488</t>
        </is>
      </c>
    </row>
    <row r="815">
      <c r="A815" s="2">
        <f>HYPERLINK("https://edmondsonsupply.com/collections/electricians-tools/products/klein-tools-32314-14-in-1-precision-screwdriver-nut-driver", "https://edmondsonsupply.com/collections/electricians-tools/products/klein-tools-32314-14-in-1-precision-screwdriver-nut-driver")</f>
        <v/>
      </c>
      <c r="B815" s="2">
        <f>HYPERLINK("https://edmondsonsupply.com/products/klein-tools-32314-14-in-1-precision-screwdriver-nut-driver", "https://edmondsonsupply.com/products/klein-tools-32314-14-in-1-precision-screwdriver-nut-driver")</f>
        <v/>
      </c>
      <c r="C815" t="inlineStr">
        <is>
          <t>Klein Tools 32314 14-in-1 Precision Screwdriver/ Nut Driver</t>
        </is>
      </c>
      <c r="D815" t="inlineStr">
        <is>
          <t>Screwdriver, 14-in-1 Adjustable Screwdriver with Flip Socket, HVAC Nut Drivers and Bits &amp; Klein Tools 32314 Electronic Screwdriver, 14-in-1 with 8 Precision Tips, Slotted, 6 Precision Nut Drivers</t>
        </is>
      </c>
      <c r="E815" s="2">
        <f>HYPERLINK("https://www.amazon.com/Screwdriver-Adjustable-Klein-Tools-Electronic/dp/B0BM34Q1QR/ref=sr_1_6?keywords=Klein+Tools+32314+14-in-1+Precision+Screwdriver%2F+Nut+Driver&amp;qid=1695173878&amp;sr=8-6", "https://www.amazon.com/Screwdriver-Adjustable-Klein-Tools-Electronic/dp/B0BM34Q1QR/ref=sr_1_6?keywords=Klein+Tools+32314+14-in-1+Precision+Screwdriver%2F+Nut+Driver&amp;qid=1695173878&amp;sr=8-6")</f>
        <v/>
      </c>
      <c r="F815" t="inlineStr">
        <is>
          <t>B0BM34Q1QR</t>
        </is>
      </c>
      <c r="G815">
        <f>_xludf.IMAGE("https://edmondsonsupply.com/cdn/shop/products/32314.jpg?v=1646593726")</f>
        <v/>
      </c>
      <c r="H815">
        <f>_xludf.IMAGE("https://m.media-amazon.com/images/I/41C5e4ThtpL._AC_UL320_.jpg")</f>
        <v/>
      </c>
      <c r="I815" t="inlineStr">
        <is>
          <t>15.97</t>
        </is>
      </c>
      <c r="J815" t="n">
        <v>39.74</v>
      </c>
      <c r="K815" s="3" t="inlineStr">
        <is>
          <t>148.84%</t>
        </is>
      </c>
      <c r="L815" t="n">
        <v>5</v>
      </c>
      <c r="M815" t="n">
        <v>1</v>
      </c>
      <c r="O815" t="inlineStr">
        <is>
          <t>InStock</t>
        </is>
      </c>
      <c r="P815" t="inlineStr">
        <is>
          <t>22.38</t>
        </is>
      </c>
      <c r="Q815" t="inlineStr">
        <is>
          <t>7626984947928</t>
        </is>
      </c>
    </row>
    <row r="816">
      <c r="A816" s="2">
        <f>HYPERLINK("https://edmondsonsupply.com/collections/electricians-tools/products/klein-tools-et45vp-ac-dc-voltage-and-gfci-receptacle-outlet-test-kit", "https://edmondsonsupply.com/collections/electricians-tools/products/klein-tools-et45vp-ac-dc-voltage-and-gfci-receptacle-outlet-test-kit")</f>
        <v/>
      </c>
      <c r="B816" s="2">
        <f>HYPERLINK("https://edmondsonsupply.com/products/klein-tools-et45vp-ac-dc-voltage-and-gfci-receptacle-outlet-test-kit", "https://edmondsonsupply.com/products/klein-tools-et45vp-ac-dc-voltage-and-gfci-receptacle-outlet-test-kit")</f>
        <v/>
      </c>
      <c r="C816" t="inlineStr">
        <is>
          <t>Klein Tools ET45VP AC/DC Voltage and GFCI Receptacle Outlet Test Kit</t>
        </is>
      </c>
      <c r="D816" t="inlineStr">
        <is>
          <t>Klein Tools RT250KIT Non-Contact Voltage Tester and GFCI Receptacle Tester with LCD and Flashlight, Voltage Electrical Test Kit</t>
        </is>
      </c>
      <c r="E816" s="2">
        <f>HYPERLINK("https://www.amazon.com/Non-Contact-Receptacle-Klein-Tools-RT250KIT/dp/B08YDFQ2FV/ref=sr_1_6?keywords=Klein+Tools+ET45VP+AC%2FDC+Voltage+and+GFCI+Receptacle+Outlet+Test+Kit&amp;qid=1695174178&amp;sr=8-6", "https://www.amazon.com/Non-Contact-Receptacle-Klein-Tools-RT250KIT/dp/B08YDFQ2FV/ref=sr_1_6?keywords=Klein+Tools+ET45VP+AC%2FDC+Voltage+and+GFCI+Receptacle+Outlet+Test+Kit&amp;qid=1695174178&amp;sr=8-6")</f>
        <v/>
      </c>
      <c r="F816" t="inlineStr">
        <is>
          <t>B08YDFQ2FV</t>
        </is>
      </c>
      <c r="G816">
        <f>_xludf.IMAGE("https://edmondsonsupply.com/cdn/shop/products/et45vp.jpg?v=1660755922")</f>
        <v/>
      </c>
      <c r="H816">
        <f>_xludf.IMAGE("https://m.media-amazon.com/images/I/61WaBlkJfxL._AC_UL320_.jpg")</f>
        <v/>
      </c>
      <c r="I816" t="inlineStr">
        <is>
          <t>17.97</t>
        </is>
      </c>
      <c r="J816" t="n">
        <v>44.54</v>
      </c>
      <c r="K816" s="3" t="inlineStr">
        <is>
          <t>147.86%</t>
        </is>
      </c>
      <c r="L816" t="n">
        <v>4.8</v>
      </c>
      <c r="M816" t="n">
        <v>1269</v>
      </c>
      <c r="O816" t="inlineStr">
        <is>
          <t>InStock</t>
        </is>
      </c>
      <c r="P816" t="inlineStr">
        <is>
          <t>25.82</t>
        </is>
      </c>
      <c r="Q816" t="inlineStr">
        <is>
          <t>7783562084568</t>
        </is>
      </c>
    </row>
    <row r="817">
      <c r="A817" s="2">
        <f>HYPERLINK("https://edmondsonsupply.com/collections/electricians-tools/products/klein-tools-32304-14-in-1-hvac-adjustable-length-impact-screwdriver-with-flip-socket", "https://edmondsonsupply.com/collections/electricians-tools/products/klein-tools-32304-14-in-1-hvac-adjustable-length-impact-screwdriver-with-flip-socket")</f>
        <v/>
      </c>
      <c r="B817" s="2">
        <f>HYPERLINK("https://edmondsonsupply.com/products/klein-tools-32304-14-in-1-hvac-adjustable-length-impact-screwdriver-with-flip-socket", "https://edmondsonsupply.com/products/klein-tools-32304-14-in-1-hvac-adjustable-length-impact-screwdriver-with-flip-socket")</f>
        <v/>
      </c>
      <c r="C817" t="inlineStr">
        <is>
          <t>Klein Tools 32304 14-in-1 HVAC Adjustable-Length Impact Screwdriver with Flip Socket</t>
        </is>
      </c>
      <c r="D817" t="inlineStr">
        <is>
          <t>Klein Tools 32304 Screwdriver, 14-in-1 Adjustable Screwdriver &amp; Impact Driver, 7-in-1 Impact Flip Socket Set &amp; Multi-bit Stubby Screwdriver, Impact Rated 8-in-1 Adjustable Magnetic Tool</t>
        </is>
      </c>
      <c r="E817" s="2">
        <f>HYPERLINK("https://www.amazon.com/Klein-Tools-Screwdriver-Adjustable-Multi-bit/dp/B0C9994NG7/ref=sr_1_5?keywords=Klein+Tools+32304+14-in-1+HVAC+Adjustable-Length+Impact+Screwdriver+with+Flip+Socket&amp;qid=1695173856&amp;sr=8-5", "https://www.amazon.com/Klein-Tools-Screwdriver-Adjustable-Multi-bit/dp/B0C9994NG7/ref=sr_1_5?keywords=Klein+Tools+32304+14-in-1+HVAC+Adjustable-Length+Impact+Screwdriver+with+Flip+Socket&amp;qid=1695173856&amp;sr=8-5")</f>
        <v/>
      </c>
      <c r="F817" t="inlineStr">
        <is>
          <t>B0C9994NG7</t>
        </is>
      </c>
      <c r="G817">
        <f>_xludf.IMAGE("https://edmondsonsupply.com/cdn/shop/products/32304.jpg?v=1666019479")</f>
        <v/>
      </c>
      <c r="H817">
        <f>_xludf.IMAGE("https://m.media-amazon.com/images/I/51++VSv2MoL._AC_UL320_.jpg")</f>
        <v/>
      </c>
      <c r="I817" t="inlineStr">
        <is>
          <t>24.97</t>
        </is>
      </c>
      <c r="J817" t="n">
        <v>61.73</v>
      </c>
      <c r="K817" s="3" t="inlineStr">
        <is>
          <t>147.22%</t>
        </is>
      </c>
      <c r="L817" t="n">
        <v>5</v>
      </c>
      <c r="M817" t="n">
        <v>1</v>
      </c>
      <c r="O817" t="inlineStr">
        <is>
          <t>InStock</t>
        </is>
      </c>
      <c r="P817" t="inlineStr">
        <is>
          <t>34.98</t>
        </is>
      </c>
      <c r="Q817" t="inlineStr">
        <is>
          <t>7856604578008</t>
        </is>
      </c>
    </row>
    <row r="818">
      <c r="A818" s="2">
        <f>HYPERLINK("https://edmondsonsupply.com/collections/electricians-tools/products/milwaukee-48-03-3025-sds-max-to-sds-plus-bit-adapter", "https://edmondsonsupply.com/collections/electricians-tools/products/milwaukee-48-03-3025-sds-max-to-sds-plus-bit-adapter")</f>
        <v/>
      </c>
      <c r="B818" s="2">
        <f>HYPERLINK("https://edmondsonsupply.com/products/milwaukee-48-03-3025-sds-max-to-sds-plus-bit-adapter", "https://edmondsonsupply.com/products/milwaukee-48-03-3025-sds-max-to-sds-plus-bit-adapter")</f>
        <v/>
      </c>
      <c r="C818" t="inlineStr">
        <is>
          <t>Milwaukee 48-03-3025 SDS Max to SDS Plus Bit Adapter</t>
        </is>
      </c>
      <c r="D818" t="inlineStr">
        <is>
          <t>Milwaukee 48-03-3012 SDS-Max to Spline Adapter</t>
        </is>
      </c>
      <c r="E818" s="2">
        <f>HYPERLINK("https://www.amazon.com/Milwaukee-48-03-3012-SDS-Max-Spline-Adapter/dp/B00I3PGEOA/ref=sr_1_4?keywords=Milwaukee+48-03-3025+SDS+Max+to+SDS+Plus+Bit+Adapter&amp;qid=1695174094&amp;sr=8-4", "https://www.amazon.com/Milwaukee-48-03-3012-SDS-Max-Spline-Adapter/dp/B00I3PGEOA/ref=sr_1_4?keywords=Milwaukee+48-03-3025+SDS+Max+to+SDS+Plus+Bit+Adapter&amp;qid=1695174094&amp;sr=8-4")</f>
        <v/>
      </c>
      <c r="F818" t="inlineStr">
        <is>
          <t>B00I3PGEOA</t>
        </is>
      </c>
      <c r="G818">
        <f>_xludf.IMAGE("https://edmondsonsupply.com/cdn/shop/products/48-03-3025_1.png?v=1674073468")</f>
        <v/>
      </c>
      <c r="H818">
        <f>_xludf.IMAGE("https://m.media-amazon.com/images/I/61QrQEYLIrL._AC_UL320_.jpg")</f>
        <v/>
      </c>
      <c r="I818" t="inlineStr">
        <is>
          <t>67.75</t>
        </is>
      </c>
      <c r="J818" t="n">
        <v>166.85</v>
      </c>
      <c r="K818" s="3" t="inlineStr">
        <is>
          <t>146.27%</t>
        </is>
      </c>
      <c r="L818" t="n">
        <v>4.6</v>
      </c>
      <c r="M818" t="n">
        <v>2</v>
      </c>
      <c r="O818" t="inlineStr">
        <is>
          <t>InStock</t>
        </is>
      </c>
      <c r="P818" t="inlineStr">
        <is>
          <t>122.6</t>
        </is>
      </c>
      <c r="Q818" t="inlineStr">
        <is>
          <t>7926094758104</t>
        </is>
      </c>
    </row>
    <row r="819">
      <c r="A819" s="2">
        <f>HYPERLINK("https://edmondsonsupply.com/collections/electricians-tools/products/milwaukee-49-56-0197-3-5-8-hole-dozer%E2%84%A2-hole-saw-bi-metal-cup", "https://edmondsonsupply.com/collections/electricians-tools/products/milwaukee-49-56-0197-3-5-8-hole-dozer%E2%84%A2-hole-saw-bi-metal-cup")</f>
        <v/>
      </c>
      <c r="B819" s="2">
        <f>HYPERLINK("https://edmondsonsupply.com/products/milwaukee-49-56-0197-3-5-8-hole-dozer%e2%84%a2-hole-saw-bi-metal-cup", "https://edmondsonsupply.com/products/milwaukee-49-56-0197-3-5-8-hole-dozer%e2%84%a2-hole-saw-bi-metal-cup")</f>
        <v/>
      </c>
      <c r="C819" t="inlineStr">
        <is>
          <t>Milwaukee 49-56-0197 3-5/8" HOLE DOZER™ Hole Saw Bi-Metal Cup</t>
        </is>
      </c>
      <c r="D819" t="inlineStr">
        <is>
          <t>Milwaukee Electric Tool 49-56-0233 Electric Bi-Metal Hole Saw, 4-1/2"</t>
        </is>
      </c>
      <c r="E819" s="2">
        <f>HYPERLINK("https://www.amazon.com/Milwaukee-49-56-0233-2-Inch-Hardened-Hole/dp/B0017WPX5M/ref=sr_1_4?keywords=Milwaukee+49-56-0197+3-5%2F8%22+HOLE+DOZER%E2%84%A2+Hole+Saw+Bi-Metal+Cup&amp;qid=1695174058&amp;sr=8-4", "https://www.amazon.com/Milwaukee-49-56-0233-2-Inch-Hardened-Hole/dp/B0017WPX5M/ref=sr_1_4?keywords=Milwaukee+49-56-0197+3-5%2F8%22+HOLE+DOZER%E2%84%A2+Hole+Saw+Bi-Metal+Cup&amp;qid=1695174058&amp;sr=8-4")</f>
        <v/>
      </c>
      <c r="F819" t="inlineStr">
        <is>
          <t>B0017WPX5M</t>
        </is>
      </c>
      <c r="G819">
        <f>_xludf.IMAGE("https://edmondsonsupply.com/cdn/shop/products/49-56-0052_101_1_b485d0b4-965d-40fc-a007-7e23c4d86724.webp?v=1678912947")</f>
        <v/>
      </c>
      <c r="H819">
        <f>_xludf.IMAGE("https://m.media-amazon.com/images/I/513LvIL5ILL._AC_UL320_.jpg")</f>
        <v/>
      </c>
      <c r="I819" t="inlineStr">
        <is>
          <t>12.19</t>
        </is>
      </c>
      <c r="J819" t="n">
        <v>29.99</v>
      </c>
      <c r="K819" s="3" t="inlineStr">
        <is>
          <t>146.02%</t>
        </is>
      </c>
      <c r="L819" t="n">
        <v>4.8</v>
      </c>
      <c r="M819" t="n">
        <v>201</v>
      </c>
      <c r="O819" t="inlineStr">
        <is>
          <t>InStock</t>
        </is>
      </c>
      <c r="P819" t="inlineStr">
        <is>
          <t>24.7</t>
        </is>
      </c>
      <c r="Q819" t="inlineStr">
        <is>
          <t>7962124681432</t>
        </is>
      </c>
    </row>
    <row r="820">
      <c r="A820" s="2">
        <f>HYPERLINK("https://edmondsonsupply.com/collections/electricians-tools/products/klein-tools-32308-8-in-1-multi-bit-adjustable-length-stubby-screwdriver", "https://edmondsonsupply.com/collections/electricians-tools/products/klein-tools-32308-8-in-1-multi-bit-adjustable-length-stubby-screwdriver")</f>
        <v/>
      </c>
      <c r="B820" s="2">
        <f>HYPERLINK("https://edmondsonsupply.com/products/klein-tools-32308-8-in-1-multi-bit-adjustable-length-stubby-screwdriver", "https://edmondsonsupply.com/products/klein-tools-32308-8-in-1-multi-bit-adjustable-length-stubby-screwdriver")</f>
        <v/>
      </c>
      <c r="C820" t="inlineStr">
        <is>
          <t>Klein Tools 32308 8-in-1 Multi-Bit Adjustable Length Stubby Screwdriver</t>
        </is>
      </c>
      <c r="D820" t="inlineStr">
        <is>
          <t>Screwdriver, 14-in-1 Adjustable Screwdriver with Flip Socket &amp; 32308 Multi-bit Stubby Screwdriver, Impact Rated 8-in-1 Adjustable Magnetic Tool with Phillips, Slotted, Square and Nut Driver</t>
        </is>
      </c>
      <c r="E820" s="2">
        <f>HYPERLINK("https://www.amazon.com/Screwdriver-Adjustable-Multi-bit-Magnetic-Phillips/dp/B09YTXLJXC/ref=sr_1_2?keywords=Klein+Tools+32308+8-in-1+Multi-Bit+Adjustable+Length+Stubby+Screwdriver&amp;qid=1695174224&amp;sr=8-2", "https://www.amazon.com/Screwdriver-Adjustable-Multi-bit-Magnetic-Phillips/dp/B09YTXLJXC/ref=sr_1_2?keywords=Klein+Tools+32308+8-in-1+Multi-Bit+Adjustable+Length+Stubby+Screwdriver&amp;qid=1695174224&amp;sr=8-2")</f>
        <v/>
      </c>
      <c r="F820" t="inlineStr">
        <is>
          <t>B09YTXLJXC</t>
        </is>
      </c>
      <c r="G820">
        <f>_xludf.IMAGE("https://edmondsonsupply.com/cdn/shop/products/32308_b.jpg?v=1647348209")</f>
        <v/>
      </c>
      <c r="H820">
        <f>_xludf.IMAGE("https://m.media-amazon.com/images/I/51RZKWZjlyL._AC_UL320_.jpg")</f>
        <v/>
      </c>
      <c r="I820" t="inlineStr">
        <is>
          <t>16.97</t>
        </is>
      </c>
      <c r="J820" t="n">
        <v>41.74</v>
      </c>
      <c r="K820" s="3" t="inlineStr">
        <is>
          <t>145.96%</t>
        </is>
      </c>
      <c r="L820" t="n">
        <v>4.7</v>
      </c>
      <c r="M820" t="n">
        <v>51</v>
      </c>
      <c r="O820" t="inlineStr">
        <is>
          <t>InStock</t>
        </is>
      </c>
      <c r="P820" t="inlineStr">
        <is>
          <t>23.78</t>
        </is>
      </c>
      <c r="Q820" t="inlineStr">
        <is>
          <t>7637271445720</t>
        </is>
      </c>
    </row>
    <row r="821">
      <c r="A821" s="2">
        <f>HYPERLINK("https://edmondsonsupply.com/collections/electricians-tools/products/klein-tools-vdv526-200-lan-scout-%C2%AE-jr-2-cable-tester", "https://edmondsonsupply.com/collections/electricians-tools/products/klein-tools-vdv526-200-lan-scout-%C2%AE-jr-2-cable-tester")</f>
        <v/>
      </c>
      <c r="B821" s="2">
        <f>HYPERLINK("https://edmondsonsupply.com/products/klein-tools-vdv526-200-lan-scout-%c2%ae-jr-2-cable-tester", "https://edmondsonsupply.com/products/klein-tools-vdv526-200-lan-scout-%c2%ae-jr-2-cable-tester")</f>
        <v/>
      </c>
      <c r="C821" t="inlineStr">
        <is>
          <t>Klein Tools VDV526-200 LAN Scout ® Jr. 2 Cable Tester</t>
        </is>
      </c>
      <c r="D821" t="inlineStr">
        <is>
          <t>Klein Tools VDV500-820 Cable Tracer with Probe Tone Pro Kit &amp; VDV526-200 Cable Tester, LAN Scout Jr. 2 Ethernet Cable Tester for CAT 5e, CAT 6/6A Cables with RJ45 Connections</t>
        </is>
      </c>
      <c r="E821" s="2">
        <f>HYPERLINK("https://www.amazon.com/Klein-Tools-VDV500-820-VDV526-200-Connections/dp/B09T6ZKDCM/ref=sr_1_5?keywords=Klein+Tools+VDV526-200+LAN+Scout+%C2%AE+Jr.+2+Cable+Tester&amp;qid=1695174153&amp;sr=8-5", "https://www.amazon.com/Klein-Tools-VDV500-820-VDV526-200-Connections/dp/B09T6ZKDCM/ref=sr_1_5?keywords=Klein+Tools+VDV526-200+LAN+Scout+%C2%AE+Jr.+2+Cable+Tester&amp;qid=1695174153&amp;sr=8-5")</f>
        <v/>
      </c>
      <c r="F821" t="inlineStr">
        <is>
          <t>B09T6ZKDCM</t>
        </is>
      </c>
      <c r="G821">
        <f>_xludf.IMAGE("https://edmondsonsupply.com/cdn/shop/products/vdv526200.jpg?v=1663689949")</f>
        <v/>
      </c>
      <c r="H821">
        <f>_xludf.IMAGE("https://m.media-amazon.com/images/I/51X1EYSldCL._AC_UY218_.jpg")</f>
        <v/>
      </c>
      <c r="I821" t="inlineStr">
        <is>
          <t>54.97</t>
        </is>
      </c>
      <c r="J821" t="n">
        <v>134.94</v>
      </c>
      <c r="K821" s="3" t="inlineStr">
        <is>
          <t>145.48%</t>
        </is>
      </c>
      <c r="L821" t="n">
        <v>4.8</v>
      </c>
      <c r="M821" t="n">
        <v>8</v>
      </c>
      <c r="O821" t="inlineStr">
        <is>
          <t>InStock</t>
        </is>
      </c>
      <c r="P821" t="inlineStr">
        <is>
          <t>82.5</t>
        </is>
      </c>
      <c r="Q821" t="inlineStr">
        <is>
          <t>7823726182616</t>
        </is>
      </c>
    </row>
    <row r="822">
      <c r="A822" s="2">
        <f>HYPERLINK("https://edmondsonsupply.com/collections/electricians-tools/products/klein-tools-et600-insulation-resistance-tester", "https://edmondsonsupply.com/collections/electricians-tools/products/klein-tools-et600-insulation-resistance-tester")</f>
        <v/>
      </c>
      <c r="B822" s="2">
        <f>HYPERLINK("https://edmondsonsupply.com/products/klein-tools-et600-insulation-resistance-tester", "https://edmondsonsupply.com/products/klein-tools-et600-insulation-resistance-tester")</f>
        <v/>
      </c>
      <c r="C822" t="inlineStr">
        <is>
          <t>Klein Tools ET600 Insulation Resistance Tester</t>
        </is>
      </c>
      <c r="D822" t="inlineStr">
        <is>
          <t>Klein Tools ET600 Multimeter, Megohmmeter Insulation Tester, 4000 Ohms Resistance, 125V/250V/500V/1000V, Auto-Ranging TRMS Multimeter &amp; ET450 Advanced Circuit Breaker Finder and Wire Tracer Kit</t>
        </is>
      </c>
      <c r="E822" s="2">
        <f>HYPERLINK("https://www.amazon.com/Klein-Tools-Megohmmeter-Insulation-Ohms-Resistance-Auto-Ranging/dp/B0C2V14DQF/ref=sr_1_7?keywords=Klein+Tools+ET600+Insulation+Resistance+Tester&amp;qid=1695173907&amp;sr=8-7", "https://www.amazon.com/Klein-Tools-Megohmmeter-Insulation-Ohms-Resistance-Auto-Ranging/dp/B0C2V14DQF/ref=sr_1_7?keywords=Klein+Tools+ET600+Insulation+Resistance+Tester&amp;qid=1695173907&amp;sr=8-7")</f>
        <v/>
      </c>
      <c r="F822" t="inlineStr">
        <is>
          <t>B0C2V14DQF</t>
        </is>
      </c>
      <c r="G822">
        <f>_xludf.IMAGE("https://edmondsonsupply.com/cdn/shop/products/et600_accessories_b.jpg?v=1677685603")</f>
        <v/>
      </c>
      <c r="H822">
        <f>_xludf.IMAGE("https://m.media-amazon.com/images/I/61413mHKf0L._AC_UY218_.jpg")</f>
        <v/>
      </c>
      <c r="I822" t="inlineStr">
        <is>
          <t>164.99</t>
        </is>
      </c>
      <c r="J822" t="n">
        <v>404.98</v>
      </c>
      <c r="K822" s="3" t="inlineStr">
        <is>
          <t>145.46%</t>
        </is>
      </c>
      <c r="L822" t="n">
        <v>5</v>
      </c>
      <c r="M822" t="n">
        <v>1</v>
      </c>
      <c r="O822" t="inlineStr">
        <is>
          <t>InStock</t>
        </is>
      </c>
      <c r="P822" t="inlineStr">
        <is>
          <t>231.0</t>
        </is>
      </c>
      <c r="Q822" t="inlineStr">
        <is>
          <t>4411568095332</t>
        </is>
      </c>
    </row>
    <row r="823">
      <c r="A823" s="2">
        <f>HYPERLINK("https://edmondsonsupply.com/collections/electricians-tools/products/klein-tools-d248-8-diagonal-cutting-pliers-angled-head-short-jaw-8-inch", "https://edmondsonsupply.com/collections/electricians-tools/products/klein-tools-d248-8-diagonal-cutting-pliers-angled-head-short-jaw-8-inch")</f>
        <v/>
      </c>
      <c r="B823" s="2">
        <f>HYPERLINK("https://edmondsonsupply.com/products/klein-tools-d248-8-diagonal-cutting-pliers-angled-head-short-jaw-8-inch", "https://edmondsonsupply.com/products/klein-tools-d248-8-diagonal-cutting-pliers-angled-head-short-jaw-8-inch")</f>
        <v/>
      </c>
      <c r="C823" t="inlineStr">
        <is>
          <t>Klein Tools D248-8 Diagonal Cutting Pliers, Angled Head, Short Jaw, 8-Inch</t>
        </is>
      </c>
      <c r="D823" t="inlineStr">
        <is>
          <t>Klein Tools D201-7CSTA Linesman Pliers, Side Cutters with Spring Loaded Action &amp; D248-8 Pliers, Diagonal Cutting Multi-Purpose Pliers with Angled Head, High-Leverage Design, and Short Jaw, 8-Inch</t>
        </is>
      </c>
      <c r="E823" s="2">
        <f>HYPERLINK("https://www.amazon.com/Klein-Tools-D201-7CSTA-Multi-Purpose-High-Leverage/dp/B093PYY2DS/ref=sr_1_4?keywords=Klein+Tools+D248-8+Diagonal+Cutting+Pliers%2C+Angled+Head%2C+Short+Jaw%2C+8-Inch&amp;qid=1695174274&amp;sr=8-4", "https://www.amazon.com/Klein-Tools-D201-7CSTA-Multi-Purpose-High-Leverage/dp/B093PYY2DS/ref=sr_1_4?keywords=Klein+Tools+D248-8+Diagonal+Cutting+Pliers%2C+Angled+Head%2C+Short+Jaw%2C+8-Inch&amp;qid=1695174274&amp;sr=8-4")</f>
        <v/>
      </c>
      <c r="F823" t="inlineStr">
        <is>
          <t>B093PYY2DS</t>
        </is>
      </c>
      <c r="G823">
        <f>_xludf.IMAGE("https://edmondsonsupply.com/cdn/shop/products/d2488.jpg?v=1633030997")</f>
        <v/>
      </c>
      <c r="H823">
        <f>_xludf.IMAGE("https://m.media-amazon.com/images/I/41JQ0I2wH6S._AC_UL320_.jpg")</f>
        <v/>
      </c>
      <c r="I823" t="inlineStr">
        <is>
          <t>29.97</t>
        </is>
      </c>
      <c r="J823" t="n">
        <v>73.33</v>
      </c>
      <c r="K823" s="3" t="inlineStr">
        <is>
          <t>144.68%</t>
        </is>
      </c>
      <c r="L823" t="n">
        <v>4.8</v>
      </c>
      <c r="M823" t="n">
        <v>5</v>
      </c>
      <c r="O823" t="inlineStr">
        <is>
          <t>InStock</t>
        </is>
      </c>
      <c r="P823" t="inlineStr">
        <is>
          <t>45.42</t>
        </is>
      </c>
      <c r="Q823" t="inlineStr">
        <is>
          <t>6680617091245</t>
        </is>
      </c>
    </row>
    <row r="824">
      <c r="A824" s="2">
        <f>HYPERLINK("https://edmondsonsupply.com/collections/electricians-tools/products/klein-tools-j203-8-pliers-needle-nose-side-cutters-8-inch", "https://edmondsonsupply.com/collections/electricians-tools/products/klein-tools-j203-8-pliers-needle-nose-side-cutters-8-inch")</f>
        <v/>
      </c>
      <c r="B824" s="2">
        <f>HYPERLINK("https://edmondsonsupply.com/products/klein-tools-j203-8-pliers-needle-nose-side-cutters-8-inch", "https://edmondsonsupply.com/products/klein-tools-j203-8-pliers-needle-nose-side-cutters-8-inch")</f>
        <v/>
      </c>
      <c r="C824" t="inlineStr">
        <is>
          <t>Klein Tools J203-8 Pliers, Needle Nose Side-Cutters, 8-Inch</t>
        </is>
      </c>
      <c r="D824" t="inlineStr">
        <is>
          <t>Klein Tools J2000-9NECRTP Side Cutter Linemans Pliers with Tape Pulling and Wire Crimping, High Leverage, 9-Inch &amp; J203-8 Needle Nose Pliers with Cutter, Heavy Duty 8-Inch Journeyman</t>
        </is>
      </c>
      <c r="E824" s="2">
        <f>HYPERLINK("https://www.amazon.com/Klein-Tools-J2000-9NECRTP-Linemans-Journeyman/dp/B0BFXQNZ95/ref=sr_1_3?keywords=Klein+Tools+J203-8+Pliers%2C+Needle+Nose+Side-Cutters%2C+8-Inch&amp;qid=1695174221&amp;sr=8-3", "https://www.amazon.com/Klein-Tools-J2000-9NECRTP-Linemans-Journeyman/dp/B0BFXQNZ95/ref=sr_1_3?keywords=Klein+Tools+J203-8+Pliers%2C+Needle+Nose+Side-Cutters%2C+8-Inch&amp;qid=1695174221&amp;sr=8-3")</f>
        <v/>
      </c>
      <c r="F824" t="inlineStr">
        <is>
          <t>B0BFXQNZ95</t>
        </is>
      </c>
      <c r="G824">
        <f>_xludf.IMAGE("https://edmondsonsupply.com/cdn/shop/products/j2038.jpg?v=1644709677")</f>
        <v/>
      </c>
      <c r="H824">
        <f>_xludf.IMAGE("https://m.media-amazon.com/images/I/31WJjr8yAWL._AC_UL320_.jpg")</f>
        <v/>
      </c>
      <c r="I824" t="inlineStr">
        <is>
          <t>38.49</t>
        </is>
      </c>
      <c r="J824" t="n">
        <v>93.95999999999999</v>
      </c>
      <c r="K824" s="3" t="inlineStr">
        <is>
          <t>144.12%</t>
        </is>
      </c>
      <c r="L824" t="n">
        <v>5</v>
      </c>
      <c r="M824" t="n">
        <v>1</v>
      </c>
      <c r="O824" t="inlineStr">
        <is>
          <t>InStock</t>
        </is>
      </c>
      <c r="P824" t="inlineStr">
        <is>
          <t>58.32</t>
        </is>
      </c>
      <c r="Q824" t="inlineStr">
        <is>
          <t>7606180249816</t>
        </is>
      </c>
    </row>
    <row r="825">
      <c r="A825" s="2">
        <f>HYPERLINK("https://edmondsonsupply.com/collections/electricians-tools/products/klein-tools-32500mag-11-in-1-magnetic-screwdriver-nut-driver", "https://edmondsonsupply.com/collections/electricians-tools/products/klein-tools-32500mag-11-in-1-magnetic-screwdriver-nut-driver")</f>
        <v/>
      </c>
      <c r="B825" s="2">
        <f>HYPERLINK("https://edmondsonsupply.com/products/klein-tools-32500mag-11-in-1-magnetic-screwdriver-nut-driver", "https://edmondsonsupply.com/products/klein-tools-32500mag-11-in-1-magnetic-screwdriver-nut-driver")</f>
        <v/>
      </c>
      <c r="C825" t="inlineStr">
        <is>
          <t>Klein Tools 32500MAG 11-in-1 Magnetic Screwdriver / Nut Driver</t>
        </is>
      </c>
      <c r="D825" t="inlineStr">
        <is>
          <t>Klein Tools 32500MAG Magnetic Multi-Bit Screwdriver/Nut Driver, 11-in-1 &amp; 32900 Impact Driver, 7-in-1 Impact Flip Socket Set with Handle, 6 Hex Driver Sizes plus a 1/4-Inch Bit Holder</t>
        </is>
      </c>
      <c r="E825" s="2">
        <f>HYPERLINK("https://www.amazon.com/Klein-Tools-32500MAG-Multi-Bit-Screwdriver/dp/B0BNL72TB8/ref=sr_1_2?keywords=Klein+Tools+32500MAG+11-in-1+Magnetic+Screwdriver+%2F+Nut+Driver&amp;qid=1695174303&amp;sr=8-2", "https://www.amazon.com/Klein-Tools-32500MAG-Multi-Bit-Screwdriver/dp/B0BNL72TB8/ref=sr_1_2?keywords=Klein+Tools+32500MAG+11-in-1+Magnetic+Screwdriver+%2F+Nut+Driver&amp;qid=1695174303&amp;sr=8-2")</f>
        <v/>
      </c>
      <c r="F825" t="inlineStr">
        <is>
          <t>B0BNL72TB8</t>
        </is>
      </c>
      <c r="G825">
        <f>_xludf.IMAGE("https://edmondsonsupply.com/cdn/shop/products/32500mag.jpg?v=1633030832")</f>
        <v/>
      </c>
      <c r="H825">
        <f>_xludf.IMAGE("https://m.media-amazon.com/images/I/51J0MF0VVbL._AC_UL320_.jpg")</f>
        <v/>
      </c>
      <c r="I825" t="inlineStr">
        <is>
          <t>20.97</t>
        </is>
      </c>
      <c r="J825" t="n">
        <v>50.94</v>
      </c>
      <c r="K825" s="3" t="inlineStr">
        <is>
          <t>142.92%</t>
        </is>
      </c>
      <c r="L825" t="n">
        <v>5</v>
      </c>
      <c r="M825" t="n">
        <v>2</v>
      </c>
      <c r="O825" t="inlineStr">
        <is>
          <t>InStock</t>
        </is>
      </c>
      <c r="P825" t="inlineStr">
        <is>
          <t>29.38</t>
        </is>
      </c>
      <c r="Q825" t="inlineStr">
        <is>
          <t>6082199814317</t>
        </is>
      </c>
    </row>
    <row r="826">
      <c r="A826" s="2">
        <f>HYPERLINK("https://edmondsonsupply.com/collections/electricians-tools/products/klein-tools-32500mag-11-in-1-magnetic-screwdriver-nut-driver", "https://edmondsonsupply.com/collections/electricians-tools/products/klein-tools-32500mag-11-in-1-magnetic-screwdriver-nut-driver")</f>
        <v/>
      </c>
      <c r="B826" s="2">
        <f>HYPERLINK("https://edmondsonsupply.com/products/klein-tools-32500mag-11-in-1-magnetic-screwdriver-nut-driver", "https://edmondsonsupply.com/products/klein-tools-32500mag-11-in-1-magnetic-screwdriver-nut-driver")</f>
        <v/>
      </c>
      <c r="C826" t="inlineStr">
        <is>
          <t>Klein Tools 32500MAG 11-in-1 Magnetic Screwdriver / Nut Driver</t>
        </is>
      </c>
      <c r="D826" t="inlineStr">
        <is>
          <t>Klein Tools 32807MAG 7-in-1 Nut Driver &amp; 32500MAG Magnetic Multi-Bit Screwdriver/Nut Driver, 11-in-1 Multi Tool with 8 Bits, 3 Nut Driver Sizes, Cushion Grip Handle</t>
        </is>
      </c>
      <c r="E826" s="2">
        <f>HYPERLINK("https://www.amazon.com/Klein-Tools-32807MAG-Multi-Bit-Screwdriver/dp/B09Q64R2HY/ref=sr_1_4?keywords=Klein+Tools+32500MAG+11-in-1+Magnetic+Screwdriver+%2F+Nut+Driver&amp;qid=1695174303&amp;sr=8-4", "https://www.amazon.com/Klein-Tools-32807MAG-Multi-Bit-Screwdriver/dp/B09Q64R2HY/ref=sr_1_4?keywords=Klein+Tools+32500MAG+11-in-1+Magnetic+Screwdriver+%2F+Nut+Driver&amp;qid=1695174303&amp;sr=8-4")</f>
        <v/>
      </c>
      <c r="F826" t="inlineStr">
        <is>
          <t>B09Q64R2HY</t>
        </is>
      </c>
      <c r="G826">
        <f>_xludf.IMAGE("https://edmondsonsupply.com/cdn/shop/products/32500mag.jpg?v=1633030832")</f>
        <v/>
      </c>
      <c r="H826">
        <f>_xludf.IMAGE("https://m.media-amazon.com/images/I/411icJxYT8L._AC_UL320_.jpg")</f>
        <v/>
      </c>
      <c r="I826" t="inlineStr">
        <is>
          <t>20.97</t>
        </is>
      </c>
      <c r="J826" t="n">
        <v>50.94</v>
      </c>
      <c r="K826" s="3" t="inlineStr">
        <is>
          <t>142.92%</t>
        </is>
      </c>
      <c r="L826" t="n">
        <v>4.7</v>
      </c>
      <c r="M826" t="n">
        <v>7</v>
      </c>
      <c r="O826" t="inlineStr">
        <is>
          <t>InStock</t>
        </is>
      </c>
      <c r="P826" t="inlineStr">
        <is>
          <t>29.38</t>
        </is>
      </c>
      <c r="Q826" t="inlineStr">
        <is>
          <t>6082199814317</t>
        </is>
      </c>
    </row>
    <row r="827">
      <c r="A827" s="2">
        <f>HYPERLINK("https://edmondsonsupply.com/collections/electricians-tools/products/klein-tools-ncvt3pkit-dual-range-ncvt-and-ac-dc-voltage-tester-electrical-test-kit", "https://edmondsonsupply.com/collections/electricians-tools/products/klein-tools-ncvt3pkit-dual-range-ncvt-and-ac-dc-voltage-tester-electrical-test-kit")</f>
        <v/>
      </c>
      <c r="B827" s="2">
        <f>HYPERLINK("https://edmondsonsupply.com/products/klein-tools-ncvt3pkit-dual-range-ncvt-and-ac-dc-voltage-tester-electrical-test-kit", "https://edmondsonsupply.com/products/klein-tools-ncvt3pkit-dual-range-ncvt-and-ac-dc-voltage-tester-electrical-test-kit")</f>
        <v/>
      </c>
      <c r="C827" t="inlineStr">
        <is>
          <t>Klein Tools NCVT3PKIT Dual Range NCVT and AC/DC Voltage Tester Electrical Test Kit</t>
        </is>
      </c>
      <c r="D827" t="inlineStr">
        <is>
          <t>Klein Tools NCVT3PKIT Electrical Test Kit, Dual-Range Non-Contact Voltage Tester with Flashlight, AC/DC Voltage Tester and Carrying Case &amp; ET310 AC Circuit Breaker Finder</t>
        </is>
      </c>
      <c r="E827" s="2">
        <f>HYPERLINK("https://www.amazon.com/Klein-Tools-Electrical-Dual-Range-Non-Contact/dp/B0BD3WBV6W/ref=sr_1_3?keywords=Klein+Tools+NCVT3PKIT+Dual+Range+NCVT+and+AC%2FDC+Voltage+Tester+Electrical+Test+Kit&amp;qid=1695174124&amp;sr=8-3", "https://www.amazon.com/Klein-Tools-Electrical-Dual-Range-Non-Contact/dp/B0BD3WBV6W/ref=sr_1_3?keywords=Klein+Tools+NCVT3PKIT+Dual+Range+NCVT+and+AC%2FDC+Voltage+Tester+Electrical+Test+Kit&amp;qid=1695174124&amp;sr=8-3")</f>
        <v/>
      </c>
      <c r="F827" t="inlineStr">
        <is>
          <t>B0BD3WBV6W</t>
        </is>
      </c>
      <c r="G827">
        <f>_xludf.IMAGE("https://edmondsonsupply.com/cdn/shop/products/ncvt3pkit.jpg?v=1667228452")</f>
        <v/>
      </c>
      <c r="H827">
        <f>_xludf.IMAGE("https://m.media-amazon.com/images/I/51Bb9uu7nIL._AC_UL320_.jpg")</f>
        <v/>
      </c>
      <c r="I827" t="inlineStr">
        <is>
          <t>34.99</t>
        </is>
      </c>
      <c r="J827" t="n">
        <v>84.95999999999999</v>
      </c>
      <c r="K827" s="3" t="inlineStr">
        <is>
          <t>142.81%</t>
        </is>
      </c>
      <c r="L827" t="n">
        <v>5</v>
      </c>
      <c r="M827" t="n">
        <v>1</v>
      </c>
      <c r="O827" t="inlineStr">
        <is>
          <t>InStock</t>
        </is>
      </c>
      <c r="P827" t="inlineStr">
        <is>
          <t>48.52</t>
        </is>
      </c>
      <c r="Q827" t="inlineStr">
        <is>
          <t>7871488032984</t>
        </is>
      </c>
    </row>
    <row r="828">
      <c r="A828" s="2">
        <f>HYPERLINK("https://edmondsonsupply.com/collections/electricians-tools/products/klein-tools-69417-rare-earth-magnetic-meter-hanger", "https://edmondsonsupply.com/collections/electricians-tools/products/klein-tools-69417-rare-earth-magnetic-meter-hanger")</f>
        <v/>
      </c>
      <c r="B828" s="2">
        <f>HYPERLINK("https://edmondsonsupply.com/products/klein-tools-69417-rare-earth-magnetic-meter-hanger", "https://edmondsonsupply.com/products/klein-tools-69417-rare-earth-magnetic-meter-hanger")</f>
        <v/>
      </c>
      <c r="C828" t="inlineStr">
        <is>
          <t>Klein Tools 69417 Rare Earth Magnetic Meter Hanger, with Strap</t>
        </is>
      </c>
      <c r="D828" t="inlineStr">
        <is>
          <t>Replacement Test Lead Set, Right Angle Klein Tools 69410 &amp; 69417 Rare-Earth Magnetic Hanger, with Strap</t>
        </is>
      </c>
      <c r="E828" s="2">
        <f>HYPERLINK("https://www.amazon.com/Replacement-Klein-Tools-Rare-Earth-Magnetic/dp/B0BGJ4RHHH/ref=sr_1_10?keywords=Klein+Tools+69417+Rare+Earth+Magnetic+Meter+Hanger%2C+with+Strap&amp;qid=1695173948&amp;sr=8-10", "https://www.amazon.com/Replacement-Klein-Tools-Rare-Earth-Magnetic/dp/B0BGJ4RHHH/ref=sr_1_10?keywords=Klein+Tools+69417+Rare+Earth+Magnetic+Meter+Hanger%2C+with+Strap&amp;qid=1695173948&amp;sr=8-10")</f>
        <v/>
      </c>
      <c r="F828" t="inlineStr">
        <is>
          <t>B0BGJ4RHHH</t>
        </is>
      </c>
      <c r="G828">
        <f>_xludf.IMAGE("https://edmondsonsupply.com/cdn/shop/products/69417.jpg?v=1587150163")</f>
        <v/>
      </c>
      <c r="H828">
        <f>_xludf.IMAGE("https://m.media-amazon.com/images/I/51XR88q6Q5L._AC_UL320_.jpg")</f>
        <v/>
      </c>
      <c r="I828" t="inlineStr">
        <is>
          <t>13.99</t>
        </is>
      </c>
      <c r="J828" t="n">
        <v>33.96</v>
      </c>
      <c r="K828" s="3" t="inlineStr">
        <is>
          <t>142.74%</t>
        </is>
      </c>
      <c r="L828" t="n">
        <v>4.5</v>
      </c>
      <c r="M828" t="n">
        <v>10</v>
      </c>
      <c r="O828" t="inlineStr">
        <is>
          <t>InStock</t>
        </is>
      </c>
      <c r="P828" t="inlineStr">
        <is>
          <t>20.0</t>
        </is>
      </c>
      <c r="Q828" t="inlineStr">
        <is>
          <t>1778073731172</t>
        </is>
      </c>
    </row>
    <row r="829">
      <c r="A829" s="2">
        <f>HYPERLINK("https://edmondsonsupply.com/collections/electricians-tools/products/klein-tools-rt310-afci-gfci-outlet-tester", "https://edmondsonsupply.com/collections/electricians-tools/products/klein-tools-rt310-afci-gfci-outlet-tester")</f>
        <v/>
      </c>
      <c r="B829" s="2">
        <f>HYPERLINK("https://edmondsonsupply.com/products/klein-tools-rt310-afci-gfci-outlet-tester", "https://edmondsonsupply.com/products/klein-tools-rt310-afci-gfci-outlet-tester")</f>
        <v/>
      </c>
      <c r="C829" t="inlineStr">
        <is>
          <t>Klein Tools RT310 AFCI / GFCI Outlet Tester</t>
        </is>
      </c>
      <c r="D829" t="inlineStr">
        <is>
          <t>Klein Tools 80016 Circuit Breaker Finder Tool Kit &amp; RT310 Receptacle Tester, AFCI and GFCI Outlet and Device Tester for North American AC Electrical Outlet Receptacles</t>
        </is>
      </c>
      <c r="E829" s="2">
        <f>HYPERLINK("https://www.amazon.com/Klein-Tools-Receptacle-Electrical-Receptacles/dp/B09P84542L/ref=sr_1_3?keywords=Klein+Tools+RT310+AFCI+%2F+GFCI+Outlet+Tester&amp;qid=1695173970&amp;sr=8-3", "https://www.amazon.com/Klein-Tools-Receptacle-Electrical-Receptacles/dp/B09P84542L/ref=sr_1_3?keywords=Klein+Tools+RT310+AFCI+%2F+GFCI+Outlet+Tester&amp;qid=1695173970&amp;sr=8-3")</f>
        <v/>
      </c>
      <c r="F829" t="inlineStr">
        <is>
          <t>B09P84542L</t>
        </is>
      </c>
      <c r="G829">
        <f>_xludf.IMAGE("https://edmondsonsupply.com/cdn/shop/products/rt310.jpg?v=1587148552")</f>
        <v/>
      </c>
      <c r="H829">
        <f>_xludf.IMAGE("https://m.media-amazon.com/images/I/51JAT1Kr0DL._AC_UL320_.jpg")</f>
        <v/>
      </c>
      <c r="I829" t="inlineStr">
        <is>
          <t>39.97</t>
        </is>
      </c>
      <c r="J829" t="n">
        <v>94.95999999999999</v>
      </c>
      <c r="K829" s="3" t="inlineStr">
        <is>
          <t>137.58%</t>
        </is>
      </c>
      <c r="L829" t="n">
        <v>4.7</v>
      </c>
      <c r="M829" t="n">
        <v>499</v>
      </c>
      <c r="O829" t="inlineStr">
        <is>
          <t>InStock</t>
        </is>
      </c>
      <c r="P829" t="inlineStr">
        <is>
          <t>57.9</t>
        </is>
      </c>
      <c r="Q829" t="inlineStr">
        <is>
          <t>3372527779940</t>
        </is>
      </c>
    </row>
    <row r="830">
      <c r="A830" s="2">
        <f>HYPERLINK("https://edmondsonsupply.com/collections/electricians-tools/products/klein-tools-46037-cable-splicers-kit", "https://edmondsonsupply.com/collections/electricians-tools/products/klein-tools-46037-cable-splicers-kit")</f>
        <v/>
      </c>
      <c r="B830" s="2">
        <f>HYPERLINK("https://edmondsonsupply.com/products/klein-tools-46037-cable-splicers-kit", "https://edmondsonsupply.com/products/klein-tools-46037-cable-splicers-kit")</f>
        <v/>
      </c>
      <c r="C830" t="inlineStr">
        <is>
          <t>Klein Tools 46037 Cable Splicer's Kit</t>
        </is>
      </c>
      <c r="D830" t="inlineStr">
        <is>
          <t>Dismantling Knife-1000V Insulated &amp; Klein Tools 46039 Cable Splicer's Kit with Cable Splicer Electricians Knife and Free-Fall Snip</t>
        </is>
      </c>
      <c r="E830" s="2">
        <f>HYPERLINK("https://www.amazon.com/Dismantling-Knife-1000V-Insulated-Electricians-Free-Fall/dp/B0BM2ZZM12/ref=sr_1_8?keywords=Klein+Tools+46037+Cable+Splicer%27s+Kit&amp;qid=1695174157&amp;sr=8-8", "https://www.amazon.com/Dismantling-Knife-1000V-Insulated-Electricians-Free-Fall/dp/B0BM2ZZM12/ref=sr_1_8?keywords=Klein+Tools+46037+Cable+Splicer%27s+Kit&amp;qid=1695174157&amp;sr=8-8")</f>
        <v/>
      </c>
      <c r="F830" t="inlineStr">
        <is>
          <t>B0BM2ZZM12</t>
        </is>
      </c>
      <c r="G830">
        <f>_xludf.IMAGE("https://edmondsonsupply.com/cdn/shop/products/46037.jpg?v=1663351986")</f>
        <v/>
      </c>
      <c r="H830">
        <f>_xludf.IMAGE("https://m.media-amazon.com/images/I/41uZ3RjcrvL._AC_UL320_.jpg")</f>
        <v/>
      </c>
      <c r="I830" t="inlineStr">
        <is>
          <t>39.97</t>
        </is>
      </c>
      <c r="J830" t="n">
        <v>94.92</v>
      </c>
      <c r="K830" s="3" t="inlineStr">
        <is>
          <t>137.48%</t>
        </is>
      </c>
      <c r="L830" t="n">
        <v>4.8</v>
      </c>
      <c r="M830" t="n">
        <v>793</v>
      </c>
      <c r="O830" t="inlineStr">
        <is>
          <t>InStock</t>
        </is>
      </c>
      <c r="P830" t="inlineStr">
        <is>
          <t>66.7</t>
        </is>
      </c>
      <c r="Q830" t="inlineStr">
        <is>
          <t>7819207508184</t>
        </is>
      </c>
    </row>
    <row r="831">
      <c r="A831" s="2">
        <f>HYPERLINK("https://edmondsonsupply.com/collections/electricians-tools/products/klein-tools-630-3-8-3-8-inch-nut-driver-with-3-inch-hollow-shaft", "https://edmondsonsupply.com/collections/electricians-tools/products/klein-tools-630-3-8-3-8-inch-nut-driver-with-3-inch-hollow-shaft")</f>
        <v/>
      </c>
      <c r="B831" s="2">
        <f>HYPERLINK("https://edmondsonsupply.com/products/klein-tools-630-3-8-3-8-inch-nut-driver-with-3-inch-hollow-shaft", "https://edmondsonsupply.com/products/klein-tools-630-3-8-3-8-inch-nut-driver-with-3-inch-hollow-shaft")</f>
        <v/>
      </c>
      <c r="C831" t="inlineStr">
        <is>
          <t>Klein Tools 630-3/8 3/8-Inch Nut Driver with 3-Inch Hollow Shaft</t>
        </is>
      </c>
      <c r="D831" t="inlineStr">
        <is>
          <t>Klein Tools 646-3/8-INS 3/8-Inch Hex Insulated Nut Driver with 6-Inch Hollow Shaft and Cushion Grip Handle</t>
        </is>
      </c>
      <c r="E831" s="2">
        <f>HYPERLINK("https://www.amazon.com/Insulated-Klein-Tools-646-3-8-INS/dp/B000MKH62I/ref=sr_1_5?keywords=Klein+Tools+630-3%2F8+3%2F8-Inch+Nut+Driver+with+3-Inch+Hollow+Shaft&amp;qid=1695174289&amp;sr=8-5", "https://www.amazon.com/Insulated-Klein-Tools-646-3-8-INS/dp/B000MKH62I/ref=sr_1_5?keywords=Klein+Tools+630-3%2F8+3%2F8-Inch+Nut+Driver+with+3-Inch+Hollow+Shaft&amp;qid=1695174289&amp;sr=8-5")</f>
        <v/>
      </c>
      <c r="F831" t="inlineStr">
        <is>
          <t>B000MKH62I</t>
        </is>
      </c>
      <c r="G831">
        <f>_xludf.IMAGE("https://edmondsonsupply.com/cdn/shop/products/630-1-2_e23f9fbd-a282-44d7-b743-2cfe0f84edfa.jpg?v=1633030906")</f>
        <v/>
      </c>
      <c r="H831">
        <f>_xludf.IMAGE("https://m.media-amazon.com/images/I/613x9jx46fL._AC_UL320_.jpg")</f>
        <v/>
      </c>
      <c r="I831" t="inlineStr">
        <is>
          <t>8.99</t>
        </is>
      </c>
      <c r="J831" t="n">
        <v>21.18</v>
      </c>
      <c r="K831" s="3" t="inlineStr">
        <is>
          <t>135.60%</t>
        </is>
      </c>
      <c r="L831" t="n">
        <v>4.7</v>
      </c>
      <c r="M831" t="n">
        <v>274</v>
      </c>
      <c r="O831" t="inlineStr">
        <is>
          <t>InStock</t>
        </is>
      </c>
      <c r="P831" t="inlineStr">
        <is>
          <t>11.74</t>
        </is>
      </c>
      <c r="Q831" t="inlineStr">
        <is>
          <t>6244382376109</t>
        </is>
      </c>
    </row>
    <row r="832">
      <c r="A832" s="2">
        <f>HYPERLINK("https://edmondsonsupply.com/collections/electricians-tools/products/klein-tools-614-2-1-16-inch-slotted-electronics-screwdriver-2-inch", "https://edmondsonsupply.com/collections/electricians-tools/products/klein-tools-614-2-1-16-inch-slotted-electronics-screwdriver-2-inch")</f>
        <v/>
      </c>
      <c r="B832" s="2">
        <f>HYPERLINK("https://edmondsonsupply.com/products/klein-tools-614-2-1-16-inch-slotted-electronics-screwdriver-2-inch", "https://edmondsonsupply.com/products/klein-tools-614-2-1-16-inch-slotted-electronics-screwdriver-2-inch")</f>
        <v/>
      </c>
      <c r="C832" t="inlineStr">
        <is>
          <t>Klein Tools 614-2 1/16-Inch Slotted Electronics Screwdriver, 2-Inch</t>
        </is>
      </c>
      <c r="D832" t="inlineStr">
        <is>
          <t>Klein Tools 32293 Insulated Screwdriver, 2-in-1 Screwdriver Set with Flip Blade, #2 Phillips and1/4-Inch Slotted Tips, Double-Ended Blades</t>
        </is>
      </c>
      <c r="E832" s="2">
        <f>HYPERLINK("https://www.amazon.com/Klein-Tools-32293-Screwdriver-Double-Ended/dp/B07WWZZQD2/ref=sr_1_6?keywords=Klein+Tools+614-2+1%2F16-Inch+Slotted+Electronics+Screwdriver%2C+2-Inch&amp;qid=1695174229&amp;sr=8-6", "https://www.amazon.com/Klein-Tools-32293-Screwdriver-Double-Ended/dp/B07WWZZQD2/ref=sr_1_6?keywords=Klein+Tools+614-2+1%2F16-Inch+Slotted+Electronics+Screwdriver%2C+2-Inch&amp;qid=1695174229&amp;sr=8-6")</f>
        <v/>
      </c>
      <c r="F832" t="inlineStr">
        <is>
          <t>B07WWZZQD2</t>
        </is>
      </c>
      <c r="G832">
        <f>_xludf.IMAGE("https://edmondsonsupply.com/cdn/shop/products/614-2.jpg?v=1637284311")</f>
        <v/>
      </c>
      <c r="H832">
        <f>_xludf.IMAGE("https://m.media-amazon.com/images/I/41yk4NC2BmL._AC_UL320_.jpg")</f>
        <v/>
      </c>
      <c r="I832" t="inlineStr">
        <is>
          <t>8.49</t>
        </is>
      </c>
      <c r="J832" t="n">
        <v>19.98</v>
      </c>
      <c r="K832" s="3" t="inlineStr">
        <is>
          <t>135.34%</t>
        </is>
      </c>
      <c r="L832" t="n">
        <v>4.8</v>
      </c>
      <c r="M832" t="n">
        <v>2782</v>
      </c>
      <c r="O832" t="inlineStr">
        <is>
          <t>InStock</t>
        </is>
      </c>
      <c r="P832" t="inlineStr">
        <is>
          <t>12.86</t>
        </is>
      </c>
      <c r="Q832" t="inlineStr">
        <is>
          <t>7512018616536</t>
        </is>
      </c>
    </row>
    <row r="833">
      <c r="A833" s="2">
        <f>HYPERLINK("https://edmondsonsupply.com/collections/electricians-tools/products/klein-tools-69410-replacement-test-lead-set-right-angle", "https://edmondsonsupply.com/collections/electricians-tools/products/klein-tools-69410-replacement-test-lead-set-right-angle")</f>
        <v/>
      </c>
      <c r="B833" s="2">
        <f>HYPERLINK("https://edmondsonsupply.com/products/klein-tools-69410-replacement-test-lead-set-right-angle", "https://edmondsonsupply.com/products/klein-tools-69410-replacement-test-lead-set-right-angle")</f>
        <v/>
      </c>
      <c r="C833" t="inlineStr">
        <is>
          <t>Klein Tools 69410 Replacement Test Lead Set, Right Angle</t>
        </is>
      </c>
      <c r="D833" t="inlineStr">
        <is>
          <t>Klein Tools MM450 Multimeter, Slim Digital Meter, Auto-Ranging TRMS, 600V AC/DC Voltage, Current, Resistance, Temp, Frequency, Continuity &amp; 69410 Replacement Test Lead Set, Right Angle</t>
        </is>
      </c>
      <c r="E833" s="2">
        <f>HYPERLINK("https://www.amazon.com/Klein-Tools-Multimeter-Auto-Ranging-Replacement/dp/B0CF1HLRLZ/ref=sr_1_3?keywords=Klein+Tools+69410+Replacement+Test+Lead+Set%2C+Right+Angle&amp;qid=1695173944&amp;sr=8-3", "https://www.amazon.com/Klein-Tools-Multimeter-Auto-Ranging-Replacement/dp/B0CF1HLRLZ/ref=sr_1_3?keywords=Klein+Tools+69410+Replacement+Test+Lead+Set%2C+Right+Angle&amp;qid=1695173944&amp;sr=8-3")</f>
        <v/>
      </c>
      <c r="F833" t="inlineStr">
        <is>
          <t>B0CF1HLRLZ</t>
        </is>
      </c>
      <c r="G833">
        <f>_xludf.IMAGE("https://edmondsonsupply.com/cdn/shop/products/69410.jpg?v=1587143393")</f>
        <v/>
      </c>
      <c r="H833">
        <f>_xludf.IMAGE("https://m.media-amazon.com/images/I/511gqqz-o+L._AC_UY218_.jpg")</f>
        <v/>
      </c>
      <c r="I833" t="inlineStr">
        <is>
          <t>19.97</t>
        </is>
      </c>
      <c r="J833" t="n">
        <v>46.9</v>
      </c>
      <c r="K833" s="3" t="inlineStr">
        <is>
          <t>134.85%</t>
        </is>
      </c>
      <c r="L833" t="n">
        <v>4.7</v>
      </c>
      <c r="M833" t="n">
        <v>3817</v>
      </c>
      <c r="O833" t="inlineStr">
        <is>
          <t>InStock</t>
        </is>
      </c>
      <c r="P833" t="inlineStr">
        <is>
          <t>27.1</t>
        </is>
      </c>
      <c r="Q833" t="inlineStr">
        <is>
          <t>4274171543652</t>
        </is>
      </c>
    </row>
    <row r="834">
      <c r="A834" s="2">
        <f>HYPERLINK("https://edmondsonsupply.com/collections/electricians-tools/products/klein-tools-et45-ac-dc-voltage-tester", "https://edmondsonsupply.com/collections/electricians-tools/products/klein-tools-et45-ac-dc-voltage-tester")</f>
        <v/>
      </c>
      <c r="B834" s="2">
        <f>HYPERLINK("https://edmondsonsupply.com/products/klein-tools-et45-ac-dc-voltage-tester", "https://edmondsonsupply.com/products/klein-tools-et45-ac-dc-voltage-tester")</f>
        <v/>
      </c>
      <c r="C834" t="inlineStr">
        <is>
          <t>Klein Tools ET45 AC/DC Voltage Tester</t>
        </is>
      </c>
      <c r="D834" t="inlineStr">
        <is>
          <t>Klein Tools ET60 Voltage Tester, Tests AC and DC Voltage and Low Voltage, No Batteries Needed, Orange/Black</t>
        </is>
      </c>
      <c r="E834" s="2">
        <f>HYPERLINK("https://www.amazon.com/Electronic-Voltage-Klein-Tools-ET60/dp/B06WWFGHQZ/ref=sr_1_6?keywords=Klein+Tools+ET45+AC%2FDC+Voltage+Tester&amp;qid=1695174290&amp;sr=8-6", "https://www.amazon.com/Electronic-Voltage-Klein-Tools-ET60/dp/B06WWFGHQZ/ref=sr_1_6?keywords=Klein+Tools+ET45+AC%2FDC+Voltage+Tester&amp;qid=1695174290&amp;sr=8-6")</f>
        <v/>
      </c>
      <c r="F834" t="inlineStr">
        <is>
          <t>B06WWFGHQZ</t>
        </is>
      </c>
      <c r="G834">
        <f>_xludf.IMAGE("https://edmondsonsupply.com/cdn/shop/products/et45.jpg?v=1647786270")</f>
        <v/>
      </c>
      <c r="H834">
        <f>_xludf.IMAGE("https://m.media-amazon.com/images/I/61bFp93k0pL._AC_UL320_.jpg")</f>
        <v/>
      </c>
      <c r="I834" t="inlineStr">
        <is>
          <t>11.99</t>
        </is>
      </c>
      <c r="J834" t="n">
        <v>28.05</v>
      </c>
      <c r="K834" s="3" t="inlineStr">
        <is>
          <t>133.94%</t>
        </is>
      </c>
      <c r="L834" t="n">
        <v>4.6</v>
      </c>
      <c r="M834" t="n">
        <v>1112</v>
      </c>
      <c r="O834" t="inlineStr">
        <is>
          <t>InStock</t>
        </is>
      </c>
      <c r="P834" t="inlineStr">
        <is>
          <t>16.72</t>
        </is>
      </c>
      <c r="Q834" t="inlineStr">
        <is>
          <t>3688633630820</t>
        </is>
      </c>
    </row>
    <row r="835">
      <c r="A835" s="2">
        <f>HYPERLINK("https://edmondsonsupply.com/collections/electricians-tools/products/klein-tools-32768-3-in-1-impact-flip-socket-set-1-4-inch-5-16-inch-2-piece", "https://edmondsonsupply.com/collections/electricians-tools/products/klein-tools-32768-3-in-1-impact-flip-socket-set-1-4-inch-5-16-inch-2-piece")</f>
        <v/>
      </c>
      <c r="B835" s="2">
        <f>HYPERLINK("https://edmondsonsupply.com/products/klein-tools-32768-3-in-1-impact-flip-socket-set-1-4-inch-5-16-inch-2-piece", "https://edmondsonsupply.com/products/klein-tools-32768-3-in-1-impact-flip-socket-set-1-4-inch-5-16-inch-2-piece")</f>
        <v/>
      </c>
      <c r="C835" t="inlineStr">
        <is>
          <t>Klein Tools 32768 3-in-1 Impact Flip Socket Set, 1/4-Inch, 5/16-Inch, 2-Piece</t>
        </is>
      </c>
      <c r="D835" t="inlineStr">
        <is>
          <t>Klein Tools 32768 Impact Driver, 3-in-1 &amp; 7-in-1 Impact Flip Socket Set, 6 Hex Driver Sizes plus a 1/4-Inch Bit Holder Klein Tools 32907</t>
        </is>
      </c>
      <c r="E835" s="2">
        <f>HYPERLINK("https://www.amazon.com/Klein-Tools-Impact-Driver-Socket/dp/B0BNL4KNLD/ref=sr_1_4?keywords=Klein+Tools+32768+3-in-1+Impact+Flip+Socket+Set%2C+1%2F4-Inch%2C+5%2F16-Inch%2C+2-Piece&amp;qid=1695174135&amp;sr=8-4", "https://www.amazon.com/Klein-Tools-Impact-Driver-Socket/dp/B0BNL4KNLD/ref=sr_1_4?keywords=Klein+Tools+32768+3-in-1+Impact+Flip+Socket+Set%2C+1%2F4-Inch%2C+5%2F16-Inch%2C+2-Piece&amp;qid=1695174135&amp;sr=8-4")</f>
        <v/>
      </c>
      <c r="F835" t="inlineStr">
        <is>
          <t>B0BNL4KNLD</t>
        </is>
      </c>
      <c r="G835">
        <f>_xludf.IMAGE("https://edmondsonsupply.com/cdn/shop/products/32768.jpg?v=1666022946")</f>
        <v/>
      </c>
      <c r="H835">
        <f>_xludf.IMAGE("https://m.media-amazon.com/images/I/41nFo8SbgZL._AC_UL320_.jpg")</f>
        <v/>
      </c>
      <c r="I835" t="inlineStr">
        <is>
          <t>14.97</t>
        </is>
      </c>
      <c r="J835" t="n">
        <v>34.98</v>
      </c>
      <c r="K835" s="3" t="inlineStr">
        <is>
          <t>133.67%</t>
        </is>
      </c>
      <c r="L835" t="n">
        <v>5</v>
      </c>
      <c r="M835" t="n">
        <v>7</v>
      </c>
      <c r="O835" t="inlineStr">
        <is>
          <t>InStock</t>
        </is>
      </c>
      <c r="P835" t="inlineStr">
        <is>
          <t>21.98</t>
        </is>
      </c>
      <c r="Q835" t="inlineStr">
        <is>
          <t>7856621977816</t>
        </is>
      </c>
    </row>
    <row r="836">
      <c r="A836" s="2">
        <f>HYPERLINK("https://edmondsonsupply.com/collections/electricians-tools/products/klein-tools-32900-7-in-1-impact-flip-socket-with-handle", "https://edmondsonsupply.com/collections/electricians-tools/products/klein-tools-32900-7-in-1-impact-flip-socket-with-handle")</f>
        <v/>
      </c>
      <c r="B836" s="2">
        <f>HYPERLINK("https://edmondsonsupply.com/products/klein-tools-32900-7-in-1-impact-flip-socket-with-handle", "https://edmondsonsupply.com/products/klein-tools-32900-7-in-1-impact-flip-socket-with-handle")</f>
        <v/>
      </c>
      <c r="C836" t="inlineStr">
        <is>
          <t>Klein Tools 32900 7-in-1 Impact Flip Socket with Handle</t>
        </is>
      </c>
      <c r="D836" t="inlineStr">
        <is>
          <t>Klein Tools J215-8CR Multitool Pliers, Twisting, Looping &amp; 32900 Impact Driver, 7-in-1 Impact Flip Socket Set with Handle, 6 Hex Driver Sizes plus a 1/4-Inch Bit Holder</t>
        </is>
      </c>
      <c r="E836" s="2">
        <f>HYPERLINK("https://www.amazon.com/Klein-Tools-J215-8CR-Multitool-Twisting/dp/B0BNL9XZLY/ref=sr_1_4?keywords=Klein+Tools+32900+7-in-1+Impact+Flip+Socket+with+Handle&amp;qid=1695174143&amp;sr=8-4", "https://www.amazon.com/Klein-Tools-J215-8CR-Multitool-Twisting/dp/B0BNL9XZLY/ref=sr_1_4?keywords=Klein+Tools+32900+7-in-1+Impact+Flip+Socket+with+Handle&amp;qid=1695174143&amp;sr=8-4")</f>
        <v/>
      </c>
      <c r="F836" t="inlineStr">
        <is>
          <t>B0BNL9XZLY</t>
        </is>
      </c>
      <c r="G836">
        <f>_xludf.IMAGE("https://edmondsonsupply.com/cdn/shop/products/32900_b.jpg?v=1666024787")</f>
        <v/>
      </c>
      <c r="H836">
        <f>_xludf.IMAGE("https://m.media-amazon.com/images/I/51OtnaqJyqL._AC_UL320_.jpg")</f>
        <v/>
      </c>
      <c r="I836" t="inlineStr">
        <is>
          <t>29.97</t>
        </is>
      </c>
      <c r="J836" t="n">
        <v>69.94</v>
      </c>
      <c r="K836" s="3" t="inlineStr">
        <is>
          <t>133.37%</t>
        </is>
      </c>
      <c r="L836" t="n">
        <v>4</v>
      </c>
      <c r="M836" t="n">
        <v>3</v>
      </c>
      <c r="O836" t="inlineStr">
        <is>
          <t>InStock</t>
        </is>
      </c>
      <c r="P836" t="inlineStr">
        <is>
          <t>45.0</t>
        </is>
      </c>
      <c r="Q836" t="inlineStr">
        <is>
          <t>7856651239640</t>
        </is>
      </c>
    </row>
    <row r="837">
      <c r="A837" s="2">
        <f>HYPERLINK("https://edmondsonsupply.com/collections/electricians-tools/products/klein-tools-32900-7-in-1-impact-flip-socket-with-handle", "https://edmondsonsupply.com/collections/electricians-tools/products/klein-tools-32900-7-in-1-impact-flip-socket-with-handle")</f>
        <v/>
      </c>
      <c r="B837" s="2">
        <f>HYPERLINK("https://edmondsonsupply.com/products/klein-tools-32900-7-in-1-impact-flip-socket-with-handle", "https://edmondsonsupply.com/products/klein-tools-32900-7-in-1-impact-flip-socket-with-handle")</f>
        <v/>
      </c>
      <c r="C837" t="inlineStr">
        <is>
          <t>Klein Tools 32900 7-in-1 Impact Flip Socket with Handle</t>
        </is>
      </c>
      <c r="D837" t="inlineStr">
        <is>
          <t>Klein Tools Recharge Headlamp Fabric Strap 400 Lumens All Day Runtime &amp; 32900 Impact Driver, 7-in-1 Impact Flip Socket Set with Handle, 6 Hex Driver Sizes Plus a 1/4-Inch Bit Holder</t>
        </is>
      </c>
      <c r="E837" s="2">
        <f>HYPERLINK("https://www.amazon.com/Klein-Tools-Recharge-Headlamp-Runtime/dp/B0BNL563BW/ref=sr_1_5?keywords=Klein+Tools+32900+7-in-1+Impact+Flip+Socket+with+Handle&amp;qid=1695174143&amp;sr=8-5", "https://www.amazon.com/Klein-Tools-Recharge-Headlamp-Runtime/dp/B0BNL563BW/ref=sr_1_5?keywords=Klein+Tools+32900+7-in-1+Impact+Flip+Socket+with+Handle&amp;qid=1695174143&amp;sr=8-5")</f>
        <v/>
      </c>
      <c r="F837" t="inlineStr">
        <is>
          <t>B0BNL563BW</t>
        </is>
      </c>
      <c r="G837">
        <f>_xludf.IMAGE("https://edmondsonsupply.com/cdn/shop/products/32900_b.jpg?v=1666024787")</f>
        <v/>
      </c>
      <c r="H837">
        <f>_xludf.IMAGE("https://m.media-amazon.com/images/I/51gNBTMFaDL._AC_UL320_.jpg")</f>
        <v/>
      </c>
      <c r="I837" t="inlineStr">
        <is>
          <t>29.97</t>
        </is>
      </c>
      <c r="J837" t="n">
        <v>69.94</v>
      </c>
      <c r="K837" s="3" t="inlineStr">
        <is>
          <t>133.37%</t>
        </is>
      </c>
      <c r="L837" t="n">
        <v>4.3</v>
      </c>
      <c r="M837" t="n">
        <v>3</v>
      </c>
      <c r="O837" t="inlineStr">
        <is>
          <t>InStock</t>
        </is>
      </c>
      <c r="P837" t="inlineStr">
        <is>
          <t>45.0</t>
        </is>
      </c>
      <c r="Q837" t="inlineStr">
        <is>
          <t>7856651239640</t>
        </is>
      </c>
    </row>
    <row r="838">
      <c r="A838" s="2">
        <f>HYPERLINK("https://edmondsonsupply.com/collections/electricians-tools/products/klein-tools-vdv427-300-impact-punchdown-tool-66-110-blade", "https://edmondsonsupply.com/collections/electricians-tools/products/klein-tools-vdv427-300-impact-punchdown-tool-66-110-blade")</f>
        <v/>
      </c>
      <c r="B838" s="2">
        <f>HYPERLINK("https://edmondsonsupply.com/products/klein-tools-vdv427-300-impact-punchdown-tool-66-110-blade", "https://edmondsonsupply.com/products/klein-tools-vdv427-300-impact-punchdown-tool-66-110-blade")</f>
        <v/>
      </c>
      <c r="C838" t="inlineStr">
        <is>
          <t>Klein Tools VDV427-300 Impact Punchdown Tool, 66/110 Blade</t>
        </is>
      </c>
      <c r="D838" t="inlineStr">
        <is>
          <t>Klein Tools VDV526-200 Cable Tester, LAN Scout Jr. 2 Ethernet Cable Tester &amp; VDV427-300 Impact Punchdown Tool, 66/110 Blade</t>
        </is>
      </c>
      <c r="E838" s="2">
        <f>HYPERLINK("https://www.amazon.com/Klein-Tools-VDV526-200-VDV427-300-Punchdown/dp/B09T6Y965V/ref=sr_1_7?keywords=Klein+Tools+VDV427-300+Impact+Punchdown+Tool%2C+66%2F110+Blade&amp;qid=1695174221&amp;sr=8-7", "https://www.amazon.com/Klein-Tools-VDV526-200-VDV427-300-Punchdown/dp/B09T6Y965V/ref=sr_1_7?keywords=Klein+Tools+VDV427-300+Impact+Punchdown+Tool%2C+66%2F110+Blade&amp;qid=1695174221&amp;sr=8-7")</f>
        <v/>
      </c>
      <c r="F838" t="inlineStr">
        <is>
          <t>B09T6Y965V</t>
        </is>
      </c>
      <c r="G838">
        <f>_xludf.IMAGE("https://edmondsonsupply.com/cdn/shop/products/vdv427300.jpg?v=1646010568")</f>
        <v/>
      </c>
      <c r="H838">
        <f>_xludf.IMAGE("https://m.media-amazon.com/images/I/411dxfFTZ6L._AC_UL320_.jpg")</f>
        <v/>
      </c>
      <c r="I838" t="inlineStr">
        <is>
          <t>39.97</t>
        </is>
      </c>
      <c r="J838" t="n">
        <v>93.06999999999999</v>
      </c>
      <c r="K838" s="3" t="inlineStr">
        <is>
          <t>132.85%</t>
        </is>
      </c>
      <c r="L838" t="n">
        <v>5</v>
      </c>
      <c r="M838" t="n">
        <v>7</v>
      </c>
      <c r="O838" t="inlineStr">
        <is>
          <t>InStock</t>
        </is>
      </c>
      <c r="P838" t="inlineStr">
        <is>
          <t>55.98</t>
        </is>
      </c>
      <c r="Q838" t="inlineStr">
        <is>
          <t>7620069818584</t>
        </is>
      </c>
    </row>
    <row r="839">
      <c r="A839" s="2">
        <f>HYPERLINK("https://edmondsonsupply.com/collections/electricians-tools/products/greenlee-612-1-1-2-foam-conduit-piston", "https://edmondsonsupply.com/collections/electricians-tools/products/greenlee-612-1-1-2-foam-conduit-piston")</f>
        <v/>
      </c>
      <c r="B839" s="2">
        <f>HYPERLINK("https://edmondsonsupply.com/products/greenlee-612-1-1-2-foam-conduit-piston", "https://edmondsonsupply.com/products/greenlee-612-1-1-2-foam-conduit-piston")</f>
        <v/>
      </c>
      <c r="C839" t="inlineStr">
        <is>
          <t>Greenlee 612 1-1/2" Foam Conduit Piston</t>
        </is>
      </c>
      <c r="D839" t="inlineStr">
        <is>
          <t>Greenlee 612-2 Conduit Piston, 1-1/2-Inch Conduit</t>
        </is>
      </c>
      <c r="E839" s="2">
        <f>HYPERLINK("https://www.amazon.com/Greenlee-612-2-Piston-Conduit-Pack/dp/B003STCZE4/ref=sr_1_2?keywords=Greenlee+612+1-1%2F2%22+Foam+Conduit+Piston&amp;qid=1695173998&amp;sr=8-2", "https://www.amazon.com/Greenlee-612-2-Piston-Conduit-Pack/dp/B003STCZE4/ref=sr_1_2?keywords=Greenlee+612+1-1%2F2%22+Foam+Conduit+Piston&amp;qid=1695173998&amp;sr=8-2")</f>
        <v/>
      </c>
      <c r="F839" t="inlineStr">
        <is>
          <t>B003STCZE4</t>
        </is>
      </c>
      <c r="G839">
        <f>_xludf.IMAGE("https://edmondsonsupply.com/cdn/shop/files/612.png?v=1687451101")</f>
        <v/>
      </c>
      <c r="H839">
        <f>_xludf.IMAGE("https://m.media-amazon.com/images/I/91+NtS500CL._AC_UL320_.jpg")</f>
        <v/>
      </c>
      <c r="I839" t="inlineStr">
        <is>
          <t>11.33</t>
        </is>
      </c>
      <c r="J839" t="n">
        <v>26.34</v>
      </c>
      <c r="K839" s="3" t="inlineStr">
        <is>
          <t>132.48%</t>
        </is>
      </c>
      <c r="L839" t="n">
        <v>5</v>
      </c>
      <c r="M839" t="n">
        <v>6</v>
      </c>
      <c r="O839" t="inlineStr">
        <is>
          <t>InStock</t>
        </is>
      </c>
      <c r="P839" t="inlineStr">
        <is>
          <t>undefined</t>
        </is>
      </c>
      <c r="Q839" t="inlineStr">
        <is>
          <t>8007993032920</t>
        </is>
      </c>
    </row>
    <row r="840">
      <c r="A840" s="2">
        <f>HYPERLINK("https://edmondsonsupply.com/collections/electricians-tools/products/klein-tools-85091-power-conduit-reamer", "https://edmondsonsupply.com/collections/electricians-tools/products/klein-tools-85091-power-conduit-reamer")</f>
        <v/>
      </c>
      <c r="B840" s="2">
        <f>HYPERLINK("https://edmondsonsupply.com/products/klein-tools-85091-power-conduit-reamer", "https://edmondsonsupply.com/products/klein-tools-85091-power-conduit-reamer")</f>
        <v/>
      </c>
      <c r="C840" t="inlineStr">
        <is>
          <t>Klein Tools 85091 Power Conduit Reamer</t>
        </is>
      </c>
      <c r="D840" t="inlineStr">
        <is>
          <t>Klein Tools 85091 Power Conduit Reamer, 1/2-, 3/4- and 1-In &amp; 85191 Screwdriver/Conduit Reamer, Conduit Fitting and Reaming Screwdriver for 1/2-In, 3/4-In, and 1-In Thin-Wall Conduit</t>
        </is>
      </c>
      <c r="E840" s="2">
        <f>HYPERLINK("https://www.amazon.com/Klein-Tools-Conduit-Screwdriver-Thin-Wall/dp/B0BGPT4RV4/ref=sr_1_2?keywords=Klein+Tools+85091+Power+Conduit+Reamer&amp;qid=1695174290&amp;sr=8-2", "https://www.amazon.com/Klein-Tools-Conduit-Screwdriver-Thin-Wall/dp/B0BGPT4RV4/ref=sr_1_2?keywords=Klein+Tools+85091+Power+Conduit+Reamer&amp;qid=1695174290&amp;sr=8-2")</f>
        <v/>
      </c>
      <c r="F840" t="inlineStr">
        <is>
          <t>B0BGPT4RV4</t>
        </is>
      </c>
      <c r="G840">
        <f>_xludf.IMAGE("https://edmondsonsupply.com/cdn/shop/products/85091.jpg?v=1633030889")</f>
        <v/>
      </c>
      <c r="H840">
        <f>_xludf.IMAGE("https://m.media-amazon.com/images/I/31hKQJsNkcL._AC_UL320_.jpg")</f>
        <v/>
      </c>
      <c r="I840" t="inlineStr">
        <is>
          <t>24.97</t>
        </is>
      </c>
      <c r="J840" t="n">
        <v>57.83</v>
      </c>
      <c r="K840" s="3" t="inlineStr">
        <is>
          <t>131.60%</t>
        </is>
      </c>
      <c r="L840" t="n">
        <v>5</v>
      </c>
      <c r="M840" t="n">
        <v>2</v>
      </c>
      <c r="O840" t="inlineStr">
        <is>
          <t>InStock</t>
        </is>
      </c>
      <c r="P840" t="inlineStr">
        <is>
          <t>42.04</t>
        </is>
      </c>
      <c r="Q840" t="inlineStr">
        <is>
          <t>6221953269933</t>
        </is>
      </c>
    </row>
    <row r="841">
      <c r="A841" s="2">
        <f>HYPERLINK("https://edmondsonsupply.com/collections/electricians-tools/products/klein-tools-32314-14-in-1-precision-screwdriver-nut-driver", "https://edmondsonsupply.com/collections/electricians-tools/products/klein-tools-32314-14-in-1-precision-screwdriver-nut-driver")</f>
        <v/>
      </c>
      <c r="B841" s="2">
        <f>HYPERLINK("https://edmondsonsupply.com/products/klein-tools-32314-14-in-1-precision-screwdriver-nut-driver", "https://edmondsonsupply.com/products/klein-tools-32314-14-in-1-precision-screwdriver-nut-driver")</f>
        <v/>
      </c>
      <c r="C841" t="inlineStr">
        <is>
          <t>Klein Tools 32314 14-in-1 Precision Screwdriver/ Nut Driver</t>
        </is>
      </c>
      <c r="D841" t="inlineStr">
        <is>
          <t>Klein Tools 32305 Multi-bit Ratcheting Screwdriver &amp; 32314 Electronic Screwdriver, 14-in-1 with 8 Precision Tips, Slotted, Phillips, and Tamperproof TORX Bits, 6 Precision Nut Drivers</t>
        </is>
      </c>
      <c r="E841" s="2">
        <f>HYPERLINK("https://www.amazon.com/Klein-Tools-Ratcheting-Screwdriver-Tamperproof/dp/B09Y88M7X7/ref=sr_1_5?keywords=Klein+Tools+32314+14-in-1+Precision+Screwdriver%2F+Nut+Driver&amp;qid=1695173878&amp;sr=8-5", "https://www.amazon.com/Klein-Tools-Ratcheting-Screwdriver-Tamperproof/dp/B09Y88M7X7/ref=sr_1_5?keywords=Klein+Tools+32314+14-in-1+Precision+Screwdriver%2F+Nut+Driver&amp;qid=1695173878&amp;sr=8-5")</f>
        <v/>
      </c>
      <c r="F841" t="inlineStr">
        <is>
          <t>B09Y88M7X7</t>
        </is>
      </c>
      <c r="G841">
        <f>_xludf.IMAGE("https://edmondsonsupply.com/cdn/shop/products/32314.jpg?v=1646593726")</f>
        <v/>
      </c>
      <c r="H841">
        <f>_xludf.IMAGE("https://m.media-amazon.com/images/I/41GYmy8nNDL._AC_UL320_.jpg")</f>
        <v/>
      </c>
      <c r="I841" t="inlineStr">
        <is>
          <t>15.97</t>
        </is>
      </c>
      <c r="J841" t="n">
        <v>36.94</v>
      </c>
      <c r="K841" s="3" t="inlineStr">
        <is>
          <t>131.31%</t>
        </is>
      </c>
      <c r="L841" t="n">
        <v>4.7</v>
      </c>
      <c r="M841" t="n">
        <v>22</v>
      </c>
      <c r="O841" t="inlineStr">
        <is>
          <t>InStock</t>
        </is>
      </c>
      <c r="P841" t="inlineStr">
        <is>
          <t>22.38</t>
        </is>
      </c>
      <c r="Q841" t="inlineStr">
        <is>
          <t>7626984947928</t>
        </is>
      </c>
    </row>
    <row r="842">
      <c r="A842" s="2">
        <f>HYPERLINK("https://edmondsonsupply.com/collections/electricians-tools/products/klein-tools-60162-professional-safety-glasses-gray-lens", "https://edmondsonsupply.com/collections/electricians-tools/products/klein-tools-60162-professional-safety-glasses-gray-lens")</f>
        <v/>
      </c>
      <c r="B842" s="2">
        <f>HYPERLINK("https://edmondsonsupply.com/products/klein-tools-60162-professional-safety-glasses-gray-lens", "https://edmondsonsupply.com/products/klein-tools-60162-professional-safety-glasses-gray-lens")</f>
        <v/>
      </c>
      <c r="C842" t="inlineStr">
        <is>
          <t>Klein Tools 60162 Professional Safety Glasses, Gray Lens</t>
        </is>
      </c>
      <c r="D842" t="inlineStr">
        <is>
          <t>Klein Tools 60539 Safety Glasses, Professional PPE Protective Eyewear, Full Frame, Scratch Resistant and Anti-Fog, Polarized Lens</t>
        </is>
      </c>
      <c r="E842" s="2">
        <f>HYPERLINK("https://www.amazon.com/Klein-Tools-60539-Professional-Protective/dp/B0BLQ6F4MQ/ref=sr_1_9?keywords=Klein+Tools+60162+Professional+Safety+Glasses%2C+Gray+Lens&amp;qid=1695174302&amp;sr=8-9", "https://www.amazon.com/Klein-Tools-60539-Professional-Protective/dp/B0BLQ6F4MQ/ref=sr_1_9?keywords=Klein+Tools+60162+Professional+Safety+Glasses%2C+Gray+Lens&amp;qid=1695174302&amp;sr=8-9")</f>
        <v/>
      </c>
      <c r="F842" t="inlineStr">
        <is>
          <t>B0BLQ6F4MQ</t>
        </is>
      </c>
      <c r="G842">
        <f>_xludf.IMAGE("https://edmondsonsupply.com/cdn/shop/products/60162.jpg?v=1633030847")</f>
        <v/>
      </c>
      <c r="H842">
        <f>_xludf.IMAGE("https://m.media-amazon.com/images/I/41z93jotzdL._AC_UL320_.jpg")</f>
        <v/>
      </c>
      <c r="I842" t="inlineStr">
        <is>
          <t>12.99</t>
        </is>
      </c>
      <c r="J842" t="n">
        <v>29.99</v>
      </c>
      <c r="K842" s="3" t="inlineStr">
        <is>
          <t>130.87%</t>
        </is>
      </c>
      <c r="L842" t="n">
        <v>4.4</v>
      </c>
      <c r="M842" t="n">
        <v>11</v>
      </c>
      <c r="O842" t="inlineStr">
        <is>
          <t>InStock</t>
        </is>
      </c>
      <c r="P842" t="inlineStr">
        <is>
          <t>18.0</t>
        </is>
      </c>
      <c r="Q842" t="inlineStr">
        <is>
          <t>6092128747693</t>
        </is>
      </c>
    </row>
    <row r="843">
      <c r="A843" s="2">
        <f>HYPERLINK("https://edmondsonsupply.com/collections/electricians-tools/products/klein-tools-60161-professional-safety-glasses-clear-lens", "https://edmondsonsupply.com/collections/electricians-tools/products/klein-tools-60161-professional-safety-glasses-clear-lens")</f>
        <v/>
      </c>
      <c r="B843" s="2">
        <f>HYPERLINK("https://edmondsonsupply.com/products/klein-tools-60161-professional-safety-glasses-clear-lens", "https://edmondsonsupply.com/products/klein-tools-60161-professional-safety-glasses-clear-lens")</f>
        <v/>
      </c>
      <c r="C843" t="inlineStr">
        <is>
          <t>Klein Tools 60161 Professional Safety Glasses, Clear Lens</t>
        </is>
      </c>
      <c r="D843" t="inlineStr">
        <is>
          <t>Klein Tools 60539 Safety Glasses, Professional PPE Protective Eyewear, Full Frame, Scratch Resistant and Anti-Fog, Polarized Lens</t>
        </is>
      </c>
      <c r="E843" s="2">
        <f>HYPERLINK("https://www.amazon.com/Klein-Tools-60539-Professional-Protective/dp/B0BLQ6F4MQ/ref=sr_1_9?keywords=Klein+Tools+60161+Professional+Safety+Glasses%2C+Clear+Lens&amp;qid=1695174304&amp;sr=8-9", "https://www.amazon.com/Klein-Tools-60539-Professional-Protective/dp/B0BLQ6F4MQ/ref=sr_1_9?keywords=Klein+Tools+60161+Professional+Safety+Glasses%2C+Clear+Lens&amp;qid=1695174304&amp;sr=8-9")</f>
        <v/>
      </c>
      <c r="F843" t="inlineStr">
        <is>
          <t>B0BLQ6F4MQ</t>
        </is>
      </c>
      <c r="G843">
        <f>_xludf.IMAGE("https://edmondsonsupply.com/cdn/shop/products/60161.jpg?v=1633030845")</f>
        <v/>
      </c>
      <c r="H843">
        <f>_xludf.IMAGE("https://m.media-amazon.com/images/I/41z93jotzdL._AC_UL320_.jpg")</f>
        <v/>
      </c>
      <c r="I843" t="inlineStr">
        <is>
          <t>12.99</t>
        </is>
      </c>
      <c r="J843" t="n">
        <v>29.99</v>
      </c>
      <c r="K843" s="3" t="inlineStr">
        <is>
          <t>130.87%</t>
        </is>
      </c>
      <c r="L843" t="n">
        <v>4.4</v>
      </c>
      <c r="M843" t="n">
        <v>11</v>
      </c>
      <c r="O843" t="inlineStr">
        <is>
          <t>InStock</t>
        </is>
      </c>
      <c r="P843" t="inlineStr">
        <is>
          <t>18.0</t>
        </is>
      </c>
      <c r="Q843" t="inlineStr">
        <is>
          <t>6092105285805</t>
        </is>
      </c>
    </row>
    <row r="844">
      <c r="A844" s="2">
        <f>HYPERLINK("https://edmondsonsupply.com/collections/electricians-tools/products/klein-tools-94130-1000v-insulated-tool-kit-5-piece", "https://edmondsonsupply.com/collections/electricians-tools/products/klein-tools-94130-1000v-insulated-tool-kit-5-piece")</f>
        <v/>
      </c>
      <c r="B844" s="2">
        <f>HYPERLINK("https://edmondsonsupply.com/products/klein-tools-94130-1000v-insulated-tool-kit-5-piece", "https://edmondsonsupply.com/products/klein-tools-94130-1000v-insulated-tool-kit-5-piece")</f>
        <v/>
      </c>
      <c r="C844" t="inlineStr">
        <is>
          <t>Klein Tools 94130 1000V Insulated Tool Kit, 5-Piece</t>
        </is>
      </c>
      <c r="D844" t="inlineStr">
        <is>
          <t>Klein Tools 33524 Tool Kit, 1000V Insulated Nut Driver Set, Sizes 3/16, 1/4, 5/16, 11/32, 3/8,7/16,1/2,9/16,5/8-Inch, with Case, 9-Piece</t>
        </is>
      </c>
      <c r="E844" s="2">
        <f>HYPERLINK("https://www.amazon.com/Insulated-9-Piece-Klein-Tools-33524/dp/B000MKIR9E/ref=sr_1_1?keywords=Klein+Tools+94130+1000V+Insulated+Tool+Kit%2C+5-Piece&amp;qid=1695173888&amp;sr=8-1", "https://www.amazon.com/Insulated-9-Piece-Klein-Tools-33524/dp/B000MKIR9E/ref=sr_1_1?keywords=Klein+Tools+94130+1000V+Insulated+Tool+Kit%2C+5-Piece&amp;qid=1695173888&amp;sr=8-1")</f>
        <v/>
      </c>
      <c r="F844" t="inlineStr">
        <is>
          <t>B000MKIR9E</t>
        </is>
      </c>
      <c r="G844">
        <f>_xludf.IMAGE("https://edmondsonsupply.com/cdn/shop/products/94130.jpg?v=1633030386")</f>
        <v/>
      </c>
      <c r="H844">
        <f>_xludf.IMAGE("https://m.media-amazon.com/images/I/71+Db525CfL._AC_UL320_.jpg")</f>
        <v/>
      </c>
      <c r="I844" t="inlineStr">
        <is>
          <t>99.99</t>
        </is>
      </c>
      <c r="J844" t="n">
        <v>229.99</v>
      </c>
      <c r="K844" s="3" t="inlineStr">
        <is>
          <t>130.01%</t>
        </is>
      </c>
      <c r="L844" t="n">
        <v>4.4</v>
      </c>
      <c r="M844" t="n">
        <v>26</v>
      </c>
      <c r="O844" t="inlineStr">
        <is>
          <t>InStock</t>
        </is>
      </c>
      <c r="P844" t="inlineStr">
        <is>
          <t>149.98</t>
        </is>
      </c>
      <c r="Q844" t="inlineStr">
        <is>
          <t>5299145146536</t>
        </is>
      </c>
    </row>
    <row r="845">
      <c r="A845" s="2">
        <f>HYPERLINK("https://edmondsonsupply.com/collections/electricians-tools/products/klein-tools-ncvt-2p-dual-range-non-contact-voltage-tester-12-1000v-ac", "https://edmondsonsupply.com/collections/electricians-tools/products/klein-tools-ncvt-2p-dual-range-non-contact-voltage-tester-12-1000v-ac")</f>
        <v/>
      </c>
      <c r="B845" s="2">
        <f>HYPERLINK("https://edmondsonsupply.com/products/klein-tools-ncvt-2p-dual-range-non-contact-voltage-tester-12-1000v-ac", "https://edmondsonsupply.com/products/klein-tools-ncvt-2p-dual-range-non-contact-voltage-tester-12-1000v-ac")</f>
        <v/>
      </c>
      <c r="C845" t="inlineStr">
        <is>
          <t>Klein Tools NCVT-2P Dual Range Non-Contact Voltage Tester 12 - 1000V AC</t>
        </is>
      </c>
      <c r="D845" t="inlineStr">
        <is>
          <t>Klein Tools NCVT-4IR Non-Contact Volt Tester, 12-1000V AC Pen with IR Thermometer -22 to 482 deg F, LED and Audible Alarms, Pocket Clip &amp; 14-in-1 Adjustable Screwdriver</t>
        </is>
      </c>
      <c r="E845" s="2">
        <f>HYPERLINK("https://www.amazon.com/Klein-Tools-NCVT-4IR-Non-Contact-Tester/dp/B0BD41QXCP/ref=sr_1_5?keywords=Klein+Tools+NCVT-2P+Dual+Range+Non-Contact+Voltage+Tester+12+-+1000V+AC&amp;qid=1695174301&amp;sr=8-5", "https://www.amazon.com/Klein-Tools-NCVT-4IR-Non-Contact-Tester/dp/B0BD41QXCP/ref=sr_1_5?keywords=Klein+Tools+NCVT-2P+Dual+Range+Non-Contact+Voltage+Tester+12+-+1000V+AC&amp;qid=1695174301&amp;sr=8-5")</f>
        <v/>
      </c>
      <c r="F845" t="inlineStr">
        <is>
          <t>B0BD41QXCP</t>
        </is>
      </c>
      <c r="G845">
        <f>_xludf.IMAGE("https://edmondsonsupply.com/cdn/shop/products/ncvt2p.jpg?v=1633030824")</f>
        <v/>
      </c>
      <c r="H845">
        <f>_xludf.IMAGE("https://m.media-amazon.com/images/I/418deU9NDfL._AC_UL320_.jpg")</f>
        <v/>
      </c>
      <c r="I845" t="inlineStr">
        <is>
          <t>27.97</t>
        </is>
      </c>
      <c r="J845" t="n">
        <v>63.65</v>
      </c>
      <c r="K845" s="3" t="inlineStr">
        <is>
          <t>127.57%</t>
        </is>
      </c>
      <c r="L845" t="n">
        <v>5</v>
      </c>
      <c r="M845" t="n">
        <v>1</v>
      </c>
      <c r="O845" t="inlineStr">
        <is>
          <t>InStock</t>
        </is>
      </c>
      <c r="P845" t="inlineStr">
        <is>
          <t>35.76</t>
        </is>
      </c>
      <c r="Q845" t="inlineStr">
        <is>
          <t>6080875626669</t>
        </is>
      </c>
    </row>
    <row r="846">
      <c r="A846" s="2">
        <f>HYPERLINK("https://edmondsonsupply.com/collections/electricians-tools/products/klein-tools-85073ins-screwdriver-set-1000v-insulated-3-piece", "https://edmondsonsupply.com/collections/electricians-tools/products/klein-tools-85073ins-screwdriver-set-1000v-insulated-3-piece")</f>
        <v/>
      </c>
      <c r="B846" s="2">
        <f>HYPERLINK("https://edmondsonsupply.com/products/klein-tools-85073ins-screwdriver-set-1000v-insulated-3-piece", "https://edmondsonsupply.com/products/klein-tools-85073ins-screwdriver-set-1000v-insulated-3-piece")</f>
        <v/>
      </c>
      <c r="C846" t="inlineStr">
        <is>
          <t>Klein Tools 85073INS Screwdriver Set, 1000V Insulated, 3-Piece</t>
        </is>
      </c>
      <c r="D846" t="inlineStr">
        <is>
          <t>Klein Tools 33736INS Insulated Screwdriver Set, 1000V Slim-Tip Driver with Phillips, Cabinet and Square Bits and a Magnetizer, 6-Piece</t>
        </is>
      </c>
      <c r="E846" s="2">
        <f>HYPERLINK("https://www.amazon.com/Klein-Tools-33736INS-Screwdriver-Magnetizer/dp/B09GPZPMTD/ref=sr_1_3?keywords=Klein+Tools+85073INS+Screwdriver+Set%2C+1000V+Insulated%2C+3-Piece&amp;qid=1695173857&amp;sr=8-3", "https://www.amazon.com/Klein-Tools-33736INS-Screwdriver-Magnetizer/dp/B09GPZPMTD/ref=sr_1_3?keywords=Klein+Tools+85073INS+Screwdriver+Set%2C+1000V+Insulated%2C+3-Piece&amp;qid=1695173857&amp;sr=8-3")</f>
        <v/>
      </c>
      <c r="F846" t="inlineStr">
        <is>
          <t>B09GPZPMTD</t>
        </is>
      </c>
      <c r="G846">
        <f>_xludf.IMAGE("https://edmondsonsupply.com/cdn/shop/products/85073ins.jpg?v=1664890503")</f>
        <v/>
      </c>
      <c r="H846">
        <f>_xludf.IMAGE("https://m.media-amazon.com/images/I/51W2DUA3c7L._AC_UL320_.jpg")</f>
        <v/>
      </c>
      <c r="I846" t="inlineStr">
        <is>
          <t>21.97</t>
        </is>
      </c>
      <c r="J846" t="n">
        <v>49.99</v>
      </c>
      <c r="K846" s="3" t="inlineStr">
        <is>
          <t>127.54%</t>
        </is>
      </c>
      <c r="L846" t="n">
        <v>4.8</v>
      </c>
      <c r="M846" t="n">
        <v>419</v>
      </c>
      <c r="O846" t="inlineStr">
        <is>
          <t>InStock</t>
        </is>
      </c>
      <c r="P846" t="inlineStr">
        <is>
          <t>32.98</t>
        </is>
      </c>
      <c r="Q846" t="inlineStr">
        <is>
          <t>7839219613912</t>
        </is>
      </c>
    </row>
    <row r="847">
      <c r="A847" s="2">
        <f>HYPERLINK("https://edmondsonsupply.com/collections/electricians-tools/products/klein-tools-66079-flip-impact-socket-adapter-small-1-4-to-1-4-inch", "https://edmondsonsupply.com/collections/electricians-tools/products/klein-tools-66079-flip-impact-socket-adapter-small-1-4-to-1-4-inch")</f>
        <v/>
      </c>
      <c r="B847" s="2">
        <f>HYPERLINK("https://edmondsonsupply.com/products/klein-tools-66079-flip-impact-socket-adapter-small-1-4-to-1-4-inch", "https://edmondsonsupply.com/products/klein-tools-66079-flip-impact-socket-adapter-small-1-4-to-1-4-inch")</f>
        <v/>
      </c>
      <c r="C847" t="inlineStr">
        <is>
          <t>Klein Tools 66079 Flip Impact Socket Adapter, Small, 1/4 to 1/4-Inch</t>
        </is>
      </c>
      <c r="D847" t="inlineStr">
        <is>
          <t>Klein Tools 66078 Impact Flip Socket Adapter, Large 1/2 to 1/2 -Inch Square Adapter, Use with Klein Tools Flip Impact Socket Set 66070</t>
        </is>
      </c>
      <c r="E847" s="2">
        <f>HYPERLINK("https://www.amazon.com/Klein-Tools-66078-Impact-Adapter/dp/B0B33T15XS/ref=sr_1_7?keywords=Klein+Tools+66079+Flip+Impact+Socket+Adapter%2C+Small%2C+1%2F4+to+1%2F4-Inch&amp;qid=1695173882&amp;sr=8-7", "https://www.amazon.com/Klein-Tools-66078-Impact-Adapter/dp/B0B33T15XS/ref=sr_1_7?keywords=Klein+Tools+66079+Flip+Impact+Socket+Adapter%2C+Small%2C+1%2F4+to+1%2F4-Inch&amp;qid=1695173882&amp;sr=8-7")</f>
        <v/>
      </c>
      <c r="F847" t="inlineStr">
        <is>
          <t>B0B33T15XS</t>
        </is>
      </c>
      <c r="G847">
        <f>_xludf.IMAGE("https://edmondsonsupply.com/cdn/shop/products/66079.jpg?v=1669735923")</f>
        <v/>
      </c>
      <c r="H847">
        <f>_xludf.IMAGE("https://m.media-amazon.com/images/I/51cFYcsM3kL._AC_UL320_.jpg")</f>
        <v/>
      </c>
      <c r="I847" t="inlineStr">
        <is>
          <t>6.86</t>
        </is>
      </c>
      <c r="J847" t="n">
        <v>15.58</v>
      </c>
      <c r="K847" s="3" t="inlineStr">
        <is>
          <t>127.11%</t>
        </is>
      </c>
      <c r="L847" t="n">
        <v>5</v>
      </c>
      <c r="M847" t="n">
        <v>1</v>
      </c>
      <c r="O847" t="inlineStr">
        <is>
          <t>InStock</t>
        </is>
      </c>
      <c r="P847" t="inlineStr">
        <is>
          <t>9.6</t>
        </is>
      </c>
      <c r="Q847" t="inlineStr">
        <is>
          <t>7896124555480</t>
        </is>
      </c>
    </row>
    <row r="848">
      <c r="A848" s="2">
        <f>HYPERLINK("https://edmondsonsupply.com/collections/electricians-tools/products/klein-tools-69381-heavy-duty-alligator-clip-test-leads-3-foot", "https://edmondsonsupply.com/collections/electricians-tools/products/klein-tools-69381-heavy-duty-alligator-clip-test-leads-3-foot")</f>
        <v/>
      </c>
      <c r="B848" s="2">
        <f>HYPERLINK("https://edmondsonsupply.com/products/klein-tools-69381-heavy-duty-alligator-clip-test-leads-3-foot", "https://edmondsonsupply.com/products/klein-tools-69381-heavy-duty-alligator-clip-test-leads-3-foot")</f>
        <v/>
      </c>
      <c r="C848" t="inlineStr">
        <is>
          <t>Klein Tools 69381 Heavy-Duty Alligator Clip Test Leads, 3-Foot</t>
        </is>
      </c>
      <c r="D848" t="inlineStr">
        <is>
          <t>Klein Tools 69410 Replacement Test Lead Set, Right Angle &amp; 69381 Alligator Clip Test Leads, Heavy-Duty Replacement Meter Leads, for All Meters Using Banana Plug Meter Leads, 3-Foot</t>
        </is>
      </c>
      <c r="E848" s="2">
        <f>HYPERLINK("https://www.amazon.com/Klein-Tools-Replacement-Alligator-Heavy-Duty/dp/B0C3B9WXP6/ref=sr_1_3?keywords=Klein+Tools+69381+Heavy-Duty+Alligator+Clip+Test+Leads%2C+3-Foot&amp;qid=1695174138&amp;sr=8-3", "https://www.amazon.com/Klein-Tools-Replacement-Alligator-Heavy-Duty/dp/B0C3B9WXP6/ref=sr_1_3?keywords=Klein+Tools+69381+Heavy-Duty+Alligator+Clip+Test+Leads%2C+3-Foot&amp;qid=1695174138&amp;sr=8-3")</f>
        <v/>
      </c>
      <c r="F848" t="inlineStr">
        <is>
          <t>B0C3B9WXP6</t>
        </is>
      </c>
      <c r="G848">
        <f>_xludf.IMAGE("https://edmondsonsupply.com/cdn/shop/products/69381_photo.jpg?v=1666889006")</f>
        <v/>
      </c>
      <c r="H848">
        <f>_xludf.IMAGE("https://m.media-amazon.com/images/I/51n7wUjxshL._AC_UY218_.jpg")</f>
        <v/>
      </c>
      <c r="I848" t="inlineStr">
        <is>
          <t>14.99</t>
        </is>
      </c>
      <c r="J848" t="n">
        <v>33.96</v>
      </c>
      <c r="K848" s="3" t="inlineStr">
        <is>
          <t>126.55%</t>
        </is>
      </c>
      <c r="L848" t="n">
        <v>4.5</v>
      </c>
      <c r="M848" t="n">
        <v>10</v>
      </c>
      <c r="O848" t="inlineStr">
        <is>
          <t>InStock</t>
        </is>
      </c>
      <c r="P848" t="inlineStr">
        <is>
          <t>20.98</t>
        </is>
      </c>
      <c r="Q848" t="inlineStr">
        <is>
          <t>7867714371800</t>
        </is>
      </c>
    </row>
    <row r="849">
      <c r="A849" s="2">
        <f>HYPERLINK("https://edmondsonsupply.com/collections/electricians-tools/products/klein-tools-11046-wire-stripper-cutter-16-26-awg-stranded", "https://edmondsonsupply.com/collections/electricians-tools/products/klein-tools-11046-wire-stripper-cutter-16-26-awg-stranded")</f>
        <v/>
      </c>
      <c r="B849" s="2">
        <f>HYPERLINK("https://edmondsonsupply.com/products/klein-tools-11046-wire-stripper-cutter-16-26-awg-stranded", "https://edmondsonsupply.com/products/klein-tools-11046-wire-stripper-cutter-16-26-awg-stranded")</f>
        <v/>
      </c>
      <c r="C849" t="inlineStr">
        <is>
          <t>Klein Tools 11046 Wire Stripper/Cutter 16-26 AWG Stranded</t>
        </is>
      </c>
      <c r="D849" t="inlineStr">
        <is>
          <t>Klein Tools 11046 Wire Stripper/Cutter 16-26 AWG Stranded &amp; 11055 Wire Cutter and Wire Stripper, Stranded Wire Cutter, Solid Wire Cutter, Cuts Copper Wire</t>
        </is>
      </c>
      <c r="E849" s="2">
        <f>HYPERLINK("https://www.amazon.com/Klein-Tools-Stripper-Cutter-Stranded/dp/B0BNL42TPG/ref=sr_1_4?keywords=Klein+Tools+11046+Wire+Stripper%2FCutter+16-26+AWG+Stranded&amp;qid=1695173951&amp;sr=8-4", "https://www.amazon.com/Klein-Tools-Stripper-Cutter-Stranded/dp/B0BNL42TPG/ref=sr_1_4?keywords=Klein+Tools+11046+Wire+Stripper%2FCutter+16-26+AWG+Stranded&amp;qid=1695173951&amp;sr=8-4")</f>
        <v/>
      </c>
      <c r="F849" t="inlineStr">
        <is>
          <t>B0BNL42TPG</t>
        </is>
      </c>
      <c r="G849">
        <f>_xludf.IMAGE("https://edmondsonsupply.com/cdn/shop/products/11046.jpg?v=1587147965")</f>
        <v/>
      </c>
      <c r="H849">
        <f>_xludf.IMAGE("https://m.media-amazon.com/images/I/41Mnz0ZqGoL._AC_UL320_.jpg")</f>
        <v/>
      </c>
      <c r="I849" t="inlineStr">
        <is>
          <t>15.97</t>
        </is>
      </c>
      <c r="J849" t="n">
        <v>35.96</v>
      </c>
      <c r="K849" s="3" t="inlineStr">
        <is>
          <t>125.17%</t>
        </is>
      </c>
      <c r="L849" t="n">
        <v>4.7</v>
      </c>
      <c r="M849" t="n">
        <v>4</v>
      </c>
      <c r="O849" t="inlineStr">
        <is>
          <t>InStock</t>
        </is>
      </c>
      <c r="P849" t="inlineStr">
        <is>
          <t>23.56</t>
        </is>
      </c>
      <c r="Q849" t="inlineStr">
        <is>
          <t>3688603910244</t>
        </is>
      </c>
    </row>
    <row r="850">
      <c r="A850" s="2">
        <f>HYPERLINK("https://edmondsonsupply.com/collections/electricians-tools/products/klein-tools-65200-electricians-mini-ratchet-set-5-piece", "https://edmondsonsupply.com/collections/electricians-tools/products/klein-tools-65200-electricians-mini-ratchet-set-5-piece")</f>
        <v/>
      </c>
      <c r="B850" s="2">
        <f>HYPERLINK("https://edmondsonsupply.com/products/klein-tools-65200-electricians-mini-ratchet-set-5-piece", "https://edmondsonsupply.com/products/klein-tools-65200-electricians-mini-ratchet-set-5-piece")</f>
        <v/>
      </c>
      <c r="C850" t="inlineStr">
        <is>
          <t>Klein Tools 65200 Slim-Profile Mini Ratchet Set, 5-Piece</t>
        </is>
      </c>
      <c r="D850" t="inlineStr">
        <is>
          <t>Klein Tools 65200 Ratchet Set, 5-Piece Mini Ratchet Set &amp; 7-in-1 Impact Flip Socket Set, 6 Hex Driver Sizes plus a 1/4-Inch Bit Holder 32907</t>
        </is>
      </c>
      <c r="E850" s="2">
        <f>HYPERLINK("https://www.amazon.com/Klein-Tools-Ratchet-5-Piece-Impact/dp/B0BNL31N8K/ref=sr_1_2?keywords=Klein+Tools+65200+Slim-Profile+Mini+Ratchet+Set%2C+5-Piece&amp;qid=1695173845&amp;sr=8-2", "https://www.amazon.com/Klein-Tools-Ratchet-5-Piece-Impact/dp/B0BNL31N8K/ref=sr_1_2?keywords=Klein+Tools+65200+Slim-Profile+Mini+Ratchet+Set%2C+5-Piece&amp;qid=1695173845&amp;sr=8-2")</f>
        <v/>
      </c>
      <c r="F850" t="inlineStr">
        <is>
          <t>B0BNL31N8K</t>
        </is>
      </c>
      <c r="G850">
        <f>_xludf.IMAGE("https://edmondsonsupply.com/cdn/shop/products/65200.jpg?v=1633030630")</f>
        <v/>
      </c>
      <c r="H850">
        <f>_xludf.IMAGE("https://m.media-amazon.com/images/I/41JD1cfUw6L._AC_UL320_.jpg")</f>
        <v/>
      </c>
      <c r="I850" t="inlineStr">
        <is>
          <t>15.97</t>
        </is>
      </c>
      <c r="J850" t="n">
        <v>35.95</v>
      </c>
      <c r="K850" s="3" t="inlineStr">
        <is>
          <t>125.11%</t>
        </is>
      </c>
      <c r="L850" t="n">
        <v>4.9</v>
      </c>
      <c r="M850" t="n">
        <v>10</v>
      </c>
      <c r="O850" t="inlineStr">
        <is>
          <t>InStock</t>
        </is>
      </c>
      <c r="P850" t="inlineStr">
        <is>
          <t>20.96</t>
        </is>
      </c>
      <c r="Q850" t="inlineStr">
        <is>
          <t>5694440964264</t>
        </is>
      </c>
    </row>
    <row r="851">
      <c r="A851" s="2">
        <f>HYPERLINK("https://edmondsonsupply.com/collections/electricians-tools/products/klein-tools-32314-14-in-1-precision-screwdriver-nut-driver", "https://edmondsonsupply.com/collections/electricians-tools/products/klein-tools-32314-14-in-1-precision-screwdriver-nut-driver")</f>
        <v/>
      </c>
      <c r="B851" s="2">
        <f>HYPERLINK("https://edmondsonsupply.com/products/klein-tools-32314-14-in-1-precision-screwdriver-nut-driver", "https://edmondsonsupply.com/products/klein-tools-32314-14-in-1-precision-screwdriver-nut-driver")</f>
        <v/>
      </c>
      <c r="C851" t="inlineStr">
        <is>
          <t>Klein Tools 32314 14-in-1 Precision Screwdriver/ Nut Driver</t>
        </is>
      </c>
      <c r="D851" t="inlineStr">
        <is>
          <t>Klein Tools 32500MAG Magnetic Multi-Bit Screwdriver/Nut Driver &amp; 32314 Electronic Screwdriver, 14-in-1 with 8 Precision Tips, Slotted, Phillips, and Tamperproof TORX Bits, 6 Precision Nut Drivers</t>
        </is>
      </c>
      <c r="E851" s="2">
        <f>HYPERLINK("https://www.amazon.com/Klein-Tools-Screwdriver-Electronic-Tamperproof/dp/B0BC81C7SH/ref=sr_1_2?keywords=Klein+Tools+32314+14-in-1+Precision+Screwdriver%2F+Nut+Driver&amp;qid=1695173878&amp;sr=8-2", "https://www.amazon.com/Klein-Tools-Screwdriver-Electronic-Tamperproof/dp/B0BC81C7SH/ref=sr_1_2?keywords=Klein+Tools+32314+14-in-1+Precision+Screwdriver%2F+Nut+Driver&amp;qid=1695173878&amp;sr=8-2")</f>
        <v/>
      </c>
      <c r="F851" t="inlineStr">
        <is>
          <t>B0BC81C7SH</t>
        </is>
      </c>
      <c r="G851">
        <f>_xludf.IMAGE("https://edmondsonsupply.com/cdn/shop/products/32314.jpg?v=1646593726")</f>
        <v/>
      </c>
      <c r="H851">
        <f>_xludf.IMAGE("https://m.media-amazon.com/images/I/412Eu5ze4AL._AC_UL320_.jpg")</f>
        <v/>
      </c>
      <c r="I851" t="inlineStr">
        <is>
          <t>15.97</t>
        </is>
      </c>
      <c r="J851" t="n">
        <v>35.94</v>
      </c>
      <c r="K851" s="3" t="inlineStr">
        <is>
          <t>125.05%</t>
        </is>
      </c>
      <c r="L851" t="n">
        <v>5</v>
      </c>
      <c r="M851" t="n">
        <v>2</v>
      </c>
      <c r="O851" t="inlineStr">
        <is>
          <t>InStock</t>
        </is>
      </c>
      <c r="P851" t="inlineStr">
        <is>
          <t>22.38</t>
        </is>
      </c>
      <c r="Q851" t="inlineStr">
        <is>
          <t>7626984947928</t>
        </is>
      </c>
    </row>
    <row r="852">
      <c r="A852" s="2">
        <f>HYPERLINK("https://edmondsonsupply.com/collections/electricians-tools/products/klein-tools-rt310-afci-gfci-outlet-tester", "https://edmondsonsupply.com/collections/electricians-tools/products/klein-tools-rt310-afci-gfci-outlet-tester")</f>
        <v/>
      </c>
      <c r="B852" s="2">
        <f>HYPERLINK("https://edmondsonsupply.com/products/klein-tools-rt310-afci-gfci-outlet-tester", "https://edmondsonsupply.com/products/klein-tools-rt310-afci-gfci-outlet-tester")</f>
        <v/>
      </c>
      <c r="C852" t="inlineStr">
        <is>
          <t>Klein Tools RT310 AFCI / GFCI Outlet Tester</t>
        </is>
      </c>
      <c r="D852" t="inlineStr">
        <is>
          <t>Klein Tools ET310 AC Circuit Breaker Finder, Electric Tester With Integrated GFCI Outlet Tester &amp; RT310 Outlet Tester, AFCI and GFCI Receptacle Tester for North American AC Electrical Outlets</t>
        </is>
      </c>
      <c r="E852" s="2">
        <f>HYPERLINK("https://www.amazon.com/Klein-Tools-American-Electrical-Receptacles/dp/B08MFYB28G/ref=sr_1_6?keywords=Klein+Tools+RT310+AFCI+%2F+GFCI+Outlet+Tester&amp;qid=1695173970&amp;sr=8-6", "https://www.amazon.com/Klein-Tools-American-Electrical-Receptacles/dp/B08MFYB28G/ref=sr_1_6?keywords=Klein+Tools+RT310+AFCI+%2F+GFCI+Outlet+Tester&amp;qid=1695173970&amp;sr=8-6")</f>
        <v/>
      </c>
      <c r="F852" t="inlineStr">
        <is>
          <t>B08MFYB28G</t>
        </is>
      </c>
      <c r="G852">
        <f>_xludf.IMAGE("https://edmondsonsupply.com/cdn/shop/products/rt310.jpg?v=1587148552")</f>
        <v/>
      </c>
      <c r="H852">
        <f>_xludf.IMAGE("https://m.media-amazon.com/images/I/5196xTz0FYL._AC_UL320_.jpg")</f>
        <v/>
      </c>
      <c r="I852" t="inlineStr">
        <is>
          <t>39.97</t>
        </is>
      </c>
      <c r="J852" t="n">
        <v>89.94</v>
      </c>
      <c r="K852" s="3" t="inlineStr">
        <is>
          <t>125.02%</t>
        </is>
      </c>
      <c r="L852" t="n">
        <v>4.5</v>
      </c>
      <c r="M852" t="n">
        <v>48</v>
      </c>
      <c r="O852" t="inlineStr">
        <is>
          <t>InStock</t>
        </is>
      </c>
      <c r="P852" t="inlineStr">
        <is>
          <t>57.9</t>
        </is>
      </c>
      <c r="Q852" t="inlineStr">
        <is>
          <t>3372527779940</t>
        </is>
      </c>
    </row>
    <row r="853">
      <c r="A853" s="2">
        <f>HYPERLINK("https://edmondsonsupply.com/collections/electricians-tools/products/klein-tools-vdv526-052-cable-tester-lan-scout%C2%AE-jr-continuity-tester", "https://edmondsonsupply.com/collections/electricians-tools/products/klein-tools-vdv526-052-cable-tester-lan-scout%C2%AE-jr-continuity-tester")</f>
        <v/>
      </c>
      <c r="B853" s="2">
        <f>HYPERLINK("https://edmondsonsupply.com/products/klein-tools-vdv526-052-cable-tester-lan-scout%c2%ae-jr-continuity-tester", "https://edmondsonsupply.com/products/klein-tools-vdv526-052-cable-tester-lan-scout%c2%ae-jr-continuity-tester")</f>
        <v/>
      </c>
      <c r="C853" t="inlineStr">
        <is>
          <t>Klein Tools VDV526-052 Cable Tester, LAN Scout® Jr. Continuity Tester</t>
        </is>
      </c>
      <c r="D853" t="inlineStr">
        <is>
          <t>Klein Tools VDV500-820 Cable Tracer with Probe Tone Pro Kit &amp; VDV526-200 Cable Tester, LAN Scout Jr. 2 Ethernet Cable Tester for CAT 5e, CAT 6/6A Cables with RJ45 Connections</t>
        </is>
      </c>
      <c r="E853" s="2">
        <f>HYPERLINK("https://www.amazon.com/Klein-Tools-VDV500-820-VDV526-200-Connections/dp/B09T6ZKDCM/ref=sr_1_8?keywords=Klein+Tools+VDV526-052+Cable+Tester%2C+LAN+Scout%C2%AE+Jr.+Continuity+Tester&amp;qid=1695174034&amp;sr=8-8", "https://www.amazon.com/Klein-Tools-VDV500-820-VDV526-200-Connections/dp/B09T6ZKDCM/ref=sr_1_8?keywords=Klein+Tools+VDV526-052+Cable+Tester%2C+LAN+Scout%C2%AE+Jr.+Continuity+Tester&amp;qid=1695174034&amp;sr=8-8")</f>
        <v/>
      </c>
      <c r="F853" t="inlineStr">
        <is>
          <t>B09T6ZKDCM</t>
        </is>
      </c>
      <c r="G853">
        <f>_xludf.IMAGE("https://edmondsonsupply.com/cdn/shop/files/vdv526-052.jpg?v=1685032494")</f>
        <v/>
      </c>
      <c r="H853">
        <f>_xludf.IMAGE("https://m.media-amazon.com/images/I/51X1EYSldCL._AC_UY218_.jpg")</f>
        <v/>
      </c>
      <c r="I853" t="inlineStr">
        <is>
          <t>59.97</t>
        </is>
      </c>
      <c r="J853" t="n">
        <v>134.94</v>
      </c>
      <c r="K853" s="3" t="inlineStr">
        <is>
          <t>125.01%</t>
        </is>
      </c>
      <c r="L853" t="n">
        <v>4.8</v>
      </c>
      <c r="M853" t="n">
        <v>8</v>
      </c>
      <c r="O853" t="inlineStr">
        <is>
          <t>InStock</t>
        </is>
      </c>
      <c r="P853" t="inlineStr">
        <is>
          <t>96.68</t>
        </is>
      </c>
      <c r="Q853" t="inlineStr">
        <is>
          <t>7995835678936</t>
        </is>
      </c>
    </row>
    <row r="854">
      <c r="A854" s="2">
        <f>HYPERLINK("https://edmondsonsupply.com/collections/electricians-tools/products/klein-tools-11053-klein-kurve%C2%AE-wire-stripper-cutter", "https://edmondsonsupply.com/collections/electricians-tools/products/klein-tools-11053-klein-kurve%C2%AE-wire-stripper-cutter")</f>
        <v/>
      </c>
      <c r="B854" s="2">
        <f>HYPERLINK("https://edmondsonsupply.com/products/klein-tools-11053-klein-kurve%c2%ae-wire-stripper-cutter", "https://edmondsonsupply.com/products/klein-tools-11053-klein-kurve%c2%ae-wire-stripper-cutter")</f>
        <v/>
      </c>
      <c r="C854" t="inlineStr">
        <is>
          <t>Klein Tools 11053 Klein-Kurve® Wire Stripper/Cutter</t>
        </is>
      </c>
      <c r="D854" t="inlineStr">
        <is>
          <t>Klein Tools 11055-INS Insulated Klein-Kurve Wire Stripper/Cutter, Orange</t>
        </is>
      </c>
      <c r="E854" s="2">
        <f>HYPERLINK("https://www.amazon.com/Insulated-Klein-Kurve-Klein-Tools-11055-INS/dp/B000MKIPPU/ref=sr_1_3?keywords=Klein+Tools+11053+Klein-Kurve%C2%AE+Wire+Stripper%2FCutter&amp;qid=1695173869&amp;sr=8-3", "https://www.amazon.com/Insulated-Klein-Kurve-Klein-Tools-11055-INS/dp/B000MKIPPU/ref=sr_1_3?keywords=Klein+Tools+11053+Klein-Kurve%C2%AE+Wire+Stripper%2FCutter&amp;qid=1695173869&amp;sr=8-3")</f>
        <v/>
      </c>
      <c r="F854" t="inlineStr">
        <is>
          <t>B000MKIPPU</t>
        </is>
      </c>
      <c r="G854">
        <f>_xludf.IMAGE("https://edmondsonsupply.com/cdn/shop/products/11053.jpg?v=1633030511")</f>
        <v/>
      </c>
      <c r="H854">
        <f>_xludf.IMAGE("https://m.media-amazon.com/images/I/51U7ZuALPYL._AC_UL320_.jpg")</f>
        <v/>
      </c>
      <c r="I854" t="inlineStr">
        <is>
          <t>20.97</t>
        </is>
      </c>
      <c r="J854" t="n">
        <v>47.07</v>
      </c>
      <c r="K854" s="3" t="inlineStr">
        <is>
          <t>124.46%</t>
        </is>
      </c>
      <c r="L854" t="n">
        <v>4.1</v>
      </c>
      <c r="M854" t="n">
        <v>17</v>
      </c>
      <c r="O854" t="inlineStr">
        <is>
          <t>InStock</t>
        </is>
      </c>
      <c r="P854" t="inlineStr">
        <is>
          <t>31.76</t>
        </is>
      </c>
      <c r="Q854" t="inlineStr">
        <is>
          <t>5387171299496</t>
        </is>
      </c>
    </row>
    <row r="855">
      <c r="A855" s="2">
        <f>HYPERLINK("https://edmondsonsupply.com/collections/electricians-tools/products/klein-tools-jth68m-8pc-6-metric-journeyman-t-handle-set-with-stand", "https://edmondsonsupply.com/collections/electricians-tools/products/klein-tools-jth68m-8pc-6-metric-journeyman-t-handle-set-with-stand")</f>
        <v/>
      </c>
      <c r="B855" s="2">
        <f>HYPERLINK("https://edmondsonsupply.com/products/klein-tools-jth68m-8pc-6-metric-journeyman-t-handle-set-with-stand", "https://edmondsonsupply.com/products/klein-tools-jth68m-8pc-6-metric-journeyman-t-handle-set-with-stand")</f>
        <v/>
      </c>
      <c r="C855" t="inlineStr">
        <is>
          <t>Klein Tools JTH68M Hex Key Set, Metric, Journeyman™ T-Handle, 6-Inch with Stand, 8-Piece</t>
        </is>
      </c>
      <c r="D855" t="inlineStr">
        <is>
          <t>Klein Tools JTH68MB Hex Kit Set, Metric Ball End T-Handle Hex Key Allen Wrench Set with 6-Inch Blades, Stand Included, 8-Piece</t>
        </is>
      </c>
      <c r="E855" s="2">
        <f>HYPERLINK("https://www.amazon.com/T-Handle-8-Piece-Klein-Tools-JTH68MB/dp/B004DB8GSK/ref=sr_1_1?keywords=Klein+Tools+JTH68M+Hex+Key+Set%2C+Metric%2C+Journeyman%E2%84%A2+T-Handle%2C+6-Inch+with+Stand%2C+8-Piece&amp;qid=1695173855&amp;sr=8-1", "https://www.amazon.com/T-Handle-8-Piece-Klein-Tools-JTH68MB/dp/B004DB8GSK/ref=sr_1_1?keywords=Klein+Tools+JTH68M+Hex+Key+Set%2C+Metric%2C+Journeyman%E2%84%A2+T-Handle%2C+6-Inch+with+Stand%2C+8-Piece&amp;qid=1695173855&amp;sr=8-1")</f>
        <v/>
      </c>
      <c r="F855" t="inlineStr">
        <is>
          <t>B004DB8GSK</t>
        </is>
      </c>
      <c r="G855">
        <f>_xludf.IMAGE("https://edmondsonsupply.com/cdn/shop/products/jth68m.jpg?v=1587148489")</f>
        <v/>
      </c>
      <c r="H855">
        <f>_xludf.IMAGE("https://m.media-amazon.com/images/I/61XP-1Qh3UL._AC_UL320_.jpg")</f>
        <v/>
      </c>
      <c r="I855" t="inlineStr">
        <is>
          <t>39.99</t>
        </is>
      </c>
      <c r="J855" t="n">
        <v>88.87</v>
      </c>
      <c r="K855" s="3" t="inlineStr">
        <is>
          <t>122.23%</t>
        </is>
      </c>
      <c r="L855" t="n">
        <v>4.6</v>
      </c>
      <c r="M855" t="n">
        <v>426</v>
      </c>
      <c r="O855" t="inlineStr">
        <is>
          <t>InStock</t>
        </is>
      </c>
      <c r="P855" t="inlineStr">
        <is>
          <t>60.58</t>
        </is>
      </c>
      <c r="Q855" t="inlineStr">
        <is>
          <t>2766259650660</t>
        </is>
      </c>
    </row>
    <row r="856">
      <c r="A856" s="2">
        <f>HYPERLINK("https://edmondsonsupply.com/collections/electricians-tools/products/klein-tools-51607-aluminum-conduit-bender-full-assembly-3-4-inch-emt-with-angle-setter%E2%84%A2", "https://edmondsonsupply.com/collections/electricians-tools/products/klein-tools-51607-aluminum-conduit-bender-full-assembly-3-4-inch-emt-with-angle-setter%E2%84%A2")</f>
        <v/>
      </c>
      <c r="B856" s="2">
        <f>HYPERLINK("https://edmondsonsupply.com/products/klein-tools-51607-aluminum-conduit-bender-full-assembly-3-4-inch-emt-with-angle-setter%e2%84%a2", "https://edmondsonsupply.com/products/klein-tools-51607-aluminum-conduit-bender-full-assembly-3-4-inch-emt-with-angle-setter%e2%84%a2")</f>
        <v/>
      </c>
      <c r="C856" t="inlineStr">
        <is>
          <t>Klein Tools 51607 Aluminum Conduit Bender Full Assembly, 3/4-Inch EMT with Angle Setter™</t>
        </is>
      </c>
      <c r="D856" t="inlineStr">
        <is>
          <t>Klein Tools 51605 Iron Conduit Bender Full Assembly, 1-Inch EMT and 3/4-Inch Rigid, Wide Foot Pedal, Benchmark Symbols and Angle Setter</t>
        </is>
      </c>
      <c r="E856" s="2">
        <f>HYPERLINK("https://www.amazon.com/Conduit-Technology-Benchmark-Klein-Tools/dp/B08L3ZQCT1/ref=sr_1_5?keywords=Klein+Tools+51607+Aluminum+Conduit+Bender+Full+Assembly%2C+3%2F4-Inch+EMT+with+Angle+Setter%E2%84%A2&amp;qid=1695174169&amp;sr=8-5", "https://www.amazon.com/Conduit-Technology-Benchmark-Klein-Tools/dp/B08L3ZQCT1/ref=sr_1_5?keywords=Klein+Tools+51607+Aluminum+Conduit+Bender+Full+Assembly%2C+3%2F4-Inch+EMT+with+Angle+Setter%E2%84%A2&amp;qid=1695174169&amp;sr=8-5")</f>
        <v/>
      </c>
      <c r="F856" t="inlineStr">
        <is>
          <t>B08L3ZQCT1</t>
        </is>
      </c>
      <c r="G856">
        <f>_xludf.IMAGE("https://edmondsonsupply.com/cdn/shop/products/51607.jpg?v=1663942654")</f>
        <v/>
      </c>
      <c r="H856">
        <f>_xludf.IMAGE("https://m.media-amazon.com/images/I/41stj4NcdUL._AC_UL320_.jpg")</f>
        <v/>
      </c>
      <c r="I856" t="inlineStr">
        <is>
          <t>44.99</t>
        </is>
      </c>
      <c r="J856" t="n">
        <v>99.97</v>
      </c>
      <c r="K856" s="3" t="inlineStr">
        <is>
          <t>122.20%</t>
        </is>
      </c>
      <c r="L856" t="n">
        <v>4.7</v>
      </c>
      <c r="M856" t="n">
        <v>60</v>
      </c>
      <c r="O856" t="inlineStr">
        <is>
          <t>InStock</t>
        </is>
      </c>
      <c r="P856" t="inlineStr">
        <is>
          <t>63.0</t>
        </is>
      </c>
      <c r="Q856" t="inlineStr">
        <is>
          <t>7827252216024</t>
        </is>
      </c>
    </row>
    <row r="857">
      <c r="A857" s="2">
        <f>HYPERLINK("https://edmondsonsupply.com/collections/electricians-tools/products/klein-tools-vdv500-123-probe-pro-tracing-probe", "https://edmondsonsupply.com/collections/electricians-tools/products/klein-tools-vdv500-123-probe-pro-tracing-probe")</f>
        <v/>
      </c>
      <c r="B857" s="2">
        <f>HYPERLINK("https://edmondsonsupply.com/products/klein-tools-vdv500-123-probe-pro-tracing-probe", "https://edmondsonsupply.com/products/klein-tools-vdv500-123-probe-pro-tracing-probe")</f>
        <v/>
      </c>
      <c r="C857" t="inlineStr">
        <is>
          <t>Klein Tools VDV500-123 Probe-PRO Tracing Probe</t>
        </is>
      </c>
      <c r="D857" t="inlineStr">
        <is>
          <t>Klein Tools VDV526-200 Cable Tester, LAN Scout Jr. 2 Ethernet Cable Tester &amp; VDV500-123 Cable Tracer Probe-Pro Tracing Probe with Replaceable Non-Metallic</t>
        </is>
      </c>
      <c r="E857" s="2">
        <f>HYPERLINK("https://www.amazon.com/Klein-Tools-VDV526-200-Replaceable-Non-Metallic/dp/B09Y84486X/ref=sr_1_5?keywords=Klein+Tools+VDV500-123+Probe-PRO+Tracing+Probe&amp;qid=1695173898&amp;sr=8-5", "https://www.amazon.com/Klein-Tools-VDV526-200-Replaceable-Non-Metallic/dp/B09Y84486X/ref=sr_1_5?keywords=Klein+Tools+VDV500-123+Probe-PRO+Tracing+Probe&amp;qid=1695173898&amp;sr=8-5")</f>
        <v/>
      </c>
      <c r="F857" t="inlineStr">
        <is>
          <t>B09Y84486X</t>
        </is>
      </c>
      <c r="G857">
        <f>_xludf.IMAGE("https://edmondsonsupply.com/cdn/shop/products/vdv500123.jpg?v=1587142783")</f>
        <v/>
      </c>
      <c r="H857">
        <f>_xludf.IMAGE("https://m.media-amazon.com/images/I/51l43d13j-L._AC_UY218_.jpg")</f>
        <v/>
      </c>
      <c r="I857" t="inlineStr">
        <is>
          <t>44.99</t>
        </is>
      </c>
      <c r="J857" t="n">
        <v>99.95999999999999</v>
      </c>
      <c r="K857" s="3" t="inlineStr">
        <is>
          <t>122.18%</t>
        </is>
      </c>
      <c r="L857" t="n">
        <v>4.8</v>
      </c>
      <c r="M857" t="n">
        <v>12</v>
      </c>
      <c r="O857" t="inlineStr">
        <is>
          <t>InStock</t>
        </is>
      </c>
      <c r="P857" t="inlineStr">
        <is>
          <t>63.0</t>
        </is>
      </c>
      <c r="Q857" t="inlineStr">
        <is>
          <t>4274361466980</t>
        </is>
      </c>
    </row>
    <row r="858">
      <c r="A858" s="2">
        <f>HYPERLINK("https://edmondsonsupply.com/collections/electricians-tools/products/klein-tools-d502-10-pump-pliers-10-inch", "https://edmondsonsupply.com/collections/electricians-tools/products/klein-tools-d502-10-pump-pliers-10-inch")</f>
        <v/>
      </c>
      <c r="B858" s="2">
        <f>HYPERLINK("https://edmondsonsupply.com/products/klein-tools-d502-10-pump-pliers-10-inch", "https://edmondsonsupply.com/products/klein-tools-d502-10-pump-pliers-10-inch")</f>
        <v/>
      </c>
      <c r="C858" t="inlineStr">
        <is>
          <t>Klein Tools D502-10 Pump Pliers, 10-Inch</t>
        </is>
      </c>
      <c r="D858" t="inlineStr">
        <is>
          <t>Klein Tools D502-10-INS 10-Inch Pump Pliers, Insulated</t>
        </is>
      </c>
      <c r="E858" s="2">
        <f>HYPERLINK("https://www.amazon.com/10-Inch-Insulated-Klein-Tools-D502-10-INS/dp/B0002RI9UO/ref=sr_1_2?keywords=Klein+Tools+D502-10+Pump+Pliers%2C+10-Inch&amp;qid=1695174291&amp;sr=8-2", "https://www.amazon.com/10-Inch-Insulated-Klein-Tools-D502-10-INS/dp/B0002RI9UO/ref=sr_1_2?keywords=Klein+Tools+D502-10+Pump+Pliers%2C+10-Inch&amp;qid=1695174291&amp;sr=8-2")</f>
        <v/>
      </c>
      <c r="F858" t="inlineStr">
        <is>
          <t>B0002RI9UO</t>
        </is>
      </c>
      <c r="G858">
        <f>_xludf.IMAGE("https://edmondsonsupply.com/cdn/shop/products/d50210_alt1.jpg?v=1633030884")</f>
        <v/>
      </c>
      <c r="H858">
        <f>_xludf.IMAGE("https://m.media-amazon.com/images/I/51Y-f5OqBUL._AC_UL320_.jpg")</f>
        <v/>
      </c>
      <c r="I858" t="inlineStr">
        <is>
          <t>24.99</t>
        </is>
      </c>
      <c r="J858" t="n">
        <v>55.18</v>
      </c>
      <c r="K858" s="3" t="inlineStr">
        <is>
          <t>120.81%</t>
        </is>
      </c>
      <c r="L858" t="n">
        <v>4.6</v>
      </c>
      <c r="M858" t="n">
        <v>77</v>
      </c>
      <c r="O858" t="inlineStr">
        <is>
          <t>InStock</t>
        </is>
      </c>
      <c r="P858" t="inlineStr">
        <is>
          <t>37.84</t>
        </is>
      </c>
      <c r="Q858" t="inlineStr">
        <is>
          <t>6203936669869</t>
        </is>
      </c>
    </row>
    <row r="859">
      <c r="A859" s="2">
        <f>HYPERLINK("https://edmondsonsupply.com/collections/electricians-tools/products/klein-tools-32304-14-in-1-hvac-adjustable-length-impact-screwdriver-with-flip-socket", "https://edmondsonsupply.com/collections/electricians-tools/products/klein-tools-32304-14-in-1-hvac-adjustable-length-impact-screwdriver-with-flip-socket")</f>
        <v/>
      </c>
      <c r="B859" s="2">
        <f>HYPERLINK("https://edmondsonsupply.com/products/klein-tools-32304-14-in-1-hvac-adjustable-length-impact-screwdriver-with-flip-socket", "https://edmondsonsupply.com/products/klein-tools-32304-14-in-1-hvac-adjustable-length-impact-screwdriver-with-flip-socket")</f>
        <v/>
      </c>
      <c r="C859" t="inlineStr">
        <is>
          <t>Klein Tools 32304 14-in-1 HVAC Adjustable-Length Impact Screwdriver with Flip Socket</t>
        </is>
      </c>
      <c r="D859" t="inlineStr">
        <is>
          <t>Screwdriver, 14-in-1 Adjustable Screwdriver with Flip Socket, HVAC Nut Drivers and Bits, Impact Rated Klein Tools 32304 &amp; UEi Test Instruments PDT650 Folding Pocket Digital Thermometer,Yellow</t>
        </is>
      </c>
      <c r="E859" s="2">
        <f>HYPERLINK("https://www.amazon.com/Screwdriver-Klein-Tools-Instruments-Thermometer/dp/B0B68FP3YG/ref=sr_1_2?keywords=Klein+Tools+32304+14-in-1+HVAC+Adjustable-Length+Impact+Screwdriver+with+Flip+Socket&amp;qid=1695173856&amp;sr=8-2", "https://www.amazon.com/Screwdriver-Klein-Tools-Instruments-Thermometer/dp/B0B68FP3YG/ref=sr_1_2?keywords=Klein+Tools+32304+14-in-1+HVAC+Adjustable-Length+Impact+Screwdriver+with+Flip+Socket&amp;qid=1695173856&amp;sr=8-2")</f>
        <v/>
      </c>
      <c r="F859" t="inlineStr">
        <is>
          <t>B0B68FP3YG</t>
        </is>
      </c>
      <c r="G859">
        <f>_xludf.IMAGE("https://edmondsonsupply.com/cdn/shop/products/32304.jpg?v=1666019479")</f>
        <v/>
      </c>
      <c r="H859">
        <f>_xludf.IMAGE("https://m.media-amazon.com/images/I/41yTQwoccbL._AC_UL320_.jpg")</f>
        <v/>
      </c>
      <c r="I859" t="inlineStr">
        <is>
          <t>24.97</t>
        </is>
      </c>
      <c r="J859" t="n">
        <v>55.02</v>
      </c>
      <c r="K859" s="3" t="inlineStr">
        <is>
          <t>120.34%</t>
        </is>
      </c>
      <c r="L859" t="n">
        <v>4.5</v>
      </c>
      <c r="M859" t="n">
        <v>39</v>
      </c>
      <c r="O859" t="inlineStr">
        <is>
          <t>InStock</t>
        </is>
      </c>
      <c r="P859" t="inlineStr">
        <is>
          <t>34.98</t>
        </is>
      </c>
      <c r="Q859" t="inlineStr">
        <is>
          <t>7856604578008</t>
        </is>
      </c>
    </row>
    <row r="860">
      <c r="A860" s="2">
        <f>HYPERLINK("https://edmondsonsupply.com/collections/electricians-tools/products/klein-tools-32907-7-in-1-impact-flip-socket-set-no-handle", "https://edmondsonsupply.com/collections/electricians-tools/products/klein-tools-32907-7-in-1-impact-flip-socket-set-no-handle")</f>
        <v/>
      </c>
      <c r="B860" s="2">
        <f>HYPERLINK("https://edmondsonsupply.com/products/klein-tools-32907-7-in-1-impact-flip-socket-set-no-handle", "https://edmondsonsupply.com/products/klein-tools-32907-7-in-1-impact-flip-socket-set-no-handle")</f>
        <v/>
      </c>
      <c r="C860" t="inlineStr">
        <is>
          <t>Klein Tools 32907 7-in-1 Impact Flip Socket Set, No Handle</t>
        </is>
      </c>
      <c r="D860" t="inlineStr">
        <is>
          <t>LENOX Tools Jab Saw, Folding (20997TFHS618636) &amp; Impact Driver, 7-in-1 Impact Flip Socket Set, 6 Hex Driver Sizes plus a 1/4-Inch Bit Holder Klein Tools 32907</t>
        </is>
      </c>
      <c r="E860" s="2">
        <f>HYPERLINK("https://www.amazon.com/Folding-20997TFHS618636-Impact-Driver-Socket/dp/B0CF2HPH97/ref=sr_1_9?keywords=Klein+Tools+32907+7-in-1+Impact+Flip+Socket+Set%2C+No+Handle&amp;qid=1695173886&amp;sr=8-9", "https://www.amazon.com/Folding-20997TFHS618636-Impact-Driver-Socket/dp/B0CF2HPH97/ref=sr_1_9?keywords=Klein+Tools+32907+7-in-1+Impact+Flip+Socket+Set%2C+No+Handle&amp;qid=1695173886&amp;sr=8-9")</f>
        <v/>
      </c>
      <c r="F860" t="inlineStr">
        <is>
          <t>B0CF2HPH97</t>
        </is>
      </c>
      <c r="G860">
        <f>_xludf.IMAGE("https://edmondsonsupply.com/cdn/shop/products/32907_b.jpg?v=1666025282")</f>
        <v/>
      </c>
      <c r="H860">
        <f>_xludf.IMAGE("https://m.media-amazon.com/images/I/51ARCE+JBfL._AC_UL320_.jpg")</f>
        <v/>
      </c>
      <c r="I860" t="inlineStr">
        <is>
          <t>19.99</t>
        </is>
      </c>
      <c r="J860" t="n">
        <v>43.98</v>
      </c>
      <c r="K860" s="3" t="inlineStr">
        <is>
          <t>120.01%</t>
        </is>
      </c>
      <c r="L860" t="n">
        <v>4.5</v>
      </c>
      <c r="M860" t="n">
        <v>777</v>
      </c>
      <c r="O860" t="inlineStr">
        <is>
          <t>InStock</t>
        </is>
      </c>
      <c r="P860" t="inlineStr">
        <is>
          <t>29.18</t>
        </is>
      </c>
      <c r="Q860" t="inlineStr">
        <is>
          <t>7856653009112</t>
        </is>
      </c>
    </row>
    <row r="861">
      <c r="A861" s="2">
        <f>HYPERLINK("https://edmondsonsupply.com/collections/electricians-tools/products/milwaukee-49-56-0505-1-4-diamond-max%E2%84%A2-hole-saw", "https://edmondsonsupply.com/collections/electricians-tools/products/milwaukee-49-56-0505-1-4-diamond-max%E2%84%A2-hole-saw")</f>
        <v/>
      </c>
      <c r="B861" s="2">
        <f>HYPERLINK("https://edmondsonsupply.com/products/milwaukee-49-56-0505-1-4-diamond-max%e2%84%a2-hole-saw", "https://edmondsonsupply.com/products/milwaukee-49-56-0505-1-4-diamond-max%e2%84%a2-hole-saw")</f>
        <v/>
      </c>
      <c r="C861" t="inlineStr">
        <is>
          <t>Milwaukee 49-56-0505 1/4" Diamond MAX™ Hole Saw</t>
        </is>
      </c>
      <c r="D861" t="inlineStr">
        <is>
          <t>Milwaukee 49-56-5660 2‐1/2" Diamond Hole Saw</t>
        </is>
      </c>
      <c r="E861" s="2">
        <f>HYPERLINK("https://www.amazon.com/Milwaukee-49-56-5660-2-1-Diamond-Hole/dp/B00KQMUOOE/ref=sr_1_4?keywords=Milwaukee+49-56-0505+1%2F4%22+Diamond+MAX%E2%84%A2+Hole+Saw&amp;qid=1695174028&amp;sr=8-4", "https://www.amazon.com/Milwaukee-49-56-5660-2-1-Diamond-Hole/dp/B00KQMUOOE/ref=sr_1_4?keywords=Milwaukee+49-56-0505+1%2F4%22+Diamond+MAX%E2%84%A2+Hole+Saw&amp;qid=1695174028&amp;sr=8-4")</f>
        <v/>
      </c>
      <c r="F861" t="inlineStr">
        <is>
          <t>B00KQMUOOE</t>
        </is>
      </c>
      <c r="G861">
        <f>_xludf.IMAGE("https://edmondsonsupply.com/cdn/shop/products/49-56-0507_1.png?v=1680111300")</f>
        <v/>
      </c>
      <c r="H861">
        <f>_xludf.IMAGE("https://m.media-amazon.com/images/I/61nOa4J6FdL._AC_UL320_.jpg")</f>
        <v/>
      </c>
      <c r="I861" t="inlineStr">
        <is>
          <t>19.99</t>
        </is>
      </c>
      <c r="J861" t="n">
        <v>43.97</v>
      </c>
      <c r="K861" s="3" t="inlineStr">
        <is>
          <t>119.96%</t>
        </is>
      </c>
      <c r="L861" t="n">
        <v>4.1</v>
      </c>
      <c r="M861" t="n">
        <v>14</v>
      </c>
      <c r="O861" t="inlineStr">
        <is>
          <t>InStock</t>
        </is>
      </c>
      <c r="P861" t="inlineStr">
        <is>
          <t>26.6</t>
        </is>
      </c>
      <c r="Q861" t="inlineStr">
        <is>
          <t>7969746485464</t>
        </is>
      </c>
    </row>
    <row r="862">
      <c r="A862" s="2">
        <f>HYPERLINK("https://edmondsonsupply.com/collections/electricians-tools/products/fluke-62-max-mini-infrared-thermometer", "https://edmondsonsupply.com/collections/electricians-tools/products/fluke-62-max-mini-infrared-thermometer")</f>
        <v/>
      </c>
      <c r="B862" s="2">
        <f>HYPERLINK("https://edmondsonsupply.com/products/fluke-62-max-mini-infrared-thermometer", "https://edmondsonsupply.com/products/fluke-62-max-mini-infrared-thermometer")</f>
        <v/>
      </c>
      <c r="C862" t="inlineStr">
        <is>
          <t>Fluke 62 MAX Mini Infrared Thermometer</t>
        </is>
      </c>
      <c r="D862" t="inlineStr">
        <is>
          <t>FLUKE FLUKE-62 MAX+ INFRARED THERMOMETER, -30C to +650C / -22F to +1202F</t>
        </is>
      </c>
      <c r="E862" s="2">
        <f>HYPERLINK("https://www.amazon.com/FLUKE-FLUKE-62-INFRARED-THERMOMETER-1202F/dp/B00BX8RMAY/ref=sr_1_7?keywords=Fluke+62+MAX+Mini+Infrared+Thermometer&amp;qid=1695173898&amp;sr=8-7", "https://www.amazon.com/FLUKE-FLUKE-62-INFRARED-THERMOMETER-1202F/dp/B00BX8RMAY/ref=sr_1_7?keywords=Fluke+62+MAX+Mini+Infrared+Thermometer&amp;qid=1695173898&amp;sr=8-7")</f>
        <v/>
      </c>
      <c r="F862" t="inlineStr">
        <is>
          <t>B00BX8RMAY</t>
        </is>
      </c>
      <c r="G862">
        <f>_xludf.IMAGE("https://edmondsonsupply.com/cdn/shop/products/62max.jpg?v=1633030769")</f>
        <v/>
      </c>
      <c r="H862">
        <f>_xludf.IMAGE("https://m.media-amazon.com/images/I/51OF-Dz5VLL._AC_UY218_.jpg")</f>
        <v/>
      </c>
      <c r="I862" t="inlineStr">
        <is>
          <t>122.99</t>
        </is>
      </c>
      <c r="J862" t="n">
        <v>269.99</v>
      </c>
      <c r="K862" s="3" t="inlineStr">
        <is>
          <t>119.52%</t>
        </is>
      </c>
      <c r="L862" t="n">
        <v>5</v>
      </c>
      <c r="M862" t="n">
        <v>3</v>
      </c>
      <c r="O862" t="inlineStr">
        <is>
          <t>OutOfStock</t>
        </is>
      </c>
      <c r="P862" t="inlineStr">
        <is>
          <t>134.99</t>
        </is>
      </c>
      <c r="Q862" t="inlineStr">
        <is>
          <t>5931906334888</t>
        </is>
      </c>
    </row>
    <row r="863">
      <c r="A863" s="2">
        <f>HYPERLINK("https://edmondsonsupply.com/collections/electricians-tools/products/klein-tools-32304-14-in-1-hvac-adjustable-length-impact-screwdriver-with-flip-socket", "https://edmondsonsupply.com/collections/electricians-tools/products/klein-tools-32304-14-in-1-hvac-adjustable-length-impact-screwdriver-with-flip-socket")</f>
        <v/>
      </c>
      <c r="B863" s="2">
        <f>HYPERLINK("https://edmondsonsupply.com/products/klein-tools-32304-14-in-1-hvac-adjustable-length-impact-screwdriver-with-flip-socket", "https://edmondsonsupply.com/products/klein-tools-32304-14-in-1-hvac-adjustable-length-impact-screwdriver-with-flip-socket")</f>
        <v/>
      </c>
      <c r="C863" t="inlineStr">
        <is>
          <t>Klein Tools 32304 14-in-1 HVAC Adjustable-Length Impact Screwdriver with Flip Socket</t>
        </is>
      </c>
      <c r="D863" t="inlineStr">
        <is>
          <t>Klein Tools 32717 Precision Screwdriver Set &amp; 14-in-1 Adjustable Screwdriver with Flip Socket, HVAC Nut Drivers and Bits, Impact Rated Klein Tools 32304</t>
        </is>
      </c>
      <c r="E863" s="2">
        <f>HYPERLINK("https://www.amazon.com/Klein-Tools-Precision-Screwdriver-Adjustable/dp/B0BRM3HJY8/ref=sr_1_7?keywords=Klein+Tools+32304+14-in-1+HVAC+Adjustable-Length+Impact+Screwdriver+with+Flip+Socket&amp;qid=1695173856&amp;sr=8-7", "https://www.amazon.com/Klein-Tools-Precision-Screwdriver-Adjustable/dp/B0BRM3HJY8/ref=sr_1_7?keywords=Klein+Tools+32304+14-in-1+HVAC+Adjustable-Length+Impact+Screwdriver+with+Flip+Socket&amp;qid=1695173856&amp;sr=8-7")</f>
        <v/>
      </c>
      <c r="F863" t="inlineStr">
        <is>
          <t>B0BRM3HJY8</t>
        </is>
      </c>
      <c r="G863">
        <f>_xludf.IMAGE("https://edmondsonsupply.com/cdn/shop/products/32304.jpg?v=1666019479")</f>
        <v/>
      </c>
      <c r="H863">
        <f>_xludf.IMAGE("https://m.media-amazon.com/images/I/513WrxifIfL._AC_UL320_.jpg")</f>
        <v/>
      </c>
      <c r="I863" t="inlineStr">
        <is>
          <t>24.97</t>
        </is>
      </c>
      <c r="J863" t="n">
        <v>54.74</v>
      </c>
      <c r="K863" s="3" t="inlineStr">
        <is>
          <t>119.22%</t>
        </is>
      </c>
      <c r="L863" t="n">
        <v>4.9</v>
      </c>
      <c r="M863" t="n">
        <v>9</v>
      </c>
      <c r="O863" t="inlineStr">
        <is>
          <t>InStock</t>
        </is>
      </c>
      <c r="P863" t="inlineStr">
        <is>
          <t>34.98</t>
        </is>
      </c>
      <c r="Q863" t="inlineStr">
        <is>
          <t>7856604578008</t>
        </is>
      </c>
    </row>
    <row r="864">
      <c r="A864" s="2">
        <f>HYPERLINK("https://edmondsonsupply.com/collections/electricians-tools/products/klein-tools-32500mag-11-in-1-magnetic-screwdriver-nut-driver", "https://edmondsonsupply.com/collections/electricians-tools/products/klein-tools-32500mag-11-in-1-magnetic-screwdriver-nut-driver")</f>
        <v/>
      </c>
      <c r="B864" s="2">
        <f>HYPERLINK("https://edmondsonsupply.com/products/klein-tools-32500mag-11-in-1-magnetic-screwdriver-nut-driver", "https://edmondsonsupply.com/products/klein-tools-32500mag-11-in-1-magnetic-screwdriver-nut-driver")</f>
        <v/>
      </c>
      <c r="C864" t="inlineStr">
        <is>
          <t>Klein Tools 32500MAG 11-in-1 Magnetic Screwdriver / Nut Driver</t>
        </is>
      </c>
      <c r="D864" t="inlineStr">
        <is>
          <t>Klein Tools 32807MAG 7-in-1 Nut Driver, Magnetic Driver with SAE Hex Nut Sizes and Spring Coil Bits &amp; 32527 Schrader 11-in-1 Screwdriver/Nut Driver, Black</t>
        </is>
      </c>
      <c r="E864" s="2">
        <f>HYPERLINK("https://www.amazon.com/Klein-Tools-32807MAG-Magnetic-Screwdriver/dp/B08MG3L43V/ref=sr_1_8?keywords=Klein+Tools+32500MAG+11-in-1+Magnetic+Screwdriver+%2F+Nut+Driver&amp;qid=1695174303&amp;sr=8-8", "https://www.amazon.com/Klein-Tools-32807MAG-Magnetic-Screwdriver/dp/B08MG3L43V/ref=sr_1_8?keywords=Klein+Tools+32500MAG+11-in-1+Magnetic+Screwdriver+%2F+Nut+Driver&amp;qid=1695174303&amp;sr=8-8")</f>
        <v/>
      </c>
      <c r="F864" t="inlineStr">
        <is>
          <t>B08MG3L43V</t>
        </is>
      </c>
      <c r="G864">
        <f>_xludf.IMAGE("https://edmondsonsupply.com/cdn/shop/products/32500mag.jpg?v=1633030832")</f>
        <v/>
      </c>
      <c r="H864">
        <f>_xludf.IMAGE("https://m.media-amazon.com/images/I/51yRbCSFsxL._AC_UL320_.jpg")</f>
        <v/>
      </c>
      <c r="I864" t="inlineStr">
        <is>
          <t>20.97</t>
        </is>
      </c>
      <c r="J864" t="n">
        <v>45.94</v>
      </c>
      <c r="K864" s="3" t="inlineStr">
        <is>
          <t>119.07%</t>
        </is>
      </c>
      <c r="L864" t="n">
        <v>4.7</v>
      </c>
      <c r="M864" t="n">
        <v>14</v>
      </c>
      <c r="O864" t="inlineStr">
        <is>
          <t>InStock</t>
        </is>
      </c>
      <c r="P864" t="inlineStr">
        <is>
          <t>29.38</t>
        </is>
      </c>
      <c r="Q864" t="inlineStr">
        <is>
          <t>6082199814317</t>
        </is>
      </c>
    </row>
    <row r="865">
      <c r="A865" s="2">
        <f>HYPERLINK("https://edmondsonsupply.com/collections/electricians-tools/products/klein-tools-32305-15-in-1-multi-bit-ratcheting-screwdriver", "https://edmondsonsupply.com/collections/electricians-tools/products/klein-tools-32305-15-in-1-multi-bit-ratcheting-screwdriver")</f>
        <v/>
      </c>
      <c r="B865" s="2">
        <f>HYPERLINK("https://edmondsonsupply.com/products/klein-tools-32305-15-in-1-multi-bit-ratcheting-screwdriver", "https://edmondsonsupply.com/products/klein-tools-32305-15-in-1-multi-bit-ratcheting-screwdriver")</f>
        <v/>
      </c>
      <c r="C865" t="inlineStr">
        <is>
          <t>Klein Tools 32305 15-in-1 Multi-Bit Ratcheting Screwdriver</t>
        </is>
      </c>
      <c r="D865" t="inlineStr">
        <is>
          <t>SATA 19-in-1 Multipurpose Ratcheting Screwdriver Set with 8 Double-Sided Bits &amp; Klein Tools 32305 Multi-bit Ratcheting Screwdriver, 15-in-1 Tool</t>
        </is>
      </c>
      <c r="E865" s="2">
        <f>HYPERLINK("https://www.amazon.com/SATA-Multipurpose-Ratcheting-Screwdriver-Double-Sided/dp/B0CB14B5K6/ref=sr_1_5?keywords=Klein+Tools+32305+15-in-1+Multi-Bit+Ratcheting+Screwdriver&amp;qid=1695174215&amp;sr=8-5", "https://www.amazon.com/SATA-Multipurpose-Ratcheting-Screwdriver-Double-Sided/dp/B0CB14B5K6/ref=sr_1_5?keywords=Klein+Tools+32305+15-in-1+Multi-Bit+Ratcheting+Screwdriver&amp;qid=1695174215&amp;sr=8-5")</f>
        <v/>
      </c>
      <c r="F865" t="inlineStr">
        <is>
          <t>B0CB14B5K6</t>
        </is>
      </c>
      <c r="G865">
        <f>_xludf.IMAGE("https://edmondsonsupply.com/cdn/shop/products/32305.jpg?v=1646965475")</f>
        <v/>
      </c>
      <c r="H865">
        <f>_xludf.IMAGE("https://m.media-amazon.com/images/I/41IWrP80qdL._AC_UL320_.jpg")</f>
        <v/>
      </c>
      <c r="I865" t="inlineStr">
        <is>
          <t>21.97</t>
        </is>
      </c>
      <c r="J865" t="n">
        <v>47.95</v>
      </c>
      <c r="K865" s="3" t="inlineStr">
        <is>
          <t>118.25%</t>
        </is>
      </c>
      <c r="L865" t="n">
        <v>4.6</v>
      </c>
      <c r="M865" t="n">
        <v>2936</v>
      </c>
      <c r="O865" t="inlineStr">
        <is>
          <t>InStock</t>
        </is>
      </c>
      <c r="P865" t="inlineStr">
        <is>
          <t>30.78</t>
        </is>
      </c>
      <c r="Q865" t="inlineStr">
        <is>
          <t>7632426598616</t>
        </is>
      </c>
    </row>
    <row r="866">
      <c r="A866" s="2">
        <f>HYPERLINK("https://edmondsonsupply.com/collections/electricians-tools/products/milwaukee-49-56-7000-small-thread-arbor-7-16-shank", "https://edmondsonsupply.com/collections/electricians-tools/products/milwaukee-49-56-7000-small-thread-arbor-7-16-shank")</f>
        <v/>
      </c>
      <c r="B866" s="2">
        <f>HYPERLINK("https://edmondsonsupply.com/products/milwaukee-49-56-7000-small-thread-arbor-7-16-shank", "https://edmondsonsupply.com/products/milwaukee-49-56-7000-small-thread-arbor-7-16-shank")</f>
        <v/>
      </c>
      <c r="C866" t="inlineStr">
        <is>
          <t>Milwaukee 49-56-7000 Small Thread Arbor, 7/16" Shank</t>
        </is>
      </c>
      <c r="D866" t="inlineStr">
        <is>
          <t>MILWAUKEE'S Hole Saw Arbor, 7/16 Shank, 5/8-18 Thread, 1/2 in, 49-56-9100</t>
        </is>
      </c>
      <c r="E866" s="2">
        <f>HYPERLINK("https://www.amazon.com/Milwaukee-49-56-9100-16-Inch-Hole-Arbor/dp/B0019VAV2G/ref=sr_1_1?keywords=Milwaukee+49-56-7000+Small+Thread+Arbor%2C+7%2F16%22+Shank&amp;qid=1695174010&amp;sr=8-1", "https://www.amazon.com/Milwaukee-49-56-9100-16-Inch-Hole-Arbor/dp/B0019VAV2G/ref=sr_1_1?keywords=Milwaukee+49-56-7000+Small+Thread+Arbor%2C+7%2F16%22+Shank&amp;qid=1695174010&amp;sr=8-1")</f>
        <v/>
      </c>
      <c r="F866" t="inlineStr">
        <is>
          <t>B0019VAV2G</t>
        </is>
      </c>
      <c r="G866">
        <f>_xludf.IMAGE("https://edmondsonsupply.com/cdn/shop/files/51029_49-56-7000-lg.jpg?v=1686151660")</f>
        <v/>
      </c>
      <c r="H866">
        <f>_xludf.IMAGE("https://m.media-amazon.com/images/I/41OTK6p0M-S._AC_UL320_.jpg")</f>
        <v/>
      </c>
      <c r="I866" t="inlineStr">
        <is>
          <t>10.97</t>
        </is>
      </c>
      <c r="J866" t="n">
        <v>23.9</v>
      </c>
      <c r="K866" s="3" t="inlineStr">
        <is>
          <t>117.87%</t>
        </is>
      </c>
      <c r="L866" t="n">
        <v>4.6</v>
      </c>
      <c r="M866" t="n">
        <v>93</v>
      </c>
      <c r="O866" t="inlineStr">
        <is>
          <t>InStock</t>
        </is>
      </c>
      <c r="P866" t="inlineStr">
        <is>
          <t>19.0</t>
        </is>
      </c>
      <c r="Q866" t="inlineStr">
        <is>
          <t>8002379284696</t>
        </is>
      </c>
    </row>
    <row r="867">
      <c r="A867" s="2">
        <f>HYPERLINK("https://edmondsonsupply.com/collections/electricians-tools/products/klein-tools-32308-8-in-1-multi-bit-adjustable-length-stubby-screwdriver", "https://edmondsonsupply.com/collections/electricians-tools/products/klein-tools-32308-8-in-1-multi-bit-adjustable-length-stubby-screwdriver")</f>
        <v/>
      </c>
      <c r="B867" s="2">
        <f>HYPERLINK("https://edmondsonsupply.com/products/klein-tools-32308-8-in-1-multi-bit-adjustable-length-stubby-screwdriver", "https://edmondsonsupply.com/products/klein-tools-32308-8-in-1-multi-bit-adjustable-length-stubby-screwdriver")</f>
        <v/>
      </c>
      <c r="C867" t="inlineStr">
        <is>
          <t>Klein Tools 32308 8-in-1 Multi-Bit Adjustable Length Stubby Screwdriver</t>
        </is>
      </c>
      <c r="D867" t="inlineStr">
        <is>
          <t>Klein Tools 32308 Multi-bit Stubby Screwdriver, Impact Rated 8-in-1 Adjustable Magnetic Tool &amp; 32303 Multi-Bit Screwdriver/Nut Driver, Impact Rated 14-in-1 Magnetic Screwdriver Set</t>
        </is>
      </c>
      <c r="E867" s="2">
        <f>HYPERLINK("https://www.amazon.com/Klein-Tools-Multi-bit-Screwdriver-Adjustable/dp/B0B56P6P3L/ref=sr_1_3?keywords=Klein+Tools+32308+8-in-1+Multi-Bit+Adjustable+Length+Stubby+Screwdriver&amp;qid=1695174224&amp;sr=8-3", "https://www.amazon.com/Klein-Tools-Multi-bit-Screwdriver-Adjustable/dp/B0B56P6P3L/ref=sr_1_3?keywords=Klein+Tools+32308+8-in-1+Multi-Bit+Adjustable+Length+Stubby+Screwdriver&amp;qid=1695174224&amp;sr=8-3")</f>
        <v/>
      </c>
      <c r="F867" t="inlineStr">
        <is>
          <t>B0B56P6P3L</t>
        </is>
      </c>
      <c r="G867">
        <f>_xludf.IMAGE("https://edmondsonsupply.com/cdn/shop/products/32308_b.jpg?v=1647348209")</f>
        <v/>
      </c>
      <c r="H867">
        <f>_xludf.IMAGE("https://m.media-amazon.com/images/I/51GldL8hxaL._AC_UL320_.jpg")</f>
        <v/>
      </c>
      <c r="I867" t="inlineStr">
        <is>
          <t>16.97</t>
        </is>
      </c>
      <c r="J867" t="n">
        <v>36.94</v>
      </c>
      <c r="K867" s="3" t="inlineStr">
        <is>
          <t>117.68%</t>
        </is>
      </c>
      <c r="L867" t="n">
        <v>4.7</v>
      </c>
      <c r="M867" t="n">
        <v>127</v>
      </c>
      <c r="O867" t="inlineStr">
        <is>
          <t>InStock</t>
        </is>
      </c>
      <c r="P867" t="inlineStr">
        <is>
          <t>23.78</t>
        </is>
      </c>
      <c r="Q867" t="inlineStr">
        <is>
          <t>7637271445720</t>
        </is>
      </c>
    </row>
    <row r="868">
      <c r="A868" s="2">
        <f>HYPERLINK("https://edmondsonsupply.com/collections/electricians-tools/products/klein-tools-32308-8-in-1-multi-bit-adjustable-length-stubby-screwdriver", "https://edmondsonsupply.com/collections/electricians-tools/products/klein-tools-32308-8-in-1-multi-bit-adjustable-length-stubby-screwdriver")</f>
        <v/>
      </c>
      <c r="B868" s="2">
        <f>HYPERLINK("https://edmondsonsupply.com/products/klein-tools-32308-8-in-1-multi-bit-adjustable-length-stubby-screwdriver", "https://edmondsonsupply.com/products/klein-tools-32308-8-in-1-multi-bit-adjustable-length-stubby-screwdriver")</f>
        <v/>
      </c>
      <c r="C868" t="inlineStr">
        <is>
          <t>Klein Tools 32308 8-in-1 Multi-Bit Adjustable Length Stubby Screwdriver</t>
        </is>
      </c>
      <c r="D868" t="inlineStr">
        <is>
          <t>Klein Tools 70550 Hex Key Set, 11 SAE Sizes, Heavy Duty Folding Allen Wrench Tool &amp; 32308 Multi-bit Stubby Screwdriver, Impact Rated 8-in-1 Adjustable Magnetic Tool</t>
        </is>
      </c>
      <c r="E868" s="2">
        <f>HYPERLINK("https://www.amazon.com/Klein-Tools-Multi-bit-Screwdriver-Adjustable/dp/B0BC874NXV/ref=sr_1_9?keywords=Klein+Tools+32308+8-in-1+Multi-Bit+Adjustable+Length+Stubby+Screwdriver&amp;qid=1695174224&amp;sr=8-9", "https://www.amazon.com/Klein-Tools-Multi-bit-Screwdriver-Adjustable/dp/B0BC874NXV/ref=sr_1_9?keywords=Klein+Tools+32308+8-in-1+Multi-Bit+Adjustable+Length+Stubby+Screwdriver&amp;qid=1695174224&amp;sr=8-9")</f>
        <v/>
      </c>
      <c r="F868" t="inlineStr">
        <is>
          <t>B0BC874NXV</t>
        </is>
      </c>
      <c r="G868">
        <f>_xludf.IMAGE("https://edmondsonsupply.com/cdn/shop/products/32308_b.jpg?v=1647348209")</f>
        <v/>
      </c>
      <c r="H868">
        <f>_xludf.IMAGE("https://m.media-amazon.com/images/I/51DupKa9UOL._AC_UL320_.jpg")</f>
        <v/>
      </c>
      <c r="I868" t="inlineStr">
        <is>
          <t>16.97</t>
        </is>
      </c>
      <c r="J868" t="n">
        <v>36.94</v>
      </c>
      <c r="K868" s="3" t="inlineStr">
        <is>
          <t>117.68%</t>
        </is>
      </c>
      <c r="L868" t="n">
        <v>5</v>
      </c>
      <c r="M868" t="n">
        <v>1</v>
      </c>
      <c r="O868" t="inlineStr">
        <is>
          <t>InStock</t>
        </is>
      </c>
      <c r="P868" t="inlineStr">
        <is>
          <t>23.78</t>
        </is>
      </c>
      <c r="Q868" t="inlineStr">
        <is>
          <t>7637271445720</t>
        </is>
      </c>
    </row>
    <row r="869">
      <c r="A869" s="2">
        <f>HYPERLINK("https://edmondsonsupply.com/collections/electricians-tools/products/klein-tools-60345-hard-hat-earmuffs-full-brim-style", "https://edmondsonsupply.com/collections/electricians-tools/products/klein-tools-60345-hard-hat-earmuffs-full-brim-style")</f>
        <v/>
      </c>
      <c r="B869" s="2">
        <f>HYPERLINK("https://edmondsonsupply.com/products/klein-tools-60345-hard-hat-earmuffs-full-brim-style", "https://edmondsonsupply.com/products/klein-tools-60345-hard-hat-earmuffs-full-brim-style")</f>
        <v/>
      </c>
      <c r="C869" t="inlineStr">
        <is>
          <t>Klein Tools 60502 Hard Hat Earmuffs, Full Brim Style</t>
        </is>
      </c>
      <c r="D869" t="inlineStr">
        <is>
          <t>Klein Tools 60407 Hard Hat, Light, Vented Full Brim Style, Padded, Self-Wicking Odor-Resistant Sweatband, White &amp; 60181 Cooling Helmet Liner, Under Hard Hat Cap with Mesh Fabric at Crown</t>
        </is>
      </c>
      <c r="E869" s="2">
        <f>HYPERLINK("https://www.amazon.com/Klein-Tools-Self-Wicking-Odor-Resistant-Sweatband/dp/B0B68NYYM7/ref=sr_1_8?keywords=Klein+Tools+60502+Hard+Hat+Earmuffs%2C+Full+Brim+Style&amp;qid=1695174082&amp;sr=8-8", "https://www.amazon.com/Klein-Tools-Self-Wicking-Odor-Resistant-Sweatband/dp/B0B68NYYM7/ref=sr_1_8?keywords=Klein+Tools+60502+Hard+Hat+Earmuffs%2C+Full+Brim+Style&amp;qid=1695174082&amp;sr=8-8")</f>
        <v/>
      </c>
      <c r="F869" t="inlineStr">
        <is>
          <t>B0B68NYYM7</t>
        </is>
      </c>
      <c r="G869">
        <f>_xludf.IMAGE("https://edmondsonsupply.com/cdn/shop/products/60502.jpg?v=1674486730")</f>
        <v/>
      </c>
      <c r="H869">
        <f>_xludf.IMAGE("https://m.media-amazon.com/images/I/41IulVK0+jL._AC_UL320_.jpg")</f>
        <v/>
      </c>
      <c r="I869" t="inlineStr">
        <is>
          <t>29.99</t>
        </is>
      </c>
      <c r="J869" t="n">
        <v>64.95999999999999</v>
      </c>
      <c r="K869" s="3" t="inlineStr">
        <is>
          <t>116.61%</t>
        </is>
      </c>
      <c r="L869" t="n">
        <v>4.5</v>
      </c>
      <c r="M869" t="n">
        <v>15</v>
      </c>
      <c r="O869" t="inlineStr">
        <is>
          <t>InStock</t>
        </is>
      </c>
      <c r="P869" t="inlineStr">
        <is>
          <t>41.98</t>
        </is>
      </c>
      <c r="Q869" t="inlineStr">
        <is>
          <t>7931874869464</t>
        </is>
      </c>
    </row>
    <row r="870">
      <c r="A870" s="2">
        <f>HYPERLINK("https://edmondsonsupply.com/collections/electricians-tools/products/klein-tools-630-5-8-nut-driver-5-8-inch-4-inch-hollow-shaft", "https://edmondsonsupply.com/collections/electricians-tools/products/klein-tools-630-5-8-nut-driver-5-8-inch-4-inch-hollow-shaft")</f>
        <v/>
      </c>
      <c r="B870" s="2">
        <f>HYPERLINK("https://edmondsonsupply.com/products/klein-tools-630-5-8-nut-driver-5-8-inch-4-inch-hollow-shaft", "https://edmondsonsupply.com/products/klein-tools-630-5-8-nut-driver-5-8-inch-4-inch-hollow-shaft")</f>
        <v/>
      </c>
      <c r="C870" t="inlineStr">
        <is>
          <t>Klein Tools 630-5/8 Nut Driver, 5/8-Inch, 4-Inch Hollow Shaft</t>
        </is>
      </c>
      <c r="D870" t="inlineStr">
        <is>
          <t>Klein Tools 646-5/8-INS 5/8-Inch Insulated Nut Driver with 6-Inch Hollow Shaft and Cushion Grip Handle</t>
        </is>
      </c>
      <c r="E870" s="2">
        <f>HYPERLINK("https://www.amazon.com/Klein-Tools-646-5-8-INS-Insulated/dp/B000MKH632/ref=sr_1_4?keywords=Klein+Tools+630-5%2F8+Nut+Driver%2C+5%2F8-Inch%2C+4-Inch+Hollow+Shaft&amp;qid=1695174302&amp;sr=8-4", "https://www.amazon.com/Klein-Tools-646-5-8-INS-Insulated/dp/B000MKH632/ref=sr_1_4?keywords=Klein+Tools+630-5%2F8+Nut+Driver%2C+5%2F8-Inch%2C+4-Inch+Hollow+Shaft&amp;qid=1695174302&amp;sr=8-4")</f>
        <v/>
      </c>
      <c r="F870" t="inlineStr">
        <is>
          <t>B000MKH632</t>
        </is>
      </c>
      <c r="G870">
        <f>_xludf.IMAGE("https://edmondsonsupply.com/cdn/shop/products/630-1-2_df0ca74a-79e7-41f4-ad94-60312e01e692.jpg?v=1633031052")</f>
        <v/>
      </c>
      <c r="H870">
        <f>_xludf.IMAGE("https://m.media-amazon.com/images/I/41dKI+dlEDL._AC_UL320_.jpg")</f>
        <v/>
      </c>
      <c r="I870" t="inlineStr">
        <is>
          <t>12.49</t>
        </is>
      </c>
      <c r="J870" t="n">
        <v>26.99</v>
      </c>
      <c r="K870" s="3" t="inlineStr">
        <is>
          <t>116.09%</t>
        </is>
      </c>
      <c r="L870" t="n">
        <v>4.8</v>
      </c>
      <c r="M870" t="n">
        <v>10</v>
      </c>
      <c r="O870" t="inlineStr">
        <is>
          <t>InStock</t>
        </is>
      </c>
      <c r="P870" t="inlineStr">
        <is>
          <t>18.92</t>
        </is>
      </c>
      <c r="Q870" t="inlineStr">
        <is>
          <t>6781025386669</t>
        </is>
      </c>
    </row>
    <row r="871">
      <c r="A871" s="2">
        <f>HYPERLINK("https://edmondsonsupply.com/collections/electricians-tools/products/klein-tools-630-5-8-nut-driver-5-8-inch-4-inch-hollow-shaft", "https://edmondsonsupply.com/collections/electricians-tools/products/klein-tools-630-5-8-nut-driver-5-8-inch-4-inch-hollow-shaft")</f>
        <v/>
      </c>
      <c r="B871" s="2">
        <f>HYPERLINK("https://edmondsonsupply.com/products/klein-tools-630-5-8-nut-driver-5-8-inch-4-inch-hollow-shaft", "https://edmondsonsupply.com/products/klein-tools-630-5-8-nut-driver-5-8-inch-4-inch-hollow-shaft")</f>
        <v/>
      </c>
      <c r="C871" t="inlineStr">
        <is>
          <t>Klein Tools 630-5/8 Nut Driver, 5/8-Inch, 4-Inch Hollow Shaft</t>
        </is>
      </c>
      <c r="D871" t="inlineStr">
        <is>
          <t>Klein Tools 640-5/8 5/8-Inch Coated Nut Driver with 4-Inch Hollow Shaft and Cushion Grip Handle</t>
        </is>
      </c>
      <c r="E871" s="2">
        <f>HYPERLINK("https://www.amazon.com/8-Inch-Cushion-Klein-Tools-640-5/dp/B00093D6YA/ref=sr_1_3?keywords=Klein+Tools+630-5%2F8+Nut+Driver%2C+5%2F8-Inch%2C+4-Inch+Hollow+Shaft&amp;qid=1695174302&amp;sr=8-3", "https://www.amazon.com/8-Inch-Cushion-Klein-Tools-640-5/dp/B00093D6YA/ref=sr_1_3?keywords=Klein+Tools+630-5%2F8+Nut+Driver%2C+5%2F8-Inch%2C+4-Inch+Hollow+Shaft&amp;qid=1695174302&amp;sr=8-3")</f>
        <v/>
      </c>
      <c r="F871" t="inlineStr">
        <is>
          <t>B00093D6YA</t>
        </is>
      </c>
      <c r="G871">
        <f>_xludf.IMAGE("https://edmondsonsupply.com/cdn/shop/products/630-1-2_df0ca74a-79e7-41f4-ad94-60312e01e692.jpg?v=1633031052")</f>
        <v/>
      </c>
      <c r="H871">
        <f>_xludf.IMAGE("https://m.media-amazon.com/images/I/61gCORyBN2L._AC_UL320_.jpg")</f>
        <v/>
      </c>
      <c r="I871" t="inlineStr">
        <is>
          <t>12.49</t>
        </is>
      </c>
      <c r="J871" t="n">
        <v>26.99</v>
      </c>
      <c r="K871" s="3" t="inlineStr">
        <is>
          <t>116.09%</t>
        </is>
      </c>
      <c r="L871" t="n">
        <v>5</v>
      </c>
      <c r="M871" t="n">
        <v>6</v>
      </c>
      <c r="O871" t="inlineStr">
        <is>
          <t>InStock</t>
        </is>
      </c>
      <c r="P871" t="inlineStr">
        <is>
          <t>18.92</t>
        </is>
      </c>
      <c r="Q871" t="inlineStr">
        <is>
          <t>6781025386669</t>
        </is>
      </c>
    </row>
    <row r="872">
      <c r="A872" s="2">
        <f>HYPERLINK("https://edmondsonsupply.com/collections/electricians-tools/products/klein-tools-69417-rare-earth-magnetic-meter-hanger", "https://edmondsonsupply.com/collections/electricians-tools/products/klein-tools-69417-rare-earth-magnetic-meter-hanger")</f>
        <v/>
      </c>
      <c r="B872" s="2">
        <f>HYPERLINK("https://edmondsonsupply.com/products/klein-tools-69417-rare-earth-magnetic-meter-hanger", "https://edmondsonsupply.com/products/klein-tools-69417-rare-earth-magnetic-meter-hanger")</f>
        <v/>
      </c>
      <c r="C872" t="inlineStr">
        <is>
          <t>Klein Tools 69417 Rare Earth Magnetic Meter Hanger, with Strap</t>
        </is>
      </c>
      <c r="D872" t="inlineStr">
        <is>
          <t>Klein Tools 69417 Rare-Earth Magnetic Hanger, with Strap &amp; 69401 Multimeter Carrying Case</t>
        </is>
      </c>
      <c r="E872" s="2">
        <f>HYPERLINK("https://www.amazon.com/Klein-Tools-Rare-Earth-Magnetic-Multimeter/dp/B0BGJ66GX4/ref=sr_1_4?keywords=Klein+Tools+69417+Rare+Earth+Magnetic+Meter+Hanger%2C+with+Strap&amp;qid=1695173948&amp;sr=8-4", "https://www.amazon.com/Klein-Tools-Rare-Earth-Magnetic-Multimeter/dp/B0BGJ66GX4/ref=sr_1_4?keywords=Klein+Tools+69417+Rare+Earth+Magnetic+Meter+Hanger%2C+with+Strap&amp;qid=1695173948&amp;sr=8-4")</f>
        <v/>
      </c>
      <c r="F872" t="inlineStr">
        <is>
          <t>B0BGJ66GX4</t>
        </is>
      </c>
      <c r="G872">
        <f>_xludf.IMAGE("https://edmondsonsupply.com/cdn/shop/products/69417.jpg?v=1587150163")</f>
        <v/>
      </c>
      <c r="H872">
        <f>_xludf.IMAGE("https://m.media-amazon.com/images/I/51Em03gaEVL._AC_UL320_.jpg")</f>
        <v/>
      </c>
      <c r="I872" t="inlineStr">
        <is>
          <t>13.99</t>
        </is>
      </c>
      <c r="J872" t="n">
        <v>29.99</v>
      </c>
      <c r="K872" s="3" t="inlineStr">
        <is>
          <t>114.37%</t>
        </is>
      </c>
      <c r="L872" t="n">
        <v>5</v>
      </c>
      <c r="M872" t="n">
        <v>2</v>
      </c>
      <c r="O872" t="inlineStr">
        <is>
          <t>InStock</t>
        </is>
      </c>
      <c r="P872" t="inlineStr">
        <is>
          <t>20.0</t>
        </is>
      </c>
      <c r="Q872" t="inlineStr">
        <is>
          <t>1778073731172</t>
        </is>
      </c>
    </row>
    <row r="873">
      <c r="A873" s="2">
        <f>HYPERLINK("https://edmondsonsupply.com/collections/electricians-tools/products/klein-tools-32305-15-in-1-multi-bit-ratcheting-screwdriver", "https://edmondsonsupply.com/collections/electricians-tools/products/klein-tools-32305-15-in-1-multi-bit-ratcheting-screwdriver")</f>
        <v/>
      </c>
      <c r="B873" s="2">
        <f>HYPERLINK("https://edmondsonsupply.com/products/klein-tools-32305-15-in-1-multi-bit-ratcheting-screwdriver", "https://edmondsonsupply.com/products/klein-tools-32305-15-in-1-multi-bit-ratcheting-screwdriver")</f>
        <v/>
      </c>
      <c r="C873" t="inlineStr">
        <is>
          <t>Klein Tools 32305 15-in-1 Multi-Bit Ratcheting Screwdriver</t>
        </is>
      </c>
      <c r="D873" t="inlineStr">
        <is>
          <t>Screwdriver, 14-in-1 Adjustable Screwdriver &amp; 32305 Multi-bit Ratcheting Screwdriver, 15-in-1 Tool with Phillips, Slotted, Square, Torx and Combo Bits and 1/4-Inch Nut Driver</t>
        </is>
      </c>
      <c r="E873" s="2">
        <f>HYPERLINK("https://www.amazon.com/Screwdriver-Adjustable-Multi-bit-Ratcheting-Phillips/dp/B0BRM1659C/ref=sr_1_10?keywords=Klein+Tools+32305+15-in-1+Multi-Bit+Ratcheting+Screwdriver&amp;qid=1695174215&amp;sr=8-10", "https://www.amazon.com/Screwdriver-Adjustable-Multi-bit-Ratcheting-Phillips/dp/B0BRM1659C/ref=sr_1_10?keywords=Klein+Tools+32305+15-in-1+Multi-Bit+Ratcheting+Screwdriver&amp;qid=1695174215&amp;sr=8-10")</f>
        <v/>
      </c>
      <c r="F873" t="inlineStr">
        <is>
          <t>B0BRM1659C</t>
        </is>
      </c>
      <c r="G873">
        <f>_xludf.IMAGE("https://edmondsonsupply.com/cdn/shop/products/32305.jpg?v=1646965475")</f>
        <v/>
      </c>
      <c r="H873">
        <f>_xludf.IMAGE("https://m.media-amazon.com/images/I/41majwJr+TL._AC_UL320_.jpg")</f>
        <v/>
      </c>
      <c r="I873" t="inlineStr">
        <is>
          <t>21.97</t>
        </is>
      </c>
      <c r="J873" t="n">
        <v>46.74</v>
      </c>
      <c r="K873" s="3" t="inlineStr">
        <is>
          <t>112.74%</t>
        </is>
      </c>
      <c r="L873" t="n">
        <v>5</v>
      </c>
      <c r="M873" t="n">
        <v>1</v>
      </c>
      <c r="O873" t="inlineStr">
        <is>
          <t>InStock</t>
        </is>
      </c>
      <c r="P873" t="inlineStr">
        <is>
          <t>30.78</t>
        </is>
      </c>
      <c r="Q873" t="inlineStr">
        <is>
          <t>7632426598616</t>
        </is>
      </c>
    </row>
    <row r="874">
      <c r="A874" s="2">
        <f>HYPERLINK("https://edmondsonsupply.com/collections/electricians-tools/products/klein-tools-rt110-receptacle-tester", "https://edmondsonsupply.com/collections/electricians-tools/products/klein-tools-rt110-receptacle-tester")</f>
        <v/>
      </c>
      <c r="B874" s="2">
        <f>HYPERLINK("https://edmondsonsupply.com/products/klein-tools-rt110-receptacle-tester", "https://edmondsonsupply.com/products/klein-tools-rt110-receptacle-tester")</f>
        <v/>
      </c>
      <c r="C874" t="inlineStr">
        <is>
          <t>Klein Tools RT110 Receptacle Tester</t>
        </is>
      </c>
      <c r="D874" t="inlineStr">
        <is>
          <t>Klein Tools RT250 GFCI Outlet Tester with LCD Display, Electric Voltage Tester for Standard 3-Wire 120V Electrical Receptacles,Green/Red</t>
        </is>
      </c>
      <c r="E874" s="2">
        <f>HYPERLINK("https://www.amazon.com/Receptacle-Electrical-Klein-Tools-RT250/dp/B08QW7K1JJ/ref=sr_1_5?keywords=Klein+Tools+RT110+Receptacle+Tester&amp;qid=1695174267&amp;sr=8-5", "https://www.amazon.com/Receptacle-Electrical-Klein-Tools-RT250/dp/B08QW7K1JJ/ref=sr_1_5?keywords=Klein+Tools+RT110+Receptacle+Tester&amp;qid=1695174267&amp;sr=8-5")</f>
        <v/>
      </c>
      <c r="F874" t="inlineStr">
        <is>
          <t>B08QW7K1JJ</t>
        </is>
      </c>
      <c r="G874">
        <f>_xludf.IMAGE("https://edmondsonsupply.com/cdn/shop/products/rt110.jpg?v=1633031036")</f>
        <v/>
      </c>
      <c r="H874">
        <f>_xludf.IMAGE("https://m.media-amazon.com/images/I/61j28ynJ7bL._AC_UL320_.jpg")</f>
        <v/>
      </c>
      <c r="I874" t="inlineStr">
        <is>
          <t>9.97</t>
        </is>
      </c>
      <c r="J874" t="n">
        <v>21.17</v>
      </c>
      <c r="K874" s="3" t="inlineStr">
        <is>
          <t>112.34%</t>
        </is>
      </c>
      <c r="L874" t="n">
        <v>4.8</v>
      </c>
      <c r="M874" t="n">
        <v>7966</v>
      </c>
      <c r="O874" t="inlineStr">
        <is>
          <t>InStock</t>
        </is>
      </c>
      <c r="P874" t="inlineStr">
        <is>
          <t>12.12</t>
        </is>
      </c>
      <c r="Q874" t="inlineStr">
        <is>
          <t>6740486619309</t>
        </is>
      </c>
    </row>
    <row r="875">
      <c r="A875" s="2">
        <f>HYPERLINK("https://edmondsonsupply.com/collections/electricians-tools/products/greenlee-gsb01-1-2-step-bit-1", "https://edmondsonsupply.com/collections/electricians-tools/products/greenlee-gsb01-1-2-step-bit-1")</f>
        <v/>
      </c>
      <c r="B875" s="2">
        <f>HYPERLINK("https://edmondsonsupply.com/products/greenlee-gsb01-1-2-step-bit-1", "https://edmondsonsupply.com/products/greenlee-gsb01-1-2-step-bit-1")</f>
        <v/>
      </c>
      <c r="C875" t="inlineStr">
        <is>
          <t>Greenlee GSB01 1/2" Step Bit (#1)</t>
        </is>
      </c>
      <c r="D875" t="inlineStr">
        <is>
          <t>Greenlee GSB09 1-1/8" Step Bit (#9) Metal Cutter with Patented Split-Step Design, 1-1/8" Metal Cutting Tool for 1/2" Drill Chucks</t>
        </is>
      </c>
      <c r="E875" s="2">
        <f>HYPERLINK("https://www.amazon.com/Greenlee-Patented-Split-Step-Design-Cutting/dp/B08TVGF4MS/ref=sr_1_5?keywords=Greenlee+GSB01+1%2F2%22+Step+Bit+%28%231%29&amp;qid=1695173990&amp;sr=8-5", "https://www.amazon.com/Greenlee-Patented-Split-Step-Design-Cutting/dp/B08TVGF4MS/ref=sr_1_5?keywords=Greenlee+GSB01+1%2F2%22+Step+Bit+%28%231%29&amp;qid=1695173990&amp;sr=8-5")</f>
        <v/>
      </c>
      <c r="F875" t="inlineStr">
        <is>
          <t>B08TVGF4MS</t>
        </is>
      </c>
      <c r="G875">
        <f>_xludf.IMAGE("https://edmondsonsupply.com/cdn/shop/files/GSB01_CAT1_72dpi_1.jpg?v=1687790366")</f>
        <v/>
      </c>
      <c r="H875">
        <f>_xludf.IMAGE("https://m.media-amazon.com/images/I/41J5YEXJLpL._AC_UY218_.jpg")</f>
        <v/>
      </c>
      <c r="I875" t="inlineStr">
        <is>
          <t>31.22</t>
        </is>
      </c>
      <c r="J875" t="n">
        <v>65.81</v>
      </c>
      <c r="K875" s="3" t="inlineStr">
        <is>
          <t>110.79%</t>
        </is>
      </c>
      <c r="L875" t="n">
        <v>3.8</v>
      </c>
      <c r="M875" t="n">
        <v>5</v>
      </c>
      <c r="O875" t="inlineStr">
        <is>
          <t>InStock</t>
        </is>
      </c>
      <c r="P875" t="inlineStr">
        <is>
          <t>undefined</t>
        </is>
      </c>
      <c r="Q875" t="inlineStr">
        <is>
          <t>8009320628440</t>
        </is>
      </c>
    </row>
    <row r="876">
      <c r="A876" s="2">
        <f>HYPERLINK("https://edmondsonsupply.com/collections/electricians-tools/products/klein-tools-32907-7-in-1-impact-flip-socket-set-no-handle", "https://edmondsonsupply.com/collections/electricians-tools/products/klein-tools-32907-7-in-1-impact-flip-socket-set-no-handle")</f>
        <v/>
      </c>
      <c r="B876" s="2">
        <f>HYPERLINK("https://edmondsonsupply.com/products/klein-tools-32907-7-in-1-impact-flip-socket-set-no-handle", "https://edmondsonsupply.com/products/klein-tools-32907-7-in-1-impact-flip-socket-set-no-handle")</f>
        <v/>
      </c>
      <c r="C876" t="inlineStr">
        <is>
          <t>Klein Tools 32907 7-in-1 Impact Flip Socket Set, No Handle</t>
        </is>
      </c>
      <c r="D876" t="inlineStr">
        <is>
          <t>Klein Tools 80027 Screwdriver Set, 11-in-1 Multi-bit Screwdriver, 6-in-1 Stubby Screwdriver &amp; Impact Driver, 7-in-1 Impact Flip Socket Set, 6 Hex Driver Sizes plus a 1/4-Inch Bit Holder 32907</t>
        </is>
      </c>
      <c r="E876" s="2">
        <f>HYPERLINK("https://www.amazon.com/Klein-Tools-Screwdriver-Multi-bit-Stubby/dp/B0CF2F1JXG/ref=sr_1_3?keywords=Klein+Tools+32907+7-in-1+Impact+Flip+Socket+Set%2C+No+Handle&amp;qid=1695173886&amp;sr=8-3", "https://www.amazon.com/Klein-Tools-Screwdriver-Multi-bit-Stubby/dp/B0CF2F1JXG/ref=sr_1_3?keywords=Klein+Tools+32907+7-in-1+Impact+Flip+Socket+Set%2C+No+Handle&amp;qid=1695173886&amp;sr=8-3")</f>
        <v/>
      </c>
      <c r="F876" t="inlineStr">
        <is>
          <t>B0CF2F1JXG</t>
        </is>
      </c>
      <c r="G876">
        <f>_xludf.IMAGE("https://edmondsonsupply.com/cdn/shop/products/32907_b.jpg?v=1666025282")</f>
        <v/>
      </c>
      <c r="H876">
        <f>_xludf.IMAGE("https://m.media-amazon.com/images/I/41r3ulT1BkL._AC_UL320_.jpg")</f>
        <v/>
      </c>
      <c r="I876" t="inlineStr">
        <is>
          <t>19.99</t>
        </is>
      </c>
      <c r="J876" t="n">
        <v>41.98</v>
      </c>
      <c r="K876" s="3" t="inlineStr">
        <is>
          <t>110.01%</t>
        </is>
      </c>
      <c r="L876" t="n">
        <v>4.8</v>
      </c>
      <c r="M876" t="n">
        <v>13277</v>
      </c>
      <c r="O876" t="inlineStr">
        <is>
          <t>InStock</t>
        </is>
      </c>
      <c r="P876" t="inlineStr">
        <is>
          <t>29.18</t>
        </is>
      </c>
      <c r="Q876" t="inlineStr">
        <is>
          <t>7856653009112</t>
        </is>
      </c>
    </row>
    <row r="877">
      <c r="A877" s="2">
        <f>HYPERLINK("https://edmondsonsupply.com/collections/electricians-tools/products/klein-tools-50031-ratcheting-pvc-cutter", "https://edmondsonsupply.com/collections/electricians-tools/products/klein-tools-50031-ratcheting-pvc-cutter")</f>
        <v/>
      </c>
      <c r="B877" s="2">
        <f>HYPERLINK("https://edmondsonsupply.com/products/klein-tools-50031-ratcheting-pvc-cutter", "https://edmondsonsupply.com/products/klein-tools-50031-ratcheting-pvc-cutter")</f>
        <v/>
      </c>
      <c r="C877" t="inlineStr">
        <is>
          <t>Klein Tools 50031 Ratcheting PVC Cutter</t>
        </is>
      </c>
      <c r="D877" t="inlineStr">
        <is>
          <t>Klein Tools 50034 Large Capacity Ratcheting PVC Cutter</t>
        </is>
      </c>
      <c r="E877" s="2">
        <f>HYPERLINK("https://www.amazon.com/Capacity-Ratcheting-Klein-Tools-50034/dp/B019875KC8/ref=sr_1_5?keywords=Klein+Tools+50031+Ratcheting+PVC+Cutter&amp;qid=1695174227&amp;sr=8-5", "https://www.amazon.com/Capacity-Ratcheting-Klein-Tools-50034/dp/B019875KC8/ref=sr_1_5?keywords=Klein+Tools+50031+Ratcheting+PVC+Cutter&amp;qid=1695174227&amp;sr=8-5")</f>
        <v/>
      </c>
      <c r="F877" t="inlineStr">
        <is>
          <t>B019875KC8</t>
        </is>
      </c>
      <c r="G877">
        <f>_xludf.IMAGE("https://edmondsonsupply.com/cdn/shop/products/50031.jpg?v=1587145344")</f>
        <v/>
      </c>
      <c r="H877">
        <f>_xludf.IMAGE("https://m.media-amazon.com/images/I/51bEAgYDRXL._AC_UL320_.jpg")</f>
        <v/>
      </c>
      <c r="I877" t="inlineStr">
        <is>
          <t>94.99</t>
        </is>
      </c>
      <c r="J877" t="n">
        <v>197.99</v>
      </c>
      <c r="K877" s="3" t="inlineStr">
        <is>
          <t>108.43%</t>
        </is>
      </c>
      <c r="L877" t="n">
        <v>5</v>
      </c>
      <c r="M877" t="n">
        <v>10</v>
      </c>
      <c r="O877" t="inlineStr">
        <is>
          <t>InStock</t>
        </is>
      </c>
      <c r="P877" t="inlineStr">
        <is>
          <t>143.9</t>
        </is>
      </c>
      <c r="Q877" t="inlineStr">
        <is>
          <t>4385929920612</t>
        </is>
      </c>
    </row>
    <row r="878">
      <c r="A878" s="2">
        <f>HYPERLINK("https://edmondsonsupply.com/collections/electricians-tools/products/greenlee-gsb06-1-2-step-bit-6", "https://edmondsonsupply.com/collections/electricians-tools/products/greenlee-gsb06-1-2-step-bit-6")</f>
        <v/>
      </c>
      <c r="B878" s="2">
        <f>HYPERLINK("https://edmondsonsupply.com/products/greenlee-gsb06-1-2-step-bit-6", "https://edmondsonsupply.com/products/greenlee-gsb06-1-2-step-bit-6")</f>
        <v/>
      </c>
      <c r="C878" t="inlineStr">
        <is>
          <t>Greenlee GSB06 1/2" Step Bit (#6)</t>
        </is>
      </c>
      <c r="D878" t="inlineStr">
        <is>
          <t>Greenlee GSB09 1-1/8" Step Bit (#9) Metal Cutter with Patented Split-Step Design, 1-1/8" Metal Cutting Tool for 1/2" Drill Chucks</t>
        </is>
      </c>
      <c r="E878" s="2">
        <f>HYPERLINK("https://www.amazon.com/Greenlee-Patented-Split-Step-Design-Cutting/dp/B08TVGF4MS/ref=sr_1_4?keywords=Greenlee+GSB06+1%2F2%22+Step+Bit+%28%236%29&amp;qid=1695173911&amp;sr=8-4", "https://www.amazon.com/Greenlee-Patented-Split-Step-Design-Cutting/dp/B08TVGF4MS/ref=sr_1_4?keywords=Greenlee+GSB06+1%2F2%22+Step+Bit+%28%236%29&amp;qid=1695173911&amp;sr=8-4")</f>
        <v/>
      </c>
      <c r="F878" t="inlineStr">
        <is>
          <t>B08TVGF4MS</t>
        </is>
      </c>
      <c r="G878">
        <f>_xludf.IMAGE("https://edmondsonsupply.com/cdn/shop/files/GSB06_CAT1_72dpi.jpg?v=1687788659")</f>
        <v/>
      </c>
      <c r="H878">
        <f>_xludf.IMAGE("https://m.media-amazon.com/images/I/41J5YEXJLpL._AC_UY218_.jpg")</f>
        <v/>
      </c>
      <c r="I878" t="inlineStr">
        <is>
          <t>32.89</t>
        </is>
      </c>
      <c r="J878" t="n">
        <v>68.43000000000001</v>
      </c>
      <c r="K878" s="3" t="inlineStr">
        <is>
          <t>108.06%</t>
        </is>
      </c>
      <c r="L878" t="n">
        <v>3.8</v>
      </c>
      <c r="M878" t="n">
        <v>5</v>
      </c>
      <c r="O878" t="inlineStr">
        <is>
          <t>InStock</t>
        </is>
      </c>
      <c r="P878" t="inlineStr">
        <is>
          <t>33.55</t>
        </is>
      </c>
      <c r="Q878" t="inlineStr">
        <is>
          <t>8009318367448</t>
        </is>
      </c>
    </row>
    <row r="879">
      <c r="A879" s="2">
        <f>HYPERLINK("https://edmondsonsupply.com/collections/electricians-tools/products/milwaukee-49-56-0509-diamond-max%E2%84%A2-hole-saws", "https://edmondsonsupply.com/collections/electricians-tools/products/milwaukee-49-56-0509-diamond-max%E2%84%A2-hole-saws")</f>
        <v/>
      </c>
      <c r="B879" s="2">
        <f>HYPERLINK("https://edmondsonsupply.com/products/milwaukee-49-56-0509-diamond-max%e2%84%a2-hole-saws", "https://edmondsonsupply.com/products/milwaukee-49-56-0509-diamond-max%e2%84%a2-hole-saws")</f>
        <v/>
      </c>
      <c r="C879" t="inlineStr">
        <is>
          <t>Milwaukee 49-56-0509 3/8" Diamond MAX™ Hole Saw</t>
        </is>
      </c>
      <c r="D879" t="inlineStr">
        <is>
          <t>Milwaukee Electric Tool 49-56-0305 Recessed Light Hole Saw, 6-3/8" D</t>
        </is>
      </c>
      <c r="E879" s="2">
        <f>HYPERLINK("https://www.amazon.com/Milwaukee-Electric-Tool-49-56-0305-Recessed/dp/B000CSWEXG/ref=sr_1_6?keywords=Milwaukee+49-56-0509+3%2F8%22+Diamond+MAX%E2%84%A2+Hole+Saw&amp;qid=1695174089&amp;sr=8-6", "https://www.amazon.com/Milwaukee-Electric-Tool-49-56-0305-Recessed/dp/B000CSWEXG/ref=sr_1_6?keywords=Milwaukee+49-56-0509+3%2F8%22+Diamond+MAX%E2%84%A2+Hole+Saw&amp;qid=1695174089&amp;sr=8-6")</f>
        <v/>
      </c>
      <c r="F879" t="inlineStr">
        <is>
          <t>B000CSWEXG</t>
        </is>
      </c>
      <c r="G879">
        <f>_xludf.IMAGE("https://edmondsonsupply.com/cdn/shop/products/images.jpg?v=1678461630")</f>
        <v/>
      </c>
      <c r="H879">
        <f>_xludf.IMAGE("https://m.media-amazon.com/images/I/81M-n8hCg6L._AC_UL320_.jpg")</f>
        <v/>
      </c>
      <c r="I879" t="inlineStr">
        <is>
          <t>19.98</t>
        </is>
      </c>
      <c r="J879" t="n">
        <v>41.47</v>
      </c>
      <c r="K879" s="3" t="inlineStr">
        <is>
          <t>107.56%</t>
        </is>
      </c>
      <c r="L879" t="n">
        <v>4.7</v>
      </c>
      <c r="M879" t="n">
        <v>282</v>
      </c>
      <c r="O879" t="inlineStr">
        <is>
          <t>InStock</t>
        </is>
      </c>
      <c r="P879" t="inlineStr">
        <is>
          <t>30.9</t>
        </is>
      </c>
      <c r="Q879" t="inlineStr">
        <is>
          <t>7910281019608</t>
        </is>
      </c>
    </row>
    <row r="880">
      <c r="A880" s="2">
        <f>HYPERLINK("https://edmondsonsupply.com/collections/electricians-tools/products/klein-tools-66070-flip-impact-socket-set-7-piece", "https://edmondsonsupply.com/collections/electricians-tools/products/klein-tools-66070-flip-impact-socket-set-7-piece")</f>
        <v/>
      </c>
      <c r="B880" s="2">
        <f>HYPERLINK("https://edmondsonsupply.com/products/klein-tools-66070-flip-impact-socket-set-7-piece", "https://edmondsonsupply.com/products/klein-tools-66070-flip-impact-socket-set-7-piece")</f>
        <v/>
      </c>
      <c r="C880" t="inlineStr">
        <is>
          <t>Klein Tools 66070 Flip Impact Socket Set, 7-Piece</t>
        </is>
      </c>
      <c r="D880" t="inlineStr">
        <is>
          <t>Wera 056490 Tool-Check Plus Bit Ratchet Set with Sockets - Metric &amp; Impact Driver, 7-in-1 Impact Flip Socket Set, 6 Hex Driver Sizes plus a 1/4-Inch Bit Holder Klein Tools 32907</t>
        </is>
      </c>
      <c r="E880" s="2">
        <f>HYPERLINK("https://www.amazon.com/Wera-056490-Tool-Check-Ratchet-Sockets/dp/B0C3MY7J6Z/ref=sr_1_5?keywords=Klein+Tools+66070+Flip+Impact+Socket+Set%2C+7-Piece&amp;qid=1695173845&amp;sr=8-5", "https://www.amazon.com/Wera-056490-Tool-Check-Ratchet-Sockets/dp/B0C3MY7J6Z/ref=sr_1_5?keywords=Klein+Tools+66070+Flip+Impact+Socket+Set%2C+7-Piece&amp;qid=1695173845&amp;sr=8-5")</f>
        <v/>
      </c>
      <c r="F880" t="inlineStr">
        <is>
          <t>B0C3MY7J6Z</t>
        </is>
      </c>
      <c r="G880">
        <f>_xludf.IMAGE("https://edmondsonsupply.com/cdn/shop/products/66070_b.jpg?v=1663251434")</f>
        <v/>
      </c>
      <c r="H880">
        <f>_xludf.IMAGE("https://m.media-amazon.com/images/I/51rgYJySnHL._AC_UL320_.jpg")</f>
        <v/>
      </c>
      <c r="I880" t="inlineStr">
        <is>
          <t>49.97</t>
        </is>
      </c>
      <c r="J880" t="n">
        <v>103.56</v>
      </c>
      <c r="K880" s="3" t="inlineStr">
        <is>
          <t>107.24%</t>
        </is>
      </c>
      <c r="L880" t="n">
        <v>4.8</v>
      </c>
      <c r="M880" t="n">
        <v>11932</v>
      </c>
      <c r="O880" t="inlineStr">
        <is>
          <t>InStock</t>
        </is>
      </c>
      <c r="P880" t="inlineStr">
        <is>
          <t>69.98</t>
        </is>
      </c>
      <c r="Q880" t="inlineStr">
        <is>
          <t>7817421127896</t>
        </is>
      </c>
    </row>
    <row r="881">
      <c r="A881" s="2">
        <f>HYPERLINK("https://edmondsonsupply.com/collections/electricians-tools/products/klein-tools-ncvt1xt-non-contact-voltage-tester-70-to-1000v-ac", "https://edmondsonsupply.com/collections/electricians-tools/products/klein-tools-ncvt1xt-non-contact-voltage-tester-70-to-1000v-ac")</f>
        <v/>
      </c>
      <c r="B881" s="2">
        <f>HYPERLINK("https://edmondsonsupply.com/products/klein-tools-ncvt1xt-non-contact-voltage-tester-70-to-1000v-ac", "https://edmondsonsupply.com/products/klein-tools-ncvt1xt-non-contact-voltage-tester-70-to-1000v-ac")</f>
        <v/>
      </c>
      <c r="C881" t="inlineStr">
        <is>
          <t>Klein Tools NCVT1XT Non-Contact Voltage Tester, 70 to 1000V AC</t>
        </is>
      </c>
      <c r="D881" t="inlineStr">
        <is>
          <t>Klein Tools RT250 GFCI Outlet Tester with LCD Display, Electric Voltage Tester &amp; NCVT1XT Voltage Tester, Non-Contact Voltage Detector Pen, 70V to 1000V AC</t>
        </is>
      </c>
      <c r="E881" s="2">
        <f>HYPERLINK("https://www.amazon.com/Klein-Tools-Electric-Non-Contact-Detector/dp/B0CB14H87T/ref=sr_1_2?keywords=Klein+Tools+NCVT1XT+Non-Contact+Voltage+Tester%2C+70+to+1000V+AC&amp;qid=1695174075&amp;sr=8-2", "https://www.amazon.com/Klein-Tools-Electric-Non-Contact-Detector/dp/B0CB14H87T/ref=sr_1_2?keywords=Klein+Tools+NCVT1XT+Non-Contact+Voltage+Tester%2C+70+to+1000V+AC&amp;qid=1695174075&amp;sr=8-2")</f>
        <v/>
      </c>
      <c r="F881" t="inlineStr">
        <is>
          <t>B0CB14H87T</t>
        </is>
      </c>
      <c r="G881">
        <f>_xludf.IMAGE("https://edmondsonsupply.com/cdn/shop/products/ncvt1xt.jpg?v=1674496568")</f>
        <v/>
      </c>
      <c r="H881">
        <f>_xludf.IMAGE("https://m.media-amazon.com/images/I/51L3qoakqzL._AC_UL320_.jpg")</f>
        <v/>
      </c>
      <c r="I881" t="inlineStr">
        <is>
          <t>19.97</t>
        </is>
      </c>
      <c r="J881" t="n">
        <v>41.31</v>
      </c>
      <c r="K881" s="3" t="inlineStr">
        <is>
          <t>106.86%</t>
        </is>
      </c>
      <c r="L881" t="n">
        <v>4.8</v>
      </c>
      <c r="M881" t="n">
        <v>7966</v>
      </c>
      <c r="O881" t="inlineStr">
        <is>
          <t>InStock</t>
        </is>
      </c>
      <c r="P881" t="inlineStr">
        <is>
          <t>26.32</t>
        </is>
      </c>
      <c r="Q881" t="inlineStr">
        <is>
          <t>7931947155672</t>
        </is>
      </c>
    </row>
    <row r="882">
      <c r="A882" s="2">
        <f>HYPERLINK("https://edmondsonsupply.com/collections/electricians-tools/products/milwaukee-48-22-1521-compact-folding-knife", "https://edmondsonsupply.com/collections/electricians-tools/products/milwaukee-48-22-1521-compact-folding-knife")</f>
        <v/>
      </c>
      <c r="B882" s="2">
        <f>HYPERLINK("https://edmondsonsupply.com/products/milwaukee-48-22-1521-compact-folding-knife", "https://edmondsonsupply.com/products/milwaukee-48-22-1521-compact-folding-knife")</f>
        <v/>
      </c>
      <c r="C882" t="inlineStr">
        <is>
          <t>Milwaukee 48-22-1521 Compact Folding Knife</t>
        </is>
      </c>
      <c r="D882" t="inlineStr">
        <is>
          <t>For Milwaukee Tool 48-22-1505 Fastback™ 6In1 Folding Utility Knife</t>
        </is>
      </c>
      <c r="E882" s="2">
        <f>HYPERLINK("https://www.amazon.com/Milwaukee-48-22-1505-FastbackTM-Folding-Utility/dp/B0C69TGH9K/ref=sr_1_2?keywords=Milwaukee+48-22-1521+Compact+Folding+Knife&amp;qid=1695174090&amp;sr=8-2", "https://www.amazon.com/Milwaukee-48-22-1505-FastbackTM-Folding-Utility/dp/B0C69TGH9K/ref=sr_1_2?keywords=Milwaukee+48-22-1521+Compact+Folding+Knife&amp;qid=1695174090&amp;sr=8-2")</f>
        <v/>
      </c>
      <c r="F882" t="inlineStr">
        <is>
          <t>B0C69TGH9K</t>
        </is>
      </c>
      <c r="G882">
        <f>_xludf.IMAGE("https://edmondsonsupply.com/cdn/shop/products/48-22-1521_1.webp?v=1675359641")</f>
        <v/>
      </c>
      <c r="H882">
        <f>_xludf.IMAGE("https://m.media-amazon.com/images/I/41ZUsUsHByL._AC_UL320_.jpg")</f>
        <v/>
      </c>
      <c r="I882" t="inlineStr">
        <is>
          <t>12.97</t>
        </is>
      </c>
      <c r="J882" t="n">
        <v>26.75</v>
      </c>
      <c r="K882" s="3" t="inlineStr">
        <is>
          <t>106.25%</t>
        </is>
      </c>
      <c r="L882" t="n">
        <v>4.7</v>
      </c>
      <c r="M882" t="n">
        <v>4</v>
      </c>
      <c r="O882" t="inlineStr">
        <is>
          <t>InStock</t>
        </is>
      </c>
      <c r="P882" t="inlineStr">
        <is>
          <t>15.5</t>
        </is>
      </c>
      <c r="Q882" t="inlineStr">
        <is>
          <t>7937891827928</t>
        </is>
      </c>
    </row>
    <row r="883">
      <c r="A883" s="2">
        <f>HYPERLINK("https://edmondsonsupply.com/collections/electricians-tools/products/klein-tools-65200-electricians-mini-ratchet-set-5-piece", "https://edmondsonsupply.com/collections/electricians-tools/products/klein-tools-65200-electricians-mini-ratchet-set-5-piece")</f>
        <v/>
      </c>
      <c r="B883" s="2">
        <f>HYPERLINK("https://edmondsonsupply.com/products/klein-tools-65200-electricians-mini-ratchet-set-5-piece", "https://edmondsonsupply.com/products/klein-tools-65200-electricians-mini-ratchet-set-5-piece")</f>
        <v/>
      </c>
      <c r="C883" t="inlineStr">
        <is>
          <t>Klein Tools 65200 Slim-Profile Mini Ratchet Set, 5-Piece</t>
        </is>
      </c>
      <c r="D883" t="inlineStr">
        <is>
          <t>Klein Tools 65200 Ratchet Set, 5-Piece Mini Ratchet Set &amp; 32308 Multi-bit Stubby Screwdriver, Impact Rated 8-in-1 Adjustable Magnetic Tool with Phillips, Slotted, Square and Nut Driver</t>
        </is>
      </c>
      <c r="E883" s="2">
        <f>HYPERLINK("https://www.amazon.com/Klein-Tools-Multi-bit-Screwdriver-Adjustable/dp/B0BCT97D2B/ref=sr_1_3?keywords=Klein+Tools+65200+Slim-Profile+Mini+Ratchet+Set%2C+5-Piece&amp;qid=1695173845&amp;sr=8-3", "https://www.amazon.com/Klein-Tools-Multi-bit-Screwdriver-Adjustable/dp/B0BCT97D2B/ref=sr_1_3?keywords=Klein+Tools+65200+Slim-Profile+Mini+Ratchet+Set%2C+5-Piece&amp;qid=1695173845&amp;sr=8-3")</f>
        <v/>
      </c>
      <c r="F883" t="inlineStr">
        <is>
          <t>B0BCT97D2B</t>
        </is>
      </c>
      <c r="G883">
        <f>_xludf.IMAGE("https://edmondsonsupply.com/cdn/shop/products/65200.jpg?v=1633030630")</f>
        <v/>
      </c>
      <c r="H883">
        <f>_xludf.IMAGE("https://m.media-amazon.com/images/I/51FhukkqNXL._AC_UL320_.jpg")</f>
        <v/>
      </c>
      <c r="I883" t="inlineStr">
        <is>
          <t>15.97</t>
        </is>
      </c>
      <c r="J883" t="n">
        <v>32.93</v>
      </c>
      <c r="K883" s="3" t="inlineStr">
        <is>
          <t>106.20%</t>
        </is>
      </c>
      <c r="L883" t="n">
        <v>5</v>
      </c>
      <c r="M883" t="n">
        <v>7</v>
      </c>
      <c r="O883" t="inlineStr">
        <is>
          <t>InStock</t>
        </is>
      </c>
      <c r="P883" t="inlineStr">
        <is>
          <t>20.96</t>
        </is>
      </c>
      <c r="Q883" t="inlineStr">
        <is>
          <t>5694440964264</t>
        </is>
      </c>
    </row>
    <row r="884">
      <c r="A884" s="2">
        <f>HYPERLINK("https://edmondsonsupply.com/collections/electricians-tools/products/klein-tools-vdv427-300-impact-punchdown-tool-66-110-blade", "https://edmondsonsupply.com/collections/electricians-tools/products/klein-tools-vdv427-300-impact-punchdown-tool-66-110-blade")</f>
        <v/>
      </c>
      <c r="B884" s="2">
        <f>HYPERLINK("https://edmondsonsupply.com/products/klein-tools-vdv427-300-impact-punchdown-tool-66-110-blade", "https://edmondsonsupply.com/products/klein-tools-vdv427-300-impact-punchdown-tool-66-110-blade")</f>
        <v/>
      </c>
      <c r="C884" t="inlineStr">
        <is>
          <t>Klein Tools VDV427-300 Impact Punchdown Tool, 66/110 Blade</t>
        </is>
      </c>
      <c r="D884" t="inlineStr">
        <is>
          <t>Klein Tools 46039 Cable Splicer's Kit with Free-Fall Snip &amp; VDV427-300 Impact Punchdown Tool, 66/110 Blade</t>
        </is>
      </c>
      <c r="E884" s="2">
        <f>HYPERLINK("https://www.amazon.com/Klein-Tools-Free-Fall-VDV427-300-Punchdown/dp/B0BD3YB2HS/ref=sr_1_8?keywords=Klein+Tools+VDV427-300+Impact+Punchdown+Tool%2C+66%2F110+Blade&amp;qid=1695174221&amp;sr=8-8", "https://www.amazon.com/Klein-Tools-Free-Fall-VDV427-300-Punchdown/dp/B0BD3YB2HS/ref=sr_1_8?keywords=Klein+Tools+VDV427-300+Impact+Punchdown+Tool%2C+66%2F110+Blade&amp;qid=1695174221&amp;sr=8-8")</f>
        <v/>
      </c>
      <c r="F884" t="inlineStr">
        <is>
          <t>B0BD3YB2HS</t>
        </is>
      </c>
      <c r="G884">
        <f>_xludf.IMAGE("https://edmondsonsupply.com/cdn/shop/products/vdv427300.jpg?v=1646010568")</f>
        <v/>
      </c>
      <c r="H884">
        <f>_xludf.IMAGE("https://m.media-amazon.com/images/I/51JNLLq52ZL._AC_UL320_.jpg")</f>
        <v/>
      </c>
      <c r="I884" t="inlineStr">
        <is>
          <t>39.97</t>
        </is>
      </c>
      <c r="J884" t="n">
        <v>82</v>
      </c>
      <c r="K884" s="3" t="inlineStr">
        <is>
          <t>105.15%</t>
        </is>
      </c>
      <c r="L884" t="n">
        <v>4</v>
      </c>
      <c r="M884" t="n">
        <v>1</v>
      </c>
      <c r="O884" t="inlineStr">
        <is>
          <t>InStock</t>
        </is>
      </c>
      <c r="P884" t="inlineStr">
        <is>
          <t>55.98</t>
        </is>
      </c>
      <c r="Q884" t="inlineStr">
        <is>
          <t>7620069818584</t>
        </is>
      </c>
    </row>
    <row r="885">
      <c r="A885" s="2">
        <f>HYPERLINK("https://edmondsonsupply.com/collections/electricians-tools/products/klein-tools-605-6-1-4-inch-cabinet-tip-screwdriver-heavy-duty-6-inch", "https://edmondsonsupply.com/collections/electricians-tools/products/klein-tools-605-6-1-4-inch-cabinet-tip-screwdriver-heavy-duty-6-inch")</f>
        <v/>
      </c>
      <c r="B885" s="2">
        <f>HYPERLINK("https://edmondsonsupply.com/products/klein-tools-605-6-1-4-inch-cabinet-tip-screwdriver-heavy-duty-6-inch", "https://edmondsonsupply.com/products/klein-tools-605-6-1-4-inch-cabinet-tip-screwdriver-heavy-duty-6-inch")</f>
        <v/>
      </c>
      <c r="C885" t="inlineStr">
        <is>
          <t>Klein Tools 605-6 1/4-Inch Cabinet Tip Screwdriver, Heavy Duty, 6-Inch</t>
        </is>
      </c>
      <c r="D885" t="inlineStr">
        <is>
          <t>Klein Tools 603-4 Screwdriver, 2 Phillips Tip with Cushion Grip Handle, Precision Machined Electrician Screwdriver, 8-Inch &amp; 605-6 1/4-Inch Cabinet Tip Screwdriver, Heavy Duty, 6-Inch</t>
        </is>
      </c>
      <c r="E885" s="2">
        <f>HYPERLINK("https://www.amazon.com/Klein-Tools-Screwdriver-Precision-Electrician/dp/B0BR23NNNH/ref=sr_1_2?keywords=Klein+Tools+605-6+1%2F4-Inch+Cabinet+Tip+Screwdriver%2C+Heavy+Duty%2C+6-Inch&amp;qid=1695173888&amp;sr=8-2", "https://www.amazon.com/Klein-Tools-Screwdriver-Precision-Electrician/dp/B0BR23NNNH/ref=sr_1_2?keywords=Klein+Tools+605-6+1%2F4-Inch+Cabinet+Tip+Screwdriver%2C+Heavy+Duty%2C+6-Inch&amp;qid=1695173888&amp;sr=8-2")</f>
        <v/>
      </c>
      <c r="F885" t="inlineStr">
        <is>
          <t>B0BR23NNNH</t>
        </is>
      </c>
      <c r="G885">
        <f>_xludf.IMAGE("https://edmondsonsupply.com/cdn/shop/products/605-6.jpg?v=1587149759")</f>
        <v/>
      </c>
      <c r="H885">
        <f>_xludf.IMAGE("https://m.media-amazon.com/images/I/316TumgEKzL._AC_UL320_.jpg")</f>
        <v/>
      </c>
      <c r="I885" t="inlineStr">
        <is>
          <t>9.49</t>
        </is>
      </c>
      <c r="J885" t="n">
        <v>19.38</v>
      </c>
      <c r="K885" s="3" t="inlineStr">
        <is>
          <t>104.21%</t>
        </is>
      </c>
      <c r="L885" t="n">
        <v>5</v>
      </c>
      <c r="M885" t="n">
        <v>3</v>
      </c>
      <c r="O885" t="inlineStr">
        <is>
          <t>InStock</t>
        </is>
      </c>
      <c r="P885" t="inlineStr">
        <is>
          <t>14.38</t>
        </is>
      </c>
      <c r="Q885" t="inlineStr">
        <is>
          <t>4512371310692</t>
        </is>
      </c>
    </row>
    <row r="886">
      <c r="A886" s="2">
        <f>HYPERLINK("https://edmondsonsupply.com/collections/electricians-tools/products/klein-tools-jth9m8-8-mm-hex-key-journeyman%E2%84%A2-t-handle-9-inch", "https://edmondsonsupply.com/collections/electricians-tools/products/klein-tools-jth9m8-8-mm-hex-key-journeyman%E2%84%A2-t-handle-9-inch")</f>
        <v/>
      </c>
      <c r="B886" s="2">
        <f>HYPERLINK("https://edmondsonsupply.com/products/klein-tools-jth9m8-8-mm-hex-key-journeyman%e2%84%a2-t-handle-9-inch", "https://edmondsonsupply.com/products/klein-tools-jth9m8-8-mm-hex-key-journeyman%e2%84%a2-t-handle-9-inch")</f>
        <v/>
      </c>
      <c r="C886" t="inlineStr">
        <is>
          <t>Klein Tools JTH9M8 8 mm Hex Key, Journeyman™ T-Handle, 9-Inch</t>
        </is>
      </c>
      <c r="D886" t="inlineStr">
        <is>
          <t>Klein Tools JTH9M8 8 mm Hex Key with Journeyman T-Handle, 9-Inch</t>
        </is>
      </c>
      <c r="E886" s="2">
        <f>HYPERLINK("https://www.amazon.com/Journeyman-T-Handle-Klein-Tools-JTH9M8/dp/B005G3HJSC/ref=sr_1_1?keywords=Klein+Tools+JTH9M8+8+mm+Hex+Key%2C+Journeyman%E2%84%A2+T-Handle%2C+9-Inch&amp;qid=1695174169&amp;sr=8-1", "https://www.amazon.com/Journeyman-T-Handle-Klein-Tools-JTH9M8/dp/B005G3HJSC/ref=sr_1_1?keywords=Klein+Tools+JTH9M8+8+mm+Hex+Key%2C+Journeyman%E2%84%A2+T-Handle%2C+9-Inch&amp;qid=1695174169&amp;sr=8-1")</f>
        <v/>
      </c>
      <c r="F886" t="inlineStr">
        <is>
          <t>B005G3HJSC</t>
        </is>
      </c>
      <c r="G886">
        <f>_xludf.IMAGE("https://edmondsonsupply.com/cdn/shop/products/jth6m8_03ba3d30-ff38-4b9e-93e7-b0fc6da199d0.jpg?v=1662658324")</f>
        <v/>
      </c>
      <c r="H886">
        <f>_xludf.IMAGE("https://m.media-amazon.com/images/I/51+1x0vz9XL._AC_UL320_.jpg")</f>
        <v/>
      </c>
      <c r="I886" t="inlineStr">
        <is>
          <t>7.99</t>
        </is>
      </c>
      <c r="J886" t="n">
        <v>16.27</v>
      </c>
      <c r="K886" s="3" t="inlineStr">
        <is>
          <t>103.63%</t>
        </is>
      </c>
      <c r="L886" t="n">
        <v>5</v>
      </c>
      <c r="M886" t="n">
        <v>4</v>
      </c>
      <c r="O886" t="inlineStr">
        <is>
          <t>InStock</t>
        </is>
      </c>
      <c r="P886" t="inlineStr">
        <is>
          <t>12.1</t>
        </is>
      </c>
      <c r="Q886" t="inlineStr">
        <is>
          <t>7809334018264</t>
        </is>
      </c>
    </row>
    <row r="887">
      <c r="A887" s="2">
        <f>HYPERLINK("https://edmondsonsupply.com/collections/electricians-tools/products/rack-a-tiers-80050-the-nut-snugger-magnetic-locknut-holder", "https://edmondsonsupply.com/collections/electricians-tools/products/rack-a-tiers-80050-the-nut-snugger-magnetic-locknut-holder")</f>
        <v/>
      </c>
      <c r="B887" s="2">
        <f>HYPERLINK("https://edmondsonsupply.com/products/rack-a-tiers-80050-the-nut-snugger-magnetic-locknut-holder", "https://edmondsonsupply.com/products/rack-a-tiers-80050-the-nut-snugger-magnetic-locknut-holder")</f>
        <v/>
      </c>
      <c r="C887" t="inlineStr">
        <is>
          <t>Rack-A-Tiers 80050 The Nut Snugger - 1/2" Magnetic Locknut Holder</t>
        </is>
      </c>
      <c r="D887" t="inlineStr">
        <is>
          <t>Rack-A-Tiers Nut Snugger Kit 1ea: 1/2" &amp; 3/4" Magnetic Locknut Holder (80090)</t>
        </is>
      </c>
      <c r="E887" s="2">
        <f>HYPERLINK("https://www.amazon.com/Rack-Tiers-Nut-Snugger-Kit/dp/B0BX4MB59Q/ref=sr_1_1?keywords=Rack-A-Tiers+80050+The+Nut+Snugger+-+1%2F2%22+Magnetic+Locknut+Holder&amp;qid=1695173910&amp;sr=8-1", "https://www.amazon.com/Rack-Tiers-Nut-Snugger-Kit/dp/B0BX4MB59Q/ref=sr_1_1?keywords=Rack-A-Tiers+80050+The+Nut+Snugger+-+1%2F2%22+Magnetic+Locknut+Holder&amp;qid=1695173910&amp;sr=8-1")</f>
        <v/>
      </c>
      <c r="F887" t="inlineStr">
        <is>
          <t>B0BX4MB59Q</t>
        </is>
      </c>
      <c r="G887">
        <f>_xludf.IMAGE("https://edmondsonsupply.com/cdn/shop/products/820XX-Nut-Snugger.png?v=1667152378")</f>
        <v/>
      </c>
      <c r="H887">
        <f>_xludf.IMAGE("https://m.media-amazon.com/images/I/31gF-2h5bgL._AC_UY218_.jpg")</f>
        <v/>
      </c>
      <c r="I887" t="inlineStr">
        <is>
          <t>33.99</t>
        </is>
      </c>
      <c r="J887" t="n">
        <v>68.98999999999999</v>
      </c>
      <c r="K887" s="3" t="inlineStr">
        <is>
          <t>102.97%</t>
        </is>
      </c>
      <c r="L887" t="n">
        <v>5</v>
      </c>
      <c r="M887" t="n">
        <v>2</v>
      </c>
      <c r="O887" t="inlineStr">
        <is>
          <t>InStock</t>
        </is>
      </c>
      <c r="P887" t="inlineStr">
        <is>
          <t>36.49</t>
        </is>
      </c>
      <c r="Q887" t="inlineStr">
        <is>
          <t>7871146983640</t>
        </is>
      </c>
    </row>
    <row r="888">
      <c r="A888" s="2">
        <f>HYPERLINK("https://edmondsonsupply.com/collections/electricians-tools/products/klein-tools-rt250-gfci-receptacle-tester-with-lcd", "https://edmondsonsupply.com/collections/electricians-tools/products/klein-tools-rt250-gfci-receptacle-tester-with-lcd")</f>
        <v/>
      </c>
      <c r="B888" s="2">
        <f>HYPERLINK("https://edmondsonsupply.com/products/klein-tools-rt250-gfci-receptacle-tester-with-lcd", "https://edmondsonsupply.com/products/klein-tools-rt250-gfci-receptacle-tester-with-lcd")</f>
        <v/>
      </c>
      <c r="C888" t="inlineStr">
        <is>
          <t>Klein Tools RT250 GFCI Receptacle Tester with LCD</t>
        </is>
      </c>
      <c r="D888" t="inlineStr">
        <is>
          <t>Klein Tools RT250KIT Non-Contact Voltage Tester and GFCI Receptacle Tester with LCD and Flashlight, Voltage Electrical Test Kit</t>
        </is>
      </c>
      <c r="E888" s="2">
        <f>HYPERLINK("https://www.amazon.com/Non-Contact-Receptacle-Klein-Tools-RT250KIT/dp/B08YDFQ2FV/ref=sr_1_4?keywords=Klein+Tools+RT250+GFCI+Receptacle+Tester+with+LCD&amp;qid=1695174176&amp;sr=8-4", "https://www.amazon.com/Non-Contact-Receptacle-Klein-Tools-RT250KIT/dp/B08YDFQ2FV/ref=sr_1_4?keywords=Klein+Tools+RT250+GFCI+Receptacle+Tester+with+LCD&amp;qid=1695174176&amp;sr=8-4")</f>
        <v/>
      </c>
      <c r="F888" t="inlineStr">
        <is>
          <t>B08YDFQ2FV</t>
        </is>
      </c>
      <c r="G888">
        <f>_xludf.IMAGE("https://edmondsonsupply.com/cdn/shop/products/rt250_photo_c.jpg?v=1661363824")</f>
        <v/>
      </c>
      <c r="H888">
        <f>_xludf.IMAGE("https://m.media-amazon.com/images/I/61WaBlkJfxL._AC_UL320_.jpg")</f>
        <v/>
      </c>
      <c r="I888" t="inlineStr">
        <is>
          <t>21.97</t>
        </is>
      </c>
      <c r="J888" t="n">
        <v>44.54</v>
      </c>
      <c r="K888" s="3" t="inlineStr">
        <is>
          <t>102.73%</t>
        </is>
      </c>
      <c r="L888" t="n">
        <v>4.8</v>
      </c>
      <c r="M888" t="n">
        <v>1269</v>
      </c>
      <c r="O888" t="inlineStr">
        <is>
          <t>InStock</t>
        </is>
      </c>
      <c r="P888" t="inlineStr">
        <is>
          <t>30.78</t>
        </is>
      </c>
      <c r="Q888" t="inlineStr">
        <is>
          <t>7793138729176</t>
        </is>
      </c>
    </row>
    <row r="889">
      <c r="A889" s="2">
        <f>HYPERLINK("https://edmondsonsupply.com/collections/electricians-tools/products/klein-tools-69381-heavy-duty-alligator-clip-test-leads-3-foot", "https://edmondsonsupply.com/collections/electricians-tools/products/klein-tools-69381-heavy-duty-alligator-clip-test-leads-3-foot")</f>
        <v/>
      </c>
      <c r="B889" s="2">
        <f>HYPERLINK("https://edmondsonsupply.com/products/klein-tools-69381-heavy-duty-alligator-clip-test-leads-3-foot", "https://edmondsonsupply.com/products/klein-tools-69381-heavy-duty-alligator-clip-test-leads-3-foot")</f>
        <v/>
      </c>
      <c r="C889" t="inlineStr">
        <is>
          <t>Klein Tools 69381 Heavy-Duty Alligator Clip Test Leads, 3-Foot</t>
        </is>
      </c>
      <c r="D889" t="inlineStr">
        <is>
          <t>Klein Tools 69367 Alligator Clip Test Leads, Heavy-Duty Replacement Meter Leads, for All Meters Using Banana Plug Meter Leads, 10-Foot</t>
        </is>
      </c>
      <c r="E889" s="2">
        <f>HYPERLINK("https://www.amazon.com/Klein-Tools-69367-Heavy-Duty-Replacement/dp/B09YTDG6FQ/ref=sr_1_7?keywords=Klein+Tools+69381+Heavy-Duty+Alligator+Clip+Test+Leads%2C+3-Foot&amp;qid=1695174138&amp;sr=8-7", "https://www.amazon.com/Klein-Tools-69367-Heavy-Duty-Replacement/dp/B09YTDG6FQ/ref=sr_1_7?keywords=Klein+Tools+69381+Heavy-Duty+Alligator+Clip+Test+Leads%2C+3-Foot&amp;qid=1695174138&amp;sr=8-7")</f>
        <v/>
      </c>
      <c r="F889" t="inlineStr">
        <is>
          <t>B09YTDG6FQ</t>
        </is>
      </c>
      <c r="G889">
        <f>_xludf.IMAGE("https://edmondsonsupply.com/cdn/shop/products/69381_photo.jpg?v=1666889006")</f>
        <v/>
      </c>
      <c r="H889">
        <f>_xludf.IMAGE("https://m.media-amazon.com/images/I/51hh7Ca5KIL._AC_UY218_.jpg")</f>
        <v/>
      </c>
      <c r="I889" t="inlineStr">
        <is>
          <t>14.99</t>
        </is>
      </c>
      <c r="J889" t="n">
        <v>30.3</v>
      </c>
      <c r="K889" s="3" t="inlineStr">
        <is>
          <t>102.13%</t>
        </is>
      </c>
      <c r="L889" t="n">
        <v>4.8</v>
      </c>
      <c r="M889" t="n">
        <v>12</v>
      </c>
      <c r="O889" t="inlineStr">
        <is>
          <t>InStock</t>
        </is>
      </c>
      <c r="P889" t="inlineStr">
        <is>
          <t>20.98</t>
        </is>
      </c>
      <c r="Q889" t="inlineStr">
        <is>
          <t>7867714371800</t>
        </is>
      </c>
    </row>
    <row r="890">
      <c r="A890" s="2">
        <f>HYPERLINK("https://edmondsonsupply.com/collections/electricians-tools/products/milwaukee-2553-22", "https://edmondsonsupply.com/collections/electricians-tools/products/milwaukee-2553-22")</f>
        <v/>
      </c>
      <c r="B890" s="2">
        <f>HYPERLINK("https://edmondsonsupply.com/products/milwaukee-2553-22", "https://edmondsonsupply.com/products/milwaukee-2553-22")</f>
        <v/>
      </c>
      <c r="C890" t="inlineStr">
        <is>
          <t>Milwaukee 2553-22 M12 FUEL™ 1/4" Hex Impact Driver Kit</t>
        </is>
      </c>
      <c r="D890" t="inlineStr">
        <is>
          <t>Milwaukee 2853-22 M18 FUEL 1/4" Hex Impact Driver XC Kit</t>
        </is>
      </c>
      <c r="E890" s="2">
        <f>HYPERLINK("https://www.amazon.com/Milwaukee-2853-22-FUEL-Impact-Driver/dp/B07G9H57FM/ref=sr_1_10?keywords=Milwaukee+2553-22+M12+FUEL%E2%84%A2+1%2F4%22+Hex+Impact+Driver+Kit&amp;qid=1695174118&amp;sr=8-10", "https://www.amazon.com/Milwaukee-2853-22-FUEL-Impact-Driver/dp/B07G9H57FM/ref=sr_1_10?keywords=Milwaukee+2553-22+M12+FUEL%E2%84%A2+1%2F4%22+Hex+Impact+Driver+Kit&amp;qid=1695174118&amp;sr=8-10")</f>
        <v/>
      </c>
      <c r="F890" t="inlineStr">
        <is>
          <t>B07G9H57FM</t>
        </is>
      </c>
      <c r="G890">
        <f>_xludf.IMAGE("https://edmondsonsupply.com/cdn/shop/products/2553-22_Kit.webp?v=1668445129")</f>
        <v/>
      </c>
      <c r="H890">
        <f>_xludf.IMAGE("https://m.media-amazon.com/images/I/61U85JXP9NL._AC_UL320_.jpg")</f>
        <v/>
      </c>
      <c r="I890" t="inlineStr">
        <is>
          <t>169.0</t>
        </is>
      </c>
      <c r="J890" t="n">
        <v>339</v>
      </c>
      <c r="K890" s="3" t="inlineStr">
        <is>
          <t>100.59%</t>
        </is>
      </c>
      <c r="L890" t="n">
        <v>4.8</v>
      </c>
      <c r="M890" t="n">
        <v>528</v>
      </c>
      <c r="O890" t="inlineStr">
        <is>
          <t>InStock</t>
        </is>
      </c>
      <c r="P890" t="inlineStr">
        <is>
          <t>299.0</t>
        </is>
      </c>
      <c r="Q890" t="inlineStr">
        <is>
          <t>7884423528664</t>
        </is>
      </c>
    </row>
    <row r="891">
      <c r="A891" s="2">
        <f>HYPERLINK("https://edmondsonsupply.com/collections/electricians-tools/products/klein-tools-60492-lightweight-knee-pad-sleeves-m-l", "https://edmondsonsupply.com/collections/electricians-tools/products/klein-tools-60492-lightweight-knee-pad-sleeves-m-l")</f>
        <v/>
      </c>
      <c r="B891" s="2">
        <f>HYPERLINK("https://edmondsonsupply.com/products/klein-tools-60492-lightweight-knee-pad-sleeves-m-l", "https://edmondsonsupply.com/products/klein-tools-60492-lightweight-knee-pad-sleeves-m-l")</f>
        <v/>
      </c>
      <c r="C891" t="inlineStr">
        <is>
          <t>Klein Tools 60492 Lightweight Knee Pad Sleeves, M/L</t>
        </is>
      </c>
      <c r="D891" t="inlineStr">
        <is>
          <t>Klein Tools 60615 Knee Pad, Heavy Duty Padded Knee Sleeves, Breathable Mesh Back, Elastic Cuff with Slip-Resistant Silicone, S/M, Black</t>
        </is>
      </c>
      <c r="E891" s="2">
        <f>HYPERLINK("https://www.amazon.com/Klein-Tools-60615-Breathable-Slip-Resistant/dp/B0BWB8VW7J/ref=sr_1_3?keywords=Klein+Tools+60492+Lightweight+Knee+Pad+Sleeves%2C+M%2FL&amp;qid=1695174171&amp;sr=8-3", "https://www.amazon.com/Klein-Tools-60615-Breathable-Slip-Resistant/dp/B0BWB8VW7J/ref=sr_1_3?keywords=Klein+Tools+60492+Lightweight+Knee+Pad+Sleeves%2C+M%2FL&amp;qid=1695174171&amp;sr=8-3")</f>
        <v/>
      </c>
      <c r="F891" t="inlineStr">
        <is>
          <t>B0BWB8VW7J</t>
        </is>
      </c>
      <c r="G891">
        <f>_xludf.IMAGE("https://edmondsonsupply.com/cdn/shop/products/60492_60592_photo.jpg?v=1663255234")</f>
        <v/>
      </c>
      <c r="H891">
        <f>_xludf.IMAGE("https://m.media-amazon.com/images/I/61FKkSJ3xeL._AC_UL320_.jpg")</f>
        <v/>
      </c>
      <c r="I891" t="inlineStr">
        <is>
          <t>19.97</t>
        </is>
      </c>
      <c r="J891" t="n">
        <v>39.99</v>
      </c>
      <c r="K891" s="3" t="inlineStr">
        <is>
          <t>100.25%</t>
        </is>
      </c>
      <c r="L891" t="n">
        <v>4</v>
      </c>
      <c r="M891" t="n">
        <v>18</v>
      </c>
      <c r="O891" t="inlineStr">
        <is>
          <t>InStock</t>
        </is>
      </c>
      <c r="P891" t="inlineStr">
        <is>
          <t>27.98</t>
        </is>
      </c>
      <c r="Q891" t="inlineStr">
        <is>
          <t>7817560293592</t>
        </is>
      </c>
    </row>
    <row r="892">
      <c r="A892" s="2">
        <f>HYPERLINK("https://edmondsonsupply.com/collections/electricians-tools/products/klein-tools-56411-rechargeable-waterproof-led-pocket-light-with-lanyard", "https://edmondsonsupply.com/collections/electricians-tools/products/klein-tools-56411-rechargeable-waterproof-led-pocket-light-with-lanyard")</f>
        <v/>
      </c>
      <c r="B892" s="2">
        <f>HYPERLINK("https://edmondsonsupply.com/products/klein-tools-56411-rechargeable-waterproof-led-pocket-light-with-lanyard", "https://edmondsonsupply.com/products/klein-tools-56411-rechargeable-waterproof-led-pocket-light-with-lanyard")</f>
        <v/>
      </c>
      <c r="C892" t="inlineStr">
        <is>
          <t>Klein Tools 56411 Rechargeable Waterproof LED Pocket Light with Lanyard</t>
        </is>
      </c>
      <c r="D892" t="inlineStr">
        <is>
          <t>Klein Tools 80079 Headlamp Kit with Rechargeable LED Headlamp, Pocket Flashlight and Bracketed Headlamp Strap, for Klein Hard Hats, 3-Piece</t>
        </is>
      </c>
      <c r="E892" s="2">
        <f>HYPERLINK("https://www.amazon.com/Klein-Tools-80079-Rechargeable-Flashlight/dp/B0B11GSP2C/ref=sr_1_4?keywords=Klein+Tools+56411+Rechargeable+Waterproof+LED+Pocket+Light+with+Lanyard&amp;qid=1695174156&amp;sr=8-4", "https://www.amazon.com/Klein-Tools-80079-Rechargeable-Flashlight/dp/B0B11GSP2C/ref=sr_1_4?keywords=Klein+Tools+56411+Rechargeable+Waterproof+LED+Pocket+Light+with+Lanyard&amp;qid=1695174156&amp;sr=8-4")</f>
        <v/>
      </c>
      <c r="F892" t="inlineStr">
        <is>
          <t>B0B11GSP2C</t>
        </is>
      </c>
      <c r="G892">
        <f>_xludf.IMAGE("https://edmondsonsupply.com/cdn/shop/products/56411.jpg?v=1663952448")</f>
        <v/>
      </c>
      <c r="H892">
        <f>_xludf.IMAGE("https://m.media-amazon.com/images/I/61kxSho0oaL._AC_UL320_.jpg")</f>
        <v/>
      </c>
      <c r="I892" t="inlineStr">
        <is>
          <t>29.97</t>
        </is>
      </c>
      <c r="J892" t="n">
        <v>59.99</v>
      </c>
      <c r="K892" s="3" t="inlineStr">
        <is>
          <t>100.17%</t>
        </is>
      </c>
      <c r="L892" t="n">
        <v>4.9</v>
      </c>
      <c r="M892" t="n">
        <v>22</v>
      </c>
      <c r="O892" t="inlineStr">
        <is>
          <t>InStock</t>
        </is>
      </c>
      <c r="P892" t="inlineStr">
        <is>
          <t>42.0</t>
        </is>
      </c>
      <c r="Q892" t="inlineStr">
        <is>
          <t>7827354779864</t>
        </is>
      </c>
    </row>
    <row r="893">
      <c r="A893" s="2">
        <f>HYPERLINK("https://edmondsonsupply.com/collections/electricians-tools/products/klein-tools-srs56038-polymer-fish-rod-set-glow-in-the-dark", "https://edmondsonsupply.com/collections/electricians-tools/products/klein-tools-srs56038-polymer-fish-rod-set-glow-in-the-dark")</f>
        <v/>
      </c>
      <c r="B893" s="2">
        <f>HYPERLINK("https://edmondsonsupply.com/products/klein-tools-srs56038-polymer-fish-rod-set-glow-in-the-dark", "https://edmondsonsupply.com/products/klein-tools-srs56038-polymer-fish-rod-set-glow-in-the-dark")</f>
        <v/>
      </c>
      <c r="C893" t="inlineStr">
        <is>
          <t>Klein Tools SRS56038 Polymer Fish Rod Set Glow-in-The-Dark</t>
        </is>
      </c>
      <c r="D893" t="inlineStr">
        <is>
          <t>Klein Tools 50660 Glow In The Dark Fish Tape, Fiberglass with Nylon Tip and Stainless-Steel Connector for Fish Rod Attachments, 40-Foot</t>
        </is>
      </c>
      <c r="E893" s="2">
        <f>HYPERLINK("https://www.amazon.com/Klein-Tools-50660-Stainless-Steel-Attachments/dp/B0BVJXRH9J/ref=sr_1_2?keywords=Klein+Tools+SRS56038+Polymer+Fish+Rod+Set+Glow-in-The-Dark&amp;qid=1695173917&amp;sr=8-2", "https://www.amazon.com/Klein-Tools-50660-Stainless-Steel-Attachments/dp/B0BVJXRH9J/ref=sr_1_2?keywords=Klein+Tools+SRS56038+Polymer+Fish+Rod+Set+Glow-in-The-Dark&amp;qid=1695173917&amp;sr=8-2")</f>
        <v/>
      </c>
      <c r="F893" t="inlineStr">
        <is>
          <t>B0BVJXRH9J</t>
        </is>
      </c>
      <c r="G893">
        <f>_xludf.IMAGE("https://edmondsonsupply.com/cdn/shop/products/srs56038.jpg?v=1633030781")</f>
        <v/>
      </c>
      <c r="H893">
        <f>_xludf.IMAGE("https://m.media-amazon.com/images/I/61TfZQjceGL._AC_UL320_.jpg")</f>
        <v/>
      </c>
      <c r="I893" t="inlineStr">
        <is>
          <t>29.97</t>
        </is>
      </c>
      <c r="J893" t="n">
        <v>59.97</v>
      </c>
      <c r="K893" s="3" t="inlineStr">
        <is>
          <t>100.10%</t>
        </is>
      </c>
      <c r="L893" t="n">
        <v>4.1</v>
      </c>
      <c r="M893" t="n">
        <v>6</v>
      </c>
      <c r="O893" t="inlineStr">
        <is>
          <t>InStock</t>
        </is>
      </c>
      <c r="P893" t="inlineStr">
        <is>
          <t>40.0</t>
        </is>
      </c>
      <c r="Q893" t="inlineStr">
        <is>
          <t>5966785478824</t>
        </is>
      </c>
    </row>
    <row r="894">
      <c r="A894" s="2">
        <f>HYPERLINK("https://edmondsonsupply.com/collections/electricians-tools/products/klein-tools-32305-15-in-1-multi-bit-ratcheting-screwdriver", "https://edmondsonsupply.com/collections/electricians-tools/products/klein-tools-32305-15-in-1-multi-bit-ratcheting-screwdriver")</f>
        <v/>
      </c>
      <c r="B894" s="2">
        <f>HYPERLINK("https://edmondsonsupply.com/products/klein-tools-32305-15-in-1-multi-bit-ratcheting-screwdriver", "https://edmondsonsupply.com/products/klein-tools-32305-15-in-1-multi-bit-ratcheting-screwdriver")</f>
        <v/>
      </c>
      <c r="C894" t="inlineStr">
        <is>
          <t>Klein Tools 32305 15-in-1 Multi-Bit Ratcheting Screwdriver</t>
        </is>
      </c>
      <c r="D894" t="inlineStr">
        <is>
          <t>Klein Tools 80027 Screwdriver Set, 11-in-1 Multi-bit Screwdriver, 6-in-1 Stubby Screwdriver &amp; 32305 Multi-bit Ratcheting Screwdriver, 15-in-1 Tool with Phillips, Slotted, Square</t>
        </is>
      </c>
      <c r="E894" s="2">
        <f>HYPERLINK("https://www.amazon.com/Klein-Tools-Screwdriver-Multi-bit-Ratcheting/dp/B0CGZMVQLX/ref=sr_1_3?keywords=Klein+Tools+32305+15-in-1+Multi-Bit+Ratcheting+Screwdriver&amp;qid=1695174215&amp;sr=8-3", "https://www.amazon.com/Klein-Tools-Screwdriver-Multi-bit-Ratcheting/dp/B0CGZMVQLX/ref=sr_1_3?keywords=Klein+Tools+32305+15-in-1+Multi-Bit+Ratcheting+Screwdriver&amp;qid=1695174215&amp;sr=8-3")</f>
        <v/>
      </c>
      <c r="F894" t="inlineStr">
        <is>
          <t>B0CGZMVQLX</t>
        </is>
      </c>
      <c r="G894">
        <f>_xludf.IMAGE("https://edmondsonsupply.com/cdn/shop/products/32305.jpg?v=1646965475")</f>
        <v/>
      </c>
      <c r="H894">
        <f>_xludf.IMAGE("https://m.media-amazon.com/images/I/517jUHF-i4L._AC_UL320_.jpg")</f>
        <v/>
      </c>
      <c r="I894" t="inlineStr">
        <is>
          <t>21.97</t>
        </is>
      </c>
      <c r="J894" t="n">
        <v>43.96</v>
      </c>
      <c r="K894" s="3" t="inlineStr">
        <is>
          <t>100.09%</t>
        </is>
      </c>
      <c r="L894" t="n">
        <v>4.8</v>
      </c>
      <c r="M894" t="n">
        <v>13277</v>
      </c>
      <c r="O894" t="inlineStr">
        <is>
          <t>InStock</t>
        </is>
      </c>
      <c r="P894" t="inlineStr">
        <is>
          <t>30.78</t>
        </is>
      </c>
      <c r="Q894" t="inlineStr">
        <is>
          <t>7632426598616</t>
        </is>
      </c>
    </row>
    <row r="895">
      <c r="A895" s="2">
        <f>HYPERLINK("https://edmondsonsupply.com/collections/electricians-tools/products/klein-tools-60537-professional-safety-glasses-full-frame-indoor-outdoor-lens", "https://edmondsonsupply.com/collections/electricians-tools/products/klein-tools-60537-professional-safety-glasses-full-frame-indoor-outdoor-lens")</f>
        <v/>
      </c>
      <c r="B895" s="2">
        <f>HYPERLINK("https://edmondsonsupply.com/products/klein-tools-60537-professional-safety-glasses-full-frame-indoor-outdoor-lens", "https://edmondsonsupply.com/products/klein-tools-60537-professional-safety-glasses-full-frame-indoor-outdoor-lens")</f>
        <v/>
      </c>
      <c r="C895" t="inlineStr">
        <is>
          <t>Klein Tools 60537 Professional Safety Glasses, Full-Frame, Indoor/Outdoor Lens</t>
        </is>
      </c>
      <c r="D895" t="inlineStr">
        <is>
          <t>Klein Tools 60539 Safety Glasses, Professional PPE Protective Eyewear, Full Frame, Scratch Resistant and Anti-Fog, Polarized Lens</t>
        </is>
      </c>
      <c r="E895" s="2">
        <f>HYPERLINK("https://www.amazon.com/Klein-Tools-60539-Professional-Protective/dp/B0BLQ6F4MQ/ref=sr_1_3?keywords=Klein+Tools+60537+Professional+Safety+Glasses%2C+Full-Frame%2C+Indoor%2FOutdoor+Lens&amp;qid=1695174097&amp;sr=8-3", "https://www.amazon.com/Klein-Tools-60539-Professional-Protective/dp/B0BLQ6F4MQ/ref=sr_1_3?keywords=Klein+Tools+60537+Professional+Safety+Glasses%2C+Full-Frame%2C+Indoor%2FOutdoor+Lens&amp;qid=1695174097&amp;sr=8-3")</f>
        <v/>
      </c>
      <c r="F895" t="inlineStr">
        <is>
          <t>B0BLQ6F4MQ</t>
        </is>
      </c>
      <c r="G895">
        <f>_xludf.IMAGE("https://edmondsonsupply.com/cdn/shop/products/60537.jpg?v=1670947087")</f>
        <v/>
      </c>
      <c r="H895">
        <f>_xludf.IMAGE("https://m.media-amazon.com/images/I/41z93jotzdL._AC_UL320_.jpg")</f>
        <v/>
      </c>
      <c r="I895" t="inlineStr">
        <is>
          <t>14.99</t>
        </is>
      </c>
      <c r="J895" t="n">
        <v>29.99</v>
      </c>
      <c r="K895" s="3" t="inlineStr">
        <is>
          <t>100.07%</t>
        </is>
      </c>
      <c r="L895" t="n">
        <v>4.4</v>
      </c>
      <c r="M895" t="n">
        <v>11</v>
      </c>
      <c r="O895" t="inlineStr">
        <is>
          <t>InStock</t>
        </is>
      </c>
      <c r="P895" t="inlineStr">
        <is>
          <t>20.98</t>
        </is>
      </c>
      <c r="Q895" t="inlineStr">
        <is>
          <t>7903997493464</t>
        </is>
      </c>
    </row>
    <row r="896">
      <c r="A896" s="2">
        <f>HYPERLINK("https://edmondsonsupply.com/collections/electricians-tools/products/klein-tools-60163-professional-safety-glasses-full-frame-clear-lens", "https://edmondsonsupply.com/collections/electricians-tools/products/klein-tools-60163-professional-safety-glasses-full-frame-clear-lens")</f>
        <v/>
      </c>
      <c r="B896" s="2">
        <f>HYPERLINK("https://edmondsonsupply.com/products/klein-tools-60163-professional-safety-glasses-full-frame-clear-lens", "https://edmondsonsupply.com/products/klein-tools-60163-professional-safety-glasses-full-frame-clear-lens")</f>
        <v/>
      </c>
      <c r="C896" t="inlineStr">
        <is>
          <t>Klein Tools 60163 Professional Safety Glasses, Full Frame, Clear Lens</t>
        </is>
      </c>
      <c r="D896" t="inlineStr">
        <is>
          <t>Klein Tools 60539 Safety Glasses, Professional PPE Protective Eyewear, Full Frame, Scratch Resistant and Anti-Fog, Polarized Lens</t>
        </is>
      </c>
      <c r="E896" s="2">
        <f>HYPERLINK("https://www.amazon.com/Klein-Tools-60539-Professional-Protective/dp/B0BLQ6F4MQ/ref=sr_1_9?keywords=Klein+Tools+60163+Professional+Safety+Glasses%2C+Full+Frame%2C+Clear+Lens&amp;qid=1695174311&amp;sr=8-9", "https://www.amazon.com/Klein-Tools-60539-Professional-Protective/dp/B0BLQ6F4MQ/ref=sr_1_9?keywords=Klein+Tools+60163+Professional+Safety+Glasses%2C+Full+Frame%2C+Clear+Lens&amp;qid=1695174311&amp;sr=8-9")</f>
        <v/>
      </c>
      <c r="F896" t="inlineStr">
        <is>
          <t>B0BLQ6F4MQ</t>
        </is>
      </c>
      <c r="G896">
        <f>_xludf.IMAGE("https://edmondsonsupply.com/cdn/shop/products/60163.jpg?v=1633030848")</f>
        <v/>
      </c>
      <c r="H896">
        <f>_xludf.IMAGE("https://m.media-amazon.com/images/I/41z93jotzdL._AC_UL320_.jpg")</f>
        <v/>
      </c>
      <c r="I896" t="inlineStr">
        <is>
          <t>14.99</t>
        </is>
      </c>
      <c r="J896" t="n">
        <v>29.99</v>
      </c>
      <c r="K896" s="3" t="inlineStr">
        <is>
          <t>100.07%</t>
        </is>
      </c>
      <c r="L896" t="n">
        <v>4.4</v>
      </c>
      <c r="M896" t="n">
        <v>11</v>
      </c>
      <c r="O896" t="inlineStr">
        <is>
          <t>InStock</t>
        </is>
      </c>
      <c r="P896" t="inlineStr">
        <is>
          <t>20.98</t>
        </is>
      </c>
      <c r="Q896" t="inlineStr">
        <is>
          <t>6094353039533</t>
        </is>
      </c>
    </row>
    <row r="897">
      <c r="A897" s="2">
        <f>HYPERLINK("https://edmondsonsupply.com/collections/electricians-tools/products/klein-tools-60164-professional-safety-glasses-full-frame-gray-lens", "https://edmondsonsupply.com/collections/electricians-tools/products/klein-tools-60164-professional-safety-glasses-full-frame-gray-lens")</f>
        <v/>
      </c>
      <c r="B897" s="2">
        <f>HYPERLINK("https://edmondsonsupply.com/products/klein-tools-60164-professional-safety-glasses-full-frame-gray-lens", "https://edmondsonsupply.com/products/klein-tools-60164-professional-safety-glasses-full-frame-gray-lens")</f>
        <v/>
      </c>
      <c r="C897" t="inlineStr">
        <is>
          <t>Klein Tools 60164 Professional Safety Glasses, Full Frame, Gray Lens</t>
        </is>
      </c>
      <c r="D897" t="inlineStr">
        <is>
          <t>Klein Tools 60539 Safety Glasses, Professional PPE Protective Eyewear, Full Frame, Scratch Resistant and Anti-Fog, Polarized Lens</t>
        </is>
      </c>
      <c r="E897" s="2">
        <f>HYPERLINK("https://www.amazon.com/Klein-Tools-60539-Professional-Protective/dp/B0BLQ6F4MQ/ref=sr_1_7?keywords=Klein+Tools+60164+Professional+Safety+Glasses%2C+Full+Frame%2C+Gray+Lens&amp;qid=1695173933&amp;sr=8-7", "https://www.amazon.com/Klein-Tools-60539-Professional-Protective/dp/B0BLQ6F4MQ/ref=sr_1_7?keywords=Klein+Tools+60164+Professional+Safety+Glasses%2C+Full+Frame%2C+Gray+Lens&amp;qid=1695173933&amp;sr=8-7")</f>
        <v/>
      </c>
      <c r="F897" t="inlineStr">
        <is>
          <t>B0BLQ6F4MQ</t>
        </is>
      </c>
      <c r="G897">
        <f>_xludf.IMAGE("https://edmondsonsupply.com/cdn/shop/products/60164.jpg?v=1633030851")</f>
        <v/>
      </c>
      <c r="H897">
        <f>_xludf.IMAGE("https://m.media-amazon.com/images/I/41z93jotzdL._AC_UL320_.jpg")</f>
        <v/>
      </c>
      <c r="I897" t="inlineStr">
        <is>
          <t>14.99</t>
        </is>
      </c>
      <c r="J897" t="n">
        <v>29.99</v>
      </c>
      <c r="K897" s="3" t="inlineStr">
        <is>
          <t>100.07%</t>
        </is>
      </c>
      <c r="L897" t="n">
        <v>4.4</v>
      </c>
      <c r="M897" t="n">
        <v>11</v>
      </c>
      <c r="O897" t="inlineStr">
        <is>
          <t>InStock</t>
        </is>
      </c>
      <c r="P897" t="inlineStr">
        <is>
          <t>20.98</t>
        </is>
      </c>
      <c r="Q897" t="inlineStr">
        <is>
          <t>6103189520557</t>
        </is>
      </c>
    </row>
    <row r="898">
      <c r="A898" s="2">
        <f>HYPERLINK("https://edmondsonsupply.com/collections/electricians-tools/products/klein-tools-60614-lightweight-knee-pad-sleeves-s-m", "https://edmondsonsupply.com/collections/electricians-tools/products/klein-tools-60614-lightweight-knee-pad-sleeves-s-m")</f>
        <v/>
      </c>
      <c r="B898" s="2">
        <f>HYPERLINK("https://edmondsonsupply.com/products/klein-tools-60614-lightweight-knee-pad-sleeves-s-m", "https://edmondsonsupply.com/products/klein-tools-60614-lightweight-knee-pad-sleeves-s-m")</f>
        <v/>
      </c>
      <c r="C898" t="inlineStr">
        <is>
          <t>Klein Tools 60614 Lightweight Knee Pad Sleeves, S/M</t>
        </is>
      </c>
      <c r="D898" t="inlineStr">
        <is>
          <t>Klein Tools 60615 Knee Pad, Heavy Duty Padded Knee Sleeves, Breathable Mesh Back, Elastic Cuff with Slip-Resistant Silicone, S/M, Black</t>
        </is>
      </c>
      <c r="E898" s="2">
        <f>HYPERLINK("https://www.amazon.com/Klein-Tools-60615-Breathable-Slip-Resistant/dp/B0BWB8VW7J/ref=sr_1_2?keywords=Klein+Tools+60614+Lightweight+Knee+Pad+Sleeves%2C+S%2FM&amp;qid=1695174023&amp;sr=8-2", "https://www.amazon.com/Klein-Tools-60615-Breathable-Slip-Resistant/dp/B0BWB8VW7J/ref=sr_1_2?keywords=Klein+Tools+60614+Lightweight+Knee+Pad+Sleeves%2C+S%2FM&amp;qid=1695174023&amp;sr=8-2")</f>
        <v/>
      </c>
      <c r="F898" t="inlineStr">
        <is>
          <t>B0BWB8VW7J</t>
        </is>
      </c>
      <c r="G898">
        <f>_xludf.IMAGE("https://edmondsonsupply.com/cdn/shop/products/60492_60592_photo_4859ff57-33ad-45f9-87df-8dc6b9372281.jpg?v=1681742927")</f>
        <v/>
      </c>
      <c r="H898">
        <f>_xludf.IMAGE("https://m.media-amazon.com/images/I/61FKkSJ3xeL._AC_UL320_.jpg")</f>
        <v/>
      </c>
      <c r="I898" t="inlineStr">
        <is>
          <t>19.99</t>
        </is>
      </c>
      <c r="J898" t="n">
        <v>39.99</v>
      </c>
      <c r="K898" s="3" t="inlineStr">
        <is>
          <t>100.05%</t>
        </is>
      </c>
      <c r="L898" t="n">
        <v>4</v>
      </c>
      <c r="M898" t="n">
        <v>18</v>
      </c>
      <c r="O898" t="inlineStr">
        <is>
          <t>InStock</t>
        </is>
      </c>
      <c r="P898" t="inlineStr">
        <is>
          <t>27.98</t>
        </is>
      </c>
      <c r="Q898" t="inlineStr">
        <is>
          <t>7980637356248</t>
        </is>
      </c>
    </row>
    <row r="899">
      <c r="A899" s="2">
        <f>HYPERLINK("https://edmondsonsupply.com/collections/electricians-tools/products/klein-tools-d507-8-adjustable-wrench-extra-capacity-8-inch", "https://edmondsonsupply.com/collections/electricians-tools/products/klein-tools-d507-8-adjustable-wrench-extra-capacity-8-inch")</f>
        <v/>
      </c>
      <c r="B899" s="2">
        <f>HYPERLINK("https://edmondsonsupply.com/products/klein-tools-d507-8-adjustable-wrench-extra-capacity-8-inch", "https://edmondsonsupply.com/products/klein-tools-d507-8-adjustable-wrench-extra-capacity-8-inch")</f>
        <v/>
      </c>
      <c r="C899" t="inlineStr">
        <is>
          <t>Klein Tools D507-8 Adjustable Wrench, Extra Capacity 8-Inch</t>
        </is>
      </c>
      <c r="D899" t="inlineStr">
        <is>
          <t>Klein Tools S18HB Strap Wrench, Adjustable Grip-It Strap Wrench Adjusts 1-1/8 to 8-Inch, 18-Inch Handle</t>
        </is>
      </c>
      <c r="E899" s="2">
        <f>HYPERLINK("https://www.amazon.com/Klein-Tools-S18HB-Adjustable-Adjusts/dp/B0BN4LGV19/ref=sr_1_7?keywords=Klein+Tools+D507-8+Adjustable+Wrench%2C+Extra+Capacity+8-Inch&amp;qid=1695173949&amp;sr=8-7", "https://www.amazon.com/Klein-Tools-S18HB-Adjustable-Adjusts/dp/B0BN4LGV19/ref=sr_1_7?keywords=Klein+Tools+D507-8+Adjustable+Wrench%2C+Extra+Capacity+8-Inch&amp;qid=1695173949&amp;sr=8-7")</f>
        <v/>
      </c>
      <c r="F899" t="inlineStr">
        <is>
          <t>B0BN4LGV19</t>
        </is>
      </c>
      <c r="G899">
        <f>_xludf.IMAGE("https://edmondsonsupply.com/cdn/shop/products/d5078_b.jpg?v=1666010497")</f>
        <v/>
      </c>
      <c r="H899">
        <f>_xludf.IMAGE("https://m.media-amazon.com/images/I/51WZHZOQNPL._AC_UL320_.jpg")</f>
        <v/>
      </c>
      <c r="I899" t="inlineStr">
        <is>
          <t>29.99</t>
        </is>
      </c>
      <c r="J899" t="n">
        <v>59.99</v>
      </c>
      <c r="K899" s="3" t="inlineStr">
        <is>
          <t>100.03%</t>
        </is>
      </c>
      <c r="L899" t="n">
        <v>4.2</v>
      </c>
      <c r="M899" t="n">
        <v>9</v>
      </c>
      <c r="O899" t="inlineStr">
        <is>
          <t>InStock</t>
        </is>
      </c>
      <c r="P899" t="inlineStr">
        <is>
          <t>45.44</t>
        </is>
      </c>
      <c r="Q899" t="inlineStr">
        <is>
          <t>4353085014116</t>
        </is>
      </c>
    </row>
    <row r="900">
      <c r="A900" s="2">
        <f>HYPERLINK("https://edmondsonsupply.com/collections/electricians-tools/products/klein-tools-60345-hard-hat-earmuffs-full-brim-style", "https://edmondsonsupply.com/collections/electricians-tools/products/klein-tools-60345-hard-hat-earmuffs-full-brim-style")</f>
        <v/>
      </c>
      <c r="B900" s="2">
        <f>HYPERLINK("https://edmondsonsupply.com/products/klein-tools-60345-hard-hat-earmuffs-full-brim-style", "https://edmondsonsupply.com/products/klein-tools-60345-hard-hat-earmuffs-full-brim-style")</f>
        <v/>
      </c>
      <c r="C900" t="inlineStr">
        <is>
          <t>Klein Tools 60502 Hard Hat Earmuffs, Full Brim Style</t>
        </is>
      </c>
      <c r="D900" t="inlineStr">
        <is>
          <t>Klein Tools 60407RL Hard Hat, Rechargeable Headlamp, Vented, Full Brim Style, Padded Self-Wicking Odor-Resistant Sweatband, White, Large</t>
        </is>
      </c>
      <c r="E900" s="2">
        <f>HYPERLINK("https://www.amazon.com/Klein-Tools-60407RL-Rechargeable-Odor-Resistant/dp/B08DDTV9M3/ref=sr_1_7?keywords=Klein+Tools+60502+Hard+Hat+Earmuffs%2C+Full+Brim+Style&amp;qid=1695174082&amp;sr=8-7", "https://www.amazon.com/Klein-Tools-60407RL-Rechargeable-Odor-Resistant/dp/B08DDTV9M3/ref=sr_1_7?keywords=Klein+Tools+60502+Hard+Hat+Earmuffs%2C+Full+Brim+Style&amp;qid=1695174082&amp;sr=8-7")</f>
        <v/>
      </c>
      <c r="F900" t="inlineStr">
        <is>
          <t>B08DDTV9M3</t>
        </is>
      </c>
      <c r="G900">
        <f>_xludf.IMAGE("https://edmondsonsupply.com/cdn/shop/products/60502.jpg?v=1674486730")</f>
        <v/>
      </c>
      <c r="H900">
        <f>_xludf.IMAGE("https://m.media-amazon.com/images/I/61w2MM+yDgL._AC_UL320_.jpg")</f>
        <v/>
      </c>
      <c r="I900" t="inlineStr">
        <is>
          <t>29.99</t>
        </is>
      </c>
      <c r="J900" t="n">
        <v>59.99</v>
      </c>
      <c r="K900" s="3" t="inlineStr">
        <is>
          <t>100.03%</t>
        </is>
      </c>
      <c r="L900" t="n">
        <v>4.7</v>
      </c>
      <c r="M900" t="n">
        <v>1577</v>
      </c>
      <c r="O900" t="inlineStr">
        <is>
          <t>InStock</t>
        </is>
      </c>
      <c r="P900" t="inlineStr">
        <is>
          <t>41.98</t>
        </is>
      </c>
      <c r="Q900" t="inlineStr">
        <is>
          <t>7931874869464</t>
        </is>
      </c>
    </row>
    <row r="901">
      <c r="A901" s="2">
        <f>HYPERLINK("https://edmondsonsupply.com/collections/electricians-tools/products/klein-tools-32717-all-in-1-precision-screwdriver-set-with-case", "https://edmondsonsupply.com/collections/electricians-tools/products/klein-tools-32717-all-in-1-precision-screwdriver-set-with-case")</f>
        <v/>
      </c>
      <c r="B901" s="2">
        <f>HYPERLINK("https://edmondsonsupply.com/products/klein-tools-32717-all-in-1-precision-screwdriver-set-with-case", "https://edmondsonsupply.com/products/klein-tools-32717-all-in-1-precision-screwdriver-set-with-case")</f>
        <v/>
      </c>
      <c r="C901" t="inlineStr">
        <is>
          <t>Klein Tools 32717 All-in-1 Precision Screwdriver Set with Case</t>
        </is>
      </c>
      <c r="D901" t="inlineStr">
        <is>
          <t>Klein Tools 32510 Magnetic Multibit Screwdriver &amp; 32717 Precision Screwdriver Set with Case, All-in-One Multi-Function Repair Tool Kit Includes 39 Bits for Apple Products</t>
        </is>
      </c>
      <c r="E901" s="2">
        <f>HYPERLINK("https://www.amazon.com/Klein-Tools-Screwdriver-Precision-Multi-Function/dp/B0BGPXB5KD/ref=sr_1_2?keywords=Klein+Tools+32717+All-in-1+Precision+Screwdriver+Set+with+Case&amp;qid=1695174242&amp;sr=8-2", "https://www.amazon.com/Klein-Tools-Screwdriver-Precision-Multi-Function/dp/B0BGPXB5KD/ref=sr_1_2?keywords=Klein+Tools+32717+All-in-1+Precision+Screwdriver+Set+with+Case&amp;qid=1695174242&amp;sr=8-2")</f>
        <v/>
      </c>
      <c r="F901" t="inlineStr">
        <is>
          <t>B0BGPXB5KD</t>
        </is>
      </c>
      <c r="G901">
        <f>_xludf.IMAGE("https://edmondsonsupply.com/cdn/shop/products/32717.jpg?v=1633031161")</f>
        <v/>
      </c>
      <c r="H901">
        <f>_xludf.IMAGE("https://m.media-amazon.com/images/I/51iOtnRuEmL._AC_UL320_.jpg")</f>
        <v/>
      </c>
      <c r="I901" t="inlineStr">
        <is>
          <t>29.97</t>
        </is>
      </c>
      <c r="J901" t="n">
        <v>59.94</v>
      </c>
      <c r="K901" s="3" t="inlineStr">
        <is>
          <t>100.00%</t>
        </is>
      </c>
      <c r="L901" t="n">
        <v>3.9</v>
      </c>
      <c r="M901" t="n">
        <v>4</v>
      </c>
      <c r="O901" t="inlineStr">
        <is>
          <t>InStock</t>
        </is>
      </c>
      <c r="P901" t="inlineStr">
        <is>
          <t>41.98</t>
        </is>
      </c>
      <c r="Q901" t="inlineStr">
        <is>
          <t>6897560453293</t>
        </is>
      </c>
    </row>
    <row r="902">
      <c r="A902" s="2">
        <f>HYPERLINK("https://edmondsonsupply.com/collections/electricians-tools/products/klein-tools-33736ins", "https://edmondsonsupply.com/collections/electricians-tools/products/klein-tools-33736ins")</f>
        <v/>
      </c>
      <c r="B902" s="2">
        <f>HYPERLINK("https://edmondsonsupply.com/products/klein-tools-33736ins", "https://edmondsonsupply.com/products/klein-tools-33736ins")</f>
        <v/>
      </c>
      <c r="C902" t="inlineStr">
        <is>
          <t>Klein Tools 33736INS Screwdriver Set, 1000V Slim-Tip Insulated and Magnetizer, 6-Piece</t>
        </is>
      </c>
      <c r="D902" t="inlineStr">
        <is>
          <t>Klein Tools 33736INS Klein Tools 33736INS Insulated Screwdriver Set, 6-Piece &amp; 32288 Insulated Screwdriver, 8-in-1 Screwdriver Set with Interchangeable Blades, 3 Phillips, 3 Slotted and 2 Square Tips</t>
        </is>
      </c>
      <c r="E902" s="2">
        <f>HYPERLINK("https://www.amazon.com/Klein-Tools-Insulated-Screwdriver-Interchangeable/dp/B0BFXQ67BR/ref=sr_1_4?keywords=Klein+Tools+33736INS+Screwdriver+Set%2C+1000V+Slim-Tip+Insulated+and+Magnetizer%2C+6-Piece&amp;qid=1695173911&amp;sr=8-4", "https://www.amazon.com/Klein-Tools-Insulated-Screwdriver-Interchangeable/dp/B0BFXQ67BR/ref=sr_1_4?keywords=Klein+Tools+33736INS+Screwdriver+Set%2C+1000V+Slim-Tip+Insulated+and+Magnetizer%2C+6-Piece&amp;qid=1695173911&amp;sr=8-4")</f>
        <v/>
      </c>
      <c r="F902" t="inlineStr">
        <is>
          <t>B0BFXQ67BR</t>
        </is>
      </c>
      <c r="G902">
        <f>_xludf.IMAGE("https://edmondsonsupply.com/cdn/shop/products/33736ins.jpg?v=1664807705")</f>
        <v/>
      </c>
      <c r="H902">
        <f>_xludf.IMAGE("https://m.media-amazon.com/images/I/51RxT3qQViL._AC_UL320_.jpg")</f>
        <v/>
      </c>
      <c r="I902" t="inlineStr">
        <is>
          <t>49.99</t>
        </is>
      </c>
      <c r="J902" t="n">
        <v>99.98</v>
      </c>
      <c r="K902" s="3" t="inlineStr">
        <is>
          <t>100.00%</t>
        </is>
      </c>
      <c r="L902" t="n">
        <v>5</v>
      </c>
      <c r="M902" t="n">
        <v>1</v>
      </c>
      <c r="O902" t="inlineStr">
        <is>
          <t>InStock</t>
        </is>
      </c>
      <c r="P902" t="inlineStr">
        <is>
          <t>73.98</t>
        </is>
      </c>
      <c r="Q902" t="inlineStr">
        <is>
          <t>7837641375960</t>
        </is>
      </c>
    </row>
    <row r="903">
      <c r="A903" s="2">
        <f>HYPERLINK("https://edmondsonsupply.com/collections/electricians-tools/products/klein-tools-94130-1000v-insulated-tool-kit-5-piece", "https://edmondsonsupply.com/collections/electricians-tools/products/klein-tools-94130-1000v-insulated-tool-kit-5-piece")</f>
        <v/>
      </c>
      <c r="B903" s="2">
        <f>HYPERLINK("https://edmondsonsupply.com/products/klein-tools-94130-1000v-insulated-tool-kit-5-piece", "https://edmondsonsupply.com/products/klein-tools-94130-1000v-insulated-tool-kit-5-piece")</f>
        <v/>
      </c>
      <c r="C903" t="inlineStr">
        <is>
          <t>Klein Tools 94130 1000V Insulated Tool Kit, 5-Piece</t>
        </is>
      </c>
      <c r="D903" t="inlineStr">
        <is>
          <t>Klein Tools 80021 Tool Set, Screwdriver and Nut Driver Tool Kit, 16-Piece &amp; 94130 1000V Insulated Screwdriver Tool Set with #2 Phillips and 1/4-Inch Cabinet Slim Tips, 2 Pliers and Wire Stripper</t>
        </is>
      </c>
      <c r="E903" s="2">
        <f>HYPERLINK("https://www.amazon.com/Klein-Tools-Screwdriver-16-Piece-Insulated/dp/B0BD4188RR/ref=sr_1_5?keywords=Klein+Tools+94130+1000V+Insulated+Tool+Kit%2C+5-Piece&amp;qid=1695173888&amp;sr=8-5", "https://www.amazon.com/Klein-Tools-Screwdriver-16-Piece-Insulated/dp/B0BD4188RR/ref=sr_1_5?keywords=Klein+Tools+94130+1000V+Insulated+Tool+Kit%2C+5-Piece&amp;qid=1695173888&amp;sr=8-5")</f>
        <v/>
      </c>
      <c r="F903" t="inlineStr">
        <is>
          <t>B0BD4188RR</t>
        </is>
      </c>
      <c r="G903">
        <f>_xludf.IMAGE("https://edmondsonsupply.com/cdn/shop/products/94130.jpg?v=1633030386")</f>
        <v/>
      </c>
      <c r="H903">
        <f>_xludf.IMAGE("https://m.media-amazon.com/images/I/51KtSSZfJ+L._AC_UL320_.jpg")</f>
        <v/>
      </c>
      <c r="I903" t="inlineStr">
        <is>
          <t>99.99</t>
        </is>
      </c>
      <c r="J903" t="n">
        <v>199.98</v>
      </c>
      <c r="K903" s="3" t="inlineStr">
        <is>
          <t>100.00%</t>
        </is>
      </c>
      <c r="L903" t="n">
        <v>5</v>
      </c>
      <c r="M903" t="n">
        <v>1</v>
      </c>
      <c r="O903" t="inlineStr">
        <is>
          <t>InStock</t>
        </is>
      </c>
      <c r="P903" t="inlineStr">
        <is>
          <t>149.98</t>
        </is>
      </c>
      <c r="Q903" t="inlineStr">
        <is>
          <t>5299145146536</t>
        </is>
      </c>
    </row>
    <row r="904">
      <c r="A904" s="2">
        <f>HYPERLINK("https://edmondsonsupply.com/collections/electricians-tools/products/channellock-432", "https://edmondsonsupply.com/collections/electricians-tools/products/channellock-432")</f>
        <v/>
      </c>
      <c r="B904" s="2">
        <f>HYPERLINK("https://edmondsonsupply.com/products/channellock-432", "https://edmondsonsupply.com/products/channellock-432")</f>
        <v/>
      </c>
      <c r="C904" t="inlineStr">
        <is>
          <t>Channellock 440 12" Straight Jaw Tongue &amp; Groove Pliers</t>
        </is>
      </c>
      <c r="D904" t="inlineStr">
        <is>
          <t>Channellock 440 Tongue and Groove Pliers | 12-Inch Straight Jaw Groove Joint Plier with Comfort Grips| Made in USA, Black, Blue, Silver &amp; 442 Tongue and Groove Pliers, 12 In, Black, Blue, Silver</t>
        </is>
      </c>
      <c r="E904" s="2">
        <f>HYPERLINK("https://www.amazon.com/Channellock-Tongue-12-Inch-Straight-Comfort/dp/B0BFXP68V9/ref=sr_1_5?keywords=Channellock+440+12%22+Straight+Jaw+Tongue+%26+Groove+Pliers&amp;qid=1695173955&amp;sr=8-5", "https://www.amazon.com/Channellock-Tongue-12-Inch-Straight-Comfort/dp/B0BFXP68V9/ref=sr_1_5?keywords=Channellock+440+12%22+Straight+Jaw+Tongue+%26+Groove+Pliers&amp;qid=1695173955&amp;sr=8-5")</f>
        <v/>
      </c>
      <c r="F904" t="inlineStr">
        <is>
          <t>B0BFXP68V9</t>
        </is>
      </c>
      <c r="G904">
        <f>_xludf.IMAGE("https://edmondsonsupply.com/cdn/shop/products/440-546x1024.jpg?v=1587148892")</f>
        <v/>
      </c>
      <c r="H904">
        <f>_xludf.IMAGE("https://m.media-amazon.com/images/I/41d-z+Tl0SL._AC_UL320_.jpg")</f>
        <v/>
      </c>
      <c r="I904" t="inlineStr">
        <is>
          <t>21.95</t>
        </is>
      </c>
      <c r="J904" t="n">
        <v>43.9</v>
      </c>
      <c r="K904" s="3" t="inlineStr">
        <is>
          <t>100.00%</t>
        </is>
      </c>
      <c r="L904" t="n">
        <v>5</v>
      </c>
      <c r="M904" t="n">
        <v>2</v>
      </c>
      <c r="O904" t="inlineStr">
        <is>
          <t>InStock</t>
        </is>
      </c>
      <c r="P904" t="inlineStr">
        <is>
          <t>29.82</t>
        </is>
      </c>
      <c r="Q904" t="inlineStr">
        <is>
          <t>3553495908452</t>
        </is>
      </c>
    </row>
    <row r="905">
      <c r="A905" s="2">
        <f>HYPERLINK("https://edmondsonsupply.com/collections/electricians-tools/products/klein-tools-32907-7-in-1-impact-flip-socket-set-no-handle", "https://edmondsonsupply.com/collections/electricians-tools/products/klein-tools-32907-7-in-1-impact-flip-socket-set-no-handle")</f>
        <v/>
      </c>
      <c r="B905" s="2">
        <f>HYPERLINK("https://edmondsonsupply.com/products/klein-tools-32907-7-in-1-impact-flip-socket-set-no-handle", "https://edmondsonsupply.com/products/klein-tools-32907-7-in-1-impact-flip-socket-set-no-handle")</f>
        <v/>
      </c>
      <c r="C905" t="inlineStr">
        <is>
          <t>Klein Tools 32907 7-in-1 Impact Flip Socket Set, No Handle</t>
        </is>
      </c>
      <c r="D905" t="inlineStr">
        <is>
          <t>Wiha 70487 6 Piece Color Coded Magnetic Nut Setter Metric Set &amp; Impact Driver, 7-in-1 Impact Flip Socket Set, 6 Hex Driver Sizes Plus a 1/4-Inch Bit Holder Klein Tools 32907</t>
        </is>
      </c>
      <c r="E905" s="2">
        <f>HYPERLINK("https://www.amazon.com/Wiha-Magnetic-Setter-Metric-Impact/dp/B0C3BBFJC3/ref=sr_1_2?keywords=Klein+Tools+32907+7-in-1+Impact+Flip+Socket+Set%2C+No+Handle&amp;qid=1695173886&amp;sr=8-2", "https://www.amazon.com/Wiha-Magnetic-Setter-Metric-Impact/dp/B0C3BBFJC3/ref=sr_1_2?keywords=Klein+Tools+32907+7-in-1+Impact+Flip+Socket+Set%2C+No+Handle&amp;qid=1695173886&amp;sr=8-2")</f>
        <v/>
      </c>
      <c r="F905" t="inlineStr">
        <is>
          <t>B0C3BBFJC3</t>
        </is>
      </c>
      <c r="G905">
        <f>_xludf.IMAGE("https://edmondsonsupply.com/cdn/shop/products/32907_b.jpg?v=1666025282")</f>
        <v/>
      </c>
      <c r="H905">
        <f>_xludf.IMAGE("https://m.media-amazon.com/images/I/41L9R5NZDWL._AC_UL320_.jpg")</f>
        <v/>
      </c>
      <c r="I905" t="inlineStr">
        <is>
          <t>19.99</t>
        </is>
      </c>
      <c r="J905" t="n">
        <v>39.98</v>
      </c>
      <c r="K905" s="3" t="inlineStr">
        <is>
          <t>100.00%</t>
        </is>
      </c>
      <c r="L905" t="n">
        <v>4.6</v>
      </c>
      <c r="M905" t="n">
        <v>143</v>
      </c>
      <c r="O905" t="inlineStr">
        <is>
          <t>InStock</t>
        </is>
      </c>
      <c r="P905" t="inlineStr">
        <is>
          <t>29.18</t>
        </is>
      </c>
      <c r="Q905" t="inlineStr">
        <is>
          <t>7856653009112</t>
        </is>
      </c>
    </row>
    <row r="906">
      <c r="A906" s="2">
        <f>HYPERLINK("https://edmondsonsupply.com/collections/electricians-tools/products/klein-tools-56221-led-clip-light", "https://edmondsonsupply.com/collections/electricians-tools/products/klein-tools-56221-led-clip-light")</f>
        <v/>
      </c>
      <c r="B906" s="2">
        <f>HYPERLINK("https://edmondsonsupply.com/products/klein-tools-56221-led-clip-light", "https://edmondsonsupply.com/products/klein-tools-56221-led-clip-light")</f>
        <v/>
      </c>
      <c r="C906" t="inlineStr">
        <is>
          <t>Klein Tools 56221 LED Clip Light</t>
        </is>
      </c>
      <c r="D906" t="inlineStr">
        <is>
          <t>Klein Tools 56412 Rechargeable LED Flashlight with Worklight, 500 Lumens, USB Charging Cable, Pocket Clip, Battery Life Indicator, Magnetic</t>
        </is>
      </c>
      <c r="E906" s="2">
        <f>HYPERLINK("https://www.amazon.com/Rechargeable-Flashlight-Worklight-Klein-Tools/dp/B0947YMH51/ref=sr_1_7?keywords=Klein+Tools+56221+LED+Clip+Light&amp;qid=1695174297&amp;sr=8-7", "https://www.amazon.com/Rechargeable-Flashlight-Worklight-Klein-Tools/dp/B0947YMH51/ref=sr_1_7?keywords=Klein+Tools+56221+LED+Clip+Light&amp;qid=1695174297&amp;sr=8-7")</f>
        <v/>
      </c>
      <c r="F906" t="inlineStr">
        <is>
          <t>B0947YMH51</t>
        </is>
      </c>
      <c r="G906">
        <f>_xludf.IMAGE("https://edmondsonsupply.com/cdn/shop/products/56221.jpg?v=1633030868")</f>
        <v/>
      </c>
      <c r="H906">
        <f>_xludf.IMAGE("https://m.media-amazon.com/images/I/51Of8ojN4aS._AC_UL320_.jpg")</f>
        <v/>
      </c>
      <c r="I906" t="inlineStr">
        <is>
          <t>19.99</t>
        </is>
      </c>
      <c r="J906" t="n">
        <v>39.97</v>
      </c>
      <c r="K906" s="3" t="inlineStr">
        <is>
          <t>99.95%</t>
        </is>
      </c>
      <c r="L906" t="n">
        <v>4.6</v>
      </c>
      <c r="M906" t="n">
        <v>424</v>
      </c>
      <c r="O906" t="inlineStr">
        <is>
          <t>InStock</t>
        </is>
      </c>
      <c r="P906" t="inlineStr">
        <is>
          <t>29.96</t>
        </is>
      </c>
      <c r="Q906" t="inlineStr">
        <is>
          <t>6135824285869</t>
        </is>
      </c>
    </row>
    <row r="907">
      <c r="A907" s="2">
        <f>HYPERLINK("https://edmondsonsupply.com/collections/electricians-tools/products/klein-tools-ncvt1xt-non-contact-voltage-tester-70-to-1000v-ac", "https://edmondsonsupply.com/collections/electricians-tools/products/klein-tools-ncvt1xt-non-contact-voltage-tester-70-to-1000v-ac")</f>
        <v/>
      </c>
      <c r="B907" s="2">
        <f>HYPERLINK("https://edmondsonsupply.com/products/klein-tools-ncvt1xt-non-contact-voltage-tester-70-to-1000v-ac", "https://edmondsonsupply.com/products/klein-tools-ncvt1xt-non-contact-voltage-tester-70-to-1000v-ac")</f>
        <v/>
      </c>
      <c r="C907" t="inlineStr">
        <is>
          <t>Klein Tools NCVT1XT Non-Contact Voltage Tester, 70 to 1000V AC</t>
        </is>
      </c>
      <c r="D907" t="inlineStr">
        <is>
          <t>Klein Tools NCVT-3 Voltage Tester, Non-Contact Dual Range Voltage Tester Pen for AC Testing with Integrated Flashlight</t>
        </is>
      </c>
      <c r="E907" s="2">
        <f>HYPERLINK("https://www.amazon.com/Non-Contact-Voltage-Flashlight-Klein-Tools/dp/B00XJQ9ZE4/ref=sr_1_10?keywords=Klein+Tools+NCVT1XT+Non-Contact+Voltage+Tester%2C+70+to+1000V+AC&amp;qid=1695174075&amp;sr=8-10", "https://www.amazon.com/Non-Contact-Voltage-Flashlight-Klein-Tools/dp/B00XJQ9ZE4/ref=sr_1_10?keywords=Klein+Tools+NCVT1XT+Non-Contact+Voltage+Tester%2C+70+to+1000V+AC&amp;qid=1695174075&amp;sr=8-10")</f>
        <v/>
      </c>
      <c r="F907" t="inlineStr">
        <is>
          <t>B00XJQ9ZE4</t>
        </is>
      </c>
      <c r="G907">
        <f>_xludf.IMAGE("https://edmondsonsupply.com/cdn/shop/products/ncvt1xt.jpg?v=1674496568")</f>
        <v/>
      </c>
      <c r="H907">
        <f>_xludf.IMAGE("https://m.media-amazon.com/images/I/51dcyyMwUjL._AC_UL320_.jpg")</f>
        <v/>
      </c>
      <c r="I907" t="inlineStr">
        <is>
          <t>19.97</t>
        </is>
      </c>
      <c r="J907" t="n">
        <v>39.89</v>
      </c>
      <c r="K907" s="3" t="inlineStr">
        <is>
          <t>99.75%</t>
        </is>
      </c>
      <c r="L907" t="n">
        <v>4.5</v>
      </c>
      <c r="M907" t="n">
        <v>1685</v>
      </c>
      <c r="O907" t="inlineStr">
        <is>
          <t>InStock</t>
        </is>
      </c>
      <c r="P907" t="inlineStr">
        <is>
          <t>26.32</t>
        </is>
      </c>
      <c r="Q907" t="inlineStr">
        <is>
          <t>7931947155672</t>
        </is>
      </c>
    </row>
    <row r="908">
      <c r="A908" s="2">
        <f>HYPERLINK("https://edmondsonsupply.com/collections/electricians-tools/products/klein-tools-50900r-locknut-wrench-set", "https://edmondsonsupply.com/collections/electricians-tools/products/klein-tools-50900r-locknut-wrench-set")</f>
        <v/>
      </c>
      <c r="B908" s="2">
        <f>HYPERLINK("https://edmondsonsupply.com/products/klein-tools-50900r-locknut-wrench-set", "https://edmondsonsupply.com/products/klein-tools-50900r-locknut-wrench-set")</f>
        <v/>
      </c>
      <c r="C908" t="inlineStr">
        <is>
          <t>Klein Tools 50900R Locknut Wrench Set</t>
        </is>
      </c>
      <c r="D908" t="inlineStr">
        <is>
          <t>Klein Tools 32581INS Precision Screwdriver, 2-in-1 Insulated Screwdriver &amp; 50900R Conduit Lockout Wrench Set, Tighten and Loosen Locknuts in Tight Spaces, 1/2, 3/4 and 1-Inch, 3-Piece</t>
        </is>
      </c>
      <c r="E908" s="2">
        <f>HYPERLINK("https://www.amazon.com/Klein-Tools-Precision-Screwdriver-Insulated/dp/B0CGZJYYV9/ref=sr_1_2?keywords=Klein+Tools+50900R+Locknut+Wrench+Set&amp;qid=1695174005&amp;sr=8-2", "https://www.amazon.com/Klein-Tools-Precision-Screwdriver-Insulated/dp/B0CGZJYYV9/ref=sr_1_2?keywords=Klein+Tools+50900R+Locknut+Wrench+Set&amp;qid=1695174005&amp;sr=8-2")</f>
        <v/>
      </c>
      <c r="F908" t="inlineStr">
        <is>
          <t>B0CGZJYYV9</t>
        </is>
      </c>
      <c r="G908">
        <f>_xludf.IMAGE("https://edmondsonsupply.com/cdn/shop/files/50900r.jpg?v=1689789107")</f>
        <v/>
      </c>
      <c r="H908">
        <f>_xludf.IMAGE("https://m.media-amazon.com/images/I/41gr5JfVk8L._AC_UL320_.jpg")</f>
        <v/>
      </c>
      <c r="I908" t="inlineStr">
        <is>
          <t>14.99</t>
        </is>
      </c>
      <c r="J908" t="n">
        <v>29.94</v>
      </c>
      <c r="K908" s="3" t="inlineStr">
        <is>
          <t>99.73%</t>
        </is>
      </c>
      <c r="L908" t="n">
        <v>4.7</v>
      </c>
      <c r="M908" t="n">
        <v>90</v>
      </c>
      <c r="O908" t="inlineStr">
        <is>
          <t>InStock</t>
        </is>
      </c>
      <c r="P908" t="inlineStr">
        <is>
          <t>22.46</t>
        </is>
      </c>
      <c r="Q908" t="inlineStr">
        <is>
          <t>8018543968472</t>
        </is>
      </c>
    </row>
    <row r="909">
      <c r="A909" s="2">
        <f>HYPERLINK("https://edmondsonsupply.com/collections/electricians-tools/products/klein-tools-3005cr-ratcheting-crimper-10-22-awg", "https://edmondsonsupply.com/collections/electricians-tools/products/klein-tools-3005cr-ratcheting-crimper-10-22-awg")</f>
        <v/>
      </c>
      <c r="B909" s="2">
        <f>HYPERLINK("https://edmondsonsupply.com/products/klein-tools-3005cr-ratcheting-crimper-10-22-awg", "https://edmondsonsupply.com/products/klein-tools-3005cr-ratcheting-crimper-10-22-awg")</f>
        <v/>
      </c>
      <c r="C909" t="inlineStr">
        <is>
          <t>Klein Tools 3005CR Ratcheting Crimper, 10-22 AWG - Insulated Terminals</t>
        </is>
      </c>
      <c r="D909" t="inlineStr">
        <is>
          <t>Klein Tools 3005CR Wire Crimper Tool &amp; 1005 Cutting/Crimping Tool for 10-22 AWG Terminals and Connectors, Terminal Crimper for Insulated and Non-Insulated Terminals</t>
        </is>
      </c>
      <c r="E909" s="2">
        <f>HYPERLINK("https://www.amazon.com/Klein-Tools-Terminals-Connectors-Non-Insulated/dp/B09T6YD8X4/ref=sr_1_3?keywords=Klein+Tools+3005CR+Ratcheting+Crimper%2C+10-22+AWG+-+Insulated+Terminals&amp;qid=1695173864&amp;sr=8-3", "https://www.amazon.com/Klein-Tools-Terminals-Connectors-Non-Insulated/dp/B09T6YD8X4/ref=sr_1_3?keywords=Klein+Tools+3005CR+Ratcheting+Crimper%2C+10-22+AWG+-+Insulated+Terminals&amp;qid=1695173864&amp;sr=8-3")</f>
        <v/>
      </c>
      <c r="F909" t="inlineStr">
        <is>
          <t>B09T6YD8X4</t>
        </is>
      </c>
      <c r="G909">
        <f>_xludf.IMAGE("https://edmondsonsupply.com/cdn/shop/products/3005cr.jpg?v=1587146892")</f>
        <v/>
      </c>
      <c r="H909">
        <f>_xludf.IMAGE("https://m.media-amazon.com/images/I/41P2x5W+flL._AC_UL320_.jpg")</f>
        <v/>
      </c>
      <c r="I909" t="inlineStr">
        <is>
          <t>29.97</t>
        </is>
      </c>
      <c r="J909" t="n">
        <v>59.45</v>
      </c>
      <c r="K909" s="3" t="inlineStr">
        <is>
          <t>98.37%</t>
        </is>
      </c>
      <c r="L909" t="n">
        <v>5</v>
      </c>
      <c r="M909" t="n">
        <v>1</v>
      </c>
      <c r="O909" t="inlineStr">
        <is>
          <t>InStock</t>
        </is>
      </c>
      <c r="P909" t="inlineStr">
        <is>
          <t>42.9</t>
        </is>
      </c>
      <c r="Q909" t="inlineStr">
        <is>
          <t>3699388907620</t>
        </is>
      </c>
    </row>
    <row r="910">
      <c r="A910" s="2">
        <f>HYPERLINK("https://edmondsonsupply.com/collections/electricians-tools/products/klein-tools-et45-ac-dc-voltage-tester", "https://edmondsonsupply.com/collections/electricians-tools/products/klein-tools-et45-ac-dc-voltage-tester")</f>
        <v/>
      </c>
      <c r="B910" s="2">
        <f>HYPERLINK("https://edmondsonsupply.com/products/klein-tools-et45-ac-dc-voltage-tester", "https://edmondsonsupply.com/products/klein-tools-et45-ac-dc-voltage-tester")</f>
        <v/>
      </c>
      <c r="C910" t="inlineStr">
        <is>
          <t>Klein Tools ET45 AC/DC Voltage Tester</t>
        </is>
      </c>
      <c r="D910" t="inlineStr">
        <is>
          <t>Klein Tools NCVT2P Dual Range, Non-Contact Voltage Tester, 12-1000V AC, Visual and Audible Indicators, Auto Power Off, Green</t>
        </is>
      </c>
      <c r="E910" s="2">
        <f>HYPERLINK("https://www.amazon.com/Klein-Tools-NCVT2P-12-1000V-Flashing/dp/B07L5N8ZWS/ref=sr_1_8?keywords=Klein+Tools+ET45+AC%2FDC+Voltage+Tester&amp;qid=1695174290&amp;sr=8-8", "https://www.amazon.com/Klein-Tools-NCVT2P-12-1000V-Flashing/dp/B07L5N8ZWS/ref=sr_1_8?keywords=Klein+Tools+ET45+AC%2FDC+Voltage+Tester&amp;qid=1695174290&amp;sr=8-8")</f>
        <v/>
      </c>
      <c r="F910" t="inlineStr">
        <is>
          <t>B07L5N8ZWS</t>
        </is>
      </c>
      <c r="G910">
        <f>_xludf.IMAGE("https://edmondsonsupply.com/cdn/shop/products/et45.jpg?v=1647786270")</f>
        <v/>
      </c>
      <c r="H910">
        <f>_xludf.IMAGE("https://m.media-amazon.com/images/I/51GASnKpZ1L._AC_UL320_.jpg")</f>
        <v/>
      </c>
      <c r="I910" t="inlineStr">
        <is>
          <t>11.99</t>
        </is>
      </c>
      <c r="J910" t="n">
        <v>23.76</v>
      </c>
      <c r="K910" s="3" t="inlineStr">
        <is>
          <t>98.17%</t>
        </is>
      </c>
      <c r="L910" t="n">
        <v>4.7</v>
      </c>
      <c r="M910" t="n">
        <v>639</v>
      </c>
      <c r="O910" t="inlineStr">
        <is>
          <t>InStock</t>
        </is>
      </c>
      <c r="P910" t="inlineStr">
        <is>
          <t>16.72</t>
        </is>
      </c>
      <c r="Q910" t="inlineStr">
        <is>
          <t>3688633630820</t>
        </is>
      </c>
    </row>
    <row r="911">
      <c r="A911" s="2">
        <f>HYPERLINK("https://edmondsonsupply.com/collections/electricians-tools/products/klein-tools-d248-8-diagonal-cutting-pliers-angled-head-short-jaw-8-inch", "https://edmondsonsupply.com/collections/electricians-tools/products/klein-tools-d248-8-diagonal-cutting-pliers-angled-head-short-jaw-8-inch")</f>
        <v/>
      </c>
      <c r="B911" s="2">
        <f>HYPERLINK("https://edmondsonsupply.com/products/klein-tools-d248-8-diagonal-cutting-pliers-angled-head-short-jaw-8-inch", "https://edmondsonsupply.com/products/klein-tools-d248-8-diagonal-cutting-pliers-angled-head-short-jaw-8-inch")</f>
        <v/>
      </c>
      <c r="C911" t="inlineStr">
        <is>
          <t>Klein Tools D248-8 Diagonal Cutting Pliers, Angled Head, Short Jaw, 8-Inch</t>
        </is>
      </c>
      <c r="D911" t="inlineStr">
        <is>
          <t>Klein Tools D248-8 Pliers, Diagonal Cutting Multi-Purpose Pliers with Angled Head, High-Leverage Design, and Short Jaw, 8-Inch &amp; 1005 Cutting/Crimping Tool</t>
        </is>
      </c>
      <c r="E911" s="2">
        <f>HYPERLINK("https://www.amazon.com/Klein-Tools-Diagonal-Multi-Purpose-High-Leverage/dp/B0BKQCRLT1/ref=sr_1_3?keywords=Klein+Tools+D248-8+Diagonal+Cutting+Pliers%2C+Angled+Head%2C+Short+Jaw%2C+8-Inch&amp;qid=1695174274&amp;sr=8-3", "https://www.amazon.com/Klein-Tools-Diagonal-Multi-Purpose-High-Leverage/dp/B0BKQCRLT1/ref=sr_1_3?keywords=Klein+Tools+D248-8+Diagonal+Cutting+Pliers%2C+Angled+Head%2C+Short+Jaw%2C+8-Inch&amp;qid=1695174274&amp;sr=8-3")</f>
        <v/>
      </c>
      <c r="F911" t="inlineStr">
        <is>
          <t>B0BKQCRLT1</t>
        </is>
      </c>
      <c r="G911">
        <f>_xludf.IMAGE("https://edmondsonsupply.com/cdn/shop/products/d2488.jpg?v=1633030997")</f>
        <v/>
      </c>
      <c r="H911">
        <f>_xludf.IMAGE("https://m.media-amazon.com/images/I/31gN+DbPGvL._AC_UL320_.jpg")</f>
        <v/>
      </c>
      <c r="I911" t="inlineStr">
        <is>
          <t>29.97</t>
        </is>
      </c>
      <c r="J911" t="n">
        <v>59.35</v>
      </c>
      <c r="K911" s="3" t="inlineStr">
        <is>
          <t>98.03%</t>
        </is>
      </c>
      <c r="L911" t="n">
        <v>5</v>
      </c>
      <c r="M911" t="n">
        <v>1</v>
      </c>
      <c r="O911" t="inlineStr">
        <is>
          <t>InStock</t>
        </is>
      </c>
      <c r="P911" t="inlineStr">
        <is>
          <t>45.42</t>
        </is>
      </c>
      <c r="Q911" t="inlineStr">
        <is>
          <t>6680617091245</t>
        </is>
      </c>
    </row>
    <row r="912">
      <c r="A912" s="2">
        <f>HYPERLINK("https://edmondsonsupply.com/collections/electricians-tools/products/milwaukee-48-59-1812-m18%E2%84%A2-m12%E2%84%A2-multi-voltage-charger", "https://edmondsonsupply.com/collections/electricians-tools/products/milwaukee-48-59-1812-m18%E2%84%A2-m12%E2%84%A2-multi-voltage-charger")</f>
        <v/>
      </c>
      <c r="B912" s="2">
        <f>HYPERLINK("https://edmondsonsupply.com/products/milwaukee-48-59-1812-m18%e2%84%a2-m12%e2%84%a2-multi-voltage-charger", "https://edmondsonsupply.com/products/milwaukee-48-59-1812-m18%e2%84%a2-m12%e2%84%a2-multi-voltage-charger")</f>
        <v/>
      </c>
      <c r="C912" t="inlineStr">
        <is>
          <t>Milwaukee 48-59-1812 M18™ &amp; M12™ Multi-Voltage Charger</t>
        </is>
      </c>
      <c r="D912" t="inlineStr">
        <is>
          <t>Milwaukee 48-59-1850 M18 RED LITHIUM XC 5.0 Ah Batteries (2) + 48-59-1812 M12 and M18 Multi Voltage Charger kit</t>
        </is>
      </c>
      <c r="E912" s="2">
        <f>HYPERLINK("https://www.amazon.com/Milwaukee-48-59-1850-LITHIUM-Batteries-48-59-1812/dp/B015GOE7B2/ref=sr_1_6?keywords=Milwaukee+48-59-1812+M18%E2%84%A2+%26+M12%E2%84%A2+Multi-Voltage+Charger&amp;qid=1695174184&amp;sr=8-6", "https://www.amazon.com/Milwaukee-48-59-1850-LITHIUM-Batteries-48-59-1812/dp/B015GOE7B2/ref=sr_1_6?keywords=Milwaukee+48-59-1812+M18%E2%84%A2+%26+M12%E2%84%A2+Multi-Voltage+Charger&amp;qid=1695174184&amp;sr=8-6")</f>
        <v/>
      </c>
      <c r="F912" t="inlineStr">
        <is>
          <t>B015GOE7B2</t>
        </is>
      </c>
      <c r="G912">
        <f>_xludf.IMAGE("https://edmondsonsupply.com/cdn/shop/products/60113_48-59-1812_3-lg.webp?v=1656530513")</f>
        <v/>
      </c>
      <c r="H912">
        <f>_xludf.IMAGE("https://m.media-amazon.com/images/I/81vOom9f67L._AC_UL320_.jpg")</f>
        <v/>
      </c>
      <c r="I912" t="inlineStr">
        <is>
          <t>79.0</t>
        </is>
      </c>
      <c r="J912" t="n">
        <v>155.95</v>
      </c>
      <c r="K912" s="3" t="inlineStr">
        <is>
          <t>97.41%</t>
        </is>
      </c>
      <c r="L912" t="n">
        <v>4.7</v>
      </c>
      <c r="M912" t="n">
        <v>738</v>
      </c>
      <c r="O912" t="inlineStr">
        <is>
          <t>InStock</t>
        </is>
      </c>
      <c r="P912" t="inlineStr">
        <is>
          <t>126.0</t>
        </is>
      </c>
      <c r="Q912" t="inlineStr">
        <is>
          <t>7733079343320</t>
        </is>
      </c>
    </row>
    <row r="913">
      <c r="A913" s="2">
        <f>HYPERLINK("https://edmondsonsupply.com/collections/electricians-tools/products/rack-a-tiers-80075-the-nut-snugger-3-4-magnetic-locknut-holder", "https://edmondsonsupply.com/collections/electricians-tools/products/rack-a-tiers-80075-the-nut-snugger-3-4-magnetic-locknut-holder")</f>
        <v/>
      </c>
      <c r="B913" s="2">
        <f>HYPERLINK("https://edmondsonsupply.com/products/rack-a-tiers-80075-the-nut-snugger-3-4-magnetic-locknut-holder", "https://edmondsonsupply.com/products/rack-a-tiers-80075-the-nut-snugger-3-4-magnetic-locknut-holder")</f>
        <v/>
      </c>
      <c r="C913" t="inlineStr">
        <is>
          <t>Rack-A-Tiers 80075 The Nut Snugger - 3/4" Magnetic Locknut Holder</t>
        </is>
      </c>
      <c r="D913" t="inlineStr">
        <is>
          <t>Rack-A-Tiers Nut Snugger Kit 1ea: 1/2" &amp; 3/4" Magnetic Locknut Holder (80090)</t>
        </is>
      </c>
      <c r="E913" s="2">
        <f>HYPERLINK("https://www.amazon.com/Rack-Tiers-Nut-Snugger-Kit/dp/B0BX4MB59Q/ref=sr_1_1?keywords=Rack-A-Tiers+80075+The+Nut+Snugger+-+3%2F4%22+Magnetic+Locknut+Holder&amp;qid=1695173904&amp;sr=8-1", "https://www.amazon.com/Rack-Tiers-Nut-Snugger-Kit/dp/B0BX4MB59Q/ref=sr_1_1?keywords=Rack-A-Tiers+80075+The+Nut+Snugger+-+3%2F4%22+Magnetic+Locknut+Holder&amp;qid=1695173904&amp;sr=8-1")</f>
        <v/>
      </c>
      <c r="F913" t="inlineStr">
        <is>
          <t>B0BX4MB59Q</t>
        </is>
      </c>
      <c r="G913">
        <f>_xludf.IMAGE("https://edmondsonsupply.com/cdn/shop/products/820XX-Nut-Snugger_32ac94c2-c07d-4d16-9e48-14a49a647db8.png?v=1667152999")</f>
        <v/>
      </c>
      <c r="H913">
        <f>_xludf.IMAGE("https://m.media-amazon.com/images/I/31gF-2h5bgL._AC_UY218_.jpg")</f>
        <v/>
      </c>
      <c r="I913" t="inlineStr">
        <is>
          <t>34.99</t>
        </is>
      </c>
      <c r="J913" t="n">
        <v>68.98999999999999</v>
      </c>
      <c r="K913" s="3" t="inlineStr">
        <is>
          <t>97.17%</t>
        </is>
      </c>
      <c r="L913" t="n">
        <v>5</v>
      </c>
      <c r="M913" t="n">
        <v>2</v>
      </c>
      <c r="O913" t="inlineStr">
        <is>
          <t>InStock</t>
        </is>
      </c>
      <c r="P913" t="inlineStr">
        <is>
          <t>37.99</t>
        </is>
      </c>
      <c r="Q913" t="inlineStr">
        <is>
          <t>7871152652504</t>
        </is>
      </c>
    </row>
    <row r="914">
      <c r="A914" s="2">
        <f>HYPERLINK("https://edmondsonsupply.com/collections/electricians-tools/products/klein-tools-11053-klein-kurve%C2%AE-wire-stripper-cutter", "https://edmondsonsupply.com/collections/electricians-tools/products/klein-tools-11053-klein-kurve%C2%AE-wire-stripper-cutter")</f>
        <v/>
      </c>
      <c r="B914" s="2">
        <f>HYPERLINK("https://edmondsonsupply.com/products/klein-tools-11053-klein-kurve%c2%ae-wire-stripper-cutter", "https://edmondsonsupply.com/products/klein-tools-11053-klein-kurve%c2%ae-wire-stripper-cutter")</f>
        <v/>
      </c>
      <c r="C914" t="inlineStr">
        <is>
          <t>Klein Tools 11053 Klein-Kurve® Wire Stripper/Cutter</t>
        </is>
      </c>
      <c r="D914" t="inlineStr">
        <is>
          <t>Klein Tools 11053 Klein-Kurve Wire Stripper and Cutter for 6-12 AWG Stranded Wire, 7-1/8-Inch &amp; 11055 Wire Cutter and Wire Stripper, Stranded Wire Cutter, Solid Wire Cutter, Cuts Copper Wire</t>
        </is>
      </c>
      <c r="E914" s="2">
        <f>HYPERLINK("https://www.amazon.com/Klein-Tools-Klein-Kurve-Stripper-Stranded/dp/B0BHVPT335/ref=sr_1_2?keywords=Klein+Tools+11053+Klein-Kurve%C2%AE+Wire+Stripper%2FCutter&amp;qid=1695173869&amp;sr=8-2", "https://www.amazon.com/Klein-Tools-Klein-Kurve-Stripper-Stranded/dp/B0BHVPT335/ref=sr_1_2?keywords=Klein+Tools+11053+Klein-Kurve%C2%AE+Wire+Stripper%2FCutter&amp;qid=1695173869&amp;sr=8-2")</f>
        <v/>
      </c>
      <c r="F914" t="inlineStr">
        <is>
          <t>B0BHVPT335</t>
        </is>
      </c>
      <c r="G914">
        <f>_xludf.IMAGE("https://edmondsonsupply.com/cdn/shop/products/11053.jpg?v=1633030511")</f>
        <v/>
      </c>
      <c r="H914">
        <f>_xludf.IMAGE("https://m.media-amazon.com/images/I/41+jddPUDML._AC_UL320_.jpg")</f>
        <v/>
      </c>
      <c r="I914" t="inlineStr">
        <is>
          <t>20.97</t>
        </is>
      </c>
      <c r="J914" t="n">
        <v>40.96</v>
      </c>
      <c r="K914" s="3" t="inlineStr">
        <is>
          <t>95.33%</t>
        </is>
      </c>
      <c r="L914" t="n">
        <v>4.5</v>
      </c>
      <c r="M914" t="n">
        <v>2</v>
      </c>
      <c r="O914" t="inlineStr">
        <is>
          <t>InStock</t>
        </is>
      </c>
      <c r="P914" t="inlineStr">
        <is>
          <t>31.76</t>
        </is>
      </c>
      <c r="Q914" t="inlineStr">
        <is>
          <t>5387171299496</t>
        </is>
      </c>
    </row>
    <row r="915">
      <c r="A915" s="2">
        <f>HYPERLINK("https://edmondsonsupply.com/collections/electricians-tools/products/klein-tools-60345-hard-hat-premium-karbn%E2%84%A2-pattern-non-vented-full-brim-class-e", "https://edmondsonsupply.com/collections/electricians-tools/products/klein-tools-60345-hard-hat-premium-karbn%E2%84%A2-pattern-non-vented-full-brim-class-e")</f>
        <v/>
      </c>
      <c r="B915" s="2">
        <f>HYPERLINK("https://edmondsonsupply.com/products/klein-tools-60345-hard-hat-premium-karbn%e2%84%a2-pattern-non-vented-full-brim-class-e", "https://edmondsonsupply.com/products/klein-tools-60345-hard-hat-premium-karbn%e2%84%a2-pattern-non-vented-full-brim-class-e")</f>
        <v/>
      </c>
      <c r="C915" t="inlineStr">
        <is>
          <t>Klein Tools 60345 Hard Hat, Premium KARBN™ Pattern, Non-Vented Full Brim, Class E</t>
        </is>
      </c>
      <c r="D915" t="inlineStr">
        <is>
          <t>Klein Tools 60347 Hard Hat, Vented Full Brim, Class C, Premium KARBN Pattern, Rechargeable Lamp, Padded Sweat-Wicking Sweatband, Top Pad</t>
        </is>
      </c>
      <c r="E915" s="2">
        <f>HYPERLINK("https://www.amazon.com/Klein-Tools-60347-Rechargeable-Sweat-Wicking/dp/B08SYM9K52/ref=sr_1_8?keywords=Klein+Tools+60345+Hard+Hat%2C+Premium+KARBN%E2%84%A2+Pattern%2C+Non-Vented+Full+Brim%2C+Class+E&amp;qid=1695174204&amp;sr=8-8", "https://www.amazon.com/Klein-Tools-60347-Rechargeable-Sweat-Wicking/dp/B08SYM9K52/ref=sr_1_8?keywords=Klein+Tools+60345+Hard+Hat%2C+Premium+KARBN%E2%84%A2+Pattern%2C+Non-Vented+Full+Brim%2C+Class+E&amp;qid=1695174204&amp;sr=8-8")</f>
        <v/>
      </c>
      <c r="F915" t="inlineStr">
        <is>
          <t>B08SYM9K52</t>
        </is>
      </c>
      <c r="G915">
        <f>_xludf.IMAGE("https://edmondsonsupply.com/cdn/shop/products/60345.jpg?v=1660171739")</f>
        <v/>
      </c>
      <c r="H915">
        <f>_xludf.IMAGE("https://m.media-amazon.com/images/I/61pIVbITWkL._AC_UL320_.jpg")</f>
        <v/>
      </c>
      <c r="I915" t="inlineStr">
        <is>
          <t>59.99</t>
        </is>
      </c>
      <c r="J915" t="n">
        <v>116.88</v>
      </c>
      <c r="K915" s="3" t="inlineStr">
        <is>
          <t>94.83%</t>
        </is>
      </c>
      <c r="L915" t="n">
        <v>4.7</v>
      </c>
      <c r="M915" t="n">
        <v>2542</v>
      </c>
      <c r="O915" t="inlineStr">
        <is>
          <t>InStock</t>
        </is>
      </c>
      <c r="P915" t="inlineStr">
        <is>
          <t>81.02</t>
        </is>
      </c>
      <c r="Q915" t="inlineStr">
        <is>
          <t>7778045493464</t>
        </is>
      </c>
    </row>
    <row r="916">
      <c r="A916" s="2">
        <f>HYPERLINK("https://edmondsonsupply.com/collections/electricians-tools/products/klein-tools-6826ins-insulated-screwdriver-1-4-inch-cabinet-tip-6-inch-shank", "https://edmondsonsupply.com/collections/electricians-tools/products/klein-tools-6826ins-insulated-screwdriver-1-4-inch-cabinet-tip-6-inch-shank")</f>
        <v/>
      </c>
      <c r="B916" s="2">
        <f>HYPERLINK("https://edmondsonsupply.com/products/klein-tools-6826ins-insulated-screwdriver-1-4-inch-cabinet-tip-6-inch-shank", "https://edmondsonsupply.com/products/klein-tools-6826ins-insulated-screwdriver-1-4-inch-cabinet-tip-6-inch-shank")</f>
        <v/>
      </c>
      <c r="C916" t="inlineStr">
        <is>
          <t>Klein Tools 6826INS Insulated Screwdriver, 1/4-Inch Cabinet Tip, 6-Inch Shank</t>
        </is>
      </c>
      <c r="D916" t="inlineStr">
        <is>
          <t>Klein Tools 605-7-INS Insulated 1/4-Inch Cabinet Tip Screwdriver, 7-Inch</t>
        </is>
      </c>
      <c r="E916" s="2">
        <f>HYPERLINK("https://www.amazon.com/Insulated-Screwdriver-Klein-Tools-605-7-INS/dp/B00J9S1EX6/ref=sr_1_10?keywords=Klein+Tools+6826INS+Insulated+Screwdriver%2C+1%2F4-Inch+Cabinet+Tip%2C+6-Inch+Shank&amp;qid=1695174154&amp;sr=8-10", "https://www.amazon.com/Insulated-Screwdriver-Klein-Tools-605-7-INS/dp/B00J9S1EX6/ref=sr_1_10?keywords=Klein+Tools+6826INS+Insulated+Screwdriver%2C+1%2F4-Inch+Cabinet+Tip%2C+6-Inch+Shank&amp;qid=1695174154&amp;sr=8-10")</f>
        <v/>
      </c>
      <c r="F916" t="inlineStr">
        <is>
          <t>B00J9S1EX6</t>
        </is>
      </c>
      <c r="G916">
        <f>_xludf.IMAGE("https://edmondsonsupply.com/cdn/shop/products/6826ins.jpg?v=1664814069")</f>
        <v/>
      </c>
      <c r="H916">
        <f>_xludf.IMAGE("https://m.media-amazon.com/images/I/41PbqrqWh2L._AC_UL320_.jpg")</f>
        <v/>
      </c>
      <c r="I916" t="inlineStr">
        <is>
          <t>11.97</t>
        </is>
      </c>
      <c r="J916" t="n">
        <v>23.22</v>
      </c>
      <c r="K916" s="3" t="inlineStr">
        <is>
          <t>93.98%</t>
        </is>
      </c>
      <c r="L916" t="n">
        <v>4.8</v>
      </c>
      <c r="M916" t="n">
        <v>1064</v>
      </c>
      <c r="O916" t="inlineStr">
        <is>
          <t>InStock</t>
        </is>
      </c>
      <c r="P916" t="inlineStr">
        <is>
          <t>17.98</t>
        </is>
      </c>
      <c r="Q916" t="inlineStr">
        <is>
          <t>7837707698392</t>
        </is>
      </c>
    </row>
    <row r="917">
      <c r="A917" s="2">
        <f>HYPERLINK("https://edmondsonsupply.com/collections/electricians-tools/products/klein-tools-56403-rechargeable-personal-worklight", "https://edmondsonsupply.com/collections/electricians-tools/products/klein-tools-56403-rechargeable-personal-worklight")</f>
        <v/>
      </c>
      <c r="B917" s="2">
        <f>HYPERLINK("https://edmondsonsupply.com/products/klein-tools-56403-rechargeable-personal-worklight", "https://edmondsonsupply.com/products/klein-tools-56403-rechargeable-personal-worklight")</f>
        <v/>
      </c>
      <c r="C917" t="inlineStr">
        <is>
          <t>Klein Tools 56403 Rechargeable Personal Worklight</t>
        </is>
      </c>
      <c r="D917" t="inlineStr">
        <is>
          <t>Klein Tools 56403 LED Light, Rechargeable Flashlight/Worklight &amp; PJSFM1 Battery Operated Rechargeable Fan with USB-C Charging Cord and Multiple Mounting Options Perfect for the Jobsite</t>
        </is>
      </c>
      <c r="E917" s="2">
        <f>HYPERLINK("https://www.amazon.com/Klein-Tools-Rechargeable-Flashlight-Worklight/dp/B0BC85LX49/ref=sr_1_2?keywords=Klein+Tools+56403+Rechargeable+Personal+Worklight&amp;qid=1695173953&amp;sr=8-2", "https://www.amazon.com/Klein-Tools-Rechargeable-Flashlight-Worklight/dp/B0BC85LX49/ref=sr_1_2?keywords=Klein+Tools+56403+Rechargeable+Personal+Worklight&amp;qid=1695173953&amp;sr=8-2")</f>
        <v/>
      </c>
      <c r="F917" t="inlineStr">
        <is>
          <t>B0BC85LX49</t>
        </is>
      </c>
      <c r="G917">
        <f>_xludf.IMAGE("https://edmondsonsupply.com/cdn/shop/products/56403.jpg?v=1587143308")</f>
        <v/>
      </c>
      <c r="H917">
        <f>_xludf.IMAGE("https://m.media-amazon.com/images/I/61HjyBviEWL._AC_UL320_.jpg")</f>
        <v/>
      </c>
      <c r="I917" t="inlineStr">
        <is>
          <t>49.97</t>
        </is>
      </c>
      <c r="J917" t="n">
        <v>96.47</v>
      </c>
      <c r="K917" s="3" t="inlineStr">
        <is>
          <t>93.06%</t>
        </is>
      </c>
      <c r="L917" t="n">
        <v>5</v>
      </c>
      <c r="M917" t="n">
        <v>1</v>
      </c>
      <c r="O917" t="inlineStr">
        <is>
          <t>InStock</t>
        </is>
      </c>
      <c r="P917" t="inlineStr">
        <is>
          <t>71.02</t>
        </is>
      </c>
      <c r="Q917" t="inlineStr">
        <is>
          <t>3618963947620</t>
        </is>
      </c>
    </row>
    <row r="918">
      <c r="A918" s="2">
        <f>HYPERLINK("https://edmondsonsupply.com/collections/electricians-tools/products/milwaukee-48-22-1521-compact-folding-knife", "https://edmondsonsupply.com/collections/electricians-tools/products/milwaukee-48-22-1521-compact-folding-knife")</f>
        <v/>
      </c>
      <c r="B918" s="2">
        <f>HYPERLINK("https://edmondsonsupply.com/products/milwaukee-48-22-1521-compact-folding-knife", "https://edmondsonsupply.com/products/milwaukee-48-22-1521-compact-folding-knife")</f>
        <v/>
      </c>
      <c r="C918" t="inlineStr">
        <is>
          <t>Milwaukee 48-22-1521 Compact Folding Knife</t>
        </is>
      </c>
      <c r="D918" t="inlineStr">
        <is>
          <t>Milwaukee 48-22-1985 Fastback Hawk Bill Folding Knife w/Belt Clip and Lanyard Hole, Metal</t>
        </is>
      </c>
      <c r="E918" s="2">
        <f>HYPERLINK("https://www.amazon.com/Milwaukee-48-22-1985-Fastback-Folding-Lanyard/dp/B00IQCDWIG/ref=sr_1_8?keywords=Milwaukee+48-22-1521+Compact+Folding+Knife&amp;qid=1695174090&amp;sr=8-8", "https://www.amazon.com/Milwaukee-48-22-1985-Fastback-Folding-Lanyard/dp/B00IQCDWIG/ref=sr_1_8?keywords=Milwaukee+48-22-1521+Compact+Folding+Knife&amp;qid=1695174090&amp;sr=8-8")</f>
        <v/>
      </c>
      <c r="F918" t="inlineStr">
        <is>
          <t>B00IQCDWIG</t>
        </is>
      </c>
      <c r="G918">
        <f>_xludf.IMAGE("https://edmondsonsupply.com/cdn/shop/products/48-22-1521_1.webp?v=1675359641")</f>
        <v/>
      </c>
      <c r="H918">
        <f>_xludf.IMAGE("https://m.media-amazon.com/images/I/714SFoSX-4L._AC_UL320_.jpg")</f>
        <v/>
      </c>
      <c r="I918" t="inlineStr">
        <is>
          <t>12.97</t>
        </is>
      </c>
      <c r="J918" t="n">
        <v>25.01</v>
      </c>
      <c r="K918" s="3" t="inlineStr">
        <is>
          <t>92.83%</t>
        </is>
      </c>
      <c r="L918" t="n">
        <v>4.6</v>
      </c>
      <c r="M918" t="n">
        <v>627</v>
      </c>
      <c r="O918" t="inlineStr">
        <is>
          <t>InStock</t>
        </is>
      </c>
      <c r="P918" t="inlineStr">
        <is>
          <t>15.5</t>
        </is>
      </c>
      <c r="Q918" t="inlineStr">
        <is>
          <t>7937891827928</t>
        </is>
      </c>
    </row>
    <row r="919">
      <c r="A919" s="2">
        <f>HYPERLINK("https://edmondsonsupply.com/collections/electricians-tools/products/klein-tools-11046-wire-stripper-cutter-16-26-awg-stranded", "https://edmondsonsupply.com/collections/electricians-tools/products/klein-tools-11046-wire-stripper-cutter-16-26-awg-stranded")</f>
        <v/>
      </c>
      <c r="B919" s="2">
        <f>HYPERLINK("https://edmondsonsupply.com/products/klein-tools-11046-wire-stripper-cutter-16-26-awg-stranded", "https://edmondsonsupply.com/products/klein-tools-11046-wire-stripper-cutter-16-26-awg-stranded")</f>
        <v/>
      </c>
      <c r="C919" t="inlineStr">
        <is>
          <t>Klein Tools 11046 Wire Stripper/Cutter 16-26 AWG Stranded</t>
        </is>
      </c>
      <c r="D919" t="inlineStr">
        <is>
          <t>Klein Tools 11046 Wire Stripper/Cutter 16-26 AWG Stranded &amp; 11047 Wire Stripper/Cutter, Compact, Lightweight, Hardened Steel, Precision Ground, for Stranded and Solid Wires</t>
        </is>
      </c>
      <c r="E919" s="2">
        <f>HYPERLINK("https://www.amazon.com/Klein-Tools-Stripper-Lightweight-Precision/dp/B0BNL5MC4G/ref=sr_1_2?keywords=Klein+Tools+11046+Wire+Stripper%2FCutter+16-26+AWG+Stranded&amp;qid=1695173951&amp;sr=8-2", "https://www.amazon.com/Klein-Tools-Stripper-Lightweight-Precision/dp/B0BNL5MC4G/ref=sr_1_2?keywords=Klein+Tools+11046+Wire+Stripper%2FCutter+16-26+AWG+Stranded&amp;qid=1695173951&amp;sr=8-2")</f>
        <v/>
      </c>
      <c r="F919" t="inlineStr">
        <is>
          <t>B0BNL5MC4G</t>
        </is>
      </c>
      <c r="G919">
        <f>_xludf.IMAGE("https://edmondsonsupply.com/cdn/shop/products/11046.jpg?v=1587147965")</f>
        <v/>
      </c>
      <c r="H919">
        <f>_xludf.IMAGE("https://m.media-amazon.com/images/I/41uWm6Rw+pL._AC_UL320_.jpg")</f>
        <v/>
      </c>
      <c r="I919" t="inlineStr">
        <is>
          <t>15.97</t>
        </is>
      </c>
      <c r="J919" t="n">
        <v>30.75</v>
      </c>
      <c r="K919" s="3" t="inlineStr">
        <is>
          <t>92.55%</t>
        </is>
      </c>
      <c r="L919" t="n">
        <v>4.6</v>
      </c>
      <c r="M919" t="n">
        <v>7</v>
      </c>
      <c r="O919" t="inlineStr">
        <is>
          <t>InStock</t>
        </is>
      </c>
      <c r="P919" t="inlineStr">
        <is>
          <t>23.56</t>
        </is>
      </c>
      <c r="Q919" t="inlineStr">
        <is>
          <t>3688603910244</t>
        </is>
      </c>
    </row>
    <row r="920">
      <c r="A920" s="2">
        <f>HYPERLINK("https://edmondsonsupply.com/collections/electricians-tools/products/milwaukee-48-22-1521-compact-folding-knife", "https://edmondsonsupply.com/collections/electricians-tools/products/milwaukee-48-22-1521-compact-folding-knife")</f>
        <v/>
      </c>
      <c r="B920" s="2">
        <f>HYPERLINK("https://edmondsonsupply.com/products/milwaukee-48-22-1521-compact-folding-knife", "https://edmondsonsupply.com/products/milwaukee-48-22-1521-compact-folding-knife")</f>
        <v/>
      </c>
      <c r="C920" t="inlineStr">
        <is>
          <t>Milwaukee 48-22-1521 Compact Folding Knife</t>
        </is>
      </c>
      <c r="D920" t="inlineStr">
        <is>
          <t>Milwaukee 48-22-1990 FASTBACK Smooth Folding Knife Stainless Steel</t>
        </is>
      </c>
      <c r="E920" s="2">
        <f>HYPERLINK("https://www.amazon.com/Milwaukee-48-22-1990-FASTBACK-Smooth-Folding/dp/B00IKVFCUO/ref=sr_1_5?keywords=Milwaukee+48-22-1521+Compact+Folding+Knife&amp;qid=1695174090&amp;sr=8-5", "https://www.amazon.com/Milwaukee-48-22-1990-FASTBACK-Smooth-Folding/dp/B00IKVFCUO/ref=sr_1_5?keywords=Milwaukee+48-22-1521+Compact+Folding+Knife&amp;qid=1695174090&amp;sr=8-5")</f>
        <v/>
      </c>
      <c r="F920" t="inlineStr">
        <is>
          <t>B00IKVFCUO</t>
        </is>
      </c>
      <c r="G920">
        <f>_xludf.IMAGE("https://edmondsonsupply.com/cdn/shop/products/48-22-1521_1.webp?v=1675359641")</f>
        <v/>
      </c>
      <c r="H920">
        <f>_xludf.IMAGE("https://m.media-amazon.com/images/I/81wFFG5g9vL._AC_UL320_.jpg")</f>
        <v/>
      </c>
      <c r="I920" t="inlineStr">
        <is>
          <t>12.97</t>
        </is>
      </c>
      <c r="J920" t="n">
        <v>24.97</v>
      </c>
      <c r="K920" s="3" t="inlineStr">
        <is>
          <t>92.52%</t>
        </is>
      </c>
      <c r="L920" t="n">
        <v>4.5</v>
      </c>
      <c r="M920" t="n">
        <v>982</v>
      </c>
      <c r="O920" t="inlineStr">
        <is>
          <t>InStock</t>
        </is>
      </c>
      <c r="P920" t="inlineStr">
        <is>
          <t>15.5</t>
        </is>
      </c>
      <c r="Q920" t="inlineStr">
        <is>
          <t>7937891827928</t>
        </is>
      </c>
    </row>
    <row r="921">
      <c r="A921" s="2">
        <f>HYPERLINK("https://edmondsonsupply.com/collections/electricians-tools/products/klein-tools-60184-lightweight-gel-knee-pads", "https://edmondsonsupply.com/collections/electricians-tools/products/klein-tools-60184-lightweight-gel-knee-pads")</f>
        <v/>
      </c>
      <c r="B921" s="2">
        <f>HYPERLINK("https://edmondsonsupply.com/products/klein-tools-60184-lightweight-gel-knee-pads", "https://edmondsonsupply.com/products/klein-tools-60184-lightweight-gel-knee-pads")</f>
        <v/>
      </c>
      <c r="C921" t="inlineStr">
        <is>
          <t>Klein Tools 60184 Lightweight Gel Knee Pads</t>
        </is>
      </c>
      <c r="D921" t="inlineStr">
        <is>
          <t>Klein Tools 60491 Hinged Knee Pads, Heavy Duty Gel Foam Protective Knee Pads with Quick-Fasten Buckle and Thigh Strap, Black</t>
        </is>
      </c>
      <c r="E921" s="2">
        <f>HYPERLINK("https://www.amazon.com/Klein-Tools-60491-Protective-Quick-Fasten/dp/B0BHXBMBHP/ref=sr_1_2?keywords=Klein+Tools+60184+Lightweight+Gel+Knee+Pads&amp;qid=1695173931&amp;sr=8-2", "https://www.amazon.com/Klein-Tools-60491-Protective-Quick-Fasten/dp/B0BHXBMBHP/ref=sr_1_2?keywords=Klein+Tools+60184+Lightweight+Gel+Knee+Pads&amp;qid=1695173931&amp;sr=8-2")</f>
        <v/>
      </c>
      <c r="F921" t="inlineStr">
        <is>
          <t>B0BHXBMBHP</t>
        </is>
      </c>
      <c r="G921">
        <f>_xludf.IMAGE("https://edmondsonsupply.com/cdn/shop/products/60184.jpg?v=1633030246")</f>
        <v/>
      </c>
      <c r="H921">
        <f>_xludf.IMAGE("https://m.media-amazon.com/images/I/718i4PDcjnL._AC_UL320_.jpg")</f>
        <v/>
      </c>
      <c r="I921" t="inlineStr">
        <is>
          <t>25.97</t>
        </is>
      </c>
      <c r="J921" t="n">
        <v>49.97</v>
      </c>
      <c r="K921" s="3" t="inlineStr">
        <is>
          <t>92.41%</t>
        </is>
      </c>
      <c r="L921" t="n">
        <v>4.4</v>
      </c>
      <c r="M921" t="n">
        <v>289</v>
      </c>
      <c r="O921" t="inlineStr">
        <is>
          <t>InStock</t>
        </is>
      </c>
      <c r="P921" t="inlineStr">
        <is>
          <t>36.04</t>
        </is>
      </c>
      <c r="Q921" t="inlineStr">
        <is>
          <t>4610179170404</t>
        </is>
      </c>
    </row>
    <row r="922">
      <c r="A922" s="2">
        <f>HYPERLINK("https://edmondsonsupply.com/collections/electricians-tools/products/milwaukee-49-56-0197-3-5-8-hole-dozer%E2%84%A2-hole-saw-bi-metal-cup", "https://edmondsonsupply.com/collections/electricians-tools/products/milwaukee-49-56-0197-3-5-8-hole-dozer%E2%84%A2-hole-saw-bi-metal-cup")</f>
        <v/>
      </c>
      <c r="B922" s="2">
        <f>HYPERLINK("https://edmondsonsupply.com/products/milwaukee-49-56-0197-3-5-8-hole-dozer%e2%84%a2-hole-saw-bi-metal-cup", "https://edmondsonsupply.com/products/milwaukee-49-56-0197-3-5-8-hole-dozer%e2%84%a2-hole-saw-bi-metal-cup")</f>
        <v/>
      </c>
      <c r="C922" t="inlineStr">
        <is>
          <t>Milwaukee 49-56-0197 3-5/8" HOLE DOZER™ Hole Saw Bi-Metal Cup</t>
        </is>
      </c>
      <c r="D922" t="inlineStr">
        <is>
          <t>MILWAUKEE'S Hole Saw, Bi-Metal, Black, 3-3/4 in. (49-56-9643T)</t>
        </is>
      </c>
      <c r="E922" s="2">
        <f>HYPERLINK("https://www.amazon.com/Milwaukee-49-56-9643T-MIL-Harden-Hole-Bi-Metal/dp/B007FUN6HC/ref=sr_1_7?keywords=Milwaukee+49-56-0197+3-5%2F8%22+HOLE+DOZER%E2%84%A2+Hole+Saw+Bi-Metal+Cup&amp;qid=1695174058&amp;sr=8-7", "https://www.amazon.com/Milwaukee-49-56-9643T-MIL-Harden-Hole-Bi-Metal/dp/B007FUN6HC/ref=sr_1_7?keywords=Milwaukee+49-56-0197+3-5%2F8%22+HOLE+DOZER%E2%84%A2+Hole+Saw+Bi-Metal+Cup&amp;qid=1695174058&amp;sr=8-7")</f>
        <v/>
      </c>
      <c r="F922" t="inlineStr">
        <is>
          <t>B007FUN6HC</t>
        </is>
      </c>
      <c r="G922">
        <f>_xludf.IMAGE("https://edmondsonsupply.com/cdn/shop/products/49-56-0052_101_1_b485d0b4-965d-40fc-a007-7e23c4d86724.webp?v=1678912947")</f>
        <v/>
      </c>
      <c r="H922">
        <f>_xludf.IMAGE("https://m.media-amazon.com/images/I/51DIlWGVZ6L._AC_UL320_.jpg")</f>
        <v/>
      </c>
      <c r="I922" t="inlineStr">
        <is>
          <t>12.19</t>
        </is>
      </c>
      <c r="J922" t="n">
        <v>23.41</v>
      </c>
      <c r="K922" s="3" t="inlineStr">
        <is>
          <t>92.04%</t>
        </is>
      </c>
      <c r="L922" t="n">
        <v>4.6</v>
      </c>
      <c r="M922" t="n">
        <v>13</v>
      </c>
      <c r="O922" t="inlineStr">
        <is>
          <t>InStock</t>
        </is>
      </c>
      <c r="P922" t="inlineStr">
        <is>
          <t>24.7</t>
        </is>
      </c>
      <c r="Q922" t="inlineStr">
        <is>
          <t>7962124681432</t>
        </is>
      </c>
    </row>
    <row r="923">
      <c r="A923" s="2">
        <f>HYPERLINK("https://edmondsonsupply.com/collections/electricians-tools/products/channellock-804", "https://edmondsonsupply.com/collections/electricians-tools/products/channellock-804")</f>
        <v/>
      </c>
      <c r="B923" s="2">
        <f>HYPERLINK("https://edmondsonsupply.com/products/channellock-804", "https://edmondsonsupply.com/products/channellock-804")</f>
        <v/>
      </c>
      <c r="C923" t="inlineStr">
        <is>
          <t>Channellock 804 4-Inch Chrome Adjustable Wrench</t>
        </is>
      </c>
      <c r="D923" t="inlineStr">
        <is>
          <t>Channellock 808WCB 8-Inch Chrome Adjustable Wrench with Code Blue Grips</t>
        </is>
      </c>
      <c r="E923" s="2">
        <f>HYPERLINK("https://www.amazon.com/Channellock-808WCB-8-Inch-Chrome-Adjustable/dp/B00LFIEQ3S/ref=sr_1_9?keywords=Channellock+804+4-Inch+Chrome+Adjustable+Wrench&amp;qid=1695173945&amp;sr=8-9", "https://www.amazon.com/Channellock-808WCB-8-Inch-Chrome-Adjustable/dp/B00LFIEQ3S/ref=sr_1_9?keywords=Channellock+804+4-Inch+Chrome+Adjustable+Wrench&amp;qid=1695173945&amp;sr=8-9")</f>
        <v/>
      </c>
      <c r="F923" t="inlineStr">
        <is>
          <t>B00LFIEQ3S</t>
        </is>
      </c>
      <c r="G923">
        <f>_xludf.IMAGE("https://edmondsonsupply.com/cdn/shop/products/804-683x1024.jpg?v=1587145853")</f>
        <v/>
      </c>
      <c r="H923">
        <f>_xludf.IMAGE("https://m.media-amazon.com/images/I/717njKwq-cL._AC_UL320_.jpg")</f>
        <v/>
      </c>
      <c r="I923" t="inlineStr">
        <is>
          <t>16.95</t>
        </is>
      </c>
      <c r="J923" t="n">
        <v>32.45</v>
      </c>
      <c r="K923" s="3" t="inlineStr">
        <is>
          <t>91.45%</t>
        </is>
      </c>
      <c r="L923" t="n">
        <v>4.6</v>
      </c>
      <c r="M923" t="n">
        <v>89</v>
      </c>
      <c r="O923" t="inlineStr">
        <is>
          <t>InStock</t>
        </is>
      </c>
      <c r="P923" t="inlineStr">
        <is>
          <t>26.62</t>
        </is>
      </c>
      <c r="Q923" t="inlineStr">
        <is>
          <t>4094611488868</t>
        </is>
      </c>
    </row>
    <row r="924">
      <c r="A924" s="2">
        <f>HYPERLINK("https://edmondsonsupply.com/collections/electricians-tools/products/klein-tools-69357-ac-plug-to-banana-jacks", "https://edmondsonsupply.com/collections/electricians-tools/products/klein-tools-69357-ac-plug-to-banana-jacks")</f>
        <v/>
      </c>
      <c r="B924" s="2">
        <f>HYPERLINK("https://edmondsonsupply.com/products/klein-tools-69357-ac-plug-to-banana-jacks", "https://edmondsonsupply.com/products/klein-tools-69357-ac-plug-to-banana-jacks")</f>
        <v/>
      </c>
      <c r="C924" t="inlineStr">
        <is>
          <t>Klein Tools 69357 AC Plug to Banana Jacks</t>
        </is>
      </c>
      <c r="D924" t="inlineStr">
        <is>
          <t>Klein Tools 69357 AC Outlet Plug to Banana Plug, for use with with Klein Tools Cat. No. ET450 or any Meter with Banana-Type Connectors</t>
        </is>
      </c>
      <c r="E924" s="2">
        <f>HYPERLINK("https://www.amazon.com/Klein-Tools-69357-Banana-Type-Connectors/dp/B0BN2LTKTB/ref=sr_1_1?keywords=Klein+Tools+69357+AC+Plug+to+Banana+Jacks&amp;qid=1695174078&amp;sr=8-1", "https://www.amazon.com/Klein-Tools-69357-Banana-Type-Connectors/dp/B0BN2LTKTB/ref=sr_1_1?keywords=Klein+Tools+69357+AC+Plug+to+Banana+Jacks&amp;qid=1695174078&amp;sr=8-1")</f>
        <v/>
      </c>
      <c r="F924" t="inlineStr">
        <is>
          <t>B0BN2LTKTB</t>
        </is>
      </c>
      <c r="G924">
        <f>_xludf.IMAGE("https://edmondsonsupply.com/cdn/shop/products/69357.jpg?v=1674489211")</f>
        <v/>
      </c>
      <c r="H924">
        <f>_xludf.IMAGE("https://m.media-amazon.com/images/I/51B8PrxCL3L._AC_UY218_.jpg")</f>
        <v/>
      </c>
      <c r="I924" t="inlineStr">
        <is>
          <t>9.99</t>
        </is>
      </c>
      <c r="J924" t="n">
        <v>19.12</v>
      </c>
      <c r="K924" s="3" t="inlineStr">
        <is>
          <t>91.39%</t>
        </is>
      </c>
      <c r="L924" t="n">
        <v>4.5</v>
      </c>
      <c r="M924" t="n">
        <v>2</v>
      </c>
      <c r="O924" t="inlineStr">
        <is>
          <t>InStock</t>
        </is>
      </c>
      <c r="P924" t="inlineStr">
        <is>
          <t>14.98</t>
        </is>
      </c>
      <c r="Q924" t="inlineStr">
        <is>
          <t>7931923300568</t>
        </is>
      </c>
    </row>
    <row r="925">
      <c r="A925" s="2">
        <f>HYPERLINK("https://edmondsonsupply.com/collections/electricians-tools/products/klein-tools-d2000-28-diagonal-cutting-pliers-heavy-duty-high-leverage-8-inch", "https://edmondsonsupply.com/collections/electricians-tools/products/klein-tools-d2000-28-diagonal-cutting-pliers-heavy-duty-high-leverage-8-inch")</f>
        <v/>
      </c>
      <c r="B925" s="2">
        <f>HYPERLINK("https://edmondsonsupply.com/products/klein-tools-d2000-28-diagonal-cutting-pliers-heavy-duty-high-leverage-8-inch", "https://edmondsonsupply.com/products/klein-tools-d2000-28-diagonal-cutting-pliers-heavy-duty-high-leverage-8-inch")</f>
        <v/>
      </c>
      <c r="C925" t="inlineStr">
        <is>
          <t>Klein Tools D2000-28 Diagonal Cutting Pliers, Heavy-Duty, High-Leverage, 8-Inch</t>
        </is>
      </c>
      <c r="D925" t="inlineStr">
        <is>
          <t>Klein Tools D2000-28 Pliers, Diagonal Cutting Pliers, 8-Inch &amp; D213-9NE Pliers, 9-Inch Side Cutters, High Leverage Linesman Pliers Cut Copper, Aluminum and other Soft Metals</t>
        </is>
      </c>
      <c r="E925" s="2">
        <f>HYPERLINK("https://www.amazon.com/Klein-Tools-D2000-28-Diagonal-D213-9NE/dp/B0BD3WQ62S/ref=sr_1_5?keywords=Klein+Tools+D2000-28+Diagonal+Cutting+Pliers%2C+Heavy-Duty%2C+High-Leverage%2C+8-Inch&amp;qid=1695174291&amp;sr=8-5", "https://www.amazon.com/Klein-Tools-D2000-28-Diagonal-D213-9NE/dp/B0BD3WQ62S/ref=sr_1_5?keywords=Klein+Tools+D2000-28+Diagonal+Cutting+Pliers%2C+Heavy-Duty%2C+High-Leverage%2C+8-Inch&amp;qid=1695174291&amp;sr=8-5")</f>
        <v/>
      </c>
      <c r="F925" t="inlineStr">
        <is>
          <t>B0BD3WQ62S</t>
        </is>
      </c>
      <c r="G925">
        <f>_xludf.IMAGE("https://edmondsonsupply.com/cdn/shop/products/d200028.jpg?v=1633030882")</f>
        <v/>
      </c>
      <c r="H925">
        <f>_xludf.IMAGE("https://m.media-amazon.com/images/I/31MK8zfZMnL._AC_UL320_.jpg")</f>
        <v/>
      </c>
      <c r="I925" t="inlineStr">
        <is>
          <t>34.99</t>
        </is>
      </c>
      <c r="J925" t="n">
        <v>66.95999999999999</v>
      </c>
      <c r="K925" s="3" t="inlineStr">
        <is>
          <t>91.37%</t>
        </is>
      </c>
      <c r="L925" t="n">
        <v>5</v>
      </c>
      <c r="M925" t="n">
        <v>2</v>
      </c>
      <c r="O925" t="inlineStr">
        <is>
          <t>InStock</t>
        </is>
      </c>
      <c r="P925" t="inlineStr">
        <is>
          <t>53.0</t>
        </is>
      </c>
      <c r="Q925" t="inlineStr">
        <is>
          <t>6183860568237</t>
        </is>
      </c>
    </row>
    <row r="926">
      <c r="A926" s="2">
        <f>HYPERLINK("https://edmondsonsupply.com/collections/electricians-tools/products/klein-tools-60347-hard-hat-premium-karbn%E2%84%A2-pattern-vented-full-brim-class-c-lamp", "https://edmondsonsupply.com/collections/electricians-tools/products/klein-tools-60347-hard-hat-premium-karbn%E2%84%A2-pattern-vented-full-brim-class-c-lamp")</f>
        <v/>
      </c>
      <c r="B926" s="2">
        <f>HYPERLINK("https://edmondsonsupply.com/products/klein-tools-60347-hard-hat-premium-karbn%e2%84%a2-pattern-vented-full-brim-class-c-lamp", "https://edmondsonsupply.com/products/klein-tools-60347-hard-hat-premium-karbn%e2%84%a2-pattern-vented-full-brim-class-c-lamp")</f>
        <v/>
      </c>
      <c r="C926" t="inlineStr">
        <is>
          <t>Klein Tools 60347 Hard Hat, Premium KARBN™ Pattern, Vented Full Brim, Class C, Lamp</t>
        </is>
      </c>
      <c r="D926" t="inlineStr">
        <is>
          <t>Klein Tools 60407 Hard Hat, White &amp; 60347 Hard Hat, Vented Full Brim, Class C, Premium KARBN Pattern, Rechargeable Lamp, Padded Sweat-Wicking Sweatband, Top Pad</t>
        </is>
      </c>
      <c r="E926" s="2">
        <f>HYPERLINK("https://www.amazon.com/Klein-Tools-Rechargeable-Sweat-Wicking-Sweatband/dp/B0BNL94L4X/ref=sr_1_3?keywords=Klein+Tools+60347+Hard+Hat%2C+Premium+KARBN%E2%84%A2+Pattern%2C+Vented+Full+Brim%2C+Class+C%2C+Lamp&amp;qid=1695174177&amp;sr=8-3", "https://www.amazon.com/Klein-Tools-Rechargeable-Sweat-Wicking-Sweatband/dp/B0BNL94L4X/ref=sr_1_3?keywords=Klein+Tools+60347+Hard+Hat%2C+Premium+KARBN%E2%84%A2+Pattern%2C+Vented+Full+Brim%2C+Class+C%2C+Lamp&amp;qid=1695174177&amp;sr=8-3")</f>
        <v/>
      </c>
      <c r="F926" t="inlineStr">
        <is>
          <t>B0BNL94L4X</t>
        </is>
      </c>
      <c r="G926">
        <f>_xludf.IMAGE("https://edmondsonsupply.com/cdn/shop/products/60347.jpg?v=1659454043")</f>
        <v/>
      </c>
      <c r="H926">
        <f>_xludf.IMAGE("https://m.media-amazon.com/images/I/51A8iWc37VL._AC_UL320_.jpg")</f>
        <v/>
      </c>
      <c r="I926" t="inlineStr">
        <is>
          <t>89.99</t>
        </is>
      </c>
      <c r="J926" t="n">
        <v>171.85</v>
      </c>
      <c r="K926" s="3" t="inlineStr">
        <is>
          <t>90.97%</t>
        </is>
      </c>
      <c r="L926" t="n">
        <v>4.7</v>
      </c>
      <c r="M926" t="n">
        <v>4</v>
      </c>
      <c r="O926" t="inlineStr">
        <is>
          <t>OutOfStock</t>
        </is>
      </c>
      <c r="P926" t="inlineStr">
        <is>
          <t>123.76</t>
        </is>
      </c>
      <c r="Q926" t="inlineStr">
        <is>
          <t>7769755975896</t>
        </is>
      </c>
    </row>
    <row r="927">
      <c r="A927" s="2">
        <f>HYPERLINK("https://edmondsonsupply.com/collections/electricians-tools/products/milwaukee-2880-20-m18-fuel%E2%84%A2-4-1-2-5-grinder-paddle-switch-no-lock", "https://edmondsonsupply.com/collections/electricians-tools/products/milwaukee-2880-20-m18-fuel%E2%84%A2-4-1-2-5-grinder-paddle-switch-no-lock")</f>
        <v/>
      </c>
      <c r="B927" s="2">
        <f>HYPERLINK("https://edmondsonsupply.com/products/milwaukee-2880-20-m18-fuel%e2%84%a2-4-1-2-5-grinder-paddle-switch-no-lock", "https://edmondsonsupply.com/products/milwaukee-2880-20-m18-fuel%e2%84%a2-4-1-2-5-grinder-paddle-switch-no-lock")</f>
        <v/>
      </c>
      <c r="C927" t="inlineStr">
        <is>
          <t>Milwaukee 2880-20 M18 FUEL™ 4-1/2" / 5" Grinder Paddle Switch, No-Lock</t>
        </is>
      </c>
      <c r="D927" t="inlineStr">
        <is>
          <t>MilwaukeeTool Milwaukee M18 FUEL 4-1/2 / 5inch Grinder Paddle Switch, No-Lock Kit 2880-22</t>
        </is>
      </c>
      <c r="E927" s="2">
        <f>HYPERLINK("https://www.amazon.com/MilwaukeeTool-Milwaukee-Grinder-No-Lock-2880-22/dp/B09FBJL179/ref=sr_1_3?keywords=Milwaukee+2880-20+M18+FUEL%E2%84%A2+4-1%2F2%22+%2F+5%22+Grinder+Paddle+Switch%2C+No-Lock&amp;qid=1695174165&amp;sr=8-3", "https://www.amazon.com/MilwaukeeTool-Milwaukee-Grinder-No-Lock-2880-22/dp/B09FBJL179/ref=sr_1_3?keywords=Milwaukee+2880-20+M18+FUEL%E2%84%A2+4-1%2F2%22+%2F+5%22+Grinder+Paddle+Switch%2C+No-Lock&amp;qid=1695174165&amp;sr=8-3")</f>
        <v/>
      </c>
      <c r="F927" t="inlineStr">
        <is>
          <t>B09FBJL179</t>
        </is>
      </c>
      <c r="G927">
        <f>_xludf.IMAGE("https://edmondsonsupply.com/cdn/shop/products/2880-20_1.webp?v=1661698933")</f>
        <v/>
      </c>
      <c r="H927">
        <f>_xludf.IMAGE("https://m.media-amazon.com/images/I/61Vmp8uxgHL._AC_UL320_.jpg")</f>
        <v/>
      </c>
      <c r="I927" t="inlineStr">
        <is>
          <t>199.0</t>
        </is>
      </c>
      <c r="J927" t="n">
        <v>379.94</v>
      </c>
      <c r="K927" s="3" t="inlineStr">
        <is>
          <t>90.92%</t>
        </is>
      </c>
      <c r="L927" t="n">
        <v>4.8</v>
      </c>
      <c r="M927" t="n">
        <v>8</v>
      </c>
      <c r="O927" t="inlineStr">
        <is>
          <t>InStock</t>
        </is>
      </c>
      <c r="P927" t="inlineStr">
        <is>
          <t>330.0</t>
        </is>
      </c>
      <c r="Q927" t="inlineStr">
        <is>
          <t>7795852411096</t>
        </is>
      </c>
    </row>
    <row r="928">
      <c r="A928" s="2">
        <f>HYPERLINK("https://edmondsonsupply.com/collections/electricians-tools/products/klein-tools-vdv526-200-lan-scout-%C2%AE-jr-2-cable-tester", "https://edmondsonsupply.com/collections/electricians-tools/products/klein-tools-vdv526-200-lan-scout-%C2%AE-jr-2-cable-tester")</f>
        <v/>
      </c>
      <c r="B928" s="2">
        <f>HYPERLINK("https://edmondsonsupply.com/products/klein-tools-vdv526-200-lan-scout-%c2%ae-jr-2-cable-tester", "https://edmondsonsupply.com/products/klein-tools-vdv526-200-lan-scout-%c2%ae-jr-2-cable-tester")</f>
        <v/>
      </c>
      <c r="C928" t="inlineStr">
        <is>
          <t>Klein Tools VDV526-200 LAN Scout ® Jr. 2 Cable Tester</t>
        </is>
      </c>
      <c r="D928" t="inlineStr">
        <is>
          <t>Klein Tools VDV226-110 Ratcheting Modular Cable Crimper &amp; VDV526-200 Cable Tester, LAN Scout Jr. 2 Ethernet Cable Tester for CAT 5e, CAT 6/6A Cables with RJ45 Connections</t>
        </is>
      </c>
      <c r="E928" s="2">
        <f>HYPERLINK("https://www.amazon.com/Klein-Tools-VDV226-110-Ratcheting-Connections/dp/B09T6YN1NB/ref=sr_1_7?keywords=Klein+Tools+VDV526-200+LAN+Scout+%C2%AE+Jr.+2+Cable+Tester&amp;qid=1695174153&amp;sr=8-7", "https://www.amazon.com/Klein-Tools-VDV226-110-Ratcheting-Connections/dp/B09T6YN1NB/ref=sr_1_7?keywords=Klein+Tools+VDV526-200+LAN+Scout+%C2%AE+Jr.+2+Cable+Tester&amp;qid=1695174153&amp;sr=8-7")</f>
        <v/>
      </c>
      <c r="F928" t="inlineStr">
        <is>
          <t>B09T6YN1NB</t>
        </is>
      </c>
      <c r="G928">
        <f>_xludf.IMAGE("https://edmondsonsupply.com/cdn/shop/products/vdv526200.jpg?v=1663689949")</f>
        <v/>
      </c>
      <c r="H928">
        <f>_xludf.IMAGE("https://m.media-amazon.com/images/I/51-TxWp0yoL._AC_UY218_.jpg")</f>
        <v/>
      </c>
      <c r="I928" t="inlineStr">
        <is>
          <t>54.97</t>
        </is>
      </c>
      <c r="J928" t="n">
        <v>104.94</v>
      </c>
      <c r="K928" s="3" t="inlineStr">
        <is>
          <t>90.90%</t>
        </is>
      </c>
      <c r="L928" t="n">
        <v>5</v>
      </c>
      <c r="M928" t="n">
        <v>6</v>
      </c>
      <c r="O928" t="inlineStr">
        <is>
          <t>InStock</t>
        </is>
      </c>
      <c r="P928" t="inlineStr">
        <is>
          <t>82.5</t>
        </is>
      </c>
      <c r="Q928" t="inlineStr">
        <is>
          <t>7823726182616</t>
        </is>
      </c>
    </row>
    <row r="929">
      <c r="A929" s="2">
        <f>HYPERLINK("https://edmondsonsupply.com/collections/electricians-tools/products/klein-tools-32305-15-in-1-multi-bit-ratcheting-screwdriver", "https://edmondsonsupply.com/collections/electricians-tools/products/klein-tools-32305-15-in-1-multi-bit-ratcheting-screwdriver")</f>
        <v/>
      </c>
      <c r="B929" s="2">
        <f>HYPERLINK("https://edmondsonsupply.com/products/klein-tools-32305-15-in-1-multi-bit-ratcheting-screwdriver", "https://edmondsonsupply.com/products/klein-tools-32305-15-in-1-multi-bit-ratcheting-screwdriver")</f>
        <v/>
      </c>
      <c r="C929" t="inlineStr">
        <is>
          <t>Klein Tools 32305 15-in-1 Multi-Bit Ratcheting Screwdriver</t>
        </is>
      </c>
      <c r="D929" t="inlineStr">
        <is>
          <t>Klein Tools 32305 Multi-bit Ratcheting Screwdriver, 15-in-1 Tool with Phillips, Slotted, Torx and Combo Bits and 1/4-Inch Nut Driver &amp; 27 in 1 Multi Bit Precision Screwdriver with Tamperproof Bit</t>
        </is>
      </c>
      <c r="E929" s="2">
        <f>HYPERLINK("https://www.amazon.com/Klein-Tools-Ratcheting-Screwdriver-Tamperproof/dp/B0BVG436BF/ref=sr_1_4?keywords=Klein+Tools+32305+15-in-1+Multi-Bit+Ratcheting+Screwdriver&amp;qid=1695174215&amp;sr=8-4", "https://www.amazon.com/Klein-Tools-Ratcheting-Screwdriver-Tamperproof/dp/B0BVG436BF/ref=sr_1_4?keywords=Klein+Tools+32305+15-in-1+Multi-Bit+Ratcheting+Screwdriver&amp;qid=1695174215&amp;sr=8-4")</f>
        <v/>
      </c>
      <c r="F929" t="inlineStr">
        <is>
          <t>B0BVG436BF</t>
        </is>
      </c>
      <c r="G929">
        <f>_xludf.IMAGE("https://edmondsonsupply.com/cdn/shop/products/32305.jpg?v=1646965475")</f>
        <v/>
      </c>
      <c r="H929">
        <f>_xludf.IMAGE("https://m.media-amazon.com/images/I/41WYylf-lZL._AC_UL320_.jpg")</f>
        <v/>
      </c>
      <c r="I929" t="inlineStr">
        <is>
          <t>21.97</t>
        </is>
      </c>
      <c r="J929" t="n">
        <v>41.94</v>
      </c>
      <c r="K929" s="3" t="inlineStr">
        <is>
          <t>90.90%</t>
        </is>
      </c>
      <c r="L929" t="n">
        <v>4.5</v>
      </c>
      <c r="M929" t="n">
        <v>5</v>
      </c>
      <c r="O929" t="inlineStr">
        <is>
          <t>InStock</t>
        </is>
      </c>
      <c r="P929" t="inlineStr">
        <is>
          <t>30.78</t>
        </is>
      </c>
      <c r="Q929" t="inlineStr">
        <is>
          <t>7632426598616</t>
        </is>
      </c>
    </row>
    <row r="930">
      <c r="A930" s="2">
        <f>HYPERLINK("https://edmondsonsupply.com/collections/electricians-tools/products/klein-tools-1550-44-pocket-knife-2-5-8-inch-hawkbill-slitting-blade", "https://edmondsonsupply.com/collections/electricians-tools/products/klein-tools-1550-44-pocket-knife-2-5-8-inch-hawkbill-slitting-blade")</f>
        <v/>
      </c>
      <c r="B930" s="2">
        <f>HYPERLINK("https://edmondsonsupply.com/products/klein-tools-1550-44-pocket-knife-2-5-8-inch-hawkbill-slitting-blade", "https://edmondsonsupply.com/products/klein-tools-1550-44-pocket-knife-2-5-8-inch-hawkbill-slitting-blade")</f>
        <v/>
      </c>
      <c r="C930" t="inlineStr">
        <is>
          <t>Klein Tools 1550-44 Pocket Knife, 2-5/8-Inch Hawkbill Slitting Blade</t>
        </is>
      </c>
      <c r="D930" t="inlineStr">
        <is>
          <t>Klein Tools 44006 Pocket Knife, Electricians Knife with 2-5/8-Inch Hawkbill Blade and Aluminum Handle</t>
        </is>
      </c>
      <c r="E930" s="2">
        <f>HYPERLINK("https://www.amazon.com/Lockback-8-Inch-Aluminum-Klein-Tools/dp/B009EBS4Q8/ref=sr_1_2?keywords=Klein+Tools+1550-44+Pocket+Knife%2C+2-5%2F8-Inch+Hawkbill+Slitting+Blade&amp;qid=1695174173&amp;sr=8-2", "https://www.amazon.com/Lockback-8-Inch-Aluminum-Klein-Tools/dp/B009EBS4Q8/ref=sr_1_2?keywords=Klein+Tools+1550-44+Pocket+Knife%2C+2-5%2F8-Inch+Hawkbill+Slitting+Blade&amp;qid=1695174173&amp;sr=8-2")</f>
        <v/>
      </c>
      <c r="F930" t="inlineStr">
        <is>
          <t>B009EBS4Q8</t>
        </is>
      </c>
      <c r="G930">
        <f>_xludf.IMAGE("https://edmondsonsupply.com/cdn/shop/products/155044_c.jpg?v=1662662355")</f>
        <v/>
      </c>
      <c r="H930">
        <f>_xludf.IMAGE("https://m.media-amazon.com/images/I/41kN3c5N5jS._AC_UL320_.jpg")</f>
        <v/>
      </c>
      <c r="I930" t="inlineStr">
        <is>
          <t>30.93</t>
        </is>
      </c>
      <c r="J930" t="n">
        <v>59</v>
      </c>
      <c r="K930" s="3" t="inlineStr">
        <is>
          <t>90.75%</t>
        </is>
      </c>
      <c r="L930" t="n">
        <v>4.7</v>
      </c>
      <c r="M930" t="n">
        <v>338</v>
      </c>
      <c r="O930" t="inlineStr">
        <is>
          <t>InStock</t>
        </is>
      </c>
      <c r="P930" t="inlineStr">
        <is>
          <t>48.6</t>
        </is>
      </c>
      <c r="Q930" t="inlineStr">
        <is>
          <t>7809379172568</t>
        </is>
      </c>
    </row>
    <row r="931">
      <c r="A931" s="2">
        <f>HYPERLINK("https://edmondsonsupply.com/collections/electricians-tools/products/klein-tools-k11095-klein-kurve%C2%AE-wire-stripper-cutter-8-20-awg", "https://edmondsonsupply.com/collections/electricians-tools/products/klein-tools-k11095-klein-kurve%C2%AE-wire-stripper-cutter-8-20-awg")</f>
        <v/>
      </c>
      <c r="B931" s="2">
        <f>HYPERLINK("https://edmondsonsupply.com/products/klein-tools-k11095-klein-kurve%c2%ae-wire-stripper-cutter-8-20-awg", "https://edmondsonsupply.com/products/klein-tools-k11095-klein-kurve%c2%ae-wire-stripper-cutter-8-20-awg")</f>
        <v/>
      </c>
      <c r="C931" t="inlineStr">
        <is>
          <t>Klein Tools K11095 Klein-Kurve® Wire Stripper / Cutter, 8-20 AWG</t>
        </is>
      </c>
      <c r="D931" t="inlineStr">
        <is>
          <t>Klein Tools K12065CR Wire Stripper / Cutter / Crimper Tool for Cutting, Stripping, Crimping, Twisting (8-18 AWG solid, 10-20 AWG stranded)</t>
        </is>
      </c>
      <c r="E931" s="2">
        <f>HYPERLINK("https://www.amazon.com/Heavy-Stripper-Cutter-Crimper-Multi/dp/B08BX9RTPX/ref=sr_1_8?keywords=Klein+Tools+K11095+Klein-Kurve%C2%AE+Wire+Stripper+%2F+Cutter%2C+8-20+AWG&amp;qid=1695174173&amp;sr=8-8", "https://www.amazon.com/Heavy-Stripper-Cutter-Crimper-Multi/dp/B08BX9RTPX/ref=sr_1_8?keywords=Klein+Tools+K11095+Klein-Kurve%C2%AE+Wire+Stripper+%2F+Cutter%2C+8-20+AWG&amp;qid=1695174173&amp;sr=8-8")</f>
        <v/>
      </c>
      <c r="F931" t="inlineStr">
        <is>
          <t>B08BX9RTPX</t>
        </is>
      </c>
      <c r="G931">
        <f>_xludf.IMAGE("https://edmondsonsupply.com/cdn/shop/products/k11095_b_front_vertical.jpg?v=1661364611")</f>
        <v/>
      </c>
      <c r="H931">
        <f>_xludf.IMAGE("https://m.media-amazon.com/images/I/51Oylu1vHoL._AC_UL320_.jpg")</f>
        <v/>
      </c>
      <c r="I931" t="inlineStr">
        <is>
          <t>20.97</t>
        </is>
      </c>
      <c r="J931" t="n">
        <v>39.97</v>
      </c>
      <c r="K931" s="3" t="inlineStr">
        <is>
          <t>90.61%</t>
        </is>
      </c>
      <c r="L931" t="n">
        <v>4.7</v>
      </c>
      <c r="M931" t="n">
        <v>726</v>
      </c>
      <c r="O931" t="inlineStr">
        <is>
          <t>InStock</t>
        </is>
      </c>
      <c r="P931" t="inlineStr">
        <is>
          <t>29.38</t>
        </is>
      </c>
      <c r="Q931" t="inlineStr">
        <is>
          <t>7793145315544</t>
        </is>
      </c>
    </row>
    <row r="932">
      <c r="A932" s="2">
        <f>HYPERLINK("https://edmondsonsupply.com/collections/electricians-tools/products/wiha-tools-32088-8-piece-insulated-picofinish-precision-screwdriver-set", "https://edmondsonsupply.com/collections/electricians-tools/products/wiha-tools-32088-8-piece-insulated-picofinish-precision-screwdriver-set")</f>
        <v/>
      </c>
      <c r="B932" s="2">
        <f>HYPERLINK("https://edmondsonsupply.com/products/wiha-tools-32088-8-piece-insulated-picofinish-precision-screwdriver-set", "https://edmondsonsupply.com/products/wiha-tools-32088-8-piece-insulated-picofinish-precision-screwdriver-set")</f>
        <v/>
      </c>
      <c r="C932" t="inlineStr">
        <is>
          <t>Wiha Tools 32088 8 Piece Insulated PicoFinish Precision Screwdriver Set</t>
        </is>
      </c>
      <c r="D932" t="inlineStr">
        <is>
          <t>Wiha PicoFinish® Electric Precision Screwdriver Set 7 Pieces Including Holder I Screwdriver for Electricians I VDE I Slotted Phillips (42989)</t>
        </is>
      </c>
      <c r="E932" s="2">
        <f>HYPERLINK("https://www.amazon.com/Wiha-PicoFinish%C2%AE-Screwdriver-Electricians-42989/dp/B07H6SB33W/ref=sr_1_9?keywords=Wiha+Tools+32088+8+Piece+Insulated+PicoFinish+Precision+Screwdriver+Set&amp;qid=1695173981&amp;sr=8-9", "https://www.amazon.com/Wiha-PicoFinish%C2%AE-Screwdriver-Electricians-42989/dp/B07H6SB33W/ref=sr_1_9?keywords=Wiha+Tools+32088+8+Piece+Insulated+PicoFinish+Precision+Screwdriver+Set&amp;qid=1695173981&amp;sr=8-9")</f>
        <v/>
      </c>
      <c r="F932" t="inlineStr">
        <is>
          <t>B07H6SB33W</t>
        </is>
      </c>
      <c r="G932">
        <f>_xludf.IMAGE("https://edmondsonsupply.com/cdn/shop/files/ah1u5hviqxts6itxix4k_1000x_5285634c-51ad-48c4-987e-f1113aaa9ab9.webp?v=1690905519")</f>
        <v/>
      </c>
      <c r="H932">
        <f>_xludf.IMAGE("https://m.media-amazon.com/images/I/61CoYBjxDhL._AC_UL320_.jpg")</f>
        <v/>
      </c>
      <c r="I932" t="inlineStr">
        <is>
          <t>64.55</t>
        </is>
      </c>
      <c r="J932" t="n">
        <v>123</v>
      </c>
      <c r="K932" s="3" t="inlineStr">
        <is>
          <t>90.55%</t>
        </is>
      </c>
      <c r="L932" t="n">
        <v>4.8</v>
      </c>
      <c r="M932" t="n">
        <v>51</v>
      </c>
      <c r="O932" t="inlineStr">
        <is>
          <t>InStock</t>
        </is>
      </c>
      <c r="P932" t="inlineStr">
        <is>
          <t>86.07</t>
        </is>
      </c>
      <c r="Q932" t="inlineStr">
        <is>
          <t>8023413326040</t>
        </is>
      </c>
    </row>
    <row r="933">
      <c r="A933" s="2">
        <f>HYPERLINK("https://edmondsonsupply.com/collections/electricians-tools/products/klein-tools-602-4-ins-1-4-inch-cabinet-tip-insulated-screwdriver-4-inch", "https://edmondsonsupply.com/collections/electricians-tools/products/klein-tools-602-4-ins-1-4-inch-cabinet-tip-insulated-screwdriver-4-inch")</f>
        <v/>
      </c>
      <c r="B933" s="2">
        <f>HYPERLINK("https://edmondsonsupply.com/products/klein-tools-602-4-ins-1-4-inch-cabinet-tip-insulated-screwdriver-4-inch", "https://edmondsonsupply.com/products/klein-tools-602-4-ins-1-4-inch-cabinet-tip-insulated-screwdriver-4-inch")</f>
        <v/>
      </c>
      <c r="C933" t="inlineStr">
        <is>
          <t>Klein Tools 602-4-INS 1/4-Inch Cabinet Tip Insulated Screwdriver, 4-Inch</t>
        </is>
      </c>
      <c r="D933" t="inlineStr">
        <is>
          <t>Klein Tools 33532-INS Electrical Insulated Screwdriver Set of 2, 4-Inch Phillips and Cabinet Set, Made in USA</t>
        </is>
      </c>
      <c r="E933" s="2">
        <f>HYPERLINK("https://www.amazon.com/Electrical-Insulated-Screwdriver-Klein-Tools/dp/B000MKIRBC/ref=sr_1_9?keywords=Klein+Tools+602-4-INS+1%2F4-Inch+Cabinet+Tip+Insulated+Screwdriver%2C+4-Inch&amp;qid=1695174266&amp;sr=8-9", "https://www.amazon.com/Electrical-Insulated-Screwdriver-Klein-Tools/dp/B000MKIRBC/ref=sr_1_9?keywords=Klein+Tools+602-4-INS+1%2F4-Inch+Cabinet+Tip+Insulated+Screwdriver%2C+4-Inch&amp;qid=1695174266&amp;sr=8-9")</f>
        <v/>
      </c>
      <c r="F933" t="inlineStr">
        <is>
          <t>B000MKIRBC</t>
        </is>
      </c>
      <c r="G933">
        <f>_xludf.IMAGE("https://edmondsonsupply.com/cdn/shop/products/602-4-ins-photo.jpg?v=1633031051")</f>
        <v/>
      </c>
      <c r="H933">
        <f>_xludf.IMAGE("https://m.media-amazon.com/images/I/51qrC6b7nFL._AC_UL320_.jpg")</f>
        <v/>
      </c>
      <c r="I933" t="inlineStr">
        <is>
          <t>20.99</t>
        </is>
      </c>
      <c r="J933" t="n">
        <v>39.99</v>
      </c>
      <c r="K933" s="3" t="inlineStr">
        <is>
          <t>90.52%</t>
        </is>
      </c>
      <c r="L933" t="n">
        <v>4.8</v>
      </c>
      <c r="M933" t="n">
        <v>595</v>
      </c>
      <c r="O933" t="inlineStr">
        <is>
          <t>InStock</t>
        </is>
      </c>
      <c r="P933" t="inlineStr">
        <is>
          <t>31.8</t>
        </is>
      </c>
      <c r="Q933" t="inlineStr">
        <is>
          <t>6779496890541</t>
        </is>
      </c>
    </row>
    <row r="934">
      <c r="A934" s="2">
        <f>HYPERLINK("https://edmondsonsupply.com/collections/electricians-tools/products/milwaukee-48-22-7212-12-aluminum-pipe-wrench", "https://edmondsonsupply.com/collections/electricians-tools/products/milwaukee-48-22-7212-12-aluminum-pipe-wrench")</f>
        <v/>
      </c>
      <c r="B934" s="2">
        <f>HYPERLINK("https://edmondsonsupply.com/products/milwaukee-48-22-7212-12-aluminum-pipe-wrench", "https://edmondsonsupply.com/products/milwaukee-48-22-7212-12-aluminum-pipe-wrench")</f>
        <v/>
      </c>
      <c r="C934" t="inlineStr">
        <is>
          <t>Milwaukee 48-22-7212 12" Aluminum Pipe Wrench</t>
        </is>
      </c>
      <c r="D934" t="inlineStr">
        <is>
          <t>MILWAUKEE ELEC TOOL 48 22 7224 Milwaukee 24 In. Aluminum Pipe Wrench</t>
        </is>
      </c>
      <c r="E934" s="2">
        <f>HYPERLINK("https://www.amazon.com/MILWAUKEE-48-22-7224-Milwaukee/dp/B01HOXID1I/ref=sr_1_4?keywords=Milwaukee+48-22-7212+12%22+Aluminum+Pipe+Wrench&amp;qid=1695174041&amp;sr=8-4", "https://www.amazon.com/MILWAUKEE-48-22-7224-Milwaukee/dp/B01HOXID1I/ref=sr_1_4?keywords=Milwaukee+48-22-7212+12%22+Aluminum+Pipe+Wrench&amp;qid=1695174041&amp;sr=8-4")</f>
        <v/>
      </c>
      <c r="F934" t="inlineStr">
        <is>
          <t>B01HOXID1I</t>
        </is>
      </c>
      <c r="G934">
        <f>_xludf.IMAGE("https://edmondsonsupply.com/cdn/shop/products/48-22-7218_2_1.png?v=1680096437")</f>
        <v/>
      </c>
      <c r="H934">
        <f>_xludf.IMAGE("https://m.media-amazon.com/images/I/7198DLJ590L._AC_UL320_.jpg")</f>
        <v/>
      </c>
      <c r="I934" t="inlineStr">
        <is>
          <t>49.97</t>
        </is>
      </c>
      <c r="J934" t="n">
        <v>94.98999999999999</v>
      </c>
      <c r="K934" s="3" t="inlineStr">
        <is>
          <t>90.09%</t>
        </is>
      </c>
      <c r="L934" t="n">
        <v>4.6</v>
      </c>
      <c r="M934" t="n">
        <v>44</v>
      </c>
      <c r="O934" t="inlineStr">
        <is>
          <t>InStock</t>
        </is>
      </c>
      <c r="P934" t="inlineStr">
        <is>
          <t>75.4</t>
        </is>
      </c>
      <c r="Q934" t="inlineStr">
        <is>
          <t>7969537458392</t>
        </is>
      </c>
    </row>
    <row r="935">
      <c r="A935" s="2">
        <f>HYPERLINK("https://edmondsonsupply.com/collections/electricians-tools/products/milwaukee-48-22-7214-14-aluminum-pipe-wrench", "https://edmondsonsupply.com/collections/electricians-tools/products/milwaukee-48-22-7214-14-aluminum-pipe-wrench")</f>
        <v/>
      </c>
      <c r="B935" s="2">
        <f>HYPERLINK("https://edmondsonsupply.com/products/milwaukee-48-22-7214-14-aluminum-pipe-wrench", "https://edmondsonsupply.com/products/milwaukee-48-22-7214-14-aluminum-pipe-wrench")</f>
        <v/>
      </c>
      <c r="C935" t="inlineStr">
        <is>
          <t>Milwaukee 48-22-7214 14" Aluminum Pipe Wrench</t>
        </is>
      </c>
      <c r="D935" t="inlineStr">
        <is>
          <t>MILWAUKEE ELEC TOOL 48 22 7224 Milwaukee 24 In. Aluminum Pipe Wrench</t>
        </is>
      </c>
      <c r="E935" s="2">
        <f>HYPERLINK("https://www.amazon.com/MILWAUKEE-48-22-7224-Milwaukee/dp/B01HOXID1I/ref=sr_1_5?keywords=Milwaukee+48-22-7214+14%22+Aluminum+Pipe+Wrench&amp;qid=1695174078&amp;sr=8-5", "https://www.amazon.com/MILWAUKEE-48-22-7224-Milwaukee/dp/B01HOXID1I/ref=sr_1_5?keywords=Milwaukee+48-22-7214+14%22+Aluminum+Pipe+Wrench&amp;qid=1695174078&amp;sr=8-5")</f>
        <v/>
      </c>
      <c r="F935" t="inlineStr">
        <is>
          <t>B01HOXID1I</t>
        </is>
      </c>
      <c r="G935">
        <f>_xludf.IMAGE("https://edmondsonsupply.com/cdn/shop/products/48-22-7218_2.png?v=1675700722")</f>
        <v/>
      </c>
      <c r="H935">
        <f>_xludf.IMAGE("https://m.media-amazon.com/images/I/7198DLJ590L._AC_UL320_.jpg")</f>
        <v/>
      </c>
      <c r="I935" t="inlineStr">
        <is>
          <t>49.97</t>
        </is>
      </c>
      <c r="J935" t="n">
        <v>94.98999999999999</v>
      </c>
      <c r="K935" s="3" t="inlineStr">
        <is>
          <t>90.09%</t>
        </is>
      </c>
      <c r="L935" t="n">
        <v>4.6</v>
      </c>
      <c r="M935" t="n">
        <v>44</v>
      </c>
      <c r="O935" t="inlineStr">
        <is>
          <t>InStock</t>
        </is>
      </c>
      <c r="P935" t="inlineStr">
        <is>
          <t>75.5</t>
        </is>
      </c>
      <c r="Q935" t="inlineStr">
        <is>
          <t>7940127719640</t>
        </is>
      </c>
    </row>
    <row r="936">
      <c r="A936" s="2">
        <f>HYPERLINK("https://edmondsonsupply.com/collections/electricians-tools/products/klein-tools-d2000-9ne-linemans-pliers-9-inch", "https://edmondsonsupply.com/collections/electricians-tools/products/klein-tools-d2000-9ne-linemans-pliers-9-inch")</f>
        <v/>
      </c>
      <c r="B936" s="2">
        <f>HYPERLINK("https://edmondsonsupply.com/products/klein-tools-d2000-9ne-linemans-pliers-9-inch", "https://edmondsonsupply.com/products/klein-tools-d2000-9ne-linemans-pliers-9-inch")</f>
        <v/>
      </c>
      <c r="C936" t="inlineStr">
        <is>
          <t>Klein Tools D2000-9NE Lineman's Pliers, 9-Inch</t>
        </is>
      </c>
      <c r="D936" t="inlineStr">
        <is>
          <t>Klein Tools D20009NEINS Insulated Lineman's Pliers with Dual Layer Insulation Exceeding tests and Flame and Impact Resistence, 9-Inch</t>
        </is>
      </c>
      <c r="E936" s="2">
        <f>HYPERLINK("https://www.amazon.com/Klein-Tools-D2000-9NE-INS-Insulated-Linemans/dp/B00093DXVQ/ref=sr_1_8?keywords=Klein+Tools+D2000-9NE+Linemans+Pliers%2C+9-Inch&amp;qid=1695174298&amp;sr=8-8", "https://www.amazon.com/Klein-Tools-D2000-9NE-INS-Insulated-Linemans/dp/B00093DXVQ/ref=sr_1_8?keywords=Klein+Tools+D2000-9NE+Linemans+Pliers%2C+9-Inch&amp;qid=1695174298&amp;sr=8-8")</f>
        <v/>
      </c>
      <c r="F936" t="inlineStr">
        <is>
          <t>B00093DXVQ</t>
        </is>
      </c>
      <c r="G936">
        <f>_xludf.IMAGE("https://edmondsonsupply.com/cdn/shop/products/d20009ne.jpg?v=1633030816")</f>
        <v/>
      </c>
      <c r="H936">
        <f>_xludf.IMAGE("https://m.media-amazon.com/images/I/41k4r6WrCiL._AC_UL320_.jpg")</f>
        <v/>
      </c>
      <c r="I936" t="inlineStr">
        <is>
          <t>39.99</t>
        </is>
      </c>
      <c r="J936" t="n">
        <v>75.87</v>
      </c>
      <c r="K936" s="3" t="inlineStr">
        <is>
          <t>89.72%</t>
        </is>
      </c>
      <c r="L936" t="n">
        <v>4.7</v>
      </c>
      <c r="M936" t="n">
        <v>242</v>
      </c>
      <c r="O936" t="inlineStr">
        <is>
          <t>InStock</t>
        </is>
      </c>
      <c r="P936" t="inlineStr">
        <is>
          <t>62.04</t>
        </is>
      </c>
      <c r="Q936" t="inlineStr">
        <is>
          <t>6070895411373</t>
        </is>
      </c>
    </row>
    <row r="937">
      <c r="A937" s="2">
        <f>HYPERLINK("https://edmondsonsupply.com/collections/electricians-tools/products/milwaukee-48-22-2859-demolition-driver", "https://edmondsonsupply.com/collections/electricians-tools/products/milwaukee-48-22-2859-demolition-driver")</f>
        <v/>
      </c>
      <c r="B937" s="2">
        <f>HYPERLINK("https://edmondsonsupply.com/products/milwaukee-48-22-2859-demolition-driver", "https://edmondsonsupply.com/products/milwaukee-48-22-2859-demolition-driver")</f>
        <v/>
      </c>
      <c r="C937" t="inlineStr">
        <is>
          <t>Milwaukee 48-22-2859 Demolition Driver</t>
        </is>
      </c>
      <c r="D937" t="inlineStr">
        <is>
          <t>For Milwaukee 48-22-2702 Tough Durable Demolition Screwdriver Set - 2 PC Length 14.35 in Width 1.7 in. Height 4.35 in.</t>
        </is>
      </c>
      <c r="E937" s="2">
        <f>HYPERLINK("https://www.amazon.com/Milwaukee-48-22-2702-Durable-Demolition-Screwdriver/dp/B0BYJLXHMN/ref=sr_1_2?keywords=Milwaukee+48-22-2859+Demolition+Driver&amp;qid=1695173855&amp;sr=8-2", "https://www.amazon.com/Milwaukee-48-22-2702-Durable-Demolition-Screwdriver/dp/B0BYJLXHMN/ref=sr_1_2?keywords=Milwaukee+48-22-2859+Demolition+Driver&amp;qid=1695173855&amp;sr=8-2")</f>
        <v/>
      </c>
      <c r="F937" t="inlineStr">
        <is>
          <t>B0BYJLXHMN</t>
        </is>
      </c>
      <c r="G937">
        <f>_xludf.IMAGE("https://edmondsonsupply.com/cdn/shop/products/48-22-2859_1.webp?v=1661549628")</f>
        <v/>
      </c>
      <c r="H937">
        <f>_xludf.IMAGE("https://m.media-amazon.com/images/I/41k8Y4OVmHL._AC_UL320_.jpg")</f>
        <v/>
      </c>
      <c r="I937" t="inlineStr">
        <is>
          <t>17.97</t>
        </is>
      </c>
      <c r="J937" t="n">
        <v>33.99</v>
      </c>
      <c r="K937" s="3" t="inlineStr">
        <is>
          <t>89.15%</t>
        </is>
      </c>
      <c r="L937" t="n">
        <v>5</v>
      </c>
      <c r="M937" t="n">
        <v>1</v>
      </c>
      <c r="O937" t="inlineStr">
        <is>
          <t>InStock</t>
        </is>
      </c>
      <c r="P937" t="inlineStr">
        <is>
          <t>30.0</t>
        </is>
      </c>
      <c r="Q937" t="inlineStr">
        <is>
          <t>7794952831192</t>
        </is>
      </c>
    </row>
    <row r="938">
      <c r="A938" s="2">
        <f>HYPERLINK("https://edmondsonsupply.com/collections/electricians-tools/products/klein-tools-605-4-1-4-inch-cabinet-tip-screwdriver-4-inch-shank", "https://edmondsonsupply.com/collections/electricians-tools/products/klein-tools-605-4-1-4-inch-cabinet-tip-screwdriver-4-inch-shank")</f>
        <v/>
      </c>
      <c r="B938" s="2">
        <f>HYPERLINK("https://edmondsonsupply.com/products/klein-tools-605-4-1-4-inch-cabinet-tip-screwdriver-4-inch-shank", "https://edmondsonsupply.com/products/klein-tools-605-4-1-4-inch-cabinet-tip-screwdriver-4-inch-shank")</f>
        <v/>
      </c>
      <c r="C938" t="inlineStr">
        <is>
          <t>Klein Tools 605-4 1/4-Inch Cabinet Tip Screwdriver 4-Inch Shank</t>
        </is>
      </c>
      <c r="D938" t="inlineStr">
        <is>
          <t>Klein Tools 601-4-INS Insulated Screwdriver, 3/16-Inch Cabinet Tip with 4-Inch Shank</t>
        </is>
      </c>
      <c r="E938" s="2">
        <f>HYPERLINK("https://www.amazon.com/Insulated-Screwdriver-Klein-Tools-601-4-INS/dp/B000LEBVIK/ref=sr_1_9?keywords=Klein+Tools+605-4+1%2F4-Inch+Cabinet+Tip+Screwdriver+4-Inch+Shank&amp;qid=1695174135&amp;sr=8-9", "https://www.amazon.com/Insulated-Screwdriver-Klein-Tools-601-4-INS/dp/B000LEBVIK/ref=sr_1_9?keywords=Klein+Tools+605-4+1%2F4-Inch+Cabinet+Tip+Screwdriver+4-Inch+Shank&amp;qid=1695174135&amp;sr=8-9")</f>
        <v/>
      </c>
      <c r="F938" t="inlineStr">
        <is>
          <t>B000LEBVIK</t>
        </is>
      </c>
      <c r="G938">
        <f>_xludf.IMAGE("https://edmondsonsupply.com/cdn/shop/products/605-6_ac5e56ca-920d-4d55-842f-c7dc8361f892.jpg?v=1665688377")</f>
        <v/>
      </c>
      <c r="H938">
        <f>_xludf.IMAGE("https://m.media-amazon.com/images/I/41SIcZZiIAL._AC_UL320_.jpg")</f>
        <v/>
      </c>
      <c r="I938" t="inlineStr">
        <is>
          <t>8.99</t>
        </is>
      </c>
      <c r="J938" t="n">
        <v>16.99</v>
      </c>
      <c r="K938" s="3" t="inlineStr">
        <is>
          <t>88.99%</t>
        </is>
      </c>
      <c r="L938" t="n">
        <v>4.8</v>
      </c>
      <c r="M938" t="n">
        <v>1064</v>
      </c>
      <c r="O938" t="inlineStr">
        <is>
          <t>InStock</t>
        </is>
      </c>
      <c r="P938" t="inlineStr">
        <is>
          <t>13.6</t>
        </is>
      </c>
      <c r="Q938" t="inlineStr">
        <is>
          <t>7852059132120</t>
        </is>
      </c>
    </row>
    <row r="939">
      <c r="A939" s="2">
        <f>HYPERLINK("https://edmondsonsupply.com/collections/electricians-tools/products/klein-tools-vdv526-200-lan-scout-%C2%AE-jr-2-cable-tester", "https://edmondsonsupply.com/collections/electricians-tools/products/klein-tools-vdv526-200-lan-scout-%C2%AE-jr-2-cable-tester")</f>
        <v/>
      </c>
      <c r="B939" s="2">
        <f>HYPERLINK("https://edmondsonsupply.com/products/klein-tools-vdv526-200-lan-scout-%c2%ae-jr-2-cable-tester", "https://edmondsonsupply.com/products/klein-tools-vdv526-200-lan-scout-%c2%ae-jr-2-cable-tester")</f>
        <v/>
      </c>
      <c r="C939" t="inlineStr">
        <is>
          <t>Klein Tools VDV526-200 LAN Scout ® Jr. 2 Cable Tester</t>
        </is>
      </c>
      <c r="D939" t="inlineStr">
        <is>
          <t>Klein Tools 80072 RJ45 Cable Tester Kit with LAN Scout Jr. 2, Coax Crimper / Stripper / Cutter Tool and Pass-Thru Modular Data Plug</t>
        </is>
      </c>
      <c r="E939" s="2">
        <f>HYPERLINK("https://www.amazon.com/Klein-Tools-80072-Stripper-Pass-Thru/dp/B09TPLNBQ2/ref=sr_1_9?keywords=Klein+Tools+VDV526-200+LAN+Scout+%C2%AE+Jr.+2+Cable+Tester&amp;qid=1695174153&amp;sr=8-9", "https://www.amazon.com/Klein-Tools-80072-Stripper-Pass-Thru/dp/B09TPLNBQ2/ref=sr_1_9?keywords=Klein+Tools+VDV526-200+LAN+Scout+%C2%AE+Jr.+2+Cable+Tester&amp;qid=1695174153&amp;sr=8-9")</f>
        <v/>
      </c>
      <c r="F939" t="inlineStr">
        <is>
          <t>B09TPLNBQ2</t>
        </is>
      </c>
      <c r="G939">
        <f>_xludf.IMAGE("https://edmondsonsupply.com/cdn/shop/products/vdv526200.jpg?v=1663689949")</f>
        <v/>
      </c>
      <c r="H939">
        <f>_xludf.IMAGE("https://m.media-amazon.com/images/I/61uYEWe2vLL._AC_UY218_.jpg")</f>
        <v/>
      </c>
      <c r="I939" t="inlineStr">
        <is>
          <t>54.97</t>
        </is>
      </c>
      <c r="J939" t="n">
        <v>103.78</v>
      </c>
      <c r="K939" s="3" t="inlineStr">
        <is>
          <t>88.79%</t>
        </is>
      </c>
      <c r="L939" t="n">
        <v>4.9</v>
      </c>
      <c r="M939" t="n">
        <v>97</v>
      </c>
      <c r="O939" t="inlineStr">
        <is>
          <t>InStock</t>
        </is>
      </c>
      <c r="P939" t="inlineStr">
        <is>
          <t>82.5</t>
        </is>
      </c>
      <c r="Q939" t="inlineStr">
        <is>
          <t>7823726182616</t>
        </is>
      </c>
    </row>
    <row r="940">
      <c r="A940" s="2">
        <f>HYPERLINK("https://edmondsonsupply.com/collections/electricians-tools/products/klein-tools-rt250-gfci-receptacle-tester-with-lcd", "https://edmondsonsupply.com/collections/electricians-tools/products/klein-tools-rt250-gfci-receptacle-tester-with-lcd")</f>
        <v/>
      </c>
      <c r="B940" s="2">
        <f>HYPERLINK("https://edmondsonsupply.com/products/klein-tools-rt250-gfci-receptacle-tester-with-lcd", "https://edmondsonsupply.com/products/klein-tools-rt250-gfci-receptacle-tester-with-lcd")</f>
        <v/>
      </c>
      <c r="C940" t="inlineStr">
        <is>
          <t>Klein Tools RT250 GFCI Receptacle Tester with LCD</t>
        </is>
      </c>
      <c r="D940" t="inlineStr">
        <is>
          <t>Klein Tools RT250 GFCI Receptacle Tester with LCD Display, for Standard 3-Wire 120V Electrical Outlets &amp; Finder Accessory Kit, Circuit Breaker Leads, Circuit Breaker Adapters Klein Tools 69411</t>
        </is>
      </c>
      <c r="E940" s="2">
        <f>HYPERLINK("https://www.amazon.com/Klein-Tools-Receptacle-Electrical-Accessory/dp/B09P83VQDK/ref=sr_1_3?keywords=Klein+Tools+RT250+GFCI+Receptacle+Tester+with+LCD&amp;qid=1695174176&amp;sr=8-3", "https://www.amazon.com/Klein-Tools-Receptacle-Electrical-Accessory/dp/B09P83VQDK/ref=sr_1_3?keywords=Klein+Tools+RT250+GFCI+Receptacle+Tester+with+LCD&amp;qid=1695174176&amp;sr=8-3")</f>
        <v/>
      </c>
      <c r="F940" t="inlineStr">
        <is>
          <t>B09P83VQDK</t>
        </is>
      </c>
      <c r="G940">
        <f>_xludf.IMAGE("https://edmondsonsupply.com/cdn/shop/products/rt250_photo_c.jpg?v=1661363824")</f>
        <v/>
      </c>
      <c r="H940">
        <f>_xludf.IMAGE("https://m.media-amazon.com/images/I/51Y6EmT5N-L._AC_UL320_.jpg")</f>
        <v/>
      </c>
      <c r="I940" t="inlineStr">
        <is>
          <t>21.97</t>
        </is>
      </c>
      <c r="J940" t="n">
        <v>41.4</v>
      </c>
      <c r="K940" s="3" t="inlineStr">
        <is>
          <t>88.44%</t>
        </is>
      </c>
      <c r="L940" t="n">
        <v>4.9</v>
      </c>
      <c r="M940" t="n">
        <v>20</v>
      </c>
      <c r="O940" t="inlineStr">
        <is>
          <t>InStock</t>
        </is>
      </c>
      <c r="P940" t="inlineStr">
        <is>
          <t>30.78</t>
        </is>
      </c>
      <c r="Q940" t="inlineStr">
        <is>
          <t>7793138729176</t>
        </is>
      </c>
    </row>
    <row r="941">
      <c r="A941" s="2">
        <f>HYPERLINK("https://edmondsonsupply.com/collections/electricians-tools/products/klein-tools-11045-wire-stripper-cutter-10-18-awg-solid", "https://edmondsonsupply.com/collections/electricians-tools/products/klein-tools-11045-wire-stripper-cutter-10-18-awg-solid")</f>
        <v/>
      </c>
      <c r="B941" s="2">
        <f>HYPERLINK("https://edmondsonsupply.com/products/klein-tools-11045-wire-stripper-cutter-10-18-awg-solid", "https://edmondsonsupply.com/products/klein-tools-11045-wire-stripper-cutter-10-18-awg-solid")</f>
        <v/>
      </c>
      <c r="C941" t="inlineStr">
        <is>
          <t>Klein Tools 11045 Wire Stripper/Cutter (10-18 AWG Solid)</t>
        </is>
      </c>
      <c r="D941" t="inlineStr">
        <is>
          <t>Klein Tools 11055RINS 1000V Insulated Klein Kurve Wire Stripper/Cutter Cuts and Strips 10-18 Solid and 12-20 Stranded AWG Wire, Orange</t>
        </is>
      </c>
      <c r="E941" s="2">
        <f>HYPERLINK("https://www.amazon.com/Klein-Tools-11055RINS-Insulated-Stripper/dp/B0BFZBQ9XF/ref=sr_1_10?keywords=Klein+Tools+11045+Wire+Stripper%2FCutter+%2810-18+AWG+Solid%29&amp;qid=1695174263&amp;sr=8-10", "https://www.amazon.com/Klein-Tools-11055RINS-Insulated-Stripper/dp/B0BFZBQ9XF/ref=sr_1_10?keywords=Klein+Tools+11045+Wire+Stripper%2FCutter+%2810-18+AWG+Solid%29&amp;qid=1695174263&amp;sr=8-10")</f>
        <v/>
      </c>
      <c r="F941" t="inlineStr">
        <is>
          <t>B0BFZBQ9XF</t>
        </is>
      </c>
      <c r="G941">
        <f>_xludf.IMAGE("https://edmondsonsupply.com/cdn/shop/products/11045.jpg?v=1633031022")</f>
        <v/>
      </c>
      <c r="H941">
        <f>_xludf.IMAGE("https://m.media-amazon.com/images/I/41Pemveg6bL._AC_UL320_.jpg")</f>
        <v/>
      </c>
      <c r="I941" t="inlineStr">
        <is>
          <t>15.97</t>
        </is>
      </c>
      <c r="J941" t="n">
        <v>29.97</v>
      </c>
      <c r="K941" s="3" t="inlineStr">
        <is>
          <t>87.66%</t>
        </is>
      </c>
      <c r="L941" t="n">
        <v>4.6</v>
      </c>
      <c r="M941" t="n">
        <v>55</v>
      </c>
      <c r="O941" t="inlineStr">
        <is>
          <t>InStock</t>
        </is>
      </c>
      <c r="P941" t="inlineStr">
        <is>
          <t>22.8</t>
        </is>
      </c>
      <c r="Q941" t="inlineStr">
        <is>
          <t>6712927027373</t>
        </is>
      </c>
    </row>
    <row r="942">
      <c r="A942" s="2">
        <f>HYPERLINK("https://edmondsonsupply.com/collections/electricians-tools/products/klein-tools-65064-2-in-1-hex-head-screwdriver-1-4-5-16", "https://edmondsonsupply.com/collections/electricians-tools/products/klein-tools-65064-2-in-1-hex-head-screwdriver-1-4-5-16")</f>
        <v/>
      </c>
      <c r="B942" s="2">
        <f>HYPERLINK("https://edmondsonsupply.com/products/klein-tools-65064-2-in-1-hex-head-screwdriver-1-4-5-16", "https://edmondsonsupply.com/products/klein-tools-65064-2-in-1-hex-head-screwdriver-1-4-5-16")</f>
        <v/>
      </c>
      <c r="C942" t="inlineStr">
        <is>
          <t>Klein Tools 65064 2-in-1 Nut Driver, Hex Head, 1/4-Inch and 5/16-Inch</t>
        </is>
      </c>
      <c r="D942" t="inlineStr">
        <is>
          <t>Klein Tools 32807MAG 7-in-1 Nut Driver, Magnetic Driver has SAE Hex Nut Sizes 1/4 to 9/16-Inch, Cushion Grip Handle for Added Torque</t>
        </is>
      </c>
      <c r="E942" s="2">
        <f>HYPERLINK("https://www.amazon.com/Driver-Magnetic-Klein-Tools-32807MAG/dp/B07D4M51DQ/ref=sr_1_9?keywords=Klein+Tools+65064+2-in-1+Nut+Driver%2C+Hex+Head%2C+1%2F4-Inch+and+5%2F16-Inch&amp;qid=1695173915&amp;sr=8-9", "https://www.amazon.com/Driver-Magnetic-Klein-Tools-32807MAG/dp/B07D4M51DQ/ref=sr_1_9?keywords=Klein+Tools+65064+2-in-1+Nut+Driver%2C+Hex+Head%2C+1%2F4-Inch+and+5%2F16-Inch&amp;qid=1695173915&amp;sr=8-9")</f>
        <v/>
      </c>
      <c r="F942" t="inlineStr">
        <is>
          <t>B07D4M51DQ</t>
        </is>
      </c>
      <c r="G942">
        <f>_xludf.IMAGE("https://edmondsonsupply.com/cdn/shop/products/65064.jpg?v=1587147719")</f>
        <v/>
      </c>
      <c r="H942">
        <f>_xludf.IMAGE("https://m.media-amazon.com/images/I/61gwAJBzDAL._AC_UL320_.jpg")</f>
        <v/>
      </c>
      <c r="I942" t="inlineStr">
        <is>
          <t>15.97</t>
        </is>
      </c>
      <c r="J942" t="n">
        <v>29.97</v>
      </c>
      <c r="K942" s="3" t="inlineStr">
        <is>
          <t>87.66%</t>
        </is>
      </c>
      <c r="L942" t="n">
        <v>4.7</v>
      </c>
      <c r="M942" t="n">
        <v>9161</v>
      </c>
      <c r="O942" t="inlineStr">
        <is>
          <t>InStock</t>
        </is>
      </c>
      <c r="P942" t="inlineStr">
        <is>
          <t>23.36</t>
        </is>
      </c>
      <c r="Q942" t="inlineStr">
        <is>
          <t>1707342889060</t>
        </is>
      </c>
    </row>
    <row r="943">
      <c r="A943" s="2">
        <f>HYPERLINK("https://edmondsonsupply.com/collections/electricians-tools/products/klein-tools-6866ins-insulated-screwdriver-5-16-inch-cabinet-tip-6-inch-shank", "https://edmondsonsupply.com/collections/electricians-tools/products/klein-tools-6866ins-insulated-screwdriver-5-16-inch-cabinet-tip-6-inch-shank")</f>
        <v/>
      </c>
      <c r="B943" s="2">
        <f>HYPERLINK("https://edmondsonsupply.com/products/klein-tools-6866ins-insulated-screwdriver-5-16-inch-cabinet-tip-6-inch-shank", "https://edmondsonsupply.com/products/klein-tools-6866ins-insulated-screwdriver-5-16-inch-cabinet-tip-6-inch-shank")</f>
        <v/>
      </c>
      <c r="C943" t="inlineStr">
        <is>
          <t>Klein Tools 6866INS Insulated Screwdriver, 5/16-Inch Cabinet Tip, 6-Inch Shank</t>
        </is>
      </c>
      <c r="D943" t="inlineStr">
        <is>
          <t>Klein Tools 602-7-INS Flathead Screwdriver, 5/16-Inch Cabinet Tip, Insulated, 7-Inch Shank</t>
        </is>
      </c>
      <c r="E943" s="2">
        <f>HYPERLINK("https://www.amazon.com/Screwdriver-Insulated-Klein-Tools-602-7-INS/dp/B00CQL8UM6/ref=sr_1_2?keywords=Klein+Tools+6866INS+Insulated+Screwdriver%2C+5%2F16-Inch+Cabinet+Tip%2C+6-Inch+Shank&amp;qid=1695174142&amp;sr=8-2", "https://www.amazon.com/Screwdriver-Insulated-Klein-Tools-602-7-INS/dp/B00CQL8UM6/ref=sr_1_2?keywords=Klein+Tools+6866INS+Insulated+Screwdriver%2C+5%2F16-Inch+Cabinet+Tip%2C+6-Inch+Shank&amp;qid=1695174142&amp;sr=8-2")</f>
        <v/>
      </c>
      <c r="F943" t="inlineStr">
        <is>
          <t>B00CQL8UM6</t>
        </is>
      </c>
      <c r="G943">
        <f>_xludf.IMAGE("https://edmondsonsupply.com/cdn/shop/products/6866ins.jpg?v=1664818689")</f>
        <v/>
      </c>
      <c r="H943">
        <f>_xludf.IMAGE("https://m.media-amazon.com/images/I/51yWIQxCstL._AC_UL320_.jpg")</f>
        <v/>
      </c>
      <c r="I943" t="inlineStr">
        <is>
          <t>11.97</t>
        </is>
      </c>
      <c r="J943" t="n">
        <v>22.46</v>
      </c>
      <c r="K943" s="3" t="inlineStr">
        <is>
          <t>87.64%</t>
        </is>
      </c>
      <c r="L943" t="n">
        <v>4.8</v>
      </c>
      <c r="M943" t="n">
        <v>1064</v>
      </c>
      <c r="O943" t="inlineStr">
        <is>
          <t>InStock</t>
        </is>
      </c>
      <c r="P943" t="inlineStr">
        <is>
          <t>17.98</t>
        </is>
      </c>
      <c r="Q943" t="inlineStr">
        <is>
          <t>7837748068568</t>
        </is>
      </c>
    </row>
    <row r="944">
      <c r="A944" s="2">
        <f>HYPERLINK("https://edmondsonsupply.com/collections/electricians-tools/products/klein-tools-51606", "https://edmondsonsupply.com/collections/electricians-tools/products/klein-tools-51606")</f>
        <v/>
      </c>
      <c r="B944" s="2">
        <f>HYPERLINK("https://edmondsonsupply.com/products/klein-tools-51606", "https://edmondsonsupply.com/products/klein-tools-51606")</f>
        <v/>
      </c>
      <c r="C944" t="inlineStr">
        <is>
          <t>Klein Tools 51606 Aluminum Conduit Bender Full Assembly, 1/2-Inch EMT with Angle Setter™</t>
        </is>
      </c>
      <c r="D944" t="inlineStr">
        <is>
          <t>Klein Tools 51604 Iron Conduit Bender Full Assembly, 3/4-Inch EMT and 1/2-Inch Rigid, Wide Foot Pedal, Benchmark Symbols and Angle Setter</t>
        </is>
      </c>
      <c r="E944" s="2">
        <f>HYPERLINK("https://www.amazon.com/Conduit-Features-Klein-Tools-51604/dp/B08V8YVWH1/ref=sr_1_6?keywords=Klein+Tools+51606+Aluminum+Conduit+Bender+Full+Assembly%2C+1%2F2-Inch+EMT+with+Angle+Setter%E2%84%A2&amp;qid=1695174158&amp;sr=8-6", "https://www.amazon.com/Conduit-Features-Klein-Tools-51604/dp/B08V8YVWH1/ref=sr_1_6?keywords=Klein+Tools+51606+Aluminum+Conduit+Bender+Full+Assembly%2C+1%2F2-Inch+EMT+with+Angle+Setter%E2%84%A2&amp;qid=1695174158&amp;sr=8-6")</f>
        <v/>
      </c>
      <c r="F944" t="inlineStr">
        <is>
          <t>B08V8YVWH1</t>
        </is>
      </c>
      <c r="G944">
        <f>_xludf.IMAGE("https://edmondsonsupply.com/cdn/shop/products/51606.jpg?v=1663942126")</f>
        <v/>
      </c>
      <c r="H944">
        <f>_xludf.IMAGE("https://m.media-amazon.com/images/I/41DkDVmyczL._AC_UL320_.jpg")</f>
        <v/>
      </c>
      <c r="I944" t="inlineStr">
        <is>
          <t>39.97</t>
        </is>
      </c>
      <c r="J944" t="n">
        <v>74.98999999999999</v>
      </c>
      <c r="K944" s="3" t="inlineStr">
        <is>
          <t>87.62%</t>
        </is>
      </c>
      <c r="L944" t="n">
        <v>4.8</v>
      </c>
      <c r="M944" t="n">
        <v>43</v>
      </c>
      <c r="O944" t="inlineStr">
        <is>
          <t>InStock</t>
        </is>
      </c>
      <c r="P944" t="inlineStr">
        <is>
          <t>55.98</t>
        </is>
      </c>
      <c r="Q944" t="inlineStr">
        <is>
          <t>7827248447704</t>
        </is>
      </c>
    </row>
    <row r="945">
      <c r="A945" s="2">
        <f>HYPERLINK("https://edmondsonsupply.com/collections/electricians-tools/products/klein-tools-69445-rare-earth-magnetic-hanger-no-strap", "https://edmondsonsupply.com/collections/electricians-tools/products/klein-tools-69445-rare-earth-magnetic-hanger-no-strap")</f>
        <v/>
      </c>
      <c r="B945" s="2">
        <f>HYPERLINK("https://edmondsonsupply.com/products/klein-tools-69445-rare-earth-magnetic-hanger-no-strap", "https://edmondsonsupply.com/products/klein-tools-69445-rare-earth-magnetic-hanger-no-strap")</f>
        <v/>
      </c>
      <c r="C945" t="inlineStr">
        <is>
          <t>Klein Tools 69445 Rare Earth Magnetic Hanger, no Strap</t>
        </is>
      </c>
      <c r="D945" t="inlineStr">
        <is>
          <t>Klein Tools 69417 Rare-Earth Magnetic Hanger, with Strap &amp; 69401 Multimeter Carrying Case</t>
        </is>
      </c>
      <c r="E945" s="2">
        <f>HYPERLINK("https://www.amazon.com/Klein-Tools-Rare-Earth-Magnetic-Multimeter/dp/B0BGJ66GX4/ref=sr_1_5?keywords=Klein+Tools+69445+Rare+Earth+Magnetic+Hanger%2C+no+Strap&amp;qid=1695173881&amp;sr=8-5", "https://www.amazon.com/Klein-Tools-Rare-Earth-Magnetic-Multimeter/dp/B0BGJ66GX4/ref=sr_1_5?keywords=Klein+Tools+69445+Rare+Earth+Magnetic+Hanger%2C+no+Strap&amp;qid=1695173881&amp;sr=8-5")</f>
        <v/>
      </c>
      <c r="F945" t="inlineStr">
        <is>
          <t>B0BGJ66GX4</t>
        </is>
      </c>
      <c r="G945">
        <f>_xludf.IMAGE("https://edmondsonsupply.com/cdn/shop/products/69445.jpg?v=1633030859")</f>
        <v/>
      </c>
      <c r="H945">
        <f>_xludf.IMAGE("https://m.media-amazon.com/images/I/51Em03gaEVL._AC_UL320_.jpg")</f>
        <v/>
      </c>
      <c r="I945" t="inlineStr">
        <is>
          <t>15.99</t>
        </is>
      </c>
      <c r="J945" t="n">
        <v>29.99</v>
      </c>
      <c r="K945" s="3" t="inlineStr">
        <is>
          <t>87.55%</t>
        </is>
      </c>
      <c r="L945" t="n">
        <v>5</v>
      </c>
      <c r="M945" t="n">
        <v>2</v>
      </c>
      <c r="O945" t="inlineStr">
        <is>
          <t>InStock</t>
        </is>
      </c>
      <c r="P945" t="inlineStr">
        <is>
          <t>22.84</t>
        </is>
      </c>
      <c r="Q945" t="inlineStr">
        <is>
          <t>6112025280685</t>
        </is>
      </c>
    </row>
    <row r="946">
      <c r="A946" s="2">
        <f>HYPERLINK("https://edmondsonsupply.com/collections/electricians-tools/products/klein-tools-60470-professional-full-frame-gasket-safety-glasses-clear-lens", "https://edmondsonsupply.com/collections/electricians-tools/products/klein-tools-60470-professional-full-frame-gasket-safety-glasses-clear-lens")</f>
        <v/>
      </c>
      <c r="B946" s="2">
        <f>HYPERLINK("https://edmondsonsupply.com/products/klein-tools-60470-professional-full-frame-gasket-safety-glasses-clear-lens", "https://edmondsonsupply.com/products/klein-tools-60470-professional-full-frame-gasket-safety-glasses-clear-lens")</f>
        <v/>
      </c>
      <c r="C946" t="inlineStr">
        <is>
          <t>Klein Tools 60470 Professional Full-Frame Gasket Safety Glasses, Clear Lens</t>
        </is>
      </c>
      <c r="D946" t="inlineStr">
        <is>
          <t>Klein Tools 60539 Safety Glasses, Professional PPE Protective Eyewear, Full Frame, Scratch Resistant and Anti-Fog, Polarized Lens</t>
        </is>
      </c>
      <c r="E946" s="2">
        <f>HYPERLINK("https://www.amazon.com/Klein-Tools-60539-Professional-Protective/dp/B0BLQ6F4MQ/ref=sr_1_8?keywords=Klein+Tools+60470+Professional+Full-Frame+Gasket+Safety+Glasses%2C+Clear+Lens&amp;qid=1695174156&amp;sr=8-8", "https://www.amazon.com/Klein-Tools-60539-Professional-Protective/dp/B0BLQ6F4MQ/ref=sr_1_8?keywords=Klein+Tools+60470+Professional+Full-Frame+Gasket+Safety+Glasses%2C+Clear+Lens&amp;qid=1695174156&amp;sr=8-8")</f>
        <v/>
      </c>
      <c r="F946" t="inlineStr">
        <is>
          <t>B0BLQ6F4MQ</t>
        </is>
      </c>
      <c r="G946">
        <f>_xludf.IMAGE("https://edmondsonsupply.com/cdn/shop/products/60470.jpg?v=1663260659")</f>
        <v/>
      </c>
      <c r="H946">
        <f>_xludf.IMAGE("https://m.media-amazon.com/images/I/41z93jotzdL._AC_UL320_.jpg")</f>
        <v/>
      </c>
      <c r="I946" t="inlineStr">
        <is>
          <t>15.99</t>
        </is>
      </c>
      <c r="J946" t="n">
        <v>29.99</v>
      </c>
      <c r="K946" s="3" t="inlineStr">
        <is>
          <t>87.55%</t>
        </is>
      </c>
      <c r="L946" t="n">
        <v>4.4</v>
      </c>
      <c r="M946" t="n">
        <v>11</v>
      </c>
      <c r="O946" t="inlineStr">
        <is>
          <t>InStock</t>
        </is>
      </c>
      <c r="P946" t="inlineStr">
        <is>
          <t>21.98</t>
        </is>
      </c>
      <c r="Q946" t="inlineStr">
        <is>
          <t>7817690677464</t>
        </is>
      </c>
    </row>
    <row r="947">
      <c r="A947" s="2">
        <f>HYPERLINK("https://edmondsonsupply.com/collections/electricians-tools/products/klein-tools-60471-professional-full-frame-gasket-safety-glasses-gray-lens", "https://edmondsonsupply.com/collections/electricians-tools/products/klein-tools-60471-professional-full-frame-gasket-safety-glasses-gray-lens")</f>
        <v/>
      </c>
      <c r="B947" s="2">
        <f>HYPERLINK("https://edmondsonsupply.com/products/klein-tools-60471-professional-full-frame-gasket-safety-glasses-gray-lens", "https://edmondsonsupply.com/products/klein-tools-60471-professional-full-frame-gasket-safety-glasses-gray-lens")</f>
        <v/>
      </c>
      <c r="C947" t="inlineStr">
        <is>
          <t>Klein Tools 60471 Professional Full-Frame Gasket Safety Glasses, Gray Lens</t>
        </is>
      </c>
      <c r="D947" t="inlineStr">
        <is>
          <t>Klein Tools 60539 Safety Glasses, Professional PPE Protective Eyewear, Full Frame, Scratch Resistant and Anti-Fog, Polarized Lens</t>
        </is>
      </c>
      <c r="E947" s="2">
        <f>HYPERLINK("https://www.amazon.com/Klein-Tools-60539-Professional-Protective/dp/B0BLQ6F4MQ/ref=sr_1_7?keywords=Klein+Tools+60471+Professional+Full-Frame+Gasket+Safety+Glasses%2C+Gray+Lens&amp;qid=1695174157&amp;sr=8-7", "https://www.amazon.com/Klein-Tools-60539-Professional-Protective/dp/B0BLQ6F4MQ/ref=sr_1_7?keywords=Klein+Tools+60471+Professional+Full-Frame+Gasket+Safety+Glasses%2C+Gray+Lens&amp;qid=1695174157&amp;sr=8-7")</f>
        <v/>
      </c>
      <c r="F947" t="inlineStr">
        <is>
          <t>B0BLQ6F4MQ</t>
        </is>
      </c>
      <c r="G947">
        <f>_xludf.IMAGE("https://edmondsonsupply.com/cdn/shop/products/60471.jpg?v=1663257501")</f>
        <v/>
      </c>
      <c r="H947">
        <f>_xludf.IMAGE("https://m.media-amazon.com/images/I/41z93jotzdL._AC_UL320_.jpg")</f>
        <v/>
      </c>
      <c r="I947" t="inlineStr">
        <is>
          <t>15.99</t>
        </is>
      </c>
      <c r="J947" t="n">
        <v>29.99</v>
      </c>
      <c r="K947" s="3" t="inlineStr">
        <is>
          <t>87.55%</t>
        </is>
      </c>
      <c r="L947" t="n">
        <v>4.4</v>
      </c>
      <c r="M947" t="n">
        <v>11</v>
      </c>
      <c r="O947" t="inlineStr">
        <is>
          <t>InStock</t>
        </is>
      </c>
      <c r="P947" t="inlineStr">
        <is>
          <t>21.98</t>
        </is>
      </c>
      <c r="Q947" t="inlineStr">
        <is>
          <t>7817587785944</t>
        </is>
      </c>
    </row>
    <row r="948">
      <c r="A948" s="2">
        <f>HYPERLINK("https://edmondsonsupply.com/collections/electricians-tools/products/klein-tools-51608-1-2-inch-iron-conduit-bender-head", "https://edmondsonsupply.com/collections/electricians-tools/products/klein-tools-51608-1-2-inch-iron-conduit-bender-head")</f>
        <v/>
      </c>
      <c r="B948" s="2">
        <f>HYPERLINK("https://edmondsonsupply.com/products/klein-tools-51608-1-2-inch-iron-conduit-bender-head", "https://edmondsonsupply.com/products/klein-tools-51608-1-2-inch-iron-conduit-bender-head")</f>
        <v/>
      </c>
      <c r="C948" t="inlineStr">
        <is>
          <t>Klein Tools 51608 1/2-inch Iron Conduit Bender Head</t>
        </is>
      </c>
      <c r="D948" t="inlineStr">
        <is>
          <t>Klein Tools 51610 Iron Conduit Bender Head, for 1-Inch EMT or 3/4-Inch Rigid IMC, use with Klein Tools Angle Setter (Cat. No. 51613)</t>
        </is>
      </c>
      <c r="E948" s="2">
        <f>HYPERLINK("https://www.amazon.com/Conduit-Bender-Klein-Tools-51610/dp/B08V8J5CX4/ref=sr_1_10?keywords=Klein+Tools+51608+1%2F2-inch+Iron+Conduit+Bender+Head&amp;qid=1695174222&amp;sr=8-10", "https://www.amazon.com/Conduit-Bender-Klein-Tools-51610/dp/B08V8J5CX4/ref=sr_1_10?keywords=Klein+Tools+51608+1%2F2-inch+Iron+Conduit+Bender+Head&amp;qid=1695174222&amp;sr=8-10")</f>
        <v/>
      </c>
      <c r="F948" t="inlineStr">
        <is>
          <t>B08V8J5CX4</t>
        </is>
      </c>
      <c r="G948">
        <f>_xludf.IMAGE("https://edmondsonsupply.com/cdn/shop/products/51608.jpg?v=1643679335")</f>
        <v/>
      </c>
      <c r="H948">
        <f>_xludf.IMAGE("https://m.media-amazon.com/images/I/61jmGqozuVL._AC_UL320_.jpg")</f>
        <v/>
      </c>
      <c r="I948" t="inlineStr">
        <is>
          <t>39.99</t>
        </is>
      </c>
      <c r="J948" t="n">
        <v>74.98999999999999</v>
      </c>
      <c r="K948" s="3" t="inlineStr">
        <is>
          <t>87.52%</t>
        </is>
      </c>
      <c r="L948" t="n">
        <v>4.8</v>
      </c>
      <c r="M948" t="n">
        <v>11</v>
      </c>
      <c r="O948" t="inlineStr">
        <is>
          <t>InStock</t>
        </is>
      </c>
      <c r="P948" t="inlineStr">
        <is>
          <t>60.66</t>
        </is>
      </c>
      <c r="Q948" t="inlineStr">
        <is>
          <t>7597417693400</t>
        </is>
      </c>
    </row>
    <row r="949">
      <c r="A949" s="2">
        <f>HYPERLINK("https://edmondsonsupply.com/collections/electricians-tools/products/klein-tools-51608-1-2-inch-iron-conduit-bender-head", "https://edmondsonsupply.com/collections/electricians-tools/products/klein-tools-51608-1-2-inch-iron-conduit-bender-head")</f>
        <v/>
      </c>
      <c r="B949" s="2">
        <f>HYPERLINK("https://edmondsonsupply.com/products/klein-tools-51608-1-2-inch-iron-conduit-bender-head", "https://edmondsonsupply.com/products/klein-tools-51608-1-2-inch-iron-conduit-bender-head")</f>
        <v/>
      </c>
      <c r="C949" t="inlineStr">
        <is>
          <t>Klein Tools 51608 1/2-inch Iron Conduit Bender Head</t>
        </is>
      </c>
      <c r="D949" t="inlineStr">
        <is>
          <t>Klein Tools 51604 Iron Conduit Bender Full Assembly, 3/4-Inch EMT and 1/2-Inch Rigid, Wide Foot Pedal, Benchmark Symbols and Angle Setter</t>
        </is>
      </c>
      <c r="E949" s="2">
        <f>HYPERLINK("https://www.amazon.com/Conduit-Features-Klein-Tools-51604/dp/B08V8YVWH1/ref=sr_1_5?keywords=Klein+Tools+51608+1%2F2-inch+Iron+Conduit+Bender+Head&amp;qid=1695174222&amp;sr=8-5", "https://www.amazon.com/Conduit-Features-Klein-Tools-51604/dp/B08V8YVWH1/ref=sr_1_5?keywords=Klein+Tools+51608+1%2F2-inch+Iron+Conduit+Bender+Head&amp;qid=1695174222&amp;sr=8-5")</f>
        <v/>
      </c>
      <c r="F949" t="inlineStr">
        <is>
          <t>B08V8YVWH1</t>
        </is>
      </c>
      <c r="G949">
        <f>_xludf.IMAGE("https://edmondsonsupply.com/cdn/shop/products/51608.jpg?v=1643679335")</f>
        <v/>
      </c>
      <c r="H949">
        <f>_xludf.IMAGE("https://m.media-amazon.com/images/I/41DkDVmyczL._AC_UL320_.jpg")</f>
        <v/>
      </c>
      <c r="I949" t="inlineStr">
        <is>
          <t>39.99</t>
        </is>
      </c>
      <c r="J949" t="n">
        <v>74.98999999999999</v>
      </c>
      <c r="K949" s="3" t="inlineStr">
        <is>
          <t>87.52%</t>
        </is>
      </c>
      <c r="L949" t="n">
        <v>4.8</v>
      </c>
      <c r="M949" t="n">
        <v>43</v>
      </c>
      <c r="O949" t="inlineStr">
        <is>
          <t>InStock</t>
        </is>
      </c>
      <c r="P949" t="inlineStr">
        <is>
          <t>60.66</t>
        </is>
      </c>
      <c r="Q949" t="inlineStr">
        <is>
          <t>7597417693400</t>
        </is>
      </c>
    </row>
    <row r="950">
      <c r="A950" s="2">
        <f>HYPERLINK("https://edmondsonsupply.com/collections/electricians-tools/products/klein-tools-31906-hole-saw-arbor-with-pins-7-16-inch", "https://edmondsonsupply.com/collections/electricians-tools/products/klein-tools-31906-hole-saw-arbor-with-pins-7-16-inch")</f>
        <v/>
      </c>
      <c r="B950" s="2">
        <f>HYPERLINK("https://edmondsonsupply.com/products/klein-tools-31906-hole-saw-arbor-with-pins-7-16-inch", "https://edmondsonsupply.com/products/klein-tools-31906-hole-saw-arbor-with-pins-7-16-inch")</f>
        <v/>
      </c>
      <c r="C950" t="inlineStr">
        <is>
          <t>Klein Tools 31906 Hole Saw Arbor With Pins, 7/16-Inch</t>
        </is>
      </c>
      <c r="D950" t="inlineStr">
        <is>
          <t>Klein Tools 31906 Hole Saw Arbor with Pins, 7/16-Inch and 31958 Bi-Metal Hole Saw, 3-5/8 Inch - Hole Saw Kit</t>
        </is>
      </c>
      <c r="E950" s="2">
        <f>HYPERLINK("https://www.amazon.com/Klein-Tools-31906-16-Inch-Bi-Metal/dp/B0BVGZ3GN2/ref=sr_1_2?keywords=Klein+Tools+31906+Hole+Saw+Arbor+With+Pins%2C+7%2F16-Inch&amp;qid=1695174136&amp;sr=8-2", "https://www.amazon.com/Klein-Tools-31906-16-Inch-Bi-Metal/dp/B0BVGZ3GN2/ref=sr_1_2?keywords=Klein+Tools+31906+Hole+Saw+Arbor+With+Pins%2C+7%2F16-Inch&amp;qid=1695174136&amp;sr=8-2")</f>
        <v/>
      </c>
      <c r="F950" t="inlineStr">
        <is>
          <t>B0BVGZ3GN2</t>
        </is>
      </c>
      <c r="G950">
        <f>_xludf.IMAGE("https://edmondsonsupply.com/cdn/shop/products/31906.jpg?v=1665670390")</f>
        <v/>
      </c>
      <c r="H950">
        <f>_xludf.IMAGE("https://m.media-amazon.com/images/I/21IcyNq4gsL._AC_UL320_.jpg")</f>
        <v/>
      </c>
      <c r="I950" t="inlineStr">
        <is>
          <t>15.99</t>
        </is>
      </c>
      <c r="J950" t="n">
        <v>29.98</v>
      </c>
      <c r="K950" s="3" t="inlineStr">
        <is>
          <t>87.49%</t>
        </is>
      </c>
      <c r="L950" t="n">
        <v>4.6</v>
      </c>
      <c r="M950" t="n">
        <v>406</v>
      </c>
      <c r="O950" t="inlineStr">
        <is>
          <t>InStock</t>
        </is>
      </c>
      <c r="P950" t="inlineStr">
        <is>
          <t>22.44</t>
        </is>
      </c>
      <c r="Q950" t="inlineStr">
        <is>
          <t>7851715494104</t>
        </is>
      </c>
    </row>
    <row r="951">
      <c r="A951" s="2">
        <f>HYPERLINK("https://edmondsonsupply.com/collections/electricians-tools/products/klein-tools-d2000-48-diagonal-cutting-pliers-angled-head-8-inch", "https://edmondsonsupply.com/collections/electricians-tools/products/klein-tools-d2000-48-diagonal-cutting-pliers-angled-head-8-inch")</f>
        <v/>
      </c>
      <c r="B951" s="2">
        <f>HYPERLINK("https://edmondsonsupply.com/products/klein-tools-d2000-48-diagonal-cutting-pliers-angled-head-8-inch", "https://edmondsonsupply.com/products/klein-tools-d2000-48-diagonal-cutting-pliers-angled-head-8-inch")</f>
        <v/>
      </c>
      <c r="C951" t="inlineStr">
        <is>
          <t>Klein Tools D2000-48 Diagonal Cutting Pliers, Angled Head, 8-Inch</t>
        </is>
      </c>
      <c r="D951" t="inlineStr">
        <is>
          <t>Klein Tools D2000-48-INS Pliers, Insulated Heavy-Duty Diagonal Cutting Pliers with Angled Head and 1000V Rated Insulated Grips, 8-Inch</t>
        </is>
      </c>
      <c r="E951" s="2">
        <f>HYPERLINK("https://www.amazon.com/Klein-Tools-D2000-48-INS-Insulated-Leverage/dp/B000LDFIVC/ref=sr_1_4?keywords=Klein+Tools+D2000-48+Diagonal+Cutting+Pliers%2C+Angled+Head%2C+8-Inch&amp;qid=1695174171&amp;sr=8-4", "https://www.amazon.com/Klein-Tools-D2000-48-INS-Insulated-Leverage/dp/B000LDFIVC/ref=sr_1_4?keywords=Klein+Tools+D2000-48+Diagonal+Cutting+Pliers%2C+Angled+Head%2C+8-Inch&amp;qid=1695174171&amp;sr=8-4")</f>
        <v/>
      </c>
      <c r="F951" t="inlineStr">
        <is>
          <t>B000LDFIVC</t>
        </is>
      </c>
      <c r="G951">
        <f>_xludf.IMAGE("https://edmondsonsupply.com/cdn/shop/products/d200048.jpg?v=1660920588")</f>
        <v/>
      </c>
      <c r="H951">
        <f>_xludf.IMAGE("https://m.media-amazon.com/images/I/51D7A8E7ncL._AC_UL320_.jpg")</f>
        <v/>
      </c>
      <c r="I951" t="inlineStr">
        <is>
          <t>34.97</t>
        </is>
      </c>
      <c r="J951" t="n">
        <v>65.28</v>
      </c>
      <c r="K951" s="3" t="inlineStr">
        <is>
          <t>86.67%</t>
        </is>
      </c>
      <c r="L951" t="n">
        <v>4.8</v>
      </c>
      <c r="M951" t="n">
        <v>111</v>
      </c>
      <c r="O951" t="inlineStr">
        <is>
          <t>InStock</t>
        </is>
      </c>
      <c r="P951" t="inlineStr">
        <is>
          <t>49.78</t>
        </is>
      </c>
      <c r="Q951" t="inlineStr">
        <is>
          <t>7786125164760</t>
        </is>
      </c>
    </row>
    <row r="952">
      <c r="A952" s="2">
        <f>HYPERLINK("https://edmondsonsupply.com/collections/electricians-tools/products/klein-tools-j12098-8-journeyman-high-leverage-universal-combination-pliers", "https://edmondsonsupply.com/collections/electricians-tools/products/klein-tools-j12098-8-journeyman-high-leverage-universal-combination-pliers")</f>
        <v/>
      </c>
      <c r="B952" s="2">
        <f>HYPERLINK("https://edmondsonsupply.com/products/klein-tools-j12098-8-journeyman-high-leverage-universal-combination-pliers", "https://edmondsonsupply.com/products/klein-tools-j12098-8-journeyman-high-leverage-universal-combination-pliers")</f>
        <v/>
      </c>
      <c r="C952" t="inlineStr">
        <is>
          <t>Klein Tools J12098 Journeyman Universal Combination Pliers</t>
        </is>
      </c>
      <c r="D952" t="inlineStr">
        <is>
          <t>Klein Tools 12098-INS Insulated Universal Combination Pliers, Side Cutters with Crimper, 8-Inch</t>
        </is>
      </c>
      <c r="E952" s="2">
        <f>HYPERLINK("https://www.amazon.com/Insulated-Combination-Klein-Tools-12098-INS/dp/B0002RI4V8/ref=sr_1_3?keywords=Klein+Tools+J12098+Journeyman+Universal+Combination+Pliers&amp;qid=1695173909&amp;sr=8-3", "https://www.amazon.com/Insulated-Combination-Klein-Tools-12098-INS/dp/B0002RI4V8/ref=sr_1_3?keywords=Klein+Tools+J12098+Journeyman+Universal+Combination+Pliers&amp;qid=1695173909&amp;sr=8-3")</f>
        <v/>
      </c>
      <c r="F952" t="inlineStr">
        <is>
          <t>B0002RI4V8</t>
        </is>
      </c>
      <c r="G952">
        <f>_xludf.IMAGE("https://edmondsonsupply.com/cdn/shop/products/j12098.jpg?v=1587142847")</f>
        <v/>
      </c>
      <c r="H952">
        <f>_xludf.IMAGE("https://m.media-amazon.com/images/I/51I3JjFrgcL._AC_UL320_.jpg")</f>
        <v/>
      </c>
      <c r="I952" t="inlineStr">
        <is>
          <t>34.99</t>
        </is>
      </c>
      <c r="J952" t="n">
        <v>64.98999999999999</v>
      </c>
      <c r="K952" s="3" t="inlineStr">
        <is>
          <t>85.74%</t>
        </is>
      </c>
      <c r="L952" t="n">
        <v>5</v>
      </c>
      <c r="M952" t="n">
        <v>10</v>
      </c>
      <c r="O952" t="inlineStr">
        <is>
          <t>InStock</t>
        </is>
      </c>
      <c r="P952" t="inlineStr">
        <is>
          <t>50.4</t>
        </is>
      </c>
      <c r="Q952" t="inlineStr">
        <is>
          <t>1989504860260</t>
        </is>
      </c>
    </row>
    <row r="953">
      <c r="A953" s="2">
        <f>HYPERLINK("https://edmondsonsupply.com/collections/electricians-tools/products/crescent-tools-cx6dbs2-2-pc-x6%E2%84%A2-4-in-1-black-oxide-spline-ratcheting-sae-wrench-set", "https://edmondsonsupply.com/collections/electricians-tools/products/crescent-tools-cx6dbs2-2-pc-x6%E2%84%A2-4-in-1-black-oxide-spline-ratcheting-sae-wrench-set")</f>
        <v/>
      </c>
      <c r="B953" s="2">
        <f>HYPERLINK("https://edmondsonsupply.com/products/crescent-tools-cx6dbs2-2-pc-x6%e2%84%a2-4-in-1-black-oxide-spline-ratcheting-sae-wrench-set", "https://edmondsonsupply.com/products/crescent-tools-cx6dbs2-2-pc-x6%e2%84%a2-4-in-1-black-oxide-spline-ratcheting-sae-wrench-set")</f>
        <v/>
      </c>
      <c r="C953" t="inlineStr">
        <is>
          <t>Crescent Tools CX6DBS2 2 Pc. X6™ 4-in-1 Black Oxide Spline Ratcheting SAE Wrench Set</t>
        </is>
      </c>
      <c r="D953" t="inlineStr">
        <is>
          <t>Crescent 2 Pc. X6™ 4-in-1 Black Oxide Spline Ratcheting SAE Wrench Set - CX6DBS2 and Crescent 7 Pc. X6™ Black Oxide Spline Open End Ratcheting Combination SAE Wrench Set - CX6RWS7</t>
        </is>
      </c>
      <c r="E953" s="2">
        <f>HYPERLINK("https://www.amazon.com/Crescent-Black-Spline-Ratcheting-Wrench/dp/B0886TQZTW/ref=sr_1_2?keywords=Crescent+Tools+CX6DBS2+2+Pc.+X6%E2%84%A2+4-in-1+Black+Oxide+Spline+Ratcheting+SAE+Wrench+Set&amp;qid=1695174022&amp;sr=8-2", "https://www.amazon.com/Crescent-Black-Spline-Ratcheting-Wrench/dp/B0886TQZTW/ref=sr_1_2?keywords=Crescent+Tools+CX6DBS2+2+Pc.+X6%E2%84%A2+4-in-1+Black+Oxide+Spline+Ratcheting+SAE+Wrench+Set&amp;qid=1695174022&amp;sr=8-2")</f>
        <v/>
      </c>
      <c r="F953" t="inlineStr">
        <is>
          <t>B0886TQZTW</t>
        </is>
      </c>
      <c r="G953">
        <f>_xludf.IMAGE("https://edmondsonsupply.com/cdn/shop/products/CRS_CX6DBS2_FRNT_MAIN.jpg?v=1681319485")</f>
        <v/>
      </c>
      <c r="H953">
        <f>_xludf.IMAGE("https://m.media-amazon.com/images/I/61StFxPJl+L._AC_UL320_.jpg")</f>
        <v/>
      </c>
      <c r="I953" t="inlineStr">
        <is>
          <t>33.98</t>
        </is>
      </c>
      <c r="J953" t="n">
        <v>63.08</v>
      </c>
      <c r="K953" s="3" t="inlineStr">
        <is>
          <t>85.64%</t>
        </is>
      </c>
      <c r="L953" t="n">
        <v>4.5</v>
      </c>
      <c r="M953" t="n">
        <v>7</v>
      </c>
      <c r="O953" t="inlineStr">
        <is>
          <t>InStock</t>
        </is>
      </c>
      <c r="P953" t="inlineStr">
        <is>
          <t>60.67</t>
        </is>
      </c>
      <c r="Q953" t="inlineStr">
        <is>
          <t>7977587376344</t>
        </is>
      </c>
    </row>
    <row r="954">
      <c r="A954" s="2">
        <f>HYPERLINK("https://edmondsonsupply.com/collections/electricians-tools/products/klein-tools-6824ins-insulated-screwdriver-1-4-inch-cabinet-tip-4-inch-round-shank", "https://edmondsonsupply.com/collections/electricians-tools/products/klein-tools-6824ins-insulated-screwdriver-1-4-inch-cabinet-tip-4-inch-round-shank")</f>
        <v/>
      </c>
      <c r="B954" s="2">
        <f>HYPERLINK("https://edmondsonsupply.com/products/klein-tools-6824ins-insulated-screwdriver-1-4-inch-cabinet-tip-4-inch-round-shank", "https://edmondsonsupply.com/products/klein-tools-6824ins-insulated-screwdriver-1-4-inch-cabinet-tip-4-inch-round-shank")</f>
        <v/>
      </c>
      <c r="C954" t="inlineStr">
        <is>
          <t>Klein Tools 6824INS Insulated Screwdriver, 1/4-Inch Cabinet Tip, 4-Inch Round Shank</t>
        </is>
      </c>
      <c r="D954" t="inlineStr">
        <is>
          <t>Klein Tools 601-4-INS Insulated Screwdriver, 3/16-Inch Cabinet Tip with 4-Inch Shank</t>
        </is>
      </c>
      <c r="E954" s="2">
        <f>HYPERLINK("https://www.amazon.com/Insulated-Screwdriver-Klein-Tools-601-4-INS/dp/B000LEBVIK/ref=sr_1_4?keywords=Klein+Tools+6824INS+Insulated+Screwdriver%2C+1%2F4-Inch+Cabinet+Tip%2C+4-Inch+Round+Shank&amp;qid=1695174148&amp;sr=8-4", "https://www.amazon.com/Insulated-Screwdriver-Klein-Tools-601-4-INS/dp/B000LEBVIK/ref=sr_1_4?keywords=Klein+Tools+6824INS+Insulated+Screwdriver%2C+1%2F4-Inch+Cabinet+Tip%2C+4-Inch+Round+Shank&amp;qid=1695174148&amp;sr=8-4")</f>
        <v/>
      </c>
      <c r="F954" t="inlineStr">
        <is>
          <t>B000LEBVIK</t>
        </is>
      </c>
      <c r="G954">
        <f>_xludf.IMAGE("https://edmondsonsupply.com/cdn/shop/products/6824ins.jpg?v=1664813487")</f>
        <v/>
      </c>
      <c r="H954">
        <f>_xludf.IMAGE("https://m.media-amazon.com/images/I/41SIcZZiIAL._AC_UL320_.jpg")</f>
        <v/>
      </c>
      <c r="I954" t="inlineStr">
        <is>
          <t>9.97</t>
        </is>
      </c>
      <c r="J954" t="n">
        <v>18.49</v>
      </c>
      <c r="K954" s="3" t="inlineStr">
        <is>
          <t>85.46%</t>
        </is>
      </c>
      <c r="L954" t="n">
        <v>4.8</v>
      </c>
      <c r="M954" t="n">
        <v>1064</v>
      </c>
      <c r="O954" t="inlineStr">
        <is>
          <t>InStock</t>
        </is>
      </c>
      <c r="P954" t="inlineStr">
        <is>
          <t>15.72</t>
        </is>
      </c>
      <c r="Q954" t="inlineStr">
        <is>
          <t>7837703471320</t>
        </is>
      </c>
    </row>
    <row r="955">
      <c r="A955" s="2">
        <f>HYPERLINK("https://edmondsonsupply.com/collections/electricians-tools/products/komelon-7325-25-x-1-maggrip%E2%84%A2-speedmark%E2%84%A2-magnetic-tape-measure", "https://edmondsonsupply.com/collections/electricians-tools/products/komelon-7325-25-x-1-maggrip%E2%84%A2-speedmark%E2%84%A2-magnetic-tape-measure")</f>
        <v/>
      </c>
      <c r="B955" s="2">
        <f>HYPERLINK("https://edmondsonsupply.com/products/komelon-7325-25-x-1-maggrip%e2%84%a2-speedmark%e2%84%a2-magnetic-tape-measure", "https://edmondsonsupply.com/products/komelon-7325-25-x-1-maggrip%e2%84%a2-speedmark%e2%84%a2-magnetic-tape-measure")</f>
        <v/>
      </c>
      <c r="C955" t="inlineStr">
        <is>
          <t>Komelon 7325 25' X 1" MagGrip™ SpeedMark™, Magnetic Tape Measure</t>
        </is>
      </c>
      <c r="D955" t="inlineStr">
        <is>
          <t>Komelon 7125IE; 25' x 1" Magnetic MagGrip Pro Tape Measure with Inch/Engineer Scale, Yellow/Black</t>
        </is>
      </c>
      <c r="E955" s="2">
        <f>HYPERLINK("https://www.amazon.com/Komelon-7125IE-Engineer-Measuring-Magnetic/dp/B0013L8E8U/ref=sr_1_4?keywords=Komelon+7325+25%27+X+1%22+MagGrip%E2%84%A2+SpeedMark%E2%84%A2%2C+Magnetic+Tape+Measure&amp;qid=1695174274&amp;sr=8-4", "https://www.amazon.com/Komelon-7125IE-Engineer-Measuring-Magnetic/dp/B0013L8E8U/ref=sr_1_4?keywords=Komelon+7325+25%27+X+1%22+MagGrip%E2%84%A2+SpeedMark%E2%84%A2%2C+Magnetic+Tape+Measure&amp;qid=1695174274&amp;sr=8-4")</f>
        <v/>
      </c>
      <c r="F955" t="inlineStr">
        <is>
          <t>B0013L8E8U</t>
        </is>
      </c>
      <c r="G955">
        <f>_xludf.IMAGE("https://edmondsonsupply.com/cdn/shop/products/7325_angleExtended.jpg?v=1633030981")</f>
        <v/>
      </c>
      <c r="H955">
        <f>_xludf.IMAGE("https://m.media-amazon.com/images/I/81rg3hEgjpL._AC_UL320_.jpg")</f>
        <v/>
      </c>
      <c r="I955" t="inlineStr">
        <is>
          <t>13.99</t>
        </is>
      </c>
      <c r="J955" t="n">
        <v>25.7</v>
      </c>
      <c r="K955" s="3" t="inlineStr">
        <is>
          <t>83.70%</t>
        </is>
      </c>
      <c r="L955" t="n">
        <v>4.6</v>
      </c>
      <c r="M955" t="n">
        <v>1534</v>
      </c>
      <c r="O955" t="inlineStr">
        <is>
          <t>InStock</t>
        </is>
      </c>
      <c r="P955" t="inlineStr">
        <is>
          <t>undefined</t>
        </is>
      </c>
      <c r="Q955" t="inlineStr">
        <is>
          <t>6652039692461</t>
        </is>
      </c>
    </row>
    <row r="956">
      <c r="A956" s="2">
        <f>HYPERLINK("https://edmondsonsupply.com/collections/electricians-tools/products/klein-tools-635-1-4-1-4-inch-nut-driver-magnetic-tip-4-inch-shaft", "https://edmondsonsupply.com/collections/electricians-tools/products/klein-tools-635-1-4-1-4-inch-nut-driver-magnetic-tip-4-inch-shaft")</f>
        <v/>
      </c>
      <c r="B956" s="2">
        <f>HYPERLINK("https://edmondsonsupply.com/products/klein-tools-635-1-4-1-4-inch-nut-driver-magnetic-tip-4-inch-shaft", "https://edmondsonsupply.com/products/klein-tools-635-1-4-1-4-inch-nut-driver-magnetic-tip-4-inch-shaft")</f>
        <v/>
      </c>
      <c r="C956" t="inlineStr">
        <is>
          <t>Klein Tools 635-1/4 1/4-Inch Nut Driver, Magnetic Tip, 4-Inch Shaft</t>
        </is>
      </c>
      <c r="D956" t="inlineStr">
        <is>
          <t>Klein Tools 646-1/4-INS Insulated 1/4-Inch Nut Driver with 6-Inch Hollow Shaft and Cushion Grip Handle</t>
        </is>
      </c>
      <c r="E956" s="2">
        <f>HYPERLINK("https://www.amazon.com/Insulated-Klein-Tools-646-1-4-INS/dp/B000MKMH5O/ref=sr_1_6?keywords=Klein+Tools+635-1%2F4+1%2F4-Inch+Nut+Driver%2C+Magnetic+Tip%2C+4-Inch+Shaft&amp;qid=1695174156&amp;sr=8-6", "https://www.amazon.com/Insulated-Klein-Tools-646-1-4-INS/dp/B000MKMH5O/ref=sr_1_6?keywords=Klein+Tools+635-1%2F4+1%2F4-Inch+Nut+Driver%2C+Magnetic+Tip%2C+4-Inch+Shaft&amp;qid=1695174156&amp;sr=8-6")</f>
        <v/>
      </c>
      <c r="F956" t="inlineStr">
        <is>
          <t>B000MKMH5O</t>
        </is>
      </c>
      <c r="G956">
        <f>_xludf.IMAGE("https://edmondsonsupply.com/cdn/shop/products/635-1-4.jpg?v=1666811523")</f>
        <v/>
      </c>
      <c r="H956">
        <f>_xludf.IMAGE("https://m.media-amazon.com/images/I/41Nr0vSgHCL._AC_UL320_.jpg")</f>
        <v/>
      </c>
      <c r="I956" t="inlineStr">
        <is>
          <t>11.99</t>
        </is>
      </c>
      <c r="J956" t="n">
        <v>22.02</v>
      </c>
      <c r="K956" s="3" t="inlineStr">
        <is>
          <t>83.65%</t>
        </is>
      </c>
      <c r="L956" t="n">
        <v>4.7</v>
      </c>
      <c r="M956" t="n">
        <v>274</v>
      </c>
      <c r="O956" t="inlineStr">
        <is>
          <t>InStock</t>
        </is>
      </c>
      <c r="P956" t="inlineStr">
        <is>
          <t>18.18</t>
        </is>
      </c>
      <c r="Q956" t="inlineStr">
        <is>
          <t>7866294010072</t>
        </is>
      </c>
    </row>
    <row r="957">
      <c r="A957" s="2">
        <f>HYPERLINK("https://edmondsonsupply.com/collections/electricians-tools/products/klein-tools-65064-2-in-1-hex-head-screwdriver-1-4-5-16", "https://edmondsonsupply.com/collections/electricians-tools/products/klein-tools-65064-2-in-1-hex-head-screwdriver-1-4-5-16")</f>
        <v/>
      </c>
      <c r="B957" s="2">
        <f>HYPERLINK("https://edmondsonsupply.com/products/klein-tools-65064-2-in-1-hex-head-screwdriver-1-4-5-16", "https://edmondsonsupply.com/products/klein-tools-65064-2-in-1-hex-head-screwdriver-1-4-5-16")</f>
        <v/>
      </c>
      <c r="C957" t="inlineStr">
        <is>
          <t>Klein Tools 65064 2-in-1 Nut Driver, Hex Head, 1/4-Inch and 5/16-Inch</t>
        </is>
      </c>
      <c r="D957" t="inlineStr">
        <is>
          <t>Melnor 65173AMZ RelaxGrip 8 Pattern 16" Pivoting Wand Bundle, Metal, Black, Yellow &amp; Klein Tools 65064 Hex Head 2-in-1 Nut Driver, 1/4-Inch and 5/16-Inch</t>
        </is>
      </c>
      <c r="E957" s="2">
        <f>HYPERLINK("https://www.amazon.com/Melnor-65173AMZ-RelaxGrip-Pattern-Pivoting/dp/B0C6QZGPMM/ref=sr_1_2?keywords=Klein+Tools+65064+2-in-1+Nut+Driver%2C+Hex+Head%2C+1%2F4-Inch+and+5%2F16-Inch&amp;qid=1695173915&amp;sr=8-2", "https://www.amazon.com/Melnor-65173AMZ-RelaxGrip-Pattern-Pivoting/dp/B0C6QZGPMM/ref=sr_1_2?keywords=Klein+Tools+65064+2-in-1+Nut+Driver%2C+Hex+Head%2C+1%2F4-Inch+and+5%2F16-Inch&amp;qid=1695173915&amp;sr=8-2")</f>
        <v/>
      </c>
      <c r="F957" t="inlineStr">
        <is>
          <t>B0C6QZGPMM</t>
        </is>
      </c>
      <c r="G957">
        <f>_xludf.IMAGE("https://edmondsonsupply.com/cdn/shop/products/65064.jpg?v=1587147719")</f>
        <v/>
      </c>
      <c r="H957">
        <f>_xludf.IMAGE("https://m.media-amazon.com/images/I/41ISu9RCylL._AC_UL320_.jpg")</f>
        <v/>
      </c>
      <c r="I957" t="inlineStr">
        <is>
          <t>15.97</t>
        </is>
      </c>
      <c r="J957" t="n">
        <v>29.3</v>
      </c>
      <c r="K957" s="3" t="inlineStr">
        <is>
          <t>83.47%</t>
        </is>
      </c>
      <c r="L957" t="n">
        <v>4.4</v>
      </c>
      <c r="M957" t="n">
        <v>324</v>
      </c>
      <c r="O957" t="inlineStr">
        <is>
          <t>InStock</t>
        </is>
      </c>
      <c r="P957" t="inlineStr">
        <is>
          <t>23.36</t>
        </is>
      </c>
      <c r="Q957" t="inlineStr">
        <is>
          <t>1707342889060</t>
        </is>
      </c>
    </row>
    <row r="958">
      <c r="A958" s="2">
        <f>HYPERLINK("https://edmondsonsupply.com/collections/electricians-tools/products/diablo-tools-dag", "https://edmondsonsupply.com/collections/electricians-tools/products/diablo-tools-dag")</f>
        <v/>
      </c>
      <c r="B958" s="2">
        <f>HYPERLINK("https://edmondsonsupply.com/products/diablo-tools-dag", "https://edmondsonsupply.com/products/diablo-tools-dag")</f>
        <v/>
      </c>
      <c r="C958" t="inlineStr">
        <is>
          <t>Diablo Tools DAG3010 3/8 in. x 17-1/2 in. Auger Bit</t>
        </is>
      </c>
      <c r="D958" t="inlineStr">
        <is>
          <t>Diablo 7/8 in. x 17-1/2 in. Auger Bit</t>
        </is>
      </c>
      <c r="E958" s="2">
        <f>HYPERLINK("https://www.amazon.com/Diablo-17-1-Auger-Bit/dp/B089LG8GYB/ref=sr_1_8?keywords=Diablo+Tools+DAG3010+3%2F8+in.+x+17-1%2F2+in.+Auger+Bit&amp;qid=1695174114&amp;sr=8-8", "https://www.amazon.com/Diablo-17-1-Auger-Bit/dp/B089LG8GYB/ref=sr_1_8?keywords=Diablo+Tools+DAG3010+3%2F8+in.+x+17-1%2F2+in.+Auger+Bit&amp;qid=1695174114&amp;sr=8-8")</f>
        <v/>
      </c>
      <c r="F958" t="inlineStr">
        <is>
          <t>B089LG8GYB</t>
        </is>
      </c>
      <c r="G958">
        <f>_xludf.IMAGE("https://edmondsonsupply.com/cdn/shop/products/xfctdbahz5wx3g461fm8.webp?v=1669991052")</f>
        <v/>
      </c>
      <c r="H958">
        <f>_xludf.IMAGE("https://m.media-amazon.com/images/I/61QXZJGNQTL._AC_UL320_.jpg")</f>
        <v/>
      </c>
      <c r="I958" t="inlineStr">
        <is>
          <t>17.47</t>
        </is>
      </c>
      <c r="J958" t="n">
        <v>31.99</v>
      </c>
      <c r="K958" s="3" t="inlineStr">
        <is>
          <t>83.11%</t>
        </is>
      </c>
      <c r="L958" t="n">
        <v>4.3</v>
      </c>
      <c r="M958" t="n">
        <v>29</v>
      </c>
      <c r="O958" t="inlineStr">
        <is>
          <t>InStock</t>
        </is>
      </c>
      <c r="P958" t="inlineStr">
        <is>
          <t>25.04</t>
        </is>
      </c>
      <c r="Q958" t="inlineStr">
        <is>
          <t>7897480921304</t>
        </is>
      </c>
    </row>
    <row r="959">
      <c r="A959" s="2">
        <f>HYPERLINK("https://edmondsonsupply.com/collections/electricians-tools/products/klein-tools-et310-digital-circuit-breaker-finder-with-gfci-outlet-tester", "https://edmondsonsupply.com/collections/electricians-tools/products/klein-tools-et310-digital-circuit-breaker-finder-with-gfci-outlet-tester")</f>
        <v/>
      </c>
      <c r="B959" s="2">
        <f>HYPERLINK("https://edmondsonsupply.com/products/klein-tools-et310-digital-circuit-breaker-finder-with-gfci-outlet-tester", "https://edmondsonsupply.com/products/klein-tools-et310-digital-circuit-breaker-finder-with-gfci-outlet-tester")</f>
        <v/>
      </c>
      <c r="C959" t="inlineStr">
        <is>
          <t>Klein Tools ET310 Digital Circuit Breaker Finder with GFCI Outlet Tester</t>
        </is>
      </c>
      <c r="D959" t="inlineStr">
        <is>
          <t>Klein Tools ET310 AC Circuit Breaker Finder, Electric Tester with Integrated GFCI Outlet Tester &amp; RT250 GFCI Outlet Tester with LCD Display &amp; Klein Tools 69411 Circuit Breaker Finder Accessory Kit</t>
        </is>
      </c>
      <c r="E959" s="2">
        <f>HYPERLINK("https://www.amazon.com/Klein-Tools-Electric-Integrated-Accessory/dp/B0C9999Y7J/ref=sr_1_5?keywords=Klein+Tools+ET310+Digital+Circuit+Breaker+Finder+with+GFCI+Outlet+Tester&amp;qid=1695173862&amp;sr=8-5", "https://www.amazon.com/Klein-Tools-Electric-Integrated-Accessory/dp/B0C9999Y7J/ref=sr_1_5?keywords=Klein+Tools+ET310+Digital+Circuit+Breaker+Finder+with+GFCI+Outlet+Tester&amp;qid=1695173862&amp;sr=8-5")</f>
        <v/>
      </c>
      <c r="F959" t="inlineStr">
        <is>
          <t>B0C9999Y7J</t>
        </is>
      </c>
      <c r="G959">
        <f>_xludf.IMAGE("https://edmondsonsupply.com/cdn/shop/products/et310_c.jpg?v=1646963918")</f>
        <v/>
      </c>
      <c r="H959">
        <f>_xludf.IMAGE("https://m.media-amazon.com/images/I/612+A-jAqtL._AC_UL320_.jpg")</f>
        <v/>
      </c>
      <c r="I959" t="inlineStr">
        <is>
          <t>49.97</t>
        </is>
      </c>
      <c r="J959" t="n">
        <v>91.37</v>
      </c>
      <c r="K959" s="3" t="inlineStr">
        <is>
          <t>82.85%</t>
        </is>
      </c>
      <c r="L959" t="n">
        <v>4.7</v>
      </c>
      <c r="M959" t="n">
        <v>7</v>
      </c>
      <c r="O959" t="inlineStr">
        <is>
          <t>InStock</t>
        </is>
      </c>
      <c r="P959" t="inlineStr">
        <is>
          <t>75.1</t>
        </is>
      </c>
      <c r="Q959" t="inlineStr">
        <is>
          <t>3389551280228</t>
        </is>
      </c>
    </row>
    <row r="960">
      <c r="A960" s="2">
        <f>HYPERLINK("https://edmondsonsupply.com/collections/electricians-tools/products/diablo-tools-dmamx1360-1-1-2-in-x-16-in-x-21-in-rebar-demon%E2%84%A2-sds-max-4-cutter-carbide-tipped-hammer-drill-bit", "https://edmondsonsupply.com/collections/electricians-tools/products/diablo-tools-dmamx1360-1-1-2-in-x-16-in-x-21-in-rebar-demon%E2%84%A2-sds-max-4-cutter-carbide-tipped-hammer-drill-bit")</f>
        <v/>
      </c>
      <c r="B960" s="2">
        <f>HYPERLINK("https://edmondsonsupply.com/products/diablo-tools-dmamx1360-1-1-2-in-x-16-in-x-21-in-rebar-demon%e2%84%a2-sds-max-4-cutter-carbide-tipped-hammer-drill-bit", "https://edmondsonsupply.com/products/diablo-tools-dmamx1360-1-1-2-in-x-16-in-x-21-in-rebar-demon%e2%84%a2-sds-max-4-cutter-carbide-tipped-hammer-drill-bit")</f>
        <v/>
      </c>
      <c r="C960" t="inlineStr">
        <is>
          <t>Diablo Tools DMAMX1360 1-1/2 in. x 16 in. x 21 in. Rebar Demon™ SDS-Max 4-Cutter Carbide-Tipped Hammer Drill Bit</t>
        </is>
      </c>
      <c r="D960" t="inlineStr">
        <is>
          <t>Diablo by Freud DMAMX1370 1-1/2 in. x 24 in. x 29 in. Rebar Demon SDS-Max 4-Cutter Carbide-Tipped Hammer Bit</t>
        </is>
      </c>
      <c r="E960" s="2">
        <f>HYPERLINK("https://www.amazon.com/Diablo-SDS-Max-4-Cutter-Carbide-Tipped-Hammer/dp/B089LN938F/ref=sr_1_6?keywords=Diablo+Tools+DMAMX1360+1-1%2F2+in.+x+16+in.+x+21+in.+Rebar+Demon%E2%84%A2+SDS-Max+4-Cutter+Carbide-Tipped+Hammer+Drill+Bit&amp;qid=1695174071&amp;sr=8-6", "https://www.amazon.com/Diablo-SDS-Max-4-Cutter-Carbide-Tipped-Hammer/dp/B089LN938F/ref=sr_1_6?keywords=Diablo+Tools+DMAMX1360+1-1%2F2+in.+x+16+in.+x+21+in.+Rebar+Demon%E2%84%A2+SDS-Max+4-Cutter+Carbide-Tipped+Hammer+Drill+Bit&amp;qid=1695174071&amp;sr=8-6")</f>
        <v/>
      </c>
      <c r="F960" t="inlineStr">
        <is>
          <t>B089LN938F</t>
        </is>
      </c>
      <c r="G960">
        <f>_xludf.IMAGE("https://edmondsonsupply.com/cdn/shop/products/z2umcsdaj3y4uvsfnxoh.webp?v=1677257156")</f>
        <v/>
      </c>
      <c r="H960">
        <f>_xludf.IMAGE("https://m.media-amazon.com/images/I/61V0w9ayfFL._AC_UL320_.jpg")</f>
        <v/>
      </c>
      <c r="I960" t="inlineStr">
        <is>
          <t>93.87</t>
        </is>
      </c>
      <c r="J960" t="n">
        <v>171.57</v>
      </c>
      <c r="K960" s="3" t="inlineStr">
        <is>
          <t>82.77%</t>
        </is>
      </c>
      <c r="L960" t="n">
        <v>5</v>
      </c>
      <c r="M960" t="n">
        <v>2</v>
      </c>
      <c r="O960" t="inlineStr">
        <is>
          <t>InStock</t>
        </is>
      </c>
      <c r="P960" t="inlineStr">
        <is>
          <t>149.01</t>
        </is>
      </c>
      <c r="Q960" t="inlineStr">
        <is>
          <t>7950786855128</t>
        </is>
      </c>
    </row>
    <row r="961">
      <c r="A961" s="2">
        <f>HYPERLINK("https://edmondsonsupply.com/collections/electricians-tools/products/klein-tools-rt250-gfci-receptacle-tester-with-lcd", "https://edmondsonsupply.com/collections/electricians-tools/products/klein-tools-rt250-gfci-receptacle-tester-with-lcd")</f>
        <v/>
      </c>
      <c r="B961" s="2">
        <f>HYPERLINK("https://edmondsonsupply.com/products/klein-tools-rt250-gfci-receptacle-tester-with-lcd", "https://edmondsonsupply.com/products/klein-tools-rt250-gfci-receptacle-tester-with-lcd")</f>
        <v/>
      </c>
      <c r="C961" t="inlineStr">
        <is>
          <t>Klein Tools RT250 GFCI Receptacle Tester with LCD</t>
        </is>
      </c>
      <c r="D961" t="inlineStr">
        <is>
          <t>Klein Tools NCVT1P Voltage Tester, Non-Contact Voltage Detector Pen &amp; RT250 GFCI Receptacle Tester with LCD Display, for Standard 3-Wire 120V Electrical Outlets</t>
        </is>
      </c>
      <c r="E961" s="2">
        <f>HYPERLINK("https://www.amazon.com/Klein-Tools-Non-Contact-Receptacle-Electrical/dp/B09Y7XWBF8/ref=sr_1_10?keywords=Klein+Tools+RT250+GFCI+Receptacle+Tester+with+LCD&amp;qid=1695174176&amp;sr=8-10", "https://www.amazon.com/Klein-Tools-Non-Contact-Receptacle-Electrical/dp/B09Y7XWBF8/ref=sr_1_10?keywords=Klein+Tools+RT250+GFCI+Receptacle+Tester+with+LCD&amp;qid=1695174176&amp;sr=8-10")</f>
        <v/>
      </c>
      <c r="F961" t="inlineStr">
        <is>
          <t>B09Y7XWBF8</t>
        </is>
      </c>
      <c r="G961">
        <f>_xludf.IMAGE("https://edmondsonsupply.com/cdn/shop/products/rt250_photo_c.jpg?v=1661363824")</f>
        <v/>
      </c>
      <c r="H961">
        <f>_xludf.IMAGE("https://m.media-amazon.com/images/I/51LNefsL0aL._AC_UL320_.jpg")</f>
        <v/>
      </c>
      <c r="I961" t="inlineStr">
        <is>
          <t>21.97</t>
        </is>
      </c>
      <c r="J961" t="n">
        <v>40.15</v>
      </c>
      <c r="K961" s="3" t="inlineStr">
        <is>
          <t>82.75%</t>
        </is>
      </c>
      <c r="L961" t="n">
        <v>3.9</v>
      </c>
      <c r="M961" t="n">
        <v>8</v>
      </c>
      <c r="O961" t="inlineStr">
        <is>
          <t>InStock</t>
        </is>
      </c>
      <c r="P961" t="inlineStr">
        <is>
          <t>30.78</t>
        </is>
      </c>
      <c r="Q961" t="inlineStr">
        <is>
          <t>7793138729176</t>
        </is>
      </c>
    </row>
    <row r="962">
      <c r="A962" s="2">
        <f>HYPERLINK("https://edmondsonsupply.com/collections/electricians-tools/products/klein-tools-32900-7-in-1-impact-flip-socket-with-handle", "https://edmondsonsupply.com/collections/electricians-tools/products/klein-tools-32900-7-in-1-impact-flip-socket-with-handle")</f>
        <v/>
      </c>
      <c r="B962" s="2">
        <f>HYPERLINK("https://edmondsonsupply.com/products/klein-tools-32900-7-in-1-impact-flip-socket-with-handle", "https://edmondsonsupply.com/products/klein-tools-32900-7-in-1-impact-flip-socket-with-handle")</f>
        <v/>
      </c>
      <c r="C962" t="inlineStr">
        <is>
          <t>Klein Tools 32900 7-in-1 Impact Flip Socket with Handle</t>
        </is>
      </c>
      <c r="D962" t="inlineStr">
        <is>
          <t>Klein Tools 32900 Impact Driver, 7-in-1 Impact Flip Socket Set, 6 Hex Driver Sizes plus a 1/4-Inch Bit Holder &amp; 14-in-1 Adjustable Screwdriver</t>
        </is>
      </c>
      <c r="E962" s="2">
        <f>HYPERLINK("https://www.amazon.com/Klein-Tools-Impact-Adjustable-Screwdriver/dp/B0BGZPZCPF/ref=sr_1_3?keywords=Klein+Tools+32900+7-in-1+Impact+Flip+Socket+with+Handle&amp;qid=1695174143&amp;sr=8-3", "https://www.amazon.com/Klein-Tools-Impact-Adjustable-Screwdriver/dp/B0BGZPZCPF/ref=sr_1_3?keywords=Klein+Tools+32900+7-in-1+Impact+Flip+Socket+with+Handle&amp;qid=1695174143&amp;sr=8-3")</f>
        <v/>
      </c>
      <c r="F962" t="inlineStr">
        <is>
          <t>B0BGZPZCPF</t>
        </is>
      </c>
      <c r="G962">
        <f>_xludf.IMAGE("https://edmondsonsupply.com/cdn/shop/products/32900_b.jpg?v=1666024787")</f>
        <v/>
      </c>
      <c r="H962">
        <f>_xludf.IMAGE("https://m.media-amazon.com/images/I/417x0MgjU7L._AC_UL320_.jpg")</f>
        <v/>
      </c>
      <c r="I962" t="inlineStr">
        <is>
          <t>29.97</t>
        </is>
      </c>
      <c r="J962" t="n">
        <v>54.74</v>
      </c>
      <c r="K962" s="3" t="inlineStr">
        <is>
          <t>82.65%</t>
        </is>
      </c>
      <c r="L962" t="n">
        <v>4.8</v>
      </c>
      <c r="M962" t="n">
        <v>9</v>
      </c>
      <c r="O962" t="inlineStr">
        <is>
          <t>InStock</t>
        </is>
      </c>
      <c r="P962" t="inlineStr">
        <is>
          <t>45.0</t>
        </is>
      </c>
      <c r="Q962" t="inlineStr">
        <is>
          <t>7856651239640</t>
        </is>
      </c>
    </row>
    <row r="963">
      <c r="A963" s="2">
        <f>HYPERLINK("https://edmondsonsupply.com/collections/electricians-tools/products/diablo-tools-dag1110-7-8-in-x-7-1-2-in-auger-bit", "https://edmondsonsupply.com/collections/electricians-tools/products/diablo-tools-dag1110-7-8-in-x-7-1-2-in-auger-bit")</f>
        <v/>
      </c>
      <c r="B963" s="2">
        <f>HYPERLINK("https://edmondsonsupply.com/products/diablo-tools-dag1110-7-8-in-x-7-1-2-in-auger-bit", "https://edmondsonsupply.com/products/diablo-tools-dag1110-7-8-in-x-7-1-2-in-auger-bit")</f>
        <v/>
      </c>
      <c r="C963" t="inlineStr">
        <is>
          <t>Diablo Tools DAG1110 7/8 in. x 7-1/2 in. Auger Bit</t>
        </is>
      </c>
      <c r="D963" t="inlineStr">
        <is>
          <t>Diablo 7/8 in. x 17-1/2 in. Auger Bit</t>
        </is>
      </c>
      <c r="E963" s="2">
        <f>HYPERLINK("https://www.amazon.com/Diablo-17-1-Auger-Bit/dp/B089LG8GYB/ref=sr_1_5?keywords=Diablo+Tools+DAG1110+7%2F8+in.+x+7-1%2F2+in.+Auger+Bit&amp;qid=1695174030&amp;sr=8-5", "https://www.amazon.com/Diablo-17-1-Auger-Bit/dp/B089LG8GYB/ref=sr_1_5?keywords=Diablo+Tools+DAG1110+7%2F8+in.+x+7-1%2F2+in.+Auger+Bit&amp;qid=1695174030&amp;sr=8-5")</f>
        <v/>
      </c>
      <c r="F963" t="inlineStr">
        <is>
          <t>B089LG8GYB</t>
        </is>
      </c>
      <c r="G963">
        <f>_xludf.IMAGE("https://edmondsonsupply.com/cdn/shop/products/yel7mbaiyy08ii0assd5.webp?v=1680187136")</f>
        <v/>
      </c>
      <c r="H963">
        <f>_xludf.IMAGE("https://m.media-amazon.com/images/I/61QXZJGNQTL._AC_UL320_.jpg")</f>
        <v/>
      </c>
      <c r="I963" t="inlineStr">
        <is>
          <t>16.97</t>
        </is>
      </c>
      <c r="J963" t="n">
        <v>30.9</v>
      </c>
      <c r="K963" s="3" t="inlineStr">
        <is>
          <t>82.09%</t>
        </is>
      </c>
      <c r="L963" t="n">
        <v>4.3</v>
      </c>
      <c r="M963" t="n">
        <v>29</v>
      </c>
      <c r="O963" t="inlineStr">
        <is>
          <t>InStock</t>
        </is>
      </c>
      <c r="P963" t="inlineStr">
        <is>
          <t>23.76</t>
        </is>
      </c>
      <c r="Q963" t="inlineStr">
        <is>
          <t>7970459549912</t>
        </is>
      </c>
    </row>
    <row r="964">
      <c r="A964" s="2">
        <f>HYPERLINK("https://edmondsonsupply.com/collections/electricians-tools/products/klein-tools-vdv526-200-lan-scout-%C2%AE-jr-2-cable-tester", "https://edmondsonsupply.com/collections/electricians-tools/products/klein-tools-vdv526-200-lan-scout-%C2%AE-jr-2-cable-tester")</f>
        <v/>
      </c>
      <c r="B964" s="2">
        <f>HYPERLINK("https://edmondsonsupply.com/products/klein-tools-vdv526-200-lan-scout-%c2%ae-jr-2-cable-tester", "https://edmondsonsupply.com/products/klein-tools-vdv526-200-lan-scout-%c2%ae-jr-2-cable-tester")</f>
        <v/>
      </c>
      <c r="C964" t="inlineStr">
        <is>
          <t>Klein Tools VDV526-200 LAN Scout ® Jr. 2 Cable Tester</t>
        </is>
      </c>
      <c r="D964" t="inlineStr">
        <is>
          <t>Klein Tools VDV526-200 Cable Tester, LAN Scout Jr. 2 Ethernet Cable Tester &amp; VDV500-123 Cable Tracer Probe-Pro Tracing Probe with Replaceable Non-Metallic</t>
        </is>
      </c>
      <c r="E964" s="2">
        <f>HYPERLINK("https://www.amazon.com/Klein-Tools-VDV526-200-Replaceable-Non-Metallic/dp/B09Y84486X/ref=sr_1_3?keywords=Klein+Tools+VDV526-200+LAN+Scout+%C2%AE+Jr.+2+Cable+Tester&amp;qid=1695174153&amp;sr=8-3", "https://www.amazon.com/Klein-Tools-VDV526-200-Replaceable-Non-Metallic/dp/B09Y84486X/ref=sr_1_3?keywords=Klein+Tools+VDV526-200+LAN+Scout+%C2%AE+Jr.+2+Cable+Tester&amp;qid=1695174153&amp;sr=8-3")</f>
        <v/>
      </c>
      <c r="F964" t="inlineStr">
        <is>
          <t>B09Y84486X</t>
        </is>
      </c>
      <c r="G964">
        <f>_xludf.IMAGE("https://edmondsonsupply.com/cdn/shop/products/vdv526200.jpg?v=1663689949")</f>
        <v/>
      </c>
      <c r="H964">
        <f>_xludf.IMAGE("https://m.media-amazon.com/images/I/51l43d13j-L._AC_UY218_.jpg")</f>
        <v/>
      </c>
      <c r="I964" t="inlineStr">
        <is>
          <t>54.97</t>
        </is>
      </c>
      <c r="J964" t="n">
        <v>99.95999999999999</v>
      </c>
      <c r="K964" s="3" t="inlineStr">
        <is>
          <t>81.84%</t>
        </is>
      </c>
      <c r="L964" t="n">
        <v>4.8</v>
      </c>
      <c r="M964" t="n">
        <v>12</v>
      </c>
      <c r="O964" t="inlineStr">
        <is>
          <t>InStock</t>
        </is>
      </c>
      <c r="P964" t="inlineStr">
        <is>
          <t>82.5</t>
        </is>
      </c>
      <c r="Q964" t="inlineStr">
        <is>
          <t>7823726182616</t>
        </is>
      </c>
    </row>
    <row r="965">
      <c r="A965" s="2">
        <f>HYPERLINK("https://edmondsonsupply.com/collections/electricians-tools/products/klein-tools-31940-bi-metal-hole-saw-2-1-2-inch", "https://edmondsonsupply.com/collections/electricians-tools/products/klein-tools-31940-bi-metal-hole-saw-2-1-2-inch")</f>
        <v/>
      </c>
      <c r="B965" s="2">
        <f>HYPERLINK("https://edmondsonsupply.com/products/klein-tools-31940-bi-metal-hole-saw-2-1-2-inch", "https://edmondsonsupply.com/products/klein-tools-31940-bi-metal-hole-saw-2-1-2-inch")</f>
        <v/>
      </c>
      <c r="C965" t="inlineStr">
        <is>
          <t>Klein Tools 31940 Bi-Metal Hole Saw, 2-1/2-Inch</t>
        </is>
      </c>
      <c r="D965" t="inlineStr">
        <is>
          <t>LENOX Tools Hole Saw, Bi-Metal, Speed Slot, Arbored, 2-1/2-Inch (1772954)</t>
        </is>
      </c>
      <c r="E965" s="2">
        <f>HYPERLINK("https://www.amazon.com/LENOX-Tools-Bi-Metal-Arbored-Technology/dp/B004YK5DHW/ref=sr_1_3?keywords=Klein+Tools+31940+Bi-Metal+Hole+Saw%2C+2-1%2F2-Inch&amp;qid=1695174215&amp;sr=8-3", "https://www.amazon.com/LENOX-Tools-Bi-Metal-Arbored-Technology/dp/B004YK5DHW/ref=sr_1_3?keywords=Klein+Tools+31940+Bi-Metal+Hole+Saw%2C+2-1%2F2-Inch&amp;qid=1695174215&amp;sr=8-3")</f>
        <v/>
      </c>
      <c r="F965" t="inlineStr">
        <is>
          <t>B004YK5DHW</t>
        </is>
      </c>
      <c r="G965">
        <f>_xludf.IMAGE("https://edmondsonsupply.com/cdn/shop/products/31940.jpg?v=1649380086")</f>
        <v/>
      </c>
      <c r="H965">
        <f>_xludf.IMAGE("https://m.media-amazon.com/images/I/71OOVEuCxtL._AC_UL320_.jpg")</f>
        <v/>
      </c>
      <c r="I965" t="inlineStr">
        <is>
          <t>13.99</t>
        </is>
      </c>
      <c r="J965" t="n">
        <v>25.44</v>
      </c>
      <c r="K965" s="3" t="inlineStr">
        <is>
          <t>81.84%</t>
        </is>
      </c>
      <c r="L965" t="n">
        <v>4.7</v>
      </c>
      <c r="M965" t="n">
        <v>517</v>
      </c>
      <c r="O965" t="inlineStr">
        <is>
          <t>InStock</t>
        </is>
      </c>
      <c r="P965" t="inlineStr">
        <is>
          <t>18.22</t>
        </is>
      </c>
      <c r="Q965" t="inlineStr">
        <is>
          <t>7657257074904</t>
        </is>
      </c>
    </row>
    <row r="966">
      <c r="A966" s="2">
        <f>HYPERLINK("https://edmondsonsupply.com/collections/electricians-tools/products/malco-tools-mshlc1-2-5-8-c-rhex-cleanable-reversible-magnetic-hex-driver-5-16-3-8", "https://edmondsonsupply.com/collections/electricians-tools/products/malco-tools-mshlc1-2-5-8-c-rhex-cleanable-reversible-magnetic-hex-driver-5-16-3-8")</f>
        <v/>
      </c>
      <c r="B966" s="2">
        <f>HYPERLINK("https://edmondsonsupply.com/products/malco-tools-mshlc1-2-5-8-c-rhex-cleanable-reversible-magnetic-hex-driver-5-16-3-8", "https://edmondsonsupply.com/products/malco-tools-mshlc1-2-5-8-c-rhex-cleanable-reversible-magnetic-hex-driver-5-16-3-8")</f>
        <v/>
      </c>
      <c r="C966" t="inlineStr">
        <is>
          <t>Malco Tools MSHLC1 2-5/8" C-Rhex Cleanable, Reversible Magnetic Hex Driver, 5/16" &amp; 3/8"</t>
        </is>
      </c>
      <c r="D966" t="inlineStr">
        <is>
          <t>Malco 5/16" and 3/8" C-RHEX Cleanable Reversible Magnetic Hex Driver (2" Length)</t>
        </is>
      </c>
      <c r="E966" s="2">
        <f>HYPERLINK("https://www.amazon.com/C-RHEX-Cleanable-Reversible-Magnetic-Driver/dp/B09RPKFRDN/ref=sr_1_10?keywords=Malco+Tools+MSHLC1+2-5%2F8%22+C-Rhex+Cleanable%2C+Reversible+Magnetic+Hex+Driver%2C+5%2F16%22+%26+3%2F8%22&amp;qid=1695173902&amp;sr=8-10", "https://www.amazon.com/C-RHEX-Cleanable-Reversible-Magnetic-Driver/dp/B09RPKFRDN/ref=sr_1_10?keywords=Malco+Tools+MSHLC1+2-5%2F8%22+C-Rhex+Cleanable%2C+Reversible+Magnetic+Hex+Driver%2C+5%2F16%22+%26+3%2F8%22&amp;qid=1695173902&amp;sr=8-10")</f>
        <v/>
      </c>
      <c r="F966" t="inlineStr">
        <is>
          <t>B09RPKFRDN</t>
        </is>
      </c>
      <c r="G966">
        <f>_xludf.IMAGE("https://edmondsonsupply.com/cdn/shop/products/Malco-MSHLC1-516-38-1.jpg?v=1647198201")</f>
        <v/>
      </c>
      <c r="H966">
        <f>_xludf.IMAGE("https://m.media-amazon.com/images/I/31qo9UYAsJL._AC_UL320_.jpg")</f>
        <v/>
      </c>
      <c r="I966" t="inlineStr">
        <is>
          <t>8.99</t>
        </is>
      </c>
      <c r="J966" t="n">
        <v>16.25</v>
      </c>
      <c r="K966" s="3" t="inlineStr">
        <is>
          <t>80.76%</t>
        </is>
      </c>
      <c r="L966" t="n">
        <v>5</v>
      </c>
      <c r="M966" t="n">
        <v>1</v>
      </c>
      <c r="O966" t="inlineStr">
        <is>
          <t>InStock</t>
        </is>
      </c>
      <c r="P966" t="inlineStr">
        <is>
          <t>9.92</t>
        </is>
      </c>
      <c r="Q966" t="inlineStr">
        <is>
          <t>4504454037604</t>
        </is>
      </c>
    </row>
    <row r="967">
      <c r="A967" s="2">
        <f>HYPERLINK("https://edmondsonsupply.com/collections/electricians-tools/products/klein-tools-32307-27-in-1-multi-bit-tamperproof-screwdriver", "https://edmondsonsupply.com/collections/electricians-tools/products/klein-tools-32307-27-in-1-multi-bit-tamperproof-screwdriver")</f>
        <v/>
      </c>
      <c r="B967" s="2">
        <f>HYPERLINK("https://edmondsonsupply.com/products/klein-tools-32307-27-in-1-multi-bit-tamperproof-screwdriver", "https://edmondsonsupply.com/products/klein-tools-32307-27-in-1-multi-bit-tamperproof-screwdriver")</f>
        <v/>
      </c>
      <c r="C967" t="inlineStr">
        <is>
          <t>Klein Tools 32307 27-in-1 Multi-Bit Tamperproof Screwdriver</t>
        </is>
      </c>
      <c r="D967" t="inlineStr">
        <is>
          <t>Klein Tools 32305 Multi-bit Ratcheting Screwdriver &amp; 32307 Multi-bit Tamperproof Screwdriver, 27-in-1 Tool with Torx, Hex, Torq and Spanner Bits with 1/4-Inch Nut Driver</t>
        </is>
      </c>
      <c r="E967" s="2">
        <f>HYPERLINK("https://www.amazon.com/Klein-Tools-Ratcheting-Screwdriver-Tamperproof/dp/B09Y7PBFQ1/ref=sr_1_6?keywords=Klein+Tools+32307+27-in-1+Multi-Bit+Tamperproof+Screwdriver&amp;qid=1695174232&amp;sr=8-6", "https://www.amazon.com/Klein-Tools-Ratcheting-Screwdriver-Tamperproof/dp/B09Y7PBFQ1/ref=sr_1_6?keywords=Klein+Tools+32307+27-in-1+Multi-Bit+Tamperproof+Screwdriver&amp;qid=1695174232&amp;sr=8-6")</f>
        <v/>
      </c>
      <c r="F967" t="inlineStr">
        <is>
          <t>B09Y7PBFQ1</t>
        </is>
      </c>
      <c r="G967">
        <f>_xludf.IMAGE("https://edmondsonsupply.com/cdn/shop/products/32307.jpg?v=1647347524")</f>
        <v/>
      </c>
      <c r="H967">
        <f>_xludf.IMAGE("https://m.media-amazon.com/images/I/41T6TsQqpLL._AC_UL320_.jpg")</f>
        <v/>
      </c>
      <c r="I967" t="inlineStr">
        <is>
          <t>25.97</t>
        </is>
      </c>
      <c r="J967" t="n">
        <v>46.94</v>
      </c>
      <c r="K967" s="3" t="inlineStr">
        <is>
          <t>80.75%</t>
        </is>
      </c>
      <c r="L967" t="n">
        <v>4.7</v>
      </c>
      <c r="M967" t="n">
        <v>22</v>
      </c>
      <c r="O967" t="inlineStr">
        <is>
          <t>InStock</t>
        </is>
      </c>
      <c r="P967" t="inlineStr">
        <is>
          <t>36.38</t>
        </is>
      </c>
      <c r="Q967" t="inlineStr">
        <is>
          <t>7637266366680</t>
        </is>
      </c>
    </row>
    <row r="968">
      <c r="A968" s="2">
        <f>HYPERLINK("https://edmondsonsupply.com/collections/electricians-tools/products/klein-tools-70550-pro-folding-hex-key-set-11-fractional-inch-sized-keys", "https://edmondsonsupply.com/collections/electricians-tools/products/klein-tools-70550-pro-folding-hex-key-set-11-fractional-inch-sized-keys")</f>
        <v/>
      </c>
      <c r="B968" s="2">
        <f>HYPERLINK("https://edmondsonsupply.com/products/klein-tools-70550-pro-folding-hex-key-set-11-fractional-inch-sized-keys", "https://edmondsonsupply.com/products/klein-tools-70550-pro-folding-hex-key-set-11-fractional-inch-sized-keys")</f>
        <v/>
      </c>
      <c r="C968" t="inlineStr">
        <is>
          <t>Klein Tools 70550 Pro Folding Hex Key Set, 11-Key, SAE Sizes</t>
        </is>
      </c>
      <c r="D968" t="inlineStr">
        <is>
          <t>Klein Tools 65200 Ratchet Set, 5-Piece Mini Ratchet Set with Phillips, Slotted, and Adapter &amp; 70550 Hex Wrench Key Set, 11 SAE Sizes, Heavy Duty Folding Allen Wrench Tool</t>
        </is>
      </c>
      <c r="E968" s="2">
        <f>HYPERLINK("https://www.amazon.com/Klein-Tools-Ratchet-5-Piece-Phillips/dp/B0CF2CH27G/ref=sr_1_2?keywords=Klein+Tools+70550+Pro+Folding+Hex+Key+Set%2C+11-Key%2C+SAE+Sizes&amp;qid=1695173950&amp;sr=8-2", "https://www.amazon.com/Klein-Tools-Ratchet-5-Piece-Phillips/dp/B0CF2CH27G/ref=sr_1_2?keywords=Klein+Tools+70550+Pro+Folding+Hex+Key+Set%2C+11-Key%2C+SAE+Sizes&amp;qid=1695173950&amp;sr=8-2")</f>
        <v/>
      </c>
      <c r="F968" t="inlineStr">
        <is>
          <t>B0CF2CH27G</t>
        </is>
      </c>
      <c r="G968">
        <f>_xludf.IMAGE("https://edmondsonsupply.com/cdn/shop/products/70550.jpg?v=1587145237")</f>
        <v/>
      </c>
      <c r="H968">
        <f>_xludf.IMAGE("https://m.media-amazon.com/images/I/51I-40ka6EL._AC_UL320_.jpg")</f>
        <v/>
      </c>
      <c r="I968" t="inlineStr">
        <is>
          <t>19.97</t>
        </is>
      </c>
      <c r="J968" t="n">
        <v>35.93</v>
      </c>
      <c r="K968" s="3" t="inlineStr">
        <is>
          <t>79.92%</t>
        </is>
      </c>
      <c r="L968" t="n">
        <v>4.7</v>
      </c>
      <c r="M968" t="n">
        <v>3970</v>
      </c>
      <c r="O968" t="inlineStr">
        <is>
          <t>InStock</t>
        </is>
      </c>
      <c r="P968" t="inlineStr">
        <is>
          <t>27.18</t>
        </is>
      </c>
      <c r="Q968" t="inlineStr">
        <is>
          <t>3693538082916</t>
        </is>
      </c>
    </row>
    <row r="969">
      <c r="A969" s="2">
        <f>HYPERLINK("https://edmondsonsupply.com/collections/electricians-tools/products/klein-tools-56413-rechargeable-2-color-led-flashlight-with-holster", "https://edmondsonsupply.com/collections/electricians-tools/products/klein-tools-56413-rechargeable-2-color-led-flashlight-with-holster")</f>
        <v/>
      </c>
      <c r="B969" s="2">
        <f>HYPERLINK("https://edmondsonsupply.com/products/klein-tools-56413-rechargeable-2-color-led-flashlight-with-holster", "https://edmondsonsupply.com/products/klein-tools-56413-rechargeable-2-color-led-flashlight-with-holster")</f>
        <v/>
      </c>
      <c r="C969" t="inlineStr">
        <is>
          <t>Klein Tools 56413 Rechargeable 2-Color LED Flashlight with Holster</t>
        </is>
      </c>
      <c r="D969" t="inlineStr">
        <is>
          <t>Klein Tools 56040 LED Rechargeable Flashlight &amp; 56413 Rechargeable 2-Color LED Flashlight, Holster, Spotlight, Floodlight, Red LED, 1000 Lumens, USB Cable, Camping, Hunting</t>
        </is>
      </c>
      <c r="E969" s="2">
        <f>HYPERLINK("https://www.amazon.com/Klein-Tools-Rechargeable-Flashlight-Floodlight/dp/B0BXKC43LR/ref=sr_1_4?keywords=Klein+Tools+56413+Rechargeable+2-Color+LED+Flashlight+with+Holster&amp;qid=1695174149&amp;sr=8-4", "https://www.amazon.com/Klein-Tools-Rechargeable-Flashlight-Floodlight/dp/B0BXKC43LR/ref=sr_1_4?keywords=Klein+Tools+56413+Rechargeable+2-Color+LED+Flashlight+with+Holster&amp;qid=1695174149&amp;sr=8-4")</f>
        <v/>
      </c>
      <c r="F969" t="inlineStr">
        <is>
          <t>B0BXKC43LR</t>
        </is>
      </c>
      <c r="G969">
        <f>_xludf.IMAGE("https://edmondsonsupply.com/cdn/shop/products/56413.jpg?v=1663954210")</f>
        <v/>
      </c>
      <c r="H969">
        <f>_xludf.IMAGE("https://m.media-amazon.com/images/I/51VA0R00+KL._AC_UL320_.jpg")</f>
        <v/>
      </c>
      <c r="I969" t="inlineStr">
        <is>
          <t>49.97</t>
        </is>
      </c>
      <c r="J969" t="n">
        <v>89.63</v>
      </c>
      <c r="K969" s="3" t="inlineStr">
        <is>
          <t>79.37%</t>
        </is>
      </c>
      <c r="L969" t="n">
        <v>5</v>
      </c>
      <c r="M969" t="n">
        <v>1</v>
      </c>
      <c r="O969" t="inlineStr">
        <is>
          <t>InStock</t>
        </is>
      </c>
      <c r="P969" t="inlineStr">
        <is>
          <t>72.0</t>
        </is>
      </c>
      <c r="Q969" t="inlineStr">
        <is>
          <t>7827366215896</t>
        </is>
      </c>
    </row>
    <row r="970">
      <c r="A970" s="2">
        <f>HYPERLINK("https://edmondsonsupply.com/collections/electricians-tools/products/klein-tools-32304-14-in-1-hvac-adjustable-length-impact-screwdriver-with-flip-socket", "https://edmondsonsupply.com/collections/electricians-tools/products/klein-tools-32304-14-in-1-hvac-adjustable-length-impact-screwdriver-with-flip-socket")</f>
        <v/>
      </c>
      <c r="B970" s="2">
        <f>HYPERLINK("https://edmondsonsupply.com/products/klein-tools-32304-14-in-1-hvac-adjustable-length-impact-screwdriver-with-flip-socket", "https://edmondsonsupply.com/products/klein-tools-32304-14-in-1-hvac-adjustable-length-impact-screwdriver-with-flip-socket")</f>
        <v/>
      </c>
      <c r="C970" t="inlineStr">
        <is>
          <t>Klein Tools 32304 14-in-1 HVAC Adjustable-Length Impact Screwdriver with Flip Socket</t>
        </is>
      </c>
      <c r="D970" t="inlineStr">
        <is>
          <t>Impact Driver, 7-in-1 Impact Flip Socket Set &amp; 14-in-1 Adjustable Screwdriver with Flip Socket, HVAC Nut Drivers and Bits, Impact Rated Klein Tools 32304</t>
        </is>
      </c>
      <c r="E970" s="2">
        <f>HYPERLINK("https://www.amazon.com/Adjustable-Screwdriver-Drivers-Klein-Tools/dp/B09Y84RPSB/ref=sr_1_4?keywords=Klein+Tools+32304+14-in-1+HVAC+Adjustable-Length+Impact+Screwdriver+with+Flip+Socket&amp;qid=1695173856&amp;sr=8-4", "https://www.amazon.com/Adjustable-Screwdriver-Drivers-Klein-Tools/dp/B09Y84RPSB/ref=sr_1_4?keywords=Klein+Tools+32304+14-in-1+HVAC+Adjustable-Length+Impact+Screwdriver+with+Flip+Socket&amp;qid=1695173856&amp;sr=8-4")</f>
        <v/>
      </c>
      <c r="F970" t="inlineStr">
        <is>
          <t>B09Y84RPSB</t>
        </is>
      </c>
      <c r="G970">
        <f>_xludf.IMAGE("https://edmondsonsupply.com/cdn/shop/products/32304.jpg?v=1666019479")</f>
        <v/>
      </c>
      <c r="H970">
        <f>_xludf.IMAGE("https://m.media-amazon.com/images/I/41KTNungRUL._AC_UL320_.jpg")</f>
        <v/>
      </c>
      <c r="I970" t="inlineStr">
        <is>
          <t>24.97</t>
        </is>
      </c>
      <c r="J970" t="n">
        <v>44.76</v>
      </c>
      <c r="K970" s="3" t="inlineStr">
        <is>
          <t>79.26%</t>
        </is>
      </c>
      <c r="L970" t="n">
        <v>4.8</v>
      </c>
      <c r="M970" t="n">
        <v>88</v>
      </c>
      <c r="O970" t="inlineStr">
        <is>
          <t>InStock</t>
        </is>
      </c>
      <c r="P970" t="inlineStr">
        <is>
          <t>34.98</t>
        </is>
      </c>
      <c r="Q970" t="inlineStr">
        <is>
          <t>7856604578008</t>
        </is>
      </c>
    </row>
    <row r="971">
      <c r="A971" s="2">
        <f>HYPERLINK("https://edmondsonsupply.com/collections/electricians-tools/products/komelon-7325-25-x-1-maggrip%E2%84%A2-speedmark%E2%84%A2-magnetic-tape-measure", "https://edmondsonsupply.com/collections/electricians-tools/products/komelon-7325-25-x-1-maggrip%E2%84%A2-speedmark%E2%84%A2-magnetic-tape-measure")</f>
        <v/>
      </c>
      <c r="B971" s="2">
        <f>HYPERLINK("https://edmondsonsupply.com/products/komelon-7325-25-x-1-maggrip%e2%84%a2-speedmark%e2%84%a2-magnetic-tape-measure", "https://edmondsonsupply.com/products/komelon-7325-25-x-1-maggrip%e2%84%a2-speedmark%e2%84%a2-magnetic-tape-measure")</f>
        <v/>
      </c>
      <c r="C971" t="inlineStr">
        <is>
          <t>Komelon 7325 25' X 1" MagGrip™ SpeedMark™, Magnetic Tape Measure</t>
        </is>
      </c>
      <c r="D971" t="inlineStr">
        <is>
          <t>Komelon 7425; 25' x 1" Magnetic MagGrip Tape Measure, Black/Yellow</t>
        </is>
      </c>
      <c r="E971" s="2">
        <f>HYPERLINK("https://www.amazon.com/Komelon-7425-MagGrip-25-FootMeasuring-Magnetic/dp/B0000DD5GR/ref=sr_1_3?keywords=Komelon+7325+25%27+X+1%22+MagGrip%E2%84%A2+SpeedMark%E2%84%A2%2C+Magnetic+Tape+Measure&amp;qid=1695174274&amp;sr=8-3", "https://www.amazon.com/Komelon-7425-MagGrip-25-FootMeasuring-Magnetic/dp/B0000DD5GR/ref=sr_1_3?keywords=Komelon+7325+25%27+X+1%22+MagGrip%E2%84%A2+SpeedMark%E2%84%A2%2C+Magnetic+Tape+Measure&amp;qid=1695174274&amp;sr=8-3")</f>
        <v/>
      </c>
      <c r="F971" t="inlineStr">
        <is>
          <t>B0000DD5GR</t>
        </is>
      </c>
      <c r="G971">
        <f>_xludf.IMAGE("https://edmondsonsupply.com/cdn/shop/products/7325_angleExtended.jpg?v=1633030981")</f>
        <v/>
      </c>
      <c r="H971">
        <f>_xludf.IMAGE("https://m.media-amazon.com/images/I/71-NeT37yWL._AC_UL320_.jpg")</f>
        <v/>
      </c>
      <c r="I971" t="inlineStr">
        <is>
          <t>13.99</t>
        </is>
      </c>
      <c r="J971" t="n">
        <v>25.03</v>
      </c>
      <c r="K971" s="3" t="inlineStr">
        <is>
          <t>78.91%</t>
        </is>
      </c>
      <c r="L971" t="n">
        <v>4.5</v>
      </c>
      <c r="M971" t="n">
        <v>124</v>
      </c>
      <c r="O971" t="inlineStr">
        <is>
          <t>InStock</t>
        </is>
      </c>
      <c r="P971" t="inlineStr">
        <is>
          <t>undefined</t>
        </is>
      </c>
      <c r="Q971" t="inlineStr">
        <is>
          <t>6652039692461</t>
        </is>
      </c>
    </row>
    <row r="972">
      <c r="A972" s="2">
        <f>HYPERLINK("https://edmondsonsupply.com/collections/electricians-tools/products/klein-tools-cl220-digital-clamp-meter-ac-auto-ranging-400-amp-with-temp", "https://edmondsonsupply.com/collections/electricians-tools/products/klein-tools-cl220-digital-clamp-meter-ac-auto-ranging-400-amp-with-temp")</f>
        <v/>
      </c>
      <c r="B972" s="2">
        <f>HYPERLINK("https://edmondsonsupply.com/products/klein-tools-cl220-digital-clamp-meter-ac-auto-ranging-400-amp-with-temp", "https://edmondsonsupply.com/products/klein-tools-cl220-digital-clamp-meter-ac-auto-ranging-400-amp-with-temp")</f>
        <v/>
      </c>
      <c r="C972" t="inlineStr">
        <is>
          <t>Klein Tools CL220 Digital Clamp Meter, AC Auto-Ranging 400 Amp with Temp</t>
        </is>
      </c>
      <c r="D972" t="inlineStr">
        <is>
          <t>Klein Tools CL220 Digital Clamp Meter, Auto-Ranging 400 Amp AC, AC/DC Voltage, TRMS, Resistance, Continuity, NCVT Detection, and Temp &amp; 80016 Circuit Breaker Finder Tool Kit</t>
        </is>
      </c>
      <c r="E972" s="2">
        <f>HYPERLINK("https://www.amazon.com/Klein-Tools-Auto-Ranging-Resistance-Continuity/dp/B0BNL6NFV7/ref=sr_1_4?keywords=Klein+Tools+CL220+Digital+Clamp+Meter%2C+AC+Auto-Ranging+400+Amp+with+Temp&amp;qid=1695174305&amp;sr=8-4", "https://www.amazon.com/Klein-Tools-Auto-Ranging-Resistance-Continuity/dp/B0BNL6NFV7/ref=sr_1_4?keywords=Klein+Tools+CL220+Digital+Clamp+Meter%2C+AC+Auto-Ranging+400+Amp+with+Temp&amp;qid=1695174305&amp;sr=8-4")</f>
        <v/>
      </c>
      <c r="F972" t="inlineStr">
        <is>
          <t>B0BNL6NFV7</t>
        </is>
      </c>
      <c r="G972">
        <f>_xludf.IMAGE("https://edmondsonsupply.com/cdn/shop/products/cl220.jpg?v=1633030821")</f>
        <v/>
      </c>
      <c r="H972">
        <f>_xludf.IMAGE("https://m.media-amazon.com/images/I/51F5hkzephL._AC_UY218_.jpg")</f>
        <v/>
      </c>
      <c r="I972" t="inlineStr">
        <is>
          <t>69.97</t>
        </is>
      </c>
      <c r="J972" t="n">
        <v>124.96</v>
      </c>
      <c r="K972" s="3" t="inlineStr">
        <is>
          <t>78.59%</t>
        </is>
      </c>
      <c r="L972" t="n">
        <v>5</v>
      </c>
      <c r="M972" t="n">
        <v>1</v>
      </c>
      <c r="O972" t="inlineStr">
        <is>
          <t>InStock</t>
        </is>
      </c>
      <c r="P972" t="inlineStr">
        <is>
          <t>93.22</t>
        </is>
      </c>
      <c r="Q972" t="inlineStr">
        <is>
          <t>6080846463149</t>
        </is>
      </c>
    </row>
    <row r="973">
      <c r="A973" s="2">
        <f>HYPERLINK("https://edmondsonsupply.com/collections/electricians-tools/products/klein-tools-ncvt1pkit-non-contact-voltage-and-gfci-receptacle-test-kit", "https://edmondsonsupply.com/collections/electricians-tools/products/klein-tools-ncvt1pkit-non-contact-voltage-and-gfci-receptacle-test-kit")</f>
        <v/>
      </c>
      <c r="B973" s="2">
        <f>HYPERLINK("https://edmondsonsupply.com/products/klein-tools-ncvt1pkit-non-contact-voltage-and-gfci-receptacle-test-kit", "https://edmondsonsupply.com/products/klein-tools-ncvt1pkit-non-contact-voltage-and-gfci-receptacle-test-kit")</f>
        <v/>
      </c>
      <c r="C973" t="inlineStr">
        <is>
          <t>Klein Tools NCVT1PKIT Non-Contact Voltage and GFCI Receptacle Test Kit</t>
        </is>
      </c>
      <c r="D973" t="inlineStr">
        <is>
          <t>Klein Tools RT250KIT Non-Contact Voltage Tester and GFCI Receptacle Tester with LCD and Flashlight, Voltage Electrical Test Kit</t>
        </is>
      </c>
      <c r="E973" s="2">
        <f>HYPERLINK("https://www.amazon.com/Non-Contact-Receptacle-Klein-Tools-RT250KIT/dp/B08YDFQ2FV/ref=sr_1_3?keywords=Klein+Tools+NCVT1PKIT+Non-Contact+Voltage+and+GFCI+Receptacle+Test+Kit&amp;qid=1695174067&amp;sr=8-3", "https://www.amazon.com/Non-Contact-Receptacle-Klein-Tools-RT250KIT/dp/B08YDFQ2FV/ref=sr_1_3?keywords=Klein+Tools+NCVT1PKIT+Non-Contact+Voltage+and+GFCI+Receptacle+Test+Kit&amp;qid=1695174067&amp;sr=8-3")</f>
        <v/>
      </c>
      <c r="F973" t="inlineStr">
        <is>
          <t>B08YDFQ2FV</t>
        </is>
      </c>
      <c r="G973">
        <f>_xludf.IMAGE("https://edmondsonsupply.com/cdn/shop/products/ncvt1pkit.jpg?v=1677682920")</f>
        <v/>
      </c>
      <c r="H973">
        <f>_xludf.IMAGE("https://m.media-amazon.com/images/I/61WaBlkJfxL._AC_UL320_.jpg")</f>
        <v/>
      </c>
      <c r="I973" t="inlineStr">
        <is>
          <t>24.97</t>
        </is>
      </c>
      <c r="J973" t="n">
        <v>44.54</v>
      </c>
      <c r="K973" s="3" t="inlineStr">
        <is>
          <t>78.37%</t>
        </is>
      </c>
      <c r="L973" t="n">
        <v>4.8</v>
      </c>
      <c r="M973" t="n">
        <v>1269</v>
      </c>
      <c r="O973" t="inlineStr">
        <is>
          <t>InStock</t>
        </is>
      </c>
      <c r="P973" t="inlineStr">
        <is>
          <t>35.38</t>
        </is>
      </c>
      <c r="Q973" t="inlineStr">
        <is>
          <t>7953960698072</t>
        </is>
      </c>
    </row>
    <row r="974">
      <c r="A974" s="2">
        <f>HYPERLINK("https://edmondsonsupply.com/collections/electricians-tools/products/klein-tools-ncvt1xtkit-non-contact-voltage-and-gfci-receptacle-premium-test-kit", "https://edmondsonsupply.com/collections/electricians-tools/products/klein-tools-ncvt1xtkit-non-contact-voltage-and-gfci-receptacle-premium-test-kit")</f>
        <v/>
      </c>
      <c r="B974" s="2">
        <f>HYPERLINK("https://edmondsonsupply.com/products/klein-tools-ncvt1xtkit-non-contact-voltage-and-gfci-receptacle-premium-test-kit", "https://edmondsonsupply.com/products/klein-tools-ncvt1xtkit-non-contact-voltage-and-gfci-receptacle-premium-test-kit")</f>
        <v/>
      </c>
      <c r="C974" t="inlineStr">
        <is>
          <t>Klein Tools NCVT1XTKIT Non-Contact Voltage and GFCI Receptacle Premium Test Kit</t>
        </is>
      </c>
      <c r="D974" t="inlineStr">
        <is>
          <t>Klein Tools RT250KIT Non-Contact Voltage Tester and GFCI Receptacle Tester with LCD and Flashlight, Voltage Electrical Test Kit</t>
        </is>
      </c>
      <c r="E974" s="2">
        <f>HYPERLINK("https://www.amazon.com/Non-Contact-Receptacle-Klein-Tools-RT250KIT/dp/B08YDFQ2FV/ref=sr_1_2?keywords=Klein+Tools+NCVT1XTKIT+Non-Contact+Voltage+and+GFCI+Receptacle+Premium+Test+Kit&amp;qid=1695173872&amp;sr=8-2", "https://www.amazon.com/Non-Contact-Receptacle-Klein-Tools-RT250KIT/dp/B08YDFQ2FV/ref=sr_1_2?keywords=Klein+Tools+NCVT1XTKIT+Non-Contact+Voltage+and+GFCI+Receptacle+Premium+Test+Kit&amp;qid=1695173872&amp;sr=8-2")</f>
        <v/>
      </c>
      <c r="F974" t="inlineStr">
        <is>
          <t>B08YDFQ2FV</t>
        </is>
      </c>
      <c r="G974">
        <f>_xludf.IMAGE("https://edmondsonsupply.com/cdn/shop/products/ncvt1xtkit.jpg?v=1674497102")</f>
        <v/>
      </c>
      <c r="H974">
        <f>_xludf.IMAGE("https://m.media-amazon.com/images/I/61WaBlkJfxL._AC_UL320_.jpg")</f>
        <v/>
      </c>
      <c r="I974" t="inlineStr">
        <is>
          <t>24.99</t>
        </is>
      </c>
      <c r="J974" t="n">
        <v>44.54</v>
      </c>
      <c r="K974" s="3" t="inlineStr">
        <is>
          <t>78.23%</t>
        </is>
      </c>
      <c r="L974" t="n">
        <v>4.8</v>
      </c>
      <c r="M974" t="n">
        <v>1269</v>
      </c>
      <c r="O974" t="inlineStr">
        <is>
          <t>InStock</t>
        </is>
      </c>
      <c r="P974" t="inlineStr">
        <is>
          <t>32.98</t>
        </is>
      </c>
      <c r="Q974" t="inlineStr">
        <is>
          <t>7931949187288</t>
        </is>
      </c>
    </row>
    <row r="975">
      <c r="A975" s="2">
        <f>HYPERLINK("https://edmondsonsupply.com/collections/electricians-tools/products/klein-tools-60159-standard-safety-glasses-clear-lens", "https://edmondsonsupply.com/collections/electricians-tools/products/klein-tools-60159-standard-safety-glasses-clear-lens")</f>
        <v/>
      </c>
      <c r="B975" s="2">
        <f>HYPERLINK("https://edmondsonsupply.com/products/klein-tools-60159-standard-safety-glasses-clear-lens", "https://edmondsonsupply.com/products/klein-tools-60159-standard-safety-glasses-clear-lens")</f>
        <v/>
      </c>
      <c r="C975" t="inlineStr">
        <is>
          <t>Klein Tools 60159 Standard Safety Glasses, Clear Lens</t>
        </is>
      </c>
      <c r="D975" t="inlineStr">
        <is>
          <t>Klein Tools 60161 Safety Glasses, Professional PPE Protective Eyewear with Semi Frame, Scratch Resistant and Anti-Fog, Clear Lens</t>
        </is>
      </c>
      <c r="E975" s="2">
        <f>HYPERLINK("https://www.amazon.com/Klein-60161-Professional-Protective-Resistant/dp/B08B496F57/ref=sr_1_4?keywords=Klein+Tools+60159+Standard+Safety+Glasses%2C+Clear+Lens&amp;qid=1695174312&amp;sr=8-4", "https://www.amazon.com/Klein-60161-Professional-Protective-Resistant/dp/B08B496F57/ref=sr_1_4?keywords=Klein+Tools+60159+Standard+Safety+Glasses%2C+Clear+Lens&amp;qid=1695174312&amp;sr=8-4")</f>
        <v/>
      </c>
      <c r="F975" t="inlineStr">
        <is>
          <t>B08B496F57</t>
        </is>
      </c>
      <c r="G975">
        <f>_xludf.IMAGE("https://edmondsonsupply.com/cdn/shop/products/60159.jpg?v=1633030842")</f>
        <v/>
      </c>
      <c r="H975">
        <f>_xludf.IMAGE("https://m.media-amazon.com/images/I/515pVZPvJ0L._AC_UL320_.jpg")</f>
        <v/>
      </c>
      <c r="I975" t="inlineStr">
        <is>
          <t>8.99</t>
        </is>
      </c>
      <c r="J975" t="n">
        <v>15.99</v>
      </c>
      <c r="K975" s="3" t="inlineStr">
        <is>
          <t>77.86%</t>
        </is>
      </c>
      <c r="L975" t="n">
        <v>4.4</v>
      </c>
      <c r="M975" t="n">
        <v>374</v>
      </c>
      <c r="O975" t="inlineStr">
        <is>
          <t>InStock</t>
        </is>
      </c>
      <c r="P975" t="inlineStr">
        <is>
          <t>12.6</t>
        </is>
      </c>
      <c r="Q975" t="inlineStr">
        <is>
          <t>6091658428589</t>
        </is>
      </c>
    </row>
    <row r="976">
      <c r="A976" s="2">
        <f>HYPERLINK("https://edmondsonsupply.com/collections/electricians-tools/products/klein-tools-60159-standard-safety-glasses-clear-lens", "https://edmondsonsupply.com/collections/electricians-tools/products/klein-tools-60159-standard-safety-glasses-clear-lens")</f>
        <v/>
      </c>
      <c r="B976" s="2">
        <f>HYPERLINK("https://edmondsonsupply.com/products/klein-tools-60159-standard-safety-glasses-clear-lens", "https://edmondsonsupply.com/products/klein-tools-60159-standard-safety-glasses-clear-lens")</f>
        <v/>
      </c>
      <c r="C976" t="inlineStr">
        <is>
          <t>Klein Tools 60159 Standard Safety Glasses, Clear Lens</t>
        </is>
      </c>
      <c r="D976" t="inlineStr">
        <is>
          <t>Klein Tools 60470 Safety Glasses, ANSI Z87.1+ Pro Full Frame Gasket Safety Glasses, Clear Lenses, UV Protection, Anti-Fog, Scratch Resistant, Black/Orange</t>
        </is>
      </c>
      <c r="E976" s="2">
        <f>HYPERLINK("https://www.amazon.com/Klein-60470-Protection-Anti-Fog-Resistant/dp/B0B69KPRPF/ref=sr_1_2?keywords=Klein+Tools+60159+Standard+Safety+Glasses%2C+Clear+Lens&amp;qid=1695174312&amp;sr=8-2", "https://www.amazon.com/Klein-60470-Protection-Anti-Fog-Resistant/dp/B0B69KPRPF/ref=sr_1_2?keywords=Klein+Tools+60159+Standard+Safety+Glasses%2C+Clear+Lens&amp;qid=1695174312&amp;sr=8-2")</f>
        <v/>
      </c>
      <c r="F976" t="inlineStr">
        <is>
          <t>B0B69KPRPF</t>
        </is>
      </c>
      <c r="G976">
        <f>_xludf.IMAGE("https://edmondsonsupply.com/cdn/shop/products/60159.jpg?v=1633030842")</f>
        <v/>
      </c>
      <c r="H976">
        <f>_xludf.IMAGE("https://m.media-amazon.com/images/I/51TkfiRMYgL._AC_UL320_.jpg")</f>
        <v/>
      </c>
      <c r="I976" t="inlineStr">
        <is>
          <t>8.99</t>
        </is>
      </c>
      <c r="J976" t="n">
        <v>15.99</v>
      </c>
      <c r="K976" s="3" t="inlineStr">
        <is>
          <t>77.86%</t>
        </is>
      </c>
      <c r="L976" t="n">
        <v>4</v>
      </c>
      <c r="M976" t="n">
        <v>29</v>
      </c>
      <c r="O976" t="inlineStr">
        <is>
          <t>InStock</t>
        </is>
      </c>
      <c r="P976" t="inlineStr">
        <is>
          <t>12.6</t>
        </is>
      </c>
      <c r="Q976" t="inlineStr">
        <is>
          <t>6091658428589</t>
        </is>
      </c>
    </row>
    <row r="977">
      <c r="A977" s="2">
        <f>HYPERLINK("https://edmondsonsupply.com/collections/electricians-tools/products/klein-tools-60160-standard-safety-glasses-gray-lens", "https://edmondsonsupply.com/collections/electricians-tools/products/klein-tools-60160-standard-safety-glasses-gray-lens")</f>
        <v/>
      </c>
      <c r="B977" s="2">
        <f>HYPERLINK("https://edmondsonsupply.com/products/klein-tools-60160-standard-safety-glasses-gray-lens", "https://edmondsonsupply.com/products/klein-tools-60160-standard-safety-glasses-gray-lens")</f>
        <v/>
      </c>
      <c r="C977" t="inlineStr">
        <is>
          <t>Klein Tools 60160 Standard Safety Glasses, Gray Lens</t>
        </is>
      </c>
      <c r="D977" t="inlineStr">
        <is>
          <t>Klein Tools 60471 Safety Glasses, ANSI Z87.1+ Pro Full Frame Gasket Safety Glasses, Gray Lens, UV Protection, Anti-Fog, Scratch Resistant</t>
        </is>
      </c>
      <c r="E977" s="2">
        <f>HYPERLINK("https://www.amazon.com/Klein-60471-Protection-Anti-Fog-Resistant/dp/B0B69LNT2Y/ref=sr_1_5?keywords=Klein+Tools+60160+Standard+Safety+Glasses%2C+Gray+Lens&amp;qid=1695174305&amp;sr=8-5", "https://www.amazon.com/Klein-60471-Protection-Anti-Fog-Resistant/dp/B0B69LNT2Y/ref=sr_1_5?keywords=Klein+Tools+60160+Standard+Safety+Glasses%2C+Gray+Lens&amp;qid=1695174305&amp;sr=8-5")</f>
        <v/>
      </c>
      <c r="F977" t="inlineStr">
        <is>
          <t>B0B69LNT2Y</t>
        </is>
      </c>
      <c r="G977">
        <f>_xludf.IMAGE("https://edmondsonsupply.com/cdn/shop/products/60160.jpg?v=1633030843")</f>
        <v/>
      </c>
      <c r="H977">
        <f>_xludf.IMAGE("https://m.media-amazon.com/images/I/51z-a2tdJlL._AC_UL320_.jpg")</f>
        <v/>
      </c>
      <c r="I977" t="inlineStr">
        <is>
          <t>8.99</t>
        </is>
      </c>
      <c r="J977" t="n">
        <v>15.99</v>
      </c>
      <c r="K977" s="3" t="inlineStr">
        <is>
          <t>77.86%</t>
        </is>
      </c>
      <c r="L977" t="n">
        <v>4.3</v>
      </c>
      <c r="M977" t="n">
        <v>56</v>
      </c>
      <c r="O977" t="inlineStr">
        <is>
          <t>InStock</t>
        </is>
      </c>
      <c r="P977" t="inlineStr">
        <is>
          <t>12.6</t>
        </is>
      </c>
      <c r="Q977" t="inlineStr">
        <is>
          <t>6091953111213</t>
        </is>
      </c>
    </row>
    <row r="978">
      <c r="A978" s="2">
        <f>HYPERLINK("https://edmondsonsupply.com/collections/electricians-tools/products/klein-tools-31905-hole-saw-arbor-with-adapter-3-8-inch", "https://edmondsonsupply.com/collections/electricians-tools/products/klein-tools-31905-hole-saw-arbor-with-adapter-3-8-inch")</f>
        <v/>
      </c>
      <c r="B978" s="2">
        <f>HYPERLINK("https://edmondsonsupply.com/products/klein-tools-31905-hole-saw-arbor-with-adapter-3-8-inch", "https://edmondsonsupply.com/products/klein-tools-31905-hole-saw-arbor-with-adapter-3-8-inch")</f>
        <v/>
      </c>
      <c r="C978" t="inlineStr">
        <is>
          <t>Klein Tools 31905 Hole Saw Arbor with Adapter, 3/8-Inch</t>
        </is>
      </c>
      <c r="D978" t="inlineStr">
        <is>
          <t>Klein Tools 31906 Hole Saw Arbor With Pins, 7/16-Inch</t>
        </is>
      </c>
      <c r="E978" s="2">
        <f>HYPERLINK("https://www.amazon.com/Arbor-16-Inch-Klein-Tools-31906/dp/B0198751UO/ref=sr_1_2?keywords=Klein+Tools+31905+Hole+Saw+Arbor+with+Adapter%2C+3%2F8-Inch&amp;qid=1695174150&amp;sr=8-2", "https://www.amazon.com/Arbor-16-Inch-Klein-Tools-31906/dp/B0198751UO/ref=sr_1_2?keywords=Klein+Tools+31905+Hole+Saw+Arbor+with+Adapter%2C+3%2F8-Inch&amp;qid=1695174150&amp;sr=8-2")</f>
        <v/>
      </c>
      <c r="F978" t="inlineStr">
        <is>
          <t>B0198751UO</t>
        </is>
      </c>
      <c r="G978">
        <f>_xludf.IMAGE("https://edmondsonsupply.com/cdn/shop/products/31905.jpg?v=1665602746")</f>
        <v/>
      </c>
      <c r="H978">
        <f>_xludf.IMAGE("https://m.media-amazon.com/images/I/51WjO5DQ0bL._AC_UL320_.jpg")</f>
        <v/>
      </c>
      <c r="I978" t="inlineStr">
        <is>
          <t>8.99</t>
        </is>
      </c>
      <c r="J978" t="n">
        <v>15.99</v>
      </c>
      <c r="K978" s="3" t="inlineStr">
        <is>
          <t>77.86%</t>
        </is>
      </c>
      <c r="L978" t="n">
        <v>4.5</v>
      </c>
      <c r="M978" t="n">
        <v>233</v>
      </c>
      <c r="O978" t="inlineStr">
        <is>
          <t>InStock</t>
        </is>
      </c>
      <c r="P978" t="inlineStr">
        <is>
          <t>12.62</t>
        </is>
      </c>
      <c r="Q978" t="inlineStr">
        <is>
          <t>7850183360728</t>
        </is>
      </c>
    </row>
    <row r="979">
      <c r="A979" s="2">
        <f>HYPERLINK("https://edmondsonsupply.com/collections/electricians-tools/products/klein-tools-jth68mb-6-inch-metric-ball-end-t-handle-set-8-piece", "https://edmondsonsupply.com/collections/electricians-tools/products/klein-tools-jth68mb-6-inch-metric-ball-end-t-handle-set-8-piece")</f>
        <v/>
      </c>
      <c r="B979" s="2">
        <f>HYPERLINK("https://edmondsonsupply.com/products/klein-tools-jth68mb-6-inch-metric-ball-end-t-handle-set-8-piece", "https://edmondsonsupply.com/products/klein-tools-jth68mb-6-inch-metric-ball-end-t-handle-set-8-piece")</f>
        <v/>
      </c>
      <c r="C979" t="inlineStr">
        <is>
          <t>Klein Tools JTH68MB Hex Kit Set, Metric, Ball End T-Handle, 6-Inch with Stand, 8-Piece</t>
        </is>
      </c>
      <c r="D979" t="inlineStr">
        <is>
          <t>Klein Tools JTH68MB Hex Kit Set, Metric Ball End T-Handle Hex Key Allen Wrench Set with 6-Inch Blades, Stand Included, 8-Piece</t>
        </is>
      </c>
      <c r="E979" s="2">
        <f>HYPERLINK("https://www.amazon.com/T-Handle-8-Piece-Klein-Tools-JTH68MB/dp/B004DB8GSK/ref=sr_1_1?keywords=Klein+Tools+JTH68MB+Hex+Kit+Set%2C+Metric%2C+Ball+End+T-Handle%2C+6-Inch+with+Stand%2C+8-Piece&amp;qid=1695173917&amp;sr=8-1", "https://www.amazon.com/T-Handle-8-Piece-Klein-Tools-JTH68MB/dp/B004DB8GSK/ref=sr_1_1?keywords=Klein+Tools+JTH68MB+Hex+Kit+Set%2C+Metric%2C+Ball+End+T-Handle%2C+6-Inch+with+Stand%2C+8-Piece&amp;qid=1695173917&amp;sr=8-1")</f>
        <v/>
      </c>
      <c r="F979" t="inlineStr">
        <is>
          <t>B004DB8GSK</t>
        </is>
      </c>
      <c r="G979">
        <f>_xludf.IMAGE("https://edmondsonsupply.com/cdn/shop/products/jth68mb.jpg?v=1587142826")</f>
        <v/>
      </c>
      <c r="H979">
        <f>_xludf.IMAGE("https://m.media-amazon.com/images/I/61XP-1Qh3UL._AC_UL320_.jpg")</f>
        <v/>
      </c>
      <c r="I979" t="inlineStr">
        <is>
          <t>49.99</t>
        </is>
      </c>
      <c r="J979" t="n">
        <v>88.87</v>
      </c>
      <c r="K979" s="3" t="inlineStr">
        <is>
          <t>77.78%</t>
        </is>
      </c>
      <c r="L979" t="n">
        <v>4.6</v>
      </c>
      <c r="M979" t="n">
        <v>426</v>
      </c>
      <c r="O979" t="inlineStr">
        <is>
          <t>InStock</t>
        </is>
      </c>
      <c r="P979" t="inlineStr">
        <is>
          <t>75.74</t>
        </is>
      </c>
      <c r="Q979" t="inlineStr">
        <is>
          <t>3679146639460</t>
        </is>
      </c>
    </row>
    <row r="980">
      <c r="A980" s="2">
        <f>HYPERLINK("https://edmondsonsupply.com/collections/electricians-tools/products/klein-tools-56220-led-headlamp-flashlight-with-strap-for-hard-hat", "https://edmondsonsupply.com/collections/electricians-tools/products/klein-tools-56220-led-headlamp-flashlight-with-strap-for-hard-hat")</f>
        <v/>
      </c>
      <c r="B980" s="2">
        <f>HYPERLINK("https://edmondsonsupply.com/products/klein-tools-56220-led-headlamp-flashlight-with-strap-for-hard-hat", "https://edmondsonsupply.com/products/klein-tools-56220-led-headlamp-flashlight-with-strap-for-hard-hat")</f>
        <v/>
      </c>
      <c r="C980" t="inlineStr">
        <is>
          <t>Klein Tools 56220 LED Headlamp with Silicone Hard Hat Strap</t>
        </is>
      </c>
      <c r="D980" t="inlineStr">
        <is>
          <t>Klein Tools 56064 Rechargeable Auto-Off LED Headlamp, Silicone Strap, 400 LMS, All-Day Runtime, for Work, Running, Outdoor Hiking, Camping &amp; Headlamp Bracket with Fabric Strap</t>
        </is>
      </c>
      <c r="E980" s="2">
        <f>HYPERLINK("https://www.amazon.com/Klein-Tools-Rechargeable-Auto-Off-Headlamp/dp/B09Z932C3Z/ref=sr_1_8?keywords=Klein+Tools+56220+LED+Headlamp+with+Silicone+Hard+Hat+Strap&amp;qid=1695173937&amp;sr=8-8", "https://www.amazon.com/Klein-Tools-Rechargeable-Auto-Off-Headlamp/dp/B09Z932C3Z/ref=sr_1_8?keywords=Klein+Tools+56220+LED+Headlamp+with+Silicone+Hard+Hat+Strap&amp;qid=1695173937&amp;sr=8-8")</f>
        <v/>
      </c>
      <c r="F980" t="inlineStr">
        <is>
          <t>B09Z932C3Z</t>
        </is>
      </c>
      <c r="G980">
        <f>_xludf.IMAGE("https://edmondsonsupply.com/cdn/shop/files/56220_874194e8-71d5-41d8-a579-6dec47b3f455.jpg?v=1687356671")</f>
        <v/>
      </c>
      <c r="H980">
        <f>_xludf.IMAGE("https://m.media-amazon.com/images/I/51-nHtYlwEL._AC_UL320_.jpg")</f>
        <v/>
      </c>
      <c r="I980" t="inlineStr">
        <is>
          <t>26.97</t>
        </is>
      </c>
      <c r="J980" t="n">
        <v>47.94</v>
      </c>
      <c r="K980" s="3" t="inlineStr">
        <is>
          <t>77.75%</t>
        </is>
      </c>
      <c r="L980" t="n">
        <v>5</v>
      </c>
      <c r="M980" t="n">
        <v>1</v>
      </c>
      <c r="O980" t="inlineStr">
        <is>
          <t>InStock</t>
        </is>
      </c>
      <c r="P980" t="inlineStr">
        <is>
          <t>37.8</t>
        </is>
      </c>
      <c r="Q980" t="inlineStr">
        <is>
          <t>4167511605348</t>
        </is>
      </c>
    </row>
    <row r="981">
      <c r="A981" s="2">
        <f>HYPERLINK("https://edmondsonsupply.com/collections/electricians-tools/products/klein-tools-vdv500-123-probe-pro-tracing-probe", "https://edmondsonsupply.com/collections/electricians-tools/products/klein-tools-vdv500-123-probe-pro-tracing-probe")</f>
        <v/>
      </c>
      <c r="B981" s="2">
        <f>HYPERLINK("https://edmondsonsupply.com/products/klein-tools-vdv500-123-probe-pro-tracing-probe", "https://edmondsonsupply.com/products/klein-tools-vdv500-123-probe-pro-tracing-probe")</f>
        <v/>
      </c>
      <c r="C981" t="inlineStr">
        <is>
          <t>Klein Tools VDV500-123 Probe-PRO Tracing Probe</t>
        </is>
      </c>
      <c r="D981" t="inlineStr">
        <is>
          <t>Klein Tools VDV500-820 Cable Tracer with Probe Tone Pro Kit for Telephone, Internet, Video, Data and Communications Cables, Beige</t>
        </is>
      </c>
      <c r="E981" s="2">
        <f>HYPERLINK("https://www.amazon.com/Klein-Tools-Tone-Probe-PRO/dp/B07VYN98QV/ref=sr_1_10?keywords=Klein+Tools+VDV500-123+Probe-PRO+Tracing+Probe&amp;qid=1695173898&amp;sr=8-10", "https://www.amazon.com/Klein-Tools-Tone-Probe-PRO/dp/B07VYN98QV/ref=sr_1_10?keywords=Klein+Tools+VDV500-123+Probe-PRO+Tracing+Probe&amp;qid=1695173898&amp;sr=8-10")</f>
        <v/>
      </c>
      <c r="F981" t="inlineStr">
        <is>
          <t>B07VYN98QV</t>
        </is>
      </c>
      <c r="G981">
        <f>_xludf.IMAGE("https://edmondsonsupply.com/cdn/shop/products/vdv500123.jpg?v=1587142783")</f>
        <v/>
      </c>
      <c r="H981">
        <f>_xludf.IMAGE("https://m.media-amazon.com/images/I/612EgCjy2xL._AC_UY218_.jpg")</f>
        <v/>
      </c>
      <c r="I981" t="inlineStr">
        <is>
          <t>44.99</t>
        </is>
      </c>
      <c r="J981" t="n">
        <v>79.97</v>
      </c>
      <c r="K981" s="3" t="inlineStr">
        <is>
          <t>77.75%</t>
        </is>
      </c>
      <c r="L981" t="n">
        <v>4.7</v>
      </c>
      <c r="M981" t="n">
        <v>3617</v>
      </c>
      <c r="O981" t="inlineStr">
        <is>
          <t>InStock</t>
        </is>
      </c>
      <c r="P981" t="inlineStr">
        <is>
          <t>63.0</t>
        </is>
      </c>
      <c r="Q981" t="inlineStr">
        <is>
          <t>4274361466980</t>
        </is>
      </c>
    </row>
    <row r="982">
      <c r="A982" s="2">
        <f>HYPERLINK("https://edmondsonsupply.com/collections/electricians-tools/products/klein-tools-32305-15-in-1-multi-bit-ratcheting-screwdriver", "https://edmondsonsupply.com/collections/electricians-tools/products/klein-tools-32305-15-in-1-multi-bit-ratcheting-screwdriver")</f>
        <v/>
      </c>
      <c r="B982" s="2">
        <f>HYPERLINK("https://edmondsonsupply.com/products/klein-tools-32305-15-in-1-multi-bit-ratcheting-screwdriver", "https://edmondsonsupply.com/products/klein-tools-32305-15-in-1-multi-bit-ratcheting-screwdriver")</f>
        <v/>
      </c>
      <c r="C982" t="inlineStr">
        <is>
          <t>Klein Tools 32305 15-in-1 Multi-Bit Ratcheting Screwdriver</t>
        </is>
      </c>
      <c r="D982" t="inlineStr">
        <is>
          <t>Klein Tools 32308 Multi-bit Stubby Screwdriver &amp; 32305 Multi-bit Ratcheting Screwdriver, 15-in-1 Tool with Phillips, Slotted, Square, Torx and Combo Bits and 1/4-Inch Nut Driver</t>
        </is>
      </c>
      <c r="E982" s="2">
        <f>HYPERLINK("https://www.amazon.com/Klein-Tools-Multi-bit-Screwdriver-Ratcheting/dp/B0B56L1H2R/ref=sr_1_2?keywords=Klein+Tools+32305+15-in-1+Multi-Bit+Ratcheting+Screwdriver&amp;qid=1695174215&amp;sr=8-2", "https://www.amazon.com/Klein-Tools-Multi-bit-Screwdriver-Ratcheting/dp/B0B56L1H2R/ref=sr_1_2?keywords=Klein+Tools+32305+15-in-1+Multi-Bit+Ratcheting+Screwdriver&amp;qid=1695174215&amp;sr=8-2")</f>
        <v/>
      </c>
      <c r="F982" t="inlineStr">
        <is>
          <t>B0B56L1H2R</t>
        </is>
      </c>
      <c r="G982">
        <f>_xludf.IMAGE("https://edmondsonsupply.com/cdn/shop/products/32305.jpg?v=1646965475")</f>
        <v/>
      </c>
      <c r="H982">
        <f>_xludf.IMAGE("https://m.media-amazon.com/images/I/51Y3KYHxHyL._AC_UL320_.jpg")</f>
        <v/>
      </c>
      <c r="I982" t="inlineStr">
        <is>
          <t>21.97</t>
        </is>
      </c>
      <c r="J982" t="n">
        <v>38.94</v>
      </c>
      <c r="K982" s="3" t="inlineStr">
        <is>
          <t>77.24%</t>
        </is>
      </c>
      <c r="L982" t="n">
        <v>4.7</v>
      </c>
      <c r="M982" t="n">
        <v>127</v>
      </c>
      <c r="O982" t="inlineStr">
        <is>
          <t>InStock</t>
        </is>
      </c>
      <c r="P982" t="inlineStr">
        <is>
          <t>30.78</t>
        </is>
      </c>
      <c r="Q982" t="inlineStr">
        <is>
          <t>7632426598616</t>
        </is>
      </c>
    </row>
    <row r="983">
      <c r="A983" s="2">
        <f>HYPERLINK("https://edmondsonsupply.com/collections/electricians-tools/products/klein-tools-vdv770-126-carrying-case-for-scout%C2%AE-pro-3-tester-and-locator-remotes", "https://edmondsonsupply.com/collections/electricians-tools/products/klein-tools-vdv770-126-carrying-case-for-scout%C2%AE-pro-3-tester-and-locator-remotes")</f>
        <v/>
      </c>
      <c r="B983" s="2">
        <f>HYPERLINK("https://edmondsonsupply.com/products/klein-tools-vdv770-126-carrying-case-for-scout%c2%ae-pro-3-tester-and-locator-remotes", "https://edmondsonsupply.com/products/klein-tools-vdv770-126-carrying-case-for-scout%c2%ae-pro-3-tester-and-locator-remotes")</f>
        <v/>
      </c>
      <c r="C983" t="inlineStr">
        <is>
          <t>Klein Tools VDV770-126 Carrying Case for Scout® Pro 3 Tester and Locator Remotes</t>
        </is>
      </c>
      <c r="D983" t="inlineStr">
        <is>
          <t>Klein Tools VDV770-125 Replacement Carrying Case for Scout Pro 3 Series Testers and Test + Map Remotes, Black</t>
        </is>
      </c>
      <c r="E983" s="2">
        <f>HYPERLINK("https://www.amazon.com/Klein-Tools-VDV770-125-Replacement-Carrying/dp/B08C4LJTX8/ref=sr_1_3?keywords=Klein+Tools+VDV770-126+Carrying+Case+for+Scout%C2%AE+Pro+3+Tester+and+Locator+Remotes&amp;qid=1695174229&amp;sr=8-3", "https://www.amazon.com/Klein-Tools-VDV770-125-Replacement-Carrying/dp/B08C4LJTX8/ref=sr_1_3?keywords=Klein+Tools+VDV770-126+Carrying+Case+for+Scout%C2%AE+Pro+3+Tester+and+Locator+Remotes&amp;qid=1695174229&amp;sr=8-3")</f>
        <v/>
      </c>
      <c r="F983" t="inlineStr">
        <is>
          <t>B08C4LJTX8</t>
        </is>
      </c>
      <c r="G983">
        <f>_xludf.IMAGE("https://edmondsonsupply.com/cdn/shop/products/vdv770126.jpg?v=1646011163")</f>
        <v/>
      </c>
      <c r="H983">
        <f>_xludf.IMAGE("https://m.media-amazon.com/images/I/713iEVC-N0L._AC_UL320_.jpg")</f>
        <v/>
      </c>
      <c r="I983" t="inlineStr">
        <is>
          <t>32.49</t>
        </is>
      </c>
      <c r="J983" t="n">
        <v>57.49</v>
      </c>
      <c r="K983" s="3" t="inlineStr">
        <is>
          <t>76.95%</t>
        </is>
      </c>
      <c r="L983" t="n">
        <v>4.8</v>
      </c>
      <c r="M983" t="n">
        <v>44</v>
      </c>
      <c r="O983" t="inlineStr">
        <is>
          <t>InStock</t>
        </is>
      </c>
      <c r="P983" t="inlineStr">
        <is>
          <t>48.14</t>
        </is>
      </c>
      <c r="Q983" t="inlineStr">
        <is>
          <t>7620077256920</t>
        </is>
      </c>
    </row>
    <row r="984">
      <c r="A984" s="2">
        <f>HYPERLINK("https://edmondsonsupply.com/collections/electricians-tools/products/channellock-428", "https://edmondsonsupply.com/collections/electricians-tools/products/channellock-428")</f>
        <v/>
      </c>
      <c r="B984" s="2">
        <f>HYPERLINK("https://edmondsonsupply.com/products/channellock-428", "https://edmondsonsupply.com/products/channellock-428")</f>
        <v/>
      </c>
      <c r="C984" t="inlineStr">
        <is>
          <t>Channellock 428 8-Inch Straight Jaw Tongue &amp; Groove Pliers</t>
        </is>
      </c>
      <c r="D984" t="inlineStr">
        <is>
          <t>Channellock 2 Piece Tongue and Groove Pliers Set - 9.5-Inch, 6.5-Inch | Straight Jaw Groove Joint Pliers | Laser Heat-Treated 90° Teeth| Forged from High Carbon Steel | Patented Reinforcing Edge Minimizes Stress Breakage | Made in USA</t>
        </is>
      </c>
      <c r="E984" s="2">
        <f>HYPERLINK("https://www.amazon.com/Channellock-GS-1-2-Inch-Tongue-Groove/dp/B00011V0GG/ref=sr_1_9?keywords=Channellock+428+8-Inch+Straight+Jaw+Tongue+%26+Groove+Pliers&amp;qid=1695173963&amp;sr=8-9", "https://www.amazon.com/Channellock-GS-1-2-Inch-Tongue-Groove/dp/B00011V0GG/ref=sr_1_9?keywords=Channellock+428+8-Inch+Straight+Jaw+Tongue+%26+Groove+Pliers&amp;qid=1695173963&amp;sr=8-9")</f>
        <v/>
      </c>
      <c r="F984" t="inlineStr">
        <is>
          <t>B00011V0GG</t>
        </is>
      </c>
      <c r="G984">
        <f>_xludf.IMAGE("https://edmondsonsupply.com/cdn/shop/products/428-683x1024.jpg?v=1587145854")</f>
        <v/>
      </c>
      <c r="H984">
        <f>_xludf.IMAGE("https://m.media-amazon.com/images/I/71s6rp1zXLL._AC_UL320_.jpg")</f>
        <v/>
      </c>
      <c r="I984" t="inlineStr">
        <is>
          <t>16.95</t>
        </is>
      </c>
      <c r="J984" t="n">
        <v>29.95</v>
      </c>
      <c r="K984" s="3" t="inlineStr">
        <is>
          <t>76.70%</t>
        </is>
      </c>
      <c r="L984" t="n">
        <v>4.8</v>
      </c>
      <c r="M984" t="n">
        <v>5487</v>
      </c>
      <c r="O984" t="inlineStr">
        <is>
          <t>InStock</t>
        </is>
      </c>
      <c r="P984" t="inlineStr">
        <is>
          <t>25.06</t>
        </is>
      </c>
      <c r="Q984" t="inlineStr">
        <is>
          <t>3523408527460</t>
        </is>
      </c>
    </row>
    <row r="985">
      <c r="A985" s="2">
        <f>HYPERLINK("https://edmondsonsupply.com/collections/electricians-tools/products/klein-tools-94155-american-legacy-lineman-pliers-and-klein-kurve%C2%AE-wire-stripper-cutter", "https://edmondsonsupply.com/collections/electricians-tools/products/klein-tools-94155-american-legacy-lineman-pliers-and-klein-kurve%C2%AE-wire-stripper-cutter")</f>
        <v/>
      </c>
      <c r="B985" s="2">
        <f>HYPERLINK("https://edmondsonsupply.com/products/klein-tools-94155-american-legacy-lineman-pliers-and-klein-kurve%c2%ae-wire-stripper-cutter", "https://edmondsonsupply.com/products/klein-tools-94155-american-legacy-lineman-pliers-and-klein-kurve%c2%ae-wire-stripper-cutter")</f>
        <v/>
      </c>
      <c r="C985" t="inlineStr">
        <is>
          <t>Klein Tools 94155 American Legacy Lineman Pliers and Klein-Kurve® Wire Stripper / Cutter</t>
        </is>
      </c>
      <c r="D985" t="inlineStr">
        <is>
          <t>Klein Tools 80043 Heavy Duty Tool Set, Includes Lineman's Side-Cutting Pliers, Diagonal Cutters and Wire Stripper, 3-Piece</t>
        </is>
      </c>
      <c r="E985" s="2">
        <f>HYPERLINK("https://www.amazon.com/Linemans-Side-Cutting-Klein-Tools-80043/dp/B0977RM5G5/ref=sr_1_4?keywords=Klein+Tools+94155+American+Legacy+Lineman+Pliers+and+Klein-Kurve%C2%AE+Wire+Stripper+%2F+Cutter&amp;qid=1695173851&amp;sr=8-4", "https://www.amazon.com/Linemans-Side-Cutting-Klein-Tools-80043/dp/B0977RM5G5/ref=sr_1_4?keywords=Klein+Tools+94155+American+Legacy+Lineman+Pliers+and+Klein-Kurve%C2%AE+Wire+Stripper+%2F+Cutter&amp;qid=1695173851&amp;sr=8-4")</f>
        <v/>
      </c>
      <c r="F985" t="inlineStr">
        <is>
          <t>B0977RM5G5</t>
        </is>
      </c>
      <c r="G985">
        <f>_xludf.IMAGE("https://edmondsonsupply.com/cdn/shop/products/94155.jpg?v=1674141590")</f>
        <v/>
      </c>
      <c r="H985">
        <f>_xludf.IMAGE("https://m.media-amazon.com/images/I/51t8JGB+SAS._AC_UL320_.jpg")</f>
        <v/>
      </c>
      <c r="I985" t="inlineStr">
        <is>
          <t>39.99</t>
        </is>
      </c>
      <c r="J985" t="n">
        <v>69.98999999999999</v>
      </c>
      <c r="K985" s="3" t="inlineStr">
        <is>
          <t>75.02%</t>
        </is>
      </c>
      <c r="L985" t="n">
        <v>4.8</v>
      </c>
      <c r="M985" t="n">
        <v>1451</v>
      </c>
      <c r="O985" t="inlineStr">
        <is>
          <t>InStock</t>
        </is>
      </c>
      <c r="P985" t="inlineStr">
        <is>
          <t>59.98</t>
        </is>
      </c>
      <c r="Q985" t="inlineStr">
        <is>
          <t>7926859104472</t>
        </is>
      </c>
    </row>
    <row r="986">
      <c r="A986" s="2">
        <f>HYPERLINK("https://edmondsonsupply.com/collections/electricians-tools/products/klein-tools-vdv526-052-cable-tester-lan-scout%C2%AE-jr-continuity-tester", "https://edmondsonsupply.com/collections/electricians-tools/products/klein-tools-vdv526-052-cable-tester-lan-scout%C2%AE-jr-continuity-tester")</f>
        <v/>
      </c>
      <c r="B986" s="2">
        <f>HYPERLINK("https://edmondsonsupply.com/products/klein-tools-vdv526-052-cable-tester-lan-scout%c2%ae-jr-continuity-tester", "https://edmondsonsupply.com/products/klein-tools-vdv526-052-cable-tester-lan-scout%c2%ae-jr-continuity-tester")</f>
        <v/>
      </c>
      <c r="C986" t="inlineStr">
        <is>
          <t>Klein Tools VDV526-052 Cable Tester, LAN Scout® Jr. Continuity Tester</t>
        </is>
      </c>
      <c r="D986" t="inlineStr">
        <is>
          <t>Klein Tools VDV226-110 Ratcheting Modular Cable Crimper &amp; VDV526-200 Cable Tester, LAN Scout Jr. 2 Ethernet Cable Tester for CAT 5e, CAT 6/6A Cables with RJ45 Connections</t>
        </is>
      </c>
      <c r="E986" s="2">
        <f>HYPERLINK("https://www.amazon.com/Klein-Tools-VDV226-110-Ratcheting-Connections/dp/B09T6YN1NB/ref=sr_1_9?keywords=Klein+Tools+VDV526-052+Cable+Tester%2C+LAN+Scout%C2%AE+Jr.+Continuity+Tester&amp;qid=1695174034&amp;sr=8-9", "https://www.amazon.com/Klein-Tools-VDV226-110-Ratcheting-Connections/dp/B09T6YN1NB/ref=sr_1_9?keywords=Klein+Tools+VDV526-052+Cable+Tester%2C+LAN+Scout%C2%AE+Jr.+Continuity+Tester&amp;qid=1695174034&amp;sr=8-9")</f>
        <v/>
      </c>
      <c r="F986" t="inlineStr">
        <is>
          <t>B09T6YN1NB</t>
        </is>
      </c>
      <c r="G986">
        <f>_xludf.IMAGE("https://edmondsonsupply.com/cdn/shop/files/vdv526-052.jpg?v=1685032494")</f>
        <v/>
      </c>
      <c r="H986">
        <f>_xludf.IMAGE("https://m.media-amazon.com/images/I/51-TxWp0yoL._AC_UY218_.jpg")</f>
        <v/>
      </c>
      <c r="I986" t="inlineStr">
        <is>
          <t>59.97</t>
        </is>
      </c>
      <c r="J986" t="n">
        <v>104.94</v>
      </c>
      <c r="K986" s="3" t="inlineStr">
        <is>
          <t>74.99%</t>
        </is>
      </c>
      <c r="L986" t="n">
        <v>5</v>
      </c>
      <c r="M986" t="n">
        <v>6</v>
      </c>
      <c r="O986" t="inlineStr">
        <is>
          <t>InStock</t>
        </is>
      </c>
      <c r="P986" t="inlineStr">
        <is>
          <t>96.68</t>
        </is>
      </c>
      <c r="Q986" t="inlineStr">
        <is>
          <t>7995835678936</t>
        </is>
      </c>
    </row>
    <row r="987">
      <c r="A987" s="2">
        <f>HYPERLINK("https://edmondsonsupply.com/collections/electricians-tools/products/klein-tools-70550-pro-folding-hex-key-set-11-fractional-inch-sized-keys", "https://edmondsonsupply.com/collections/electricians-tools/products/klein-tools-70550-pro-folding-hex-key-set-11-fractional-inch-sized-keys")</f>
        <v/>
      </c>
      <c r="B987" s="2">
        <f>HYPERLINK("https://edmondsonsupply.com/products/klein-tools-70550-pro-folding-hex-key-set-11-fractional-inch-sized-keys", "https://edmondsonsupply.com/products/klein-tools-70550-pro-folding-hex-key-set-11-fractional-inch-sized-keys")</f>
        <v/>
      </c>
      <c r="C987" t="inlineStr">
        <is>
          <t>Klein Tools 70550 Pro Folding Hex Key Set, 11-Key, SAE Sizes</t>
        </is>
      </c>
      <c r="D987" t="inlineStr">
        <is>
          <t>Klein Tools 50900R Conduit Lockout Wrench Set, Tighten and Loosen Locknuts in Tight Spaces &amp; 70550 Hex Wrench Key Set, 11 SAE Sizes, Heavy Duty Folding Allen Wrench Tool</t>
        </is>
      </c>
      <c r="E987" s="2">
        <f>HYPERLINK("https://www.amazon.com/Klein-Tools-Conduit-Lockout-Locknuts/dp/B0CF2F1JTM/ref=sr_1_6?keywords=Klein+Tools+70550+Pro+Folding+Hex+Key+Set%2C+11-Key%2C+SAE+Sizes&amp;qid=1695173950&amp;sr=8-6", "https://www.amazon.com/Klein-Tools-Conduit-Lockout-Locknuts/dp/B0CF2F1JTM/ref=sr_1_6?keywords=Klein+Tools+70550+Pro+Folding+Hex+Key+Set%2C+11-Key%2C+SAE+Sizes&amp;qid=1695173950&amp;sr=8-6")</f>
        <v/>
      </c>
      <c r="F987" t="inlineStr">
        <is>
          <t>B0CF2F1JTM</t>
        </is>
      </c>
      <c r="G987">
        <f>_xludf.IMAGE("https://edmondsonsupply.com/cdn/shop/products/70550.jpg?v=1587145237")</f>
        <v/>
      </c>
      <c r="H987">
        <f>_xludf.IMAGE("https://m.media-amazon.com/images/I/41bIGhL6z5L._AC_UL320_.jpg")</f>
        <v/>
      </c>
      <c r="I987" t="inlineStr">
        <is>
          <t>19.97</t>
        </is>
      </c>
      <c r="J987" t="n">
        <v>34.94</v>
      </c>
      <c r="K987" s="3" t="inlineStr">
        <is>
          <t>74.96%</t>
        </is>
      </c>
      <c r="L987" t="n">
        <v>4.5</v>
      </c>
      <c r="M987" t="n">
        <v>127</v>
      </c>
      <c r="O987" t="inlineStr">
        <is>
          <t>InStock</t>
        </is>
      </c>
      <c r="P987" t="inlineStr">
        <is>
          <t>27.18</t>
        </is>
      </c>
      <c r="Q987" t="inlineStr">
        <is>
          <t>3693538082916</t>
        </is>
      </c>
    </row>
    <row r="988">
      <c r="A988" s="2">
        <f>HYPERLINK("https://edmondsonsupply.com/collections/electricians-tools/products/klein-tools-32907-7-in-1-impact-flip-socket-set-no-handle", "https://edmondsonsupply.com/collections/electricians-tools/products/klein-tools-32907-7-in-1-impact-flip-socket-set-no-handle")</f>
        <v/>
      </c>
      <c r="B988" s="2">
        <f>HYPERLINK("https://edmondsonsupply.com/products/klein-tools-32907-7-in-1-impact-flip-socket-set-no-handle", "https://edmondsonsupply.com/products/klein-tools-32907-7-in-1-impact-flip-socket-set-no-handle")</f>
        <v/>
      </c>
      <c r="C988" t="inlineStr">
        <is>
          <t>Klein Tools 32907 7-in-1 Impact Flip Socket Set, No Handle</t>
        </is>
      </c>
      <c r="D988" t="inlineStr">
        <is>
          <t>Klein Tools 50900R Conduit Lockout Wrench Set, Tighten and Loosen Locknuts in Tight Spaces &amp; Impact Driver, 7-in-1 Impact Flip Socket Set, 6 Hex Driver Sizes plus a 1/4-Inch Bit Holder 32907</t>
        </is>
      </c>
      <c r="E988" s="2">
        <f>HYPERLINK("https://www.amazon.com/Klein-Tools-Conduit-Lockout-Locknuts/dp/B0CF2DNQ9B/ref=sr_1_7?keywords=Klein+Tools+32907+7-in-1+Impact+Flip+Socket+Set%2C+No+Handle&amp;qid=1695173886&amp;sr=8-7", "https://www.amazon.com/Klein-Tools-Conduit-Lockout-Locknuts/dp/B0CF2DNQ9B/ref=sr_1_7?keywords=Klein+Tools+32907+7-in-1+Impact+Flip+Socket+Set%2C+No+Handle&amp;qid=1695173886&amp;sr=8-7")</f>
        <v/>
      </c>
      <c r="F988" t="inlineStr">
        <is>
          <t>B0CF2DNQ9B</t>
        </is>
      </c>
      <c r="G988">
        <f>_xludf.IMAGE("https://edmondsonsupply.com/cdn/shop/products/32907_b.jpg?v=1666025282")</f>
        <v/>
      </c>
      <c r="H988">
        <f>_xludf.IMAGE("https://m.media-amazon.com/images/I/41kMxpco1dL._AC_UL320_.jpg")</f>
        <v/>
      </c>
      <c r="I988" t="inlineStr">
        <is>
          <t>19.99</t>
        </is>
      </c>
      <c r="J988" t="n">
        <v>34.96</v>
      </c>
      <c r="K988" s="3" t="inlineStr">
        <is>
          <t>74.89%</t>
        </is>
      </c>
      <c r="L988" t="n">
        <v>4.5</v>
      </c>
      <c r="M988" t="n">
        <v>127</v>
      </c>
      <c r="O988" t="inlineStr">
        <is>
          <t>InStock</t>
        </is>
      </c>
      <c r="P988" t="inlineStr">
        <is>
          <t>29.18</t>
        </is>
      </c>
      <c r="Q988" t="inlineStr">
        <is>
          <t>7856653009112</t>
        </is>
      </c>
    </row>
    <row r="989">
      <c r="A989" s="2">
        <f>HYPERLINK("https://edmondsonsupply.com/collections/electricians-tools/products/milwaukee-49-56-0509-diamond-max%E2%84%A2-hole-saws", "https://edmondsonsupply.com/collections/electricians-tools/products/milwaukee-49-56-0509-diamond-max%E2%84%A2-hole-saws")</f>
        <v/>
      </c>
      <c r="B989" s="2">
        <f>HYPERLINK("https://edmondsonsupply.com/products/milwaukee-49-56-0509-diamond-max%e2%84%a2-hole-saws", "https://edmondsonsupply.com/products/milwaukee-49-56-0509-diamond-max%e2%84%a2-hole-saws")</f>
        <v/>
      </c>
      <c r="C989" t="inlineStr">
        <is>
          <t>Milwaukee 49-56-0509 3/8" Diamond MAX™ Hole Saw</t>
        </is>
      </c>
      <c r="D989" t="inlineStr">
        <is>
          <t>Milwaukee 49-56-0500 Diamond Max Diamond Grit Hole Saw 3 Piece Set 49560500 0</t>
        </is>
      </c>
      <c r="E989" s="2">
        <f>HYPERLINK("https://www.amazon.com/Milwaukee-49-56-0500-Diamond-Grit-Piece/dp/B09L5DZ2TG/ref=sr_1_1?keywords=Milwaukee+49-56-0509+3%2F8%22+Diamond+MAX%E2%84%A2+Hole+Saw&amp;qid=1695174089&amp;sr=8-1", "https://www.amazon.com/Milwaukee-49-56-0500-Diamond-Grit-Piece/dp/B09L5DZ2TG/ref=sr_1_1?keywords=Milwaukee+49-56-0509+3%2F8%22+Diamond+MAX%E2%84%A2+Hole+Saw&amp;qid=1695174089&amp;sr=8-1")</f>
        <v/>
      </c>
      <c r="F989" t="inlineStr">
        <is>
          <t>B09L5DZ2TG</t>
        </is>
      </c>
      <c r="G989">
        <f>_xludf.IMAGE("https://edmondsonsupply.com/cdn/shop/products/images.jpg?v=1678461630")</f>
        <v/>
      </c>
      <c r="H989">
        <f>_xludf.IMAGE("https://m.media-amazon.com/images/I/71KrmL0Rx7L._AC_UL320_.jpg")</f>
        <v/>
      </c>
      <c r="I989" t="inlineStr">
        <is>
          <t>19.98</t>
        </is>
      </c>
      <c r="J989" t="n">
        <v>34.88</v>
      </c>
      <c r="K989" s="3" t="inlineStr">
        <is>
          <t>74.57%</t>
        </is>
      </c>
      <c r="L989" t="n">
        <v>4.8</v>
      </c>
      <c r="M989" t="n">
        <v>31</v>
      </c>
      <c r="O989" t="inlineStr">
        <is>
          <t>InStock</t>
        </is>
      </c>
      <c r="P989" t="inlineStr">
        <is>
          <t>30.9</t>
        </is>
      </c>
      <c r="Q989" t="inlineStr">
        <is>
          <t>7910281019608</t>
        </is>
      </c>
    </row>
    <row r="990">
      <c r="A990" s="2">
        <f>HYPERLINK("https://edmondsonsupply.com/collections/electricians-tools/products/clc-1528-11", "https://edmondsonsupply.com/collections/electricians-tools/products/clc-1528-11")</f>
        <v/>
      </c>
      <c r="B990" s="2">
        <f>HYPERLINK("https://edmondsonsupply.com/products/clc-1528-11", "https://edmondsonsupply.com/products/clc-1528-11")</f>
        <v/>
      </c>
      <c r="C990" t="inlineStr">
        <is>
          <t>CLC 1528 11" Electrical &amp; Maintenance Tool Carrier</t>
        </is>
      </c>
      <c r="D990" t="inlineStr">
        <is>
          <t>CLC WORK GEAR 1530 Electrical and Maintenance Tool Carrier, 43 Pocket &amp; CLC Custom LeatherCraft 1528 Large Electrical and Maintenance Tool Carrier, 22 Pocket, Black, 11" x 10" x 19"h</t>
        </is>
      </c>
      <c r="E990" s="2">
        <f>HYPERLINK("https://www.amazon.com/Electrical-Maintenance-Carrier-Custom-LeatherCraft/dp/B0BFXQS1YT/ref=sr_1_3?keywords=CLC+1528+11%22+Electrical+%26+Maintenance+Tool+Carrier&amp;qid=1695173922&amp;sr=8-3", "https://www.amazon.com/Electrical-Maintenance-Carrier-Custom-LeatherCraft/dp/B0BFXQS1YT/ref=sr_1_3?keywords=CLC+1528+11%22+Electrical+%26+Maintenance+Tool+Carrier&amp;qid=1695173922&amp;sr=8-3")</f>
        <v/>
      </c>
      <c r="F990" t="inlineStr">
        <is>
          <t>B0BFXQS1YT</t>
        </is>
      </c>
      <c r="G990">
        <f>_xludf.IMAGE("https://edmondsonsupply.com/cdn/shop/products/clc-1528__1_321x_3x.progressive_bf390c4e-ab2d-4119-a706-a1ca10a9b643.jpg?v=1609778372")</f>
        <v/>
      </c>
      <c r="H990">
        <f>_xludf.IMAGE("https://m.media-amazon.com/images/I/51Ev+6BezpL._AC_UL320_.jpg")</f>
        <v/>
      </c>
      <c r="I990" t="inlineStr">
        <is>
          <t>69.95</t>
        </is>
      </c>
      <c r="J990" t="n">
        <v>121.75</v>
      </c>
      <c r="K990" s="3" t="inlineStr">
        <is>
          <t>74.05%</t>
        </is>
      </c>
      <c r="L990" t="n">
        <v>4.7</v>
      </c>
      <c r="M990" t="n">
        <v>1781</v>
      </c>
      <c r="O990" t="inlineStr">
        <is>
          <t>InStock</t>
        </is>
      </c>
      <c r="P990" t="inlineStr">
        <is>
          <t>94.95</t>
        </is>
      </c>
      <c r="Q990" t="inlineStr">
        <is>
          <t>5267577110696</t>
        </is>
      </c>
    </row>
    <row r="991">
      <c r="A991" s="2">
        <f>HYPERLINK("https://edmondsonsupply.com/collections/electricians-tools/products/milwaukee-48-22-1502-fastback%E2%84%A2-folding-utility-knife-w-blade-storage", "https://edmondsonsupply.com/collections/electricians-tools/products/milwaukee-48-22-1502-fastback%E2%84%A2-folding-utility-knife-w-blade-storage")</f>
        <v/>
      </c>
      <c r="B991" s="2">
        <f>HYPERLINK("https://edmondsonsupply.com/products/milwaukee-48-22-1502-fastback%e2%84%a2-folding-utility-knife-w-blade-storage", "https://edmondsonsupply.com/products/milwaukee-48-22-1502-fastback%e2%84%a2-folding-utility-knife-w-blade-storage")</f>
        <v/>
      </c>
      <c r="C991" t="inlineStr">
        <is>
          <t>Milwaukee 48-22-1502 FASTBACK™ Folding Utility Knife w/ Blade Storage</t>
        </is>
      </c>
      <c r="D991" t="inlineStr">
        <is>
          <t>For Milwaukee Tool 48-22-1505 Fastback™ 6In1 Folding Utility Knife</t>
        </is>
      </c>
      <c r="E991" s="2">
        <f>HYPERLINK("https://www.amazon.com/Milwaukee-48-22-1505-FastbackTM-Folding-Utility/dp/B0C69TGH9K/ref=sr_1_4?keywords=Milwaukee+48-22-1502+FASTBACK%E2%84%A2+Folding+Utility+Knife+w%2F+Blade+Storage&amp;qid=1695173847&amp;sr=8-4", "https://www.amazon.com/Milwaukee-48-22-1505-FastbackTM-Folding-Utility/dp/B0C69TGH9K/ref=sr_1_4?keywords=Milwaukee+48-22-1502+FASTBACK%E2%84%A2+Folding+Utility+Knife+w%2F+Blade+Storage&amp;qid=1695173847&amp;sr=8-4")</f>
        <v/>
      </c>
      <c r="F991" t="inlineStr">
        <is>
          <t>B0C69TGH9K</t>
        </is>
      </c>
      <c r="G991">
        <f>_xludf.IMAGE("https://edmondsonsupply.com/cdn/shop/products/48-22-1502_3.png?v=1587148345")</f>
        <v/>
      </c>
      <c r="H991">
        <f>_xludf.IMAGE("https://m.media-amazon.com/images/I/41ZUsUsHByL._AC_UL320_.jpg")</f>
        <v/>
      </c>
      <c r="I991" t="inlineStr">
        <is>
          <t>14.97</t>
        </is>
      </c>
      <c r="J991" t="n">
        <v>26</v>
      </c>
      <c r="K991" s="3" t="inlineStr">
        <is>
          <t>73.68%</t>
        </is>
      </c>
      <c r="L991" t="n">
        <v>4.7</v>
      </c>
      <c r="M991" t="n">
        <v>4</v>
      </c>
      <c r="O991" t="inlineStr">
        <is>
          <t>InStock</t>
        </is>
      </c>
      <c r="P991" t="inlineStr">
        <is>
          <t>23.0</t>
        </is>
      </c>
      <c r="Q991" t="inlineStr">
        <is>
          <t>4399154069604</t>
        </is>
      </c>
    </row>
    <row r="992">
      <c r="A992" s="2">
        <f>HYPERLINK("https://edmondsonsupply.com/collections/electricians-tools/products/klein-tools-k1412-klein-kurve%C2%AE-dual-nm-cable-stripper-cutter", "https://edmondsonsupply.com/collections/electricians-tools/products/klein-tools-k1412-klein-kurve%C2%AE-dual-nm-cable-stripper-cutter")</f>
        <v/>
      </c>
      <c r="B992" s="2">
        <f>HYPERLINK("https://edmondsonsupply.com/products/klein-tools-k1412-klein-kurve%c2%ae-dual-nm-cable-stripper-cutter", "https://edmondsonsupply.com/products/klein-tools-k1412-klein-kurve%c2%ae-dual-nm-cable-stripper-cutter")</f>
        <v/>
      </c>
      <c r="C992" t="inlineStr">
        <is>
          <t>Klein Tools K1412 Klein-Kurve® Dual NM Cable Stripper/Cutter</t>
        </is>
      </c>
      <c r="D992" t="inlineStr">
        <is>
          <t>Klein Tools K1412 Wire Cutter/Wire Stripper, Dual NM Cable Stripper/Cutter Cuts Solid Copper Wire &amp; 11061 Wire Stripper/Wire Cutter for Solid and Stranded AWG Wire</t>
        </is>
      </c>
      <c r="E992" s="2">
        <f>HYPERLINK("https://www.amazon.com/Klein-Tools-Cutter-Stripper-Stranded/dp/B0C3BBD1YQ/ref=sr_1_3?keywords=Klein+Tools+K1412+Klein-Kurve%C2%AE+Dual+NM+Cable+Stripper%2FCutter&amp;qid=1695174281&amp;sr=8-3", "https://www.amazon.com/Klein-Tools-Cutter-Stripper-Stranded/dp/B0C3BBD1YQ/ref=sr_1_3?keywords=Klein+Tools+K1412+Klein-Kurve%C2%AE+Dual+NM+Cable+Stripper%2FCutter&amp;qid=1695174281&amp;sr=8-3")</f>
        <v/>
      </c>
      <c r="F992" t="inlineStr">
        <is>
          <t>B0C3BBD1YQ</t>
        </is>
      </c>
      <c r="G992">
        <f>_xludf.IMAGE("https://edmondsonsupply.com/cdn/shop/products/k1412_b.jpg?v=1646350543")</f>
        <v/>
      </c>
      <c r="H992">
        <f>_xludf.IMAGE("https://m.media-amazon.com/images/I/51josYM6p8L._AC_UL320_.jpg")</f>
        <v/>
      </c>
      <c r="I992" t="inlineStr">
        <is>
          <t>29.97</t>
        </is>
      </c>
      <c r="J992" t="n">
        <v>51.94</v>
      </c>
      <c r="K992" s="3" t="inlineStr">
        <is>
          <t>73.31%</t>
        </is>
      </c>
      <c r="L992" t="n">
        <v>5</v>
      </c>
      <c r="M992" t="n">
        <v>1</v>
      </c>
      <c r="O992" t="inlineStr">
        <is>
          <t>InStock</t>
        </is>
      </c>
      <c r="P992" t="inlineStr">
        <is>
          <t>42.1</t>
        </is>
      </c>
      <c r="Q992" t="inlineStr">
        <is>
          <t>6562532130989</t>
        </is>
      </c>
    </row>
    <row r="993">
      <c r="A993" s="2">
        <f>HYPERLINK("https://edmondsonsupply.com/collections/electricians-tools/products/greenlee-611-1-1-4-foam-conduit-piston", "https://edmondsonsupply.com/collections/electricians-tools/products/greenlee-611-1-1-4-foam-conduit-piston")</f>
        <v/>
      </c>
      <c r="B993" s="2">
        <f>HYPERLINK("https://edmondsonsupply.com/products/greenlee-611-1-1-4-foam-conduit-piston", "https://edmondsonsupply.com/products/greenlee-611-1-1-4-foam-conduit-piston")</f>
        <v/>
      </c>
      <c r="C993" t="inlineStr">
        <is>
          <t>Greenlee 611 1-1/4" Foam Conduit Piston</t>
        </is>
      </c>
      <c r="D993" t="inlineStr">
        <is>
          <t>Greenlee - Piston, Boxed-1-1/4", Fishing (611)</t>
        </is>
      </c>
      <c r="E993" s="2">
        <f>HYPERLINK("https://www.amazon.com/Greenlee-611-Single-Piston-Conduit/dp/B00270XDXM/ref=sr_1_6?keywords=Greenlee+611+1-1%2F4%22+Foam+Conduit+Piston&amp;qid=1695174011&amp;sr=8-6", "https://www.amazon.com/Greenlee-611-Single-Piston-Conduit/dp/B00270XDXM/ref=sr_1_6?keywords=Greenlee+611+1-1%2F4%22+Foam+Conduit+Piston&amp;qid=1695174011&amp;sr=8-6")</f>
        <v/>
      </c>
      <c r="F993" t="inlineStr">
        <is>
          <t>B00270XDXM</t>
        </is>
      </c>
      <c r="G993">
        <f>_xludf.IMAGE("https://edmondsonsupply.com/cdn/shop/files/Greenlee-611_1.jpg?v=1687449194")</f>
        <v/>
      </c>
      <c r="H993">
        <f>_xludf.IMAGE("https://m.media-amazon.com/images/I/814+dDxYnOL._AC_UL320_.jpg")</f>
        <v/>
      </c>
      <c r="I993" t="inlineStr">
        <is>
          <t>8.89</t>
        </is>
      </c>
      <c r="J993" t="n">
        <v>15.37</v>
      </c>
      <c r="K993" s="3" t="inlineStr">
        <is>
          <t>72.89%</t>
        </is>
      </c>
      <c r="L993" t="n">
        <v>5</v>
      </c>
      <c r="M993" t="n">
        <v>6</v>
      </c>
      <c r="O993" t="inlineStr">
        <is>
          <t>InStock</t>
        </is>
      </c>
      <c r="P993" t="inlineStr">
        <is>
          <t>9.25</t>
        </is>
      </c>
      <c r="Q993" t="inlineStr">
        <is>
          <t>8007992017112</t>
        </is>
      </c>
    </row>
    <row r="994">
      <c r="A994" s="2">
        <f>HYPERLINK("https://edmondsonsupply.com/collections/electricians-tools/products/klein-tools-630-3-8m-3-8-magnetic-tip-nut-driver-3-hollow-shank", "https://edmondsonsupply.com/collections/electricians-tools/products/klein-tools-630-3-8m-3-8-magnetic-tip-nut-driver-3-hollow-shank")</f>
        <v/>
      </c>
      <c r="B994" s="2">
        <f>HYPERLINK("https://edmondsonsupply.com/products/klein-tools-630-3-8m-3-8-magnetic-tip-nut-driver-3-hollow-shank", "https://edmondsonsupply.com/products/klein-tools-630-3-8m-3-8-magnetic-tip-nut-driver-3-hollow-shank")</f>
        <v/>
      </c>
      <c r="C994" t="inlineStr">
        <is>
          <t>Klein Tools 630-3/8M 3/8-Inch Magnetic Tip Nut Driver</t>
        </is>
      </c>
      <c r="D994" t="inlineStr">
        <is>
          <t>Klein Tools 630M 3" Hollow Shank Magnetic Tip Nut Driver Set (2 Pieces)</t>
        </is>
      </c>
      <c r="E994" s="2">
        <f>HYPERLINK("https://www.amazon.com/Klein-Tools-Hollow-Magnetic-Driver/dp/B00080FO5I/ref=sr_1_10?keywords=Klein+Tools+630-3%2F8M+3%2F8-Inch+Magnetic+Tip+Nut+Driver&amp;qid=1695174153&amp;sr=8-10", "https://www.amazon.com/Klein-Tools-Hollow-Magnetic-Driver/dp/B00080FO5I/ref=sr_1_10?keywords=Klein+Tools+630-3%2F8M+3%2F8-Inch+Magnetic+Tip+Nut+Driver&amp;qid=1695174153&amp;sr=8-10")</f>
        <v/>
      </c>
      <c r="F994" t="inlineStr">
        <is>
          <t>B00080FO5I</t>
        </is>
      </c>
      <c r="G994">
        <f>_xludf.IMAGE("https://edmondsonsupply.com/cdn/shop/products/630-3-8m.jpg?v=1587145139")</f>
        <v/>
      </c>
      <c r="H994">
        <f>_xludf.IMAGE("https://m.media-amazon.com/images/I/41lx1kHoCZL._AC_UL320_.jpg")</f>
        <v/>
      </c>
      <c r="I994" t="inlineStr">
        <is>
          <t>10.99</t>
        </is>
      </c>
      <c r="J994" t="n">
        <v>18.99</v>
      </c>
      <c r="K994" s="3" t="inlineStr">
        <is>
          <t>72.79%</t>
        </is>
      </c>
      <c r="L994" t="n">
        <v>4.6</v>
      </c>
      <c r="M994" t="n">
        <v>451</v>
      </c>
      <c r="O994" t="inlineStr">
        <is>
          <t>InStock</t>
        </is>
      </c>
      <c r="P994" t="inlineStr">
        <is>
          <t>16.66</t>
        </is>
      </c>
      <c r="Q994" t="inlineStr">
        <is>
          <t>2766802288740</t>
        </is>
      </c>
    </row>
    <row r="995">
      <c r="A995" s="2">
        <f>HYPERLINK("https://edmondsonsupply.com/collections/electricians-tools/products/diablo-tools-dou125bw", "https://edmondsonsupply.com/collections/electricians-tools/products/diablo-tools-dou125bw")</f>
        <v/>
      </c>
      <c r="B995" s="2">
        <f>HYPERLINK("https://edmondsonsupply.com/products/diablo-tools-dou125bw", "https://edmondsonsupply.com/products/diablo-tools-dou125bw")</f>
        <v/>
      </c>
      <c r="C995" t="inlineStr">
        <is>
          <t>Diablo Tools DOU125BW 1-1/4 in. Universal Fit Bi-Metal Oscillating Blade for Nail-Embedded Wood</t>
        </is>
      </c>
      <c r="D995" t="inlineStr">
        <is>
          <t>Diablo 2-1/2" Universal Fit Bi-Metal Osc. Blades for Nail-Embedded Wood,3Pk</t>
        </is>
      </c>
      <c r="E995" s="2">
        <f>HYPERLINK("https://www.amazon.com/Diablo-Universal-Bi-Metal-Blades-Nail-Embedded/dp/B089KW4T8J/ref=sr_1_8?keywords=Diablo+Tools+DOU125BW+1-1%2F4+in.+Universal+Fit+Bi-Metal+Oscillating+Blade+for+Nail-Embedded+Wood&amp;qid=1695174264&amp;sr=8-8", "https://www.amazon.com/Diablo-Universal-Bi-Metal-Blades-Nail-Embedded/dp/B089KW4T8J/ref=sr_1_8?keywords=Diablo+Tools+DOU125BW+1-1%2F4+in.+Universal+Fit+Bi-Metal+Oscillating+Blade+for+Nail-Embedded+Wood&amp;qid=1695174264&amp;sr=8-8")</f>
        <v/>
      </c>
      <c r="F995" t="inlineStr">
        <is>
          <t>B089KW4T8J</t>
        </is>
      </c>
      <c r="G995">
        <f>_xludf.IMAGE("https://edmondsonsupply.com/cdn/shop/products/gnn0wpqc8veb3qhldcrb.webp?v=1676040020")</f>
        <v/>
      </c>
      <c r="H995">
        <f>_xludf.IMAGE("https://m.media-amazon.com/images/I/71fhfiK3NaL._AC_UL320_.jpg")</f>
        <v/>
      </c>
      <c r="I995" t="inlineStr">
        <is>
          <t>17.97</t>
        </is>
      </c>
      <c r="J995" t="n">
        <v>31</v>
      </c>
      <c r="K995" s="3" t="inlineStr">
        <is>
          <t>72.51%</t>
        </is>
      </c>
      <c r="L995" t="n">
        <v>4.8</v>
      </c>
      <c r="M995" t="n">
        <v>37</v>
      </c>
      <c r="O995" t="inlineStr">
        <is>
          <t>InStock</t>
        </is>
      </c>
      <c r="P995" t="inlineStr">
        <is>
          <t>22.79</t>
        </is>
      </c>
      <c r="Q995" t="inlineStr">
        <is>
          <t>6846081433773</t>
        </is>
      </c>
    </row>
    <row r="996">
      <c r="A996" s="2">
        <f>HYPERLINK("https://edmondsonsupply.com/collections/electricians-tools/products/klein-tools-ncvt-2p-dual-range-non-contact-voltage-tester-12-1000v-ac", "https://edmondsonsupply.com/collections/electricians-tools/products/klein-tools-ncvt-2p-dual-range-non-contact-voltage-tester-12-1000v-ac")</f>
        <v/>
      </c>
      <c r="B996" s="2">
        <f>HYPERLINK("https://edmondsonsupply.com/products/klein-tools-ncvt-2p-dual-range-non-contact-voltage-tester-12-1000v-ac", "https://edmondsonsupply.com/products/klein-tools-ncvt-2p-dual-range-non-contact-voltage-tester-12-1000v-ac")</f>
        <v/>
      </c>
      <c r="C996" t="inlineStr">
        <is>
          <t>Klein Tools NCVT-2P Dual Range Non-Contact Voltage Tester 12 - 1000V AC</t>
        </is>
      </c>
      <c r="D996" t="inlineStr">
        <is>
          <t>Klein Tools NCVT-6 Non-Contact Volt Tester, 12 - 1000V AC Pen with Integrated Laser Distance Measure, LED and Audible Alarms, Pocket Clip</t>
        </is>
      </c>
      <c r="E996" s="2">
        <f>HYPERLINK("https://www.amazon.com/Klein-Tools-Non-Contact-Voltage-Distance/dp/B07SLFX6B2/ref=sr_1_8?keywords=Klein+Tools+NCVT-2P+Dual+Range+Non-Contact+Voltage+Tester+12+-+1000V+AC&amp;qid=1695174301&amp;sr=8-8", "https://www.amazon.com/Klein-Tools-Non-Contact-Voltage-Distance/dp/B07SLFX6B2/ref=sr_1_8?keywords=Klein+Tools+NCVT-2P+Dual+Range+Non-Contact+Voltage+Tester+12+-+1000V+AC&amp;qid=1695174301&amp;sr=8-8")</f>
        <v/>
      </c>
      <c r="F996" t="inlineStr">
        <is>
          <t>B07SLFX6B2</t>
        </is>
      </c>
      <c r="G996">
        <f>_xludf.IMAGE("https://edmondsonsupply.com/cdn/shop/products/ncvt2p.jpg?v=1633030824")</f>
        <v/>
      </c>
      <c r="H996">
        <f>_xludf.IMAGE("https://m.media-amazon.com/images/I/519VhV+q+VL._AC_UL320_.jpg")</f>
        <v/>
      </c>
      <c r="I996" t="inlineStr">
        <is>
          <t>27.97</t>
        </is>
      </c>
      <c r="J996" t="n">
        <v>48.2</v>
      </c>
      <c r="K996" s="3" t="inlineStr">
        <is>
          <t>72.33%</t>
        </is>
      </c>
      <c r="L996" t="n">
        <v>4.7</v>
      </c>
      <c r="M996" t="n">
        <v>4139</v>
      </c>
      <c r="O996" t="inlineStr">
        <is>
          <t>InStock</t>
        </is>
      </c>
      <c r="P996" t="inlineStr">
        <is>
          <t>35.76</t>
        </is>
      </c>
      <c r="Q996" t="inlineStr">
        <is>
          <t>6080875626669</t>
        </is>
      </c>
    </row>
    <row r="997">
      <c r="A997" s="2">
        <f>HYPERLINK("https://edmondsonsupply.com/collections/electricians-tools/products/klein-tools-85073ins-screwdriver-set-1000v-insulated-3-piece", "https://edmondsonsupply.com/collections/electricians-tools/products/klein-tools-85073ins-screwdriver-set-1000v-insulated-3-piece")</f>
        <v/>
      </c>
      <c r="B997" s="2">
        <f>HYPERLINK("https://edmondsonsupply.com/products/klein-tools-85073ins-screwdriver-set-1000v-insulated-3-piece", "https://edmondsonsupply.com/products/klein-tools-85073ins-screwdriver-set-1000v-insulated-3-piece")</f>
        <v/>
      </c>
      <c r="C997" t="inlineStr">
        <is>
          <t>Klein Tools 85073INS Screwdriver Set, 1000V Insulated, 3-Piece</t>
        </is>
      </c>
      <c r="D997" t="inlineStr">
        <is>
          <t>Klein Tools 33734INS 1000V Slim Tip Insulated Screwdriver Set, Phillips, Cabinet, Square Slim-Tip, Cushion Grip Handle, 4-Piece</t>
        </is>
      </c>
      <c r="E997" s="2">
        <f>HYPERLINK("https://www.amazon.com/Klein-Tools-33734INS-Insulated-Screwdriver/dp/B088NQ1D2B/ref=sr_1_8?keywords=Klein+Tools+85073INS+Screwdriver+Set%2C+1000V+Insulated%2C+3-Piece&amp;qid=1695173857&amp;sr=8-8", "https://www.amazon.com/Klein-Tools-33734INS-Insulated-Screwdriver/dp/B088NQ1D2B/ref=sr_1_8?keywords=Klein+Tools+85073INS+Screwdriver+Set%2C+1000V+Insulated%2C+3-Piece&amp;qid=1695173857&amp;sr=8-8")</f>
        <v/>
      </c>
      <c r="F997" t="inlineStr">
        <is>
          <t>B088NQ1D2B</t>
        </is>
      </c>
      <c r="G997">
        <f>_xludf.IMAGE("https://edmondsonsupply.com/cdn/shop/products/85073ins.jpg?v=1664890503")</f>
        <v/>
      </c>
      <c r="H997">
        <f>_xludf.IMAGE("https://m.media-amazon.com/images/I/41+LCtq0IpL._AC_UL320_.jpg")</f>
        <v/>
      </c>
      <c r="I997" t="inlineStr">
        <is>
          <t>21.97</t>
        </is>
      </c>
      <c r="J997" t="n">
        <v>37.7</v>
      </c>
      <c r="K997" s="3" t="inlineStr">
        <is>
          <t>71.60%</t>
        </is>
      </c>
      <c r="L997" t="n">
        <v>4.8</v>
      </c>
      <c r="M997" t="n">
        <v>1361</v>
      </c>
      <c r="O997" t="inlineStr">
        <is>
          <t>InStock</t>
        </is>
      </c>
      <c r="P997" t="inlineStr">
        <is>
          <t>32.98</t>
        </is>
      </c>
      <c r="Q997" t="inlineStr">
        <is>
          <t>7839219613912</t>
        </is>
      </c>
    </row>
    <row r="998">
      <c r="A998" s="2">
        <f>HYPERLINK("https://edmondsonsupply.com/collections/electricians-tools/products/klein-tools-32500mag-11-in-1-magnetic-screwdriver-nut-driver", "https://edmondsonsupply.com/collections/electricians-tools/products/klein-tools-32500mag-11-in-1-magnetic-screwdriver-nut-driver")</f>
        <v/>
      </c>
      <c r="B998" s="2">
        <f>HYPERLINK("https://edmondsonsupply.com/products/klein-tools-32500mag-11-in-1-magnetic-screwdriver-nut-driver", "https://edmondsonsupply.com/products/klein-tools-32500mag-11-in-1-magnetic-screwdriver-nut-driver")</f>
        <v/>
      </c>
      <c r="C998" t="inlineStr">
        <is>
          <t>Klein Tools 32500MAG 11-in-1 Magnetic Screwdriver / Nut Driver</t>
        </is>
      </c>
      <c r="D998" t="inlineStr">
        <is>
          <t>Klein Tools 32500MAG Magnetic Multi-Bit Screwdriver/Nut Driver &amp; 32314 Electronic Screwdriver, 14-in-1 with 8 Precision Tips, Slotted, Phillips, and Tamperproof TORX Bits, 6 Precision Nut Drivers</t>
        </is>
      </c>
      <c r="E998" s="2">
        <f>HYPERLINK("https://www.amazon.com/Klein-Tools-Screwdriver-Electronic-Tamperproof/dp/B0BC81C7SH/ref=sr_1_5?keywords=Klein+Tools+32500MAG+11-in-1+Magnetic+Screwdriver+%2F+Nut+Driver&amp;qid=1695174303&amp;sr=8-5", "https://www.amazon.com/Klein-Tools-Screwdriver-Electronic-Tamperproof/dp/B0BC81C7SH/ref=sr_1_5?keywords=Klein+Tools+32500MAG+11-in-1+Magnetic+Screwdriver+%2F+Nut+Driver&amp;qid=1695174303&amp;sr=8-5")</f>
        <v/>
      </c>
      <c r="F998" t="inlineStr">
        <is>
          <t>B0BC81C7SH</t>
        </is>
      </c>
      <c r="G998">
        <f>_xludf.IMAGE("https://edmondsonsupply.com/cdn/shop/products/32500mag.jpg?v=1633030832")</f>
        <v/>
      </c>
      <c r="H998">
        <f>_xludf.IMAGE("https://m.media-amazon.com/images/I/412Eu5ze4AL._AC_UL320_.jpg")</f>
        <v/>
      </c>
      <c r="I998" t="inlineStr">
        <is>
          <t>20.97</t>
        </is>
      </c>
      <c r="J998" t="n">
        <v>35.94</v>
      </c>
      <c r="K998" s="3" t="inlineStr">
        <is>
          <t>71.39%</t>
        </is>
      </c>
      <c r="L998" t="n">
        <v>5</v>
      </c>
      <c r="M998" t="n">
        <v>2</v>
      </c>
      <c r="O998" t="inlineStr">
        <is>
          <t>InStock</t>
        </is>
      </c>
      <c r="P998" t="inlineStr">
        <is>
          <t>29.38</t>
        </is>
      </c>
      <c r="Q998" t="inlineStr">
        <is>
          <t>6082199814317</t>
        </is>
      </c>
    </row>
    <row r="999">
      <c r="A999" s="2">
        <f>HYPERLINK("https://edmondsonsupply.com/collections/electricians-tools/products/channellock-804", "https://edmondsonsupply.com/collections/electricians-tools/products/channellock-804")</f>
        <v/>
      </c>
      <c r="B999" s="2">
        <f>HYPERLINK("https://edmondsonsupply.com/products/channellock-804", "https://edmondsonsupply.com/products/channellock-804")</f>
        <v/>
      </c>
      <c r="C999" t="inlineStr">
        <is>
          <t>Channellock 804 4-Inch Chrome Adjustable Wrench</t>
        </is>
      </c>
      <c r="D999" t="inlineStr">
        <is>
          <t>Channellock 804 Adjustable Wrench, Chrome Plated</t>
        </is>
      </c>
      <c r="E999" s="2">
        <f>HYPERLINK("https://www.amazon.com/Channellock-Adjustable-Wrench-Chrome-Plated/dp/B017082YG2/ref=sr_1_1?keywords=Channellock+804+4-Inch+Chrome+Adjustable+Wrench&amp;qid=1695173945&amp;sr=8-1", "https://www.amazon.com/Channellock-Adjustable-Wrench-Chrome-Plated/dp/B017082YG2/ref=sr_1_1?keywords=Channellock+804+4-Inch+Chrome+Adjustable+Wrench&amp;qid=1695173945&amp;sr=8-1")</f>
        <v/>
      </c>
      <c r="F999" t="inlineStr">
        <is>
          <t>B017082YG2</t>
        </is>
      </c>
      <c r="G999">
        <f>_xludf.IMAGE("https://edmondsonsupply.com/cdn/shop/products/804-683x1024.jpg?v=1587145853")</f>
        <v/>
      </c>
      <c r="H999">
        <f>_xludf.IMAGE("https://m.media-amazon.com/images/I/51KTfUlRtzL._AC_UL320_.jpg")</f>
        <v/>
      </c>
      <c r="I999" t="inlineStr">
        <is>
          <t>16.95</t>
        </is>
      </c>
      <c r="J999" t="n">
        <v>28.91</v>
      </c>
      <c r="K999" s="3" t="inlineStr">
        <is>
          <t>70.56%</t>
        </is>
      </c>
      <c r="L999" t="n">
        <v>5</v>
      </c>
      <c r="M999" t="n">
        <v>3</v>
      </c>
      <c r="O999" t="inlineStr">
        <is>
          <t>InStock</t>
        </is>
      </c>
      <c r="P999" t="inlineStr">
        <is>
          <t>26.62</t>
        </is>
      </c>
      <c r="Q999" t="inlineStr">
        <is>
          <t>4094611488868</t>
        </is>
      </c>
    </row>
    <row r="1000">
      <c r="A1000" s="2">
        <f>HYPERLINK("https://edmondsonsupply.com/collections/electricians-tools/products/klein-tools-d502-10-pump-pliers-10-inch", "https://edmondsonsupply.com/collections/electricians-tools/products/klein-tools-d502-10-pump-pliers-10-inch")</f>
        <v/>
      </c>
      <c r="B1000" s="2">
        <f>HYPERLINK("https://edmondsonsupply.com/products/klein-tools-d502-10-pump-pliers-10-inch", "https://edmondsonsupply.com/products/klein-tools-d502-10-pump-pliers-10-inch")</f>
        <v/>
      </c>
      <c r="C1000" t="inlineStr">
        <is>
          <t>Klein Tools D502-10 Pump Pliers, 10-Inch</t>
        </is>
      </c>
      <c r="D1000" t="inlineStr">
        <is>
          <t>Klein Tools D504-10B Pump Pliers, Quick-Adjust Tongue and Groove Klaw Water Pump Pliers, 10-Inch</t>
        </is>
      </c>
      <c r="E1000" s="2">
        <f>HYPERLINK("https://www.amazon.com/Quick-Adjust-10-Inch-Klein-Tools-D504-10B/dp/B00BJ4ORDM/ref=sr_1_8?keywords=Klein+Tools+D502-10+Pump+Pliers%2C+10-Inch&amp;qid=1695174291&amp;sr=8-8", "https://www.amazon.com/Quick-Adjust-10-Inch-Klein-Tools-D504-10B/dp/B00BJ4ORDM/ref=sr_1_8?keywords=Klein+Tools+D502-10+Pump+Pliers%2C+10-Inch&amp;qid=1695174291&amp;sr=8-8")</f>
        <v/>
      </c>
      <c r="F1000" t="inlineStr">
        <is>
          <t>B00BJ4ORDM</t>
        </is>
      </c>
      <c r="G1000">
        <f>_xludf.IMAGE("https://edmondsonsupply.com/cdn/shop/products/d50210_alt1.jpg?v=1633030884")</f>
        <v/>
      </c>
      <c r="H1000">
        <f>_xludf.IMAGE("https://m.media-amazon.com/images/I/51G8XuICYiL._AC_UL320_.jpg")</f>
        <v/>
      </c>
      <c r="I1000" t="inlineStr">
        <is>
          <t>24.99</t>
        </is>
      </c>
      <c r="J1000" t="n">
        <v>42.56</v>
      </c>
      <c r="K1000" s="3" t="inlineStr">
        <is>
          <t>70.31%</t>
        </is>
      </c>
      <c r="L1000" t="n">
        <v>4.7</v>
      </c>
      <c r="M1000" t="n">
        <v>259</v>
      </c>
      <c r="O1000" t="inlineStr">
        <is>
          <t>InStock</t>
        </is>
      </c>
      <c r="P1000" t="inlineStr">
        <is>
          <t>37.84</t>
        </is>
      </c>
      <c r="Q1000" t="inlineStr">
        <is>
          <t>6203936669869</t>
        </is>
      </c>
    </row>
    <row r="1001">
      <c r="A1001" s="2">
        <f>HYPERLINK("https://edmondsonsupply.com/collections/electricians-tools/products/klein-tools-935dag-digital-angle-gauge-and-level", "https://edmondsonsupply.com/collections/electricians-tools/products/klein-tools-935dag-digital-angle-gauge-and-level")</f>
        <v/>
      </c>
      <c r="B1001" s="2">
        <f>HYPERLINK("https://edmondsonsupply.com/products/klein-tools-935dag-digital-angle-gauge-and-level", "https://edmondsonsupply.com/products/klein-tools-935dag-digital-angle-gauge-and-level")</f>
        <v/>
      </c>
      <c r="C1001" t="inlineStr">
        <is>
          <t>Klein Tools 935DAG Digital Angle Gauge and Level</t>
        </is>
      </c>
      <c r="D1001" t="inlineStr">
        <is>
          <t>Klein Tools 935DAG Digital Electronic Level and Angle Gauge, Measures and Sets Angles &amp; General Tools T-Bevel Gauge &amp; Protractor - Digital Angle Finder with Full LCD Display &amp; 8" Stainless Steel Blade</t>
        </is>
      </c>
      <c r="E1001" s="2">
        <f>HYPERLINK("https://www.amazon.com/Klein-Tools-Electronic-Measures-Protractor/dp/B09P843CWF/ref=sr_1_8?keywords=Klein+Tools+935DAG+Digital+Angle+Gauge+and+Level&amp;qid=1695173893&amp;sr=8-8", "https://www.amazon.com/Klein-Tools-Electronic-Measures-Protractor/dp/B09P843CWF/ref=sr_1_8?keywords=Klein+Tools+935DAG+Digital+Angle+Gauge+and+Level&amp;qid=1695173893&amp;sr=8-8")</f>
        <v/>
      </c>
      <c r="F1001" t="inlineStr">
        <is>
          <t>B09P843CWF</t>
        </is>
      </c>
      <c r="G1001">
        <f>_xludf.IMAGE("https://edmondsonsupply.com/cdn/shop/products/935dag.jpg?v=1587145032")</f>
        <v/>
      </c>
      <c r="H1001">
        <f>_xludf.IMAGE("https://m.media-amazon.com/images/I/51nqC5OG7xL._AC_UL320_.jpg")</f>
        <v/>
      </c>
      <c r="I1001" t="inlineStr">
        <is>
          <t>29.97</t>
        </is>
      </c>
      <c r="J1001" t="n">
        <v>51.04</v>
      </c>
      <c r="K1001" s="3" t="inlineStr">
        <is>
          <t>70.30%</t>
        </is>
      </c>
      <c r="L1001" t="n">
        <v>4.8</v>
      </c>
      <c r="M1001" t="n">
        <v>29</v>
      </c>
      <c r="O1001" t="inlineStr">
        <is>
          <t>InStock</t>
        </is>
      </c>
      <c r="P1001" t="inlineStr">
        <is>
          <t>45.0</t>
        </is>
      </c>
      <c r="Q1001" t="inlineStr">
        <is>
          <t>4167487094884</t>
        </is>
      </c>
    </row>
    <row r="1002">
      <c r="A1002" s="2">
        <f>HYPERLINK("https://edmondsonsupply.com/collections/electricians-tools/products/klein-tools-69410-replacement-test-lead-set-right-angle", "https://edmondsonsupply.com/collections/electricians-tools/products/klein-tools-69410-replacement-test-lead-set-right-angle")</f>
        <v/>
      </c>
      <c r="B1002" s="2">
        <f>HYPERLINK("https://edmondsonsupply.com/products/klein-tools-69410-replacement-test-lead-set-right-angle", "https://edmondsonsupply.com/products/klein-tools-69410-replacement-test-lead-set-right-angle")</f>
        <v/>
      </c>
      <c r="C1002" t="inlineStr">
        <is>
          <t>Klein Tools 69410 Replacement Test Lead Set, Right Angle</t>
        </is>
      </c>
      <c r="D1002" t="inlineStr">
        <is>
          <t>Klein Tools 69410 Replacement Test Lead Set, Right Angle &amp; 69381 Alligator Clip Test Leads, Heavy-Duty Replacement Meter Leads, for All Meters Using Banana Plug Meter Leads, 3-Foot</t>
        </is>
      </c>
      <c r="E1002" s="2">
        <f>HYPERLINK("https://www.amazon.com/Klein-Tools-Replacement-Alligator-Heavy-Duty/dp/B0C3B9WXP6/ref=sr_1_2?keywords=Klein+Tools+69410+Replacement+Test+Lead+Set%2C+Right+Angle&amp;qid=1695173944&amp;sr=8-2", "https://www.amazon.com/Klein-Tools-Replacement-Alligator-Heavy-Duty/dp/B0C3B9WXP6/ref=sr_1_2?keywords=Klein+Tools+69410+Replacement+Test+Lead+Set%2C+Right+Angle&amp;qid=1695173944&amp;sr=8-2")</f>
        <v/>
      </c>
      <c r="F1002" t="inlineStr">
        <is>
          <t>B0C3B9WXP6</t>
        </is>
      </c>
      <c r="G1002">
        <f>_xludf.IMAGE("https://edmondsonsupply.com/cdn/shop/products/69410.jpg?v=1587143393")</f>
        <v/>
      </c>
      <c r="H1002">
        <f>_xludf.IMAGE("https://m.media-amazon.com/images/I/51n7wUjxshL._AC_UY218_.jpg")</f>
        <v/>
      </c>
      <c r="I1002" t="inlineStr">
        <is>
          <t>19.97</t>
        </is>
      </c>
      <c r="J1002" t="n">
        <v>33.96</v>
      </c>
      <c r="K1002" s="3" t="inlineStr">
        <is>
          <t>70.06%</t>
        </is>
      </c>
      <c r="L1002" t="n">
        <v>4.5</v>
      </c>
      <c r="M1002" t="n">
        <v>10</v>
      </c>
      <c r="O1002" t="inlineStr">
        <is>
          <t>InStock</t>
        </is>
      </c>
      <c r="P1002" t="inlineStr">
        <is>
          <t>27.1</t>
        </is>
      </c>
      <c r="Q1002" t="inlineStr">
        <is>
          <t>4274171543652</t>
        </is>
      </c>
    </row>
    <row r="1003">
      <c r="A1003" s="2">
        <f>HYPERLINK("https://edmondsonsupply.com/collections/electricians-tools/products/klein-tools-d507-8-adjustable-wrench-extra-capacity-8-inch", "https://edmondsonsupply.com/collections/electricians-tools/products/klein-tools-d507-8-adjustable-wrench-extra-capacity-8-inch")</f>
        <v/>
      </c>
      <c r="B1003" s="2">
        <f>HYPERLINK("https://edmondsonsupply.com/products/klein-tools-d507-8-adjustable-wrench-extra-capacity-8-inch", "https://edmondsonsupply.com/products/klein-tools-d507-8-adjustable-wrench-extra-capacity-8-inch")</f>
        <v/>
      </c>
      <c r="C1003" t="inlineStr">
        <is>
          <t>Klein Tools D507-8 Adjustable Wrench, Extra Capacity 8-Inch</t>
        </is>
      </c>
      <c r="D1003" t="inlineStr">
        <is>
          <t>Klein Tools D507-12 Adjustable Drive Wrench, Forged with Extra Capacity Jaw and High Polish Chrome Finish, 12-inch</t>
        </is>
      </c>
      <c r="E1003" s="2">
        <f>HYPERLINK("https://www.amazon.com/Adjustable-Capacity-Klein-Tools-D507-12/dp/B000936OVW/ref=sr_1_5?keywords=Klein+Tools+D507-8+Adjustable+Wrench%2C+Extra+Capacity+8-Inch&amp;qid=1695173949&amp;sr=8-5", "https://www.amazon.com/Adjustable-Capacity-Klein-Tools-D507-12/dp/B000936OVW/ref=sr_1_5?keywords=Klein+Tools+D507-8+Adjustable+Wrench%2C+Extra+Capacity+8-Inch&amp;qid=1695173949&amp;sr=8-5")</f>
        <v/>
      </c>
      <c r="F1003" t="inlineStr">
        <is>
          <t>B000936OVW</t>
        </is>
      </c>
      <c r="G1003">
        <f>_xludf.IMAGE("https://edmondsonsupply.com/cdn/shop/products/d5078_b.jpg?v=1666010497")</f>
        <v/>
      </c>
      <c r="H1003">
        <f>_xludf.IMAGE("https://m.media-amazon.com/images/I/51Bvc2AeFZL._AC_UL320_.jpg")</f>
        <v/>
      </c>
      <c r="I1003" t="inlineStr">
        <is>
          <t>29.99</t>
        </is>
      </c>
      <c r="J1003" t="n">
        <v>50.99</v>
      </c>
      <c r="K1003" s="3" t="inlineStr">
        <is>
          <t>70.02%</t>
        </is>
      </c>
      <c r="L1003" t="n">
        <v>4.8</v>
      </c>
      <c r="M1003" t="n">
        <v>383</v>
      </c>
      <c r="O1003" t="inlineStr">
        <is>
          <t>InStock</t>
        </is>
      </c>
      <c r="P1003" t="inlineStr">
        <is>
          <t>45.44</t>
        </is>
      </c>
      <c r="Q1003" t="inlineStr">
        <is>
          <t>4353085014116</t>
        </is>
      </c>
    </row>
    <row r="1004">
      <c r="A1004" s="2">
        <f>HYPERLINK("https://edmondsonsupply.com/collections/electricians-tools/products/crescent-wiss-m2p-9-3-4-compound-action-straight-and-right-cut-aviation-snips", "https://edmondsonsupply.com/collections/electricians-tools/products/crescent-wiss-m2p-9-3-4-compound-action-straight-and-right-cut-aviation-snips")</f>
        <v/>
      </c>
      <c r="B1004" s="2">
        <f>HYPERLINK("https://edmondsonsupply.com/products/crescent-wiss-m2p-9-3-4-compound-action-straight-and-right-cut-aviation-snips", "https://edmondsonsupply.com/products/crescent-wiss-m2p-9-3-4-compound-action-straight-and-right-cut-aviation-snips")</f>
        <v/>
      </c>
      <c r="C1004" t="inlineStr">
        <is>
          <t>Crescent Wiss M2P 9-3/4" Compound Action Straight and Right Cut Aviation Snips</t>
        </is>
      </c>
      <c r="D1004" t="inlineStr">
        <is>
          <t>Crescent Wiss 9-1/4" Metalmaster Offset Straight and Left Cut Aviation Snips - M6R &amp; Crescent Wiss 9-1/4" Metalmaster Offset Straight and Right Cut Aviation Snips - M7R</t>
        </is>
      </c>
      <c r="E1004" s="2">
        <f>HYPERLINK("https://www.amazon.com/Crescent-Wiss-Metalmaster-Straight-Aviation/dp/B087492PJS/ref=sr_1_7?keywords=Crescent+Wiss+M2P+9-3%2F4%22+Compound+Action+Straight+and+Right+Cut+Aviation+Snips&amp;qid=1695174052&amp;sr=8-7", "https://www.amazon.com/Crescent-Wiss-Metalmaster-Straight-Aviation/dp/B087492PJS/ref=sr_1_7?keywords=Crescent+Wiss+M2P+9-3%2F4%22+Compound+Action+Straight+and+Right+Cut+Aviation+Snips&amp;qid=1695174052&amp;sr=8-7")</f>
        <v/>
      </c>
      <c r="F1004" t="inlineStr">
        <is>
          <t>B087492PJS</t>
        </is>
      </c>
      <c r="G1004">
        <f>_xludf.IMAGE("https://edmondsonsupply.com/cdn/shop/products/WIS_M2P_IMG_ANG_01.jpg?v=1679674099")</f>
        <v/>
      </c>
      <c r="H1004">
        <f>_xludf.IMAGE("https://m.media-amazon.com/images/I/71EUUFflT7S._AC_UL320_.jpg")</f>
        <v/>
      </c>
      <c r="I1004" t="inlineStr">
        <is>
          <t>19.99</t>
        </is>
      </c>
      <c r="J1004" t="n">
        <v>33.98</v>
      </c>
      <c r="K1004" s="3" t="inlineStr">
        <is>
          <t>69.98%</t>
        </is>
      </c>
      <c r="L1004" t="n">
        <v>4.1</v>
      </c>
      <c r="M1004" t="n">
        <v>34</v>
      </c>
      <c r="O1004" t="inlineStr">
        <is>
          <t>InStock</t>
        </is>
      </c>
      <c r="P1004" t="inlineStr">
        <is>
          <t>36.51</t>
        </is>
      </c>
      <c r="Q1004" t="inlineStr">
        <is>
          <t>7966255579352</t>
        </is>
      </c>
    </row>
    <row r="1005">
      <c r="A1005" s="2">
        <f>HYPERLINK("https://edmondsonsupply.com/collections/electricians-tools/products/milwaukee-48-22-0305-folding-jab-saw", "https://edmondsonsupply.com/collections/electricians-tools/products/milwaukee-48-22-0305-folding-jab-saw")</f>
        <v/>
      </c>
      <c r="B1005" s="2">
        <f>HYPERLINK("https://edmondsonsupply.com/products/milwaukee-48-22-0305-folding-jab-saw", "https://edmondsonsupply.com/products/milwaukee-48-22-0305-folding-jab-saw")</f>
        <v/>
      </c>
      <c r="C1005" t="inlineStr">
        <is>
          <t>Milwaukee 48-22-0305 Folding Jab Saw</t>
        </is>
      </c>
      <c r="D1005" t="inlineStr">
        <is>
          <t>Milwaukee 48-22-0305 Folding Jab Saw</t>
        </is>
      </c>
      <c r="E1005" s="2">
        <f>HYPERLINK("https://www.amazon.com/Milwaukee-48-22-0305-Folding-Jab-Saw/dp/B07FB3LJ2M/ref=sr_1_4?keywords=Milwaukee+48-22-0305+Folding+Jab+Saw&amp;qid=1695173950&amp;sr=8-4", "https://www.amazon.com/Milwaukee-48-22-0305-Folding-Jab-Saw/dp/B07FB3LJ2M/ref=sr_1_4?keywords=Milwaukee+48-22-0305+Folding+Jab+Saw&amp;qid=1695173950&amp;sr=8-4")</f>
        <v/>
      </c>
      <c r="F1005" t="inlineStr">
        <is>
          <t>B07FB3LJ2M</t>
        </is>
      </c>
      <c r="G1005">
        <f>_xludf.IMAGE("https://edmondsonsupply.com/cdn/shop/products/49678_48-22-0305-lg.jpg?v=1587148349")</f>
        <v/>
      </c>
      <c r="H1005">
        <f>_xludf.IMAGE("https://m.media-amazon.com/images/I/31MwF2AgpNL._AC_UL320_.jpg")</f>
        <v/>
      </c>
      <c r="I1005" t="inlineStr">
        <is>
          <t>19.97</t>
        </is>
      </c>
      <c r="J1005" t="n">
        <v>33.87</v>
      </c>
      <c r="K1005" s="3" t="inlineStr">
        <is>
          <t>69.60%</t>
        </is>
      </c>
      <c r="L1005" t="n">
        <v>4.1</v>
      </c>
      <c r="M1005" t="n">
        <v>19</v>
      </c>
      <c r="O1005" t="inlineStr">
        <is>
          <t>InStock</t>
        </is>
      </c>
      <c r="P1005" t="inlineStr">
        <is>
          <t>31.1</t>
        </is>
      </c>
      <c r="Q1005" t="inlineStr">
        <is>
          <t>4349655449700</t>
        </is>
      </c>
    </row>
    <row r="1006">
      <c r="A1006" s="2">
        <f>HYPERLINK("https://edmondsonsupply.com/collections/electricians-tools/products/fluke-373-true-rms-ac-clamp-meter", "https://edmondsonsupply.com/collections/electricians-tools/products/fluke-373-true-rms-ac-clamp-meter")</f>
        <v/>
      </c>
      <c r="B1006" s="2">
        <f>HYPERLINK("https://edmondsonsupply.com/products/fluke-373-true-rms-ac-clamp-meter", "https://edmondsonsupply.com/products/fluke-373-true-rms-ac-clamp-meter")</f>
        <v/>
      </c>
      <c r="C1006" t="inlineStr">
        <is>
          <t>Fluke 373 True-RMS AC Clamp Meter</t>
        </is>
      </c>
      <c r="D1006" t="inlineStr">
        <is>
          <t>Fluke - 374-FC-AMZNCAL 374-FC-AMZN True-RMS AC/DC Clamp Meter, 600A/600V with a NIST-Traceable Calibration Certificate with Data</t>
        </is>
      </c>
      <c r="E1006" s="2">
        <f>HYPERLINK("https://www.amazon.com/Fluke-374-FC-AMZN-NIST-Traceable-Calibration-Certificate/dp/B01CFXIMCC/ref=sr_1_7?keywords=Fluke+373+True-RMS+AC+Clamp+Meter&amp;qid=1695173996&amp;sr=8-7", "https://www.amazon.com/Fluke-374-FC-AMZN-NIST-Traceable-Calibration-Certificate/dp/B01CFXIMCC/ref=sr_1_7?keywords=Fluke+373+True-RMS+AC+Clamp+Meter&amp;qid=1695173996&amp;sr=8-7")</f>
        <v/>
      </c>
      <c r="F1006" t="inlineStr">
        <is>
          <t>B01CFXIMCC</t>
        </is>
      </c>
      <c r="G1006">
        <f>_xludf.IMAGE("https://edmondsonsupply.com/cdn/shop/files/f-373-01d-1500x1000.webp?v=1689369435")</f>
        <v/>
      </c>
      <c r="H1006">
        <f>_xludf.IMAGE("https://m.media-amazon.com/images/I/61cUiZ0qhwL._AC_UY218_.jpg")</f>
        <v/>
      </c>
      <c r="I1006" t="inlineStr">
        <is>
          <t>290.05</t>
        </is>
      </c>
      <c r="J1006" t="n">
        <v>490</v>
      </c>
      <c r="K1006" s="3" t="inlineStr">
        <is>
          <t>68.94%</t>
        </is>
      </c>
      <c r="L1006" t="n">
        <v>3.8</v>
      </c>
      <c r="M1006" t="n">
        <v>12</v>
      </c>
      <c r="O1006" t="inlineStr">
        <is>
          <t>InStock</t>
        </is>
      </c>
      <c r="P1006" t="inlineStr">
        <is>
          <t>undefined</t>
        </is>
      </c>
      <c r="Q1006" t="inlineStr">
        <is>
          <t>8016406773976</t>
        </is>
      </c>
    </row>
    <row r="1007">
      <c r="A1007" s="2">
        <f>HYPERLINK("https://edmondsonsupply.com/collections/electricians-tools/products/klein-tools-et450-advanced-circuit-tracer-kit", "https://edmondsonsupply.com/collections/electricians-tools/products/klein-tools-et450-advanced-circuit-tracer-kit")</f>
        <v/>
      </c>
      <c r="B1007" s="2">
        <f>HYPERLINK("https://edmondsonsupply.com/products/klein-tools-et450-advanced-circuit-tracer-kit", "https://edmondsonsupply.com/products/klein-tools-et450-advanced-circuit-tracer-kit")</f>
        <v/>
      </c>
      <c r="C1007" t="inlineStr">
        <is>
          <t>Klein Tools ET450 Advanced Circuit Tracer Kit</t>
        </is>
      </c>
      <c r="D1007" t="inlineStr">
        <is>
          <t>Klein Tools ET600 Multimeter, Megohmmeter Insulation Tester, 4000 Ohms Resistance, 125V/250V/500V/1000V, Auto-Ranging TRMS Multimeter &amp; ET450 Advanced Circuit Breaker Finder and Wire Tracer Kit</t>
        </is>
      </c>
      <c r="E1007" s="2">
        <f>HYPERLINK("https://www.amazon.com/Klein-Tools-Megohmmeter-Insulation-Ohms-Resistance-Auto-Ranging/dp/B0C2V14DQF/ref=sr_1_9?keywords=Klein+Tools+ET450+Advanced+Circuit+Tracer+Kit&amp;qid=1695173869&amp;sr=8-9", "https://www.amazon.com/Klein-Tools-Megohmmeter-Insulation-Ohms-Resistance-Auto-Ranging/dp/B0C2V14DQF/ref=sr_1_9?keywords=Klein+Tools+ET450+Advanced+Circuit+Tracer+Kit&amp;qid=1695173869&amp;sr=8-9")</f>
        <v/>
      </c>
      <c r="F1007" t="inlineStr">
        <is>
          <t>B0C2V14DQF</t>
        </is>
      </c>
      <c r="G1007">
        <f>_xludf.IMAGE("https://edmondsonsupply.com/cdn/shop/products/et450.jpg?v=1660165248")</f>
        <v/>
      </c>
      <c r="H1007">
        <f>_xludf.IMAGE("https://m.media-amazon.com/images/I/61413mHKf0L._AC_UL320_.jpg")</f>
        <v/>
      </c>
      <c r="I1007" t="inlineStr">
        <is>
          <t>239.99</t>
        </is>
      </c>
      <c r="J1007" t="n">
        <v>404.98</v>
      </c>
      <c r="K1007" s="3" t="inlineStr">
        <is>
          <t>68.75%</t>
        </is>
      </c>
      <c r="L1007" t="n">
        <v>5</v>
      </c>
      <c r="M1007" t="n">
        <v>1</v>
      </c>
      <c r="O1007" t="inlineStr">
        <is>
          <t>InStock</t>
        </is>
      </c>
      <c r="P1007" t="inlineStr">
        <is>
          <t>359.98</t>
        </is>
      </c>
      <c r="Q1007" t="inlineStr">
        <is>
          <t>7778011971800</t>
        </is>
      </c>
    </row>
    <row r="1008">
      <c r="A1008" s="2">
        <f>HYPERLINK("https://edmondsonsupply.com/collections/electricians-tools/products/klein-tools-jth6m10-10-mm-hex-key-journeyman-t-handle-6-inch", "https://edmondsonsupply.com/collections/electricians-tools/products/klein-tools-jth6m10-10-mm-hex-key-journeyman-t-handle-6-inch")</f>
        <v/>
      </c>
      <c r="B1008" s="2">
        <f>HYPERLINK("https://edmondsonsupply.com/products/klein-tools-jth6m10-10-mm-hex-key-journeyman-t-handle-6-inch", "https://edmondsonsupply.com/products/klein-tools-jth6m10-10-mm-hex-key-journeyman-t-handle-6-inch")</f>
        <v/>
      </c>
      <c r="C1008" t="inlineStr">
        <is>
          <t>Klein Tools JTH6M10 10 mm Hex Key Journeyman T-Handle 6-Inch</t>
        </is>
      </c>
      <c r="D1008" t="inlineStr">
        <is>
          <t>Klein Tools JTH9M10 10 mm Hex Key with Journeyman T-Handle, 9-Inch</t>
        </is>
      </c>
      <c r="E1008" s="2">
        <f>HYPERLINK("https://www.amazon.com/Journeyman-T-Handle-Klein-Tools-JTH9M10/dp/B005G3HIA6/ref=sr_1_2?keywords=Klein+Tools+JTH6M10+10+mm+Hex+Key+Journeyman+T-Handle+6-Inch&amp;qid=1695174255&amp;sr=8-2", "https://www.amazon.com/Journeyman-T-Handle-Klein-Tools-JTH9M10/dp/B005G3HIA6/ref=sr_1_2?keywords=Klein+Tools+JTH6M10+10+mm+Hex+Key+Journeyman+T-Handle+6-Inch&amp;qid=1695174255&amp;sr=8-2")</f>
        <v/>
      </c>
      <c r="F1008" t="inlineStr">
        <is>
          <t>B005G3HIA6</t>
        </is>
      </c>
      <c r="G1008">
        <f>_xludf.IMAGE("https://edmondsonsupply.com/cdn/shop/products/jth6m8_64c2c8d3-e13e-4b81-9b34-745be7fd837a.jpg?v=1627827117")</f>
        <v/>
      </c>
      <c r="H1008">
        <f>_xludf.IMAGE("https://m.media-amazon.com/images/I/51+1x0vz9XL._AC_UL320_.jpg")</f>
        <v/>
      </c>
      <c r="I1008" t="inlineStr">
        <is>
          <t>8.99</t>
        </is>
      </c>
      <c r="J1008" t="n">
        <v>15.15</v>
      </c>
      <c r="K1008" s="3" t="inlineStr">
        <is>
          <t>68.52%</t>
        </is>
      </c>
      <c r="L1008" t="n">
        <v>5</v>
      </c>
      <c r="M1008" t="n">
        <v>2</v>
      </c>
      <c r="O1008" t="inlineStr">
        <is>
          <t>InStock</t>
        </is>
      </c>
      <c r="P1008" t="inlineStr">
        <is>
          <t>13.56</t>
        </is>
      </c>
      <c r="Q1008" t="inlineStr">
        <is>
          <t>6852298014893</t>
        </is>
      </c>
    </row>
    <row r="1009">
      <c r="A1009" s="2">
        <f>HYPERLINK("https://edmondsonsupply.com/collections/electricians-tools/products/klein-tools-602-4-1-4-inch-keystone-screwdriver-4-inch-round-shank", "https://edmondsonsupply.com/collections/electricians-tools/products/klein-tools-602-4-1-4-inch-keystone-screwdriver-4-inch-round-shank")</f>
        <v/>
      </c>
      <c r="B1009" s="2">
        <f>HYPERLINK("https://edmondsonsupply.com/products/klein-tools-602-4-1-4-inch-keystone-screwdriver-4-inch-round-shank", "https://edmondsonsupply.com/products/klein-tools-602-4-1-4-inch-keystone-screwdriver-4-inch-round-shank")</f>
        <v/>
      </c>
      <c r="C1009" t="inlineStr">
        <is>
          <t>Klein Tools 602-4 1/4-Inch Keystone Screwdriver, 4-Inch Round Shank</t>
        </is>
      </c>
      <c r="D1009" t="inlineStr">
        <is>
          <t>Klein Tools 602-4DD Demolition Driver with Keystone Tip and 4-Inch Shank, Made in USA</t>
        </is>
      </c>
      <c r="E1009" s="2">
        <f>HYPERLINK("https://www.amazon.com/Keystone-Demolition-Klein-Tools-602-4DD/dp/B00B9HIC12/ref=sr_1_3?keywords=Klein+Tools+602-4+1%2F4-Inch+Keystone+Screwdriver%2C+4-Inch+Round+Shank&amp;qid=1695174315&amp;sr=8-3", "https://www.amazon.com/Keystone-Demolition-Klein-Tools-602-4DD/dp/B00B9HIC12/ref=sr_1_3?keywords=Klein+Tools+602-4+1%2F4-Inch+Keystone+Screwdriver%2C+4-Inch+Round+Shank&amp;qid=1695174315&amp;sr=8-3")</f>
        <v/>
      </c>
      <c r="F1009" t="inlineStr">
        <is>
          <t>B00B9HIC12</t>
        </is>
      </c>
      <c r="G1009">
        <f>_xludf.IMAGE("https://edmondsonsupply.com/cdn/shop/products/602-6.jpg?v=1633030821")</f>
        <v/>
      </c>
      <c r="H1009">
        <f>_xludf.IMAGE("https://m.media-amazon.com/images/I/41LGnPo9m-L._AC_UL320_.jpg")</f>
        <v/>
      </c>
      <c r="I1009" t="inlineStr">
        <is>
          <t>9.49</t>
        </is>
      </c>
      <c r="J1009" t="n">
        <v>15.99</v>
      </c>
      <c r="K1009" s="3" t="inlineStr">
        <is>
          <t>68.49%</t>
        </is>
      </c>
      <c r="L1009" t="n">
        <v>4.8</v>
      </c>
      <c r="M1009" t="n">
        <v>996</v>
      </c>
      <c r="O1009" t="inlineStr">
        <is>
          <t>InStock</t>
        </is>
      </c>
      <c r="P1009" t="inlineStr">
        <is>
          <t>14.36</t>
        </is>
      </c>
      <c r="Q1009" t="inlineStr">
        <is>
          <t>6080792363181</t>
        </is>
      </c>
    </row>
    <row r="1010">
      <c r="A1010" s="2">
        <f>HYPERLINK("https://edmondsonsupply.com/collections/electricians-tools/products/milwaukee-2111-21-475-lumen-usb-rechargeable-hard-hat-headlamp", "https://edmondsonsupply.com/collections/electricians-tools/products/milwaukee-2111-21-475-lumen-usb-rechargeable-hard-hat-headlamp")</f>
        <v/>
      </c>
      <c r="B1010" s="2">
        <f>HYPERLINK("https://edmondsonsupply.com/products/milwaukee-2111-21-475-lumen-usb-rechargeable-hard-hat-headlamp", "https://edmondsonsupply.com/products/milwaukee-2111-21-475-lumen-usb-rechargeable-hard-hat-headlamp")</f>
        <v/>
      </c>
      <c r="C1010" t="inlineStr">
        <is>
          <t>Milwaukee 2111-21 475-Lumen USB Rechargeable Hard Hat Headlamp</t>
        </is>
      </c>
      <c r="D1010" t="inlineStr">
        <is>
          <t>Milwaukee 2111-21 475 Lumens USB Rechargeable TRUEVIEW HD Headlamp New</t>
        </is>
      </c>
      <c r="E1010" s="2">
        <f>HYPERLINK("https://www.amazon.com/Milwaukee-2111-21-Rechargeable-TRUEVIEW-Headlamp/dp/B07XZFN514/ref=sr_1_1?keywords=Milwaukee+2111-21+475-Lumen+USB+Rechargeable+Hard+Hat+Headlamp&amp;qid=1695173940&amp;sr=8-1", "https://www.amazon.com/Milwaukee-2111-21-Rechargeable-TRUEVIEW-Headlamp/dp/B07XZFN514/ref=sr_1_1?keywords=Milwaukee+2111-21+475-Lumen+USB+Rechargeable+Hard+Hat+Headlamp&amp;qid=1695173940&amp;sr=8-1")</f>
        <v/>
      </c>
      <c r="F1010" t="inlineStr">
        <is>
          <t>B07XZFN514</t>
        </is>
      </c>
      <c r="G1010">
        <f>_xludf.IMAGE("https://edmondsonsupply.com/cdn/shop/products/2111-21_3_Overlay_1.png?v=1587142535")</f>
        <v/>
      </c>
      <c r="H1010">
        <f>_xludf.IMAGE("https://m.media-amazon.com/images/I/71r+OMacODL._AC_UL320_.jpg")</f>
        <v/>
      </c>
      <c r="I1010" t="inlineStr">
        <is>
          <t>69.97</t>
        </is>
      </c>
      <c r="J1010" t="n">
        <v>117.84</v>
      </c>
      <c r="K1010" s="3" t="inlineStr">
        <is>
          <t>68.42%</t>
        </is>
      </c>
      <c r="L1010" t="n">
        <v>4.7</v>
      </c>
      <c r="M1010" t="n">
        <v>264</v>
      </c>
      <c r="O1010" t="inlineStr">
        <is>
          <t>OutOfStock</t>
        </is>
      </c>
      <c r="P1010" t="inlineStr">
        <is>
          <t>106.0</t>
        </is>
      </c>
      <c r="Q1010" t="inlineStr">
        <is>
          <t>4334127775844</t>
        </is>
      </c>
    </row>
    <row r="1011">
      <c r="A1011" s="2">
        <f>HYPERLINK("https://edmondsonsupply.com/collections/electricians-tools/products/uei-dl429b-true-rms-digital-clamp-meter-w-wireless-and-differential-temperature", "https://edmondsonsupply.com/collections/electricians-tools/products/uei-dl429b-true-rms-digital-clamp-meter-w-wireless-and-differential-temperature")</f>
        <v/>
      </c>
      <c r="B1011" s="2">
        <f>HYPERLINK("https://edmondsonsupply.com/products/uei-dl429b-true-rms-digital-clamp-meter-w-wireless-and-differential-temperature", "https://edmondsonsupply.com/products/uei-dl429b-true-rms-digital-clamp-meter-w-wireless-and-differential-temperature")</f>
        <v/>
      </c>
      <c r="C1011" t="inlineStr">
        <is>
          <t>UEi DL479 AC 600A True RMS HVAC/R Clamp Meter</t>
        </is>
      </c>
      <c r="D1011" t="inlineStr">
        <is>
          <t>UEi Test Instruments DL429B Digital HVAC Clamp Meter True RMS Wireless Multimeter Auto-ranging 6000 Counts Voltage Tester, Measures Inrush AC/DC Current Temperature Capacitance Resistance Diodes NCV</t>
        </is>
      </c>
      <c r="E1011" s="2">
        <f>HYPERLINK("https://www.amazon.com/UEi-Test-Instruments-DL429-Phoenix/dp/B00W5B15P6/ref=sr_1_3?keywords=UEi+DL479+AC+600A+True+RMS+HVAC%2FR+Clamp+Meter&amp;qid=1695173895&amp;sr=8-3", "https://www.amazon.com/UEi-Test-Instruments-DL429-Phoenix/dp/B00W5B15P6/ref=sr_1_3?keywords=UEi+DL479+AC+600A+True+RMS+HVAC%2FR+Clamp+Meter&amp;qid=1695173895&amp;sr=8-3")</f>
        <v/>
      </c>
      <c r="F1011" t="inlineStr">
        <is>
          <t>B00W5B15P6</t>
        </is>
      </c>
      <c r="G1011">
        <f>_xludf.IMAGE("https://edmondsonsupply.com/cdn/shop/products/DL479-1.jpg?v=1587142104")</f>
        <v/>
      </c>
      <c r="H1011">
        <f>_xludf.IMAGE("https://m.media-amazon.com/images/I/61BXB98tFDS._AC_UY218_.jpg")</f>
        <v/>
      </c>
      <c r="I1011" t="inlineStr">
        <is>
          <t>138.51</t>
        </is>
      </c>
      <c r="J1011" t="n">
        <v>232.99</v>
      </c>
      <c r="K1011" s="3" t="inlineStr">
        <is>
          <t>68.21%</t>
        </is>
      </c>
      <c r="L1011" t="n">
        <v>4.5</v>
      </c>
      <c r="M1011" t="n">
        <v>184</v>
      </c>
      <c r="O1011" t="inlineStr">
        <is>
          <t>OutOfStock</t>
        </is>
      </c>
      <c r="P1011" t="inlineStr">
        <is>
          <t>162.95</t>
        </is>
      </c>
      <c r="Q1011" t="inlineStr">
        <is>
          <t>3564094488676</t>
        </is>
      </c>
    </row>
    <row r="1012">
      <c r="A1012" s="2">
        <f>HYPERLINK("https://edmondsonsupply.com/collections/electricians-tools/products/klein-tools-60246-p100-half-mask-respirator-s-m", "https://edmondsonsupply.com/collections/electricians-tools/products/klein-tools-60246-p100-half-mask-respirator-s-m")</f>
        <v/>
      </c>
      <c r="B1012" s="2">
        <f>HYPERLINK("https://edmondsonsupply.com/products/klein-tools-60246-p100-half-mask-respirator-s-m", "https://edmondsonsupply.com/products/klein-tools-60246-p100-half-mask-respirator-s-m")</f>
        <v/>
      </c>
      <c r="C1012" t="inlineStr">
        <is>
          <t>Klein Tools 60246 P100 Half-Mask Respirator, S/M</t>
        </is>
      </c>
      <c r="D1012" t="inlineStr">
        <is>
          <t>Klein Tools 80044 Face Mask, P100 Half-Mask Respirator Kit with P100 Mask and Replacement Filters For Dust, Metal Fumes, and Mists, Size M/L</t>
        </is>
      </c>
      <c r="E1012" s="2">
        <f>HYPERLINK("https://www.amazon.com/Klein-80044-Half-Mask-Respirator-Replacement/dp/B09FW2FRX8/ref=sr_1_2?keywords=Klein+Tools+60246+P100+Half-Mask+Respirator%2C+S%2FM&amp;qid=1695173886&amp;sr=8-2", "https://www.amazon.com/Klein-80044-Half-Mask-Respirator-Replacement/dp/B09FW2FRX8/ref=sr_1_2?keywords=Klein+Tools+60246+P100+Half-Mask+Respirator%2C+S%2FM&amp;qid=1695173886&amp;sr=8-2")</f>
        <v/>
      </c>
      <c r="F1012" t="inlineStr">
        <is>
          <t>B09FW2FRX8</t>
        </is>
      </c>
      <c r="G1012">
        <f>_xludf.IMAGE("https://edmondsonsupply.com/cdn/shop/products/60246.jpg?v=1661862728")</f>
        <v/>
      </c>
      <c r="H1012">
        <f>_xludf.IMAGE("https://m.media-amazon.com/images/I/61kQgRHQL4L._AC_UL320_.jpg")</f>
        <v/>
      </c>
      <c r="I1012" t="inlineStr">
        <is>
          <t>29.99</t>
        </is>
      </c>
      <c r="J1012" t="n">
        <v>50.35</v>
      </c>
      <c r="K1012" s="3" t="inlineStr">
        <is>
          <t>67.89%</t>
        </is>
      </c>
      <c r="L1012" t="n">
        <v>4.5</v>
      </c>
      <c r="M1012" t="n">
        <v>21</v>
      </c>
      <c r="O1012" t="inlineStr">
        <is>
          <t>InStock</t>
        </is>
      </c>
      <c r="P1012" t="inlineStr">
        <is>
          <t>43.5</t>
        </is>
      </c>
      <c r="Q1012" t="inlineStr">
        <is>
          <t>7797322383576</t>
        </is>
      </c>
    </row>
    <row r="1013">
      <c r="A1013" s="2">
        <f>HYPERLINK("https://edmondsonsupply.com/collections/electricians-tools/products/klein-tools-60244-p100-half-mask-respirator-m-l", "https://edmondsonsupply.com/collections/electricians-tools/products/klein-tools-60244-p100-half-mask-respirator-m-l")</f>
        <v/>
      </c>
      <c r="B1013" s="2">
        <f>HYPERLINK("https://edmondsonsupply.com/products/klein-tools-60244-p100-half-mask-respirator-m-l", "https://edmondsonsupply.com/products/klein-tools-60244-p100-half-mask-respirator-m-l")</f>
        <v/>
      </c>
      <c r="C1013" t="inlineStr">
        <is>
          <t>Klein Tools 60244 P100 Half-Mask Respirator, M/L</t>
        </is>
      </c>
      <c r="D1013" t="inlineStr">
        <is>
          <t>Klein Tools 80044 Face Mask, P100 Half-Mask Respirator Kit with P100 Mask and Replacement Filters For Dust, Metal Fumes, and Mists, Size M/L</t>
        </is>
      </c>
      <c r="E1013" s="2">
        <f>HYPERLINK("https://www.amazon.com/Klein-80044-Half-Mask-Respirator-Replacement/dp/B09FW2FRX8/ref=sr_1_3?keywords=Klein+Tools+60244+P100+Half-Mask+Respirator%2C+M%2FL&amp;qid=1695174163&amp;sr=8-3", "https://www.amazon.com/Klein-80044-Half-Mask-Respirator-Replacement/dp/B09FW2FRX8/ref=sr_1_3?keywords=Klein+Tools+60244+P100+Half-Mask+Respirator%2C+M%2FL&amp;qid=1695174163&amp;sr=8-3")</f>
        <v/>
      </c>
      <c r="F1013" t="inlineStr">
        <is>
          <t>B09FW2FRX8</t>
        </is>
      </c>
      <c r="G1013">
        <f>_xludf.IMAGE("https://edmondsonsupply.com/cdn/shop/products/60246_7e68115f-7e07-4587-a48b-41d81558644a.jpg?v=1661864149")</f>
        <v/>
      </c>
      <c r="H1013">
        <f>_xludf.IMAGE("https://m.media-amazon.com/images/I/61kQgRHQL4L._AC_UL320_.jpg")</f>
        <v/>
      </c>
      <c r="I1013" t="inlineStr">
        <is>
          <t>29.99</t>
        </is>
      </c>
      <c r="J1013" t="n">
        <v>50.35</v>
      </c>
      <c r="K1013" s="3" t="inlineStr">
        <is>
          <t>67.89%</t>
        </is>
      </c>
      <c r="L1013" t="n">
        <v>4.5</v>
      </c>
      <c r="M1013" t="n">
        <v>21</v>
      </c>
      <c r="O1013" t="inlineStr">
        <is>
          <t>InStock</t>
        </is>
      </c>
      <c r="P1013" t="inlineStr">
        <is>
          <t>43.5</t>
        </is>
      </c>
      <c r="Q1013" t="inlineStr">
        <is>
          <t>7797350039768</t>
        </is>
      </c>
    </row>
    <row r="1014">
      <c r="A1014" s="2">
        <f>HYPERLINK("https://edmondsonsupply.com/collections/electricians-tools/products/greenlee-gsb02-1-2-step-bit-2", "https://edmondsonsupply.com/collections/electricians-tools/products/greenlee-gsb02-1-2-step-bit-2")</f>
        <v/>
      </c>
      <c r="B1014" s="2">
        <f>HYPERLINK("https://edmondsonsupply.com/products/greenlee-gsb02-1-2-step-bit-2", "https://edmondsonsupply.com/products/greenlee-gsb02-1-2-step-bit-2")</f>
        <v/>
      </c>
      <c r="C1014" t="inlineStr">
        <is>
          <t>Greenlee GSB02 1/2" Step Bit (#2)</t>
        </is>
      </c>
      <c r="D1014" t="inlineStr">
        <is>
          <t>Greenlee GSB09 1-1/8" Step Bit (#9) Metal Cutter with Patented Split-Step Design, 1-1/8" Metal Cutting Tool for 1/2" Drill Chucks</t>
        </is>
      </c>
      <c r="E1014" s="2">
        <f>HYPERLINK("https://www.amazon.com/Greenlee-Patented-Split-Step-Design-Cutting/dp/B08TVGF4MS/ref=sr_1_4?keywords=Greenlee+GSB02+1%2F2%22+Step+Bit+%28%232%29&amp;qid=1695173993&amp;sr=8-4", "https://www.amazon.com/Greenlee-Patented-Split-Step-Design-Cutting/dp/B08TVGF4MS/ref=sr_1_4?keywords=Greenlee+GSB02+1%2F2%22+Step+Bit+%28%232%29&amp;qid=1695173993&amp;sr=8-4")</f>
        <v/>
      </c>
      <c r="F1014" t="inlineStr">
        <is>
          <t>B08TVGF4MS</t>
        </is>
      </c>
      <c r="G1014">
        <f>_xludf.IMAGE("https://edmondsonsupply.com/cdn/shop/files/GSB02_CAT1_72dpi.jpg?v=1687783943")</f>
        <v/>
      </c>
      <c r="H1014">
        <f>_xludf.IMAGE("https://m.media-amazon.com/images/I/41J5YEXJLpL._AC_UY218_.jpg")</f>
        <v/>
      </c>
      <c r="I1014" t="inlineStr">
        <is>
          <t>39.29</t>
        </is>
      </c>
      <c r="J1014" t="n">
        <v>65.81</v>
      </c>
      <c r="K1014" s="3" t="inlineStr">
        <is>
          <t>67.50%</t>
        </is>
      </c>
      <c r="L1014" t="n">
        <v>3.8</v>
      </c>
      <c r="M1014" t="n">
        <v>5</v>
      </c>
      <c r="O1014" t="inlineStr">
        <is>
          <t>InStock</t>
        </is>
      </c>
      <c r="P1014" t="inlineStr">
        <is>
          <t>40.55</t>
        </is>
      </c>
      <c r="Q1014" t="inlineStr">
        <is>
          <t>8008010137816</t>
        </is>
      </c>
    </row>
    <row r="1015">
      <c r="A1015" s="2">
        <f>HYPERLINK("https://edmondsonsupply.com/collections/electricians-tools/products/fluke-393-solar-clamp-meter-cat-iii-1500-v", "https://edmondsonsupply.com/collections/electricians-tools/products/fluke-393-solar-clamp-meter-cat-iii-1500-v")</f>
        <v/>
      </c>
      <c r="B1015" s="2">
        <f>HYPERLINK("https://edmondsonsupply.com/products/fluke-393-solar-clamp-meter-cat-iii-1500-v", "https://edmondsonsupply.com/products/fluke-393-solar-clamp-meter-cat-iii-1500-v")</f>
        <v/>
      </c>
      <c r="C1015" t="inlineStr">
        <is>
          <t>Fluke 393 FC Solar Clamp Meter CAT III 1500 V</t>
        </is>
      </c>
      <c r="D1015" t="inlineStr">
        <is>
          <t>Fluke 393FC Clamp Meter with Irradiance Meter and Solar Test Lead Kit, CAT III 1500 V Rated, Measure Solar Irradiance, Ambient and PV Module Temperature, with MC4 Test Leads</t>
        </is>
      </c>
      <c r="E1015" s="2">
        <f>HYPERLINK("https://www.amazon.com/Fluke-Irradiance-Measure-Ambient-Temperature/dp/B0B49954PS/ref=sr_1_4?keywords=Fluke+393+FC+Solar+Clamp+Meter+CAT+III+1500+V&amp;qid=1695174164&amp;sr=8-4", "https://www.amazon.com/Fluke-Irradiance-Measure-Ambient-Temperature/dp/B0B49954PS/ref=sr_1_4?keywords=Fluke+393+FC+Solar+Clamp+Meter+CAT+III+1500+V&amp;qid=1695174164&amp;sr=8-4")</f>
        <v/>
      </c>
      <c r="F1015" t="inlineStr">
        <is>
          <t>B0B49954PS</t>
        </is>
      </c>
      <c r="G1015">
        <f>_xludf.IMAGE("https://edmondsonsupply.com/cdn/shop/products/F-393fc_01a_w.webp?v=1662652371")</f>
        <v/>
      </c>
      <c r="H1015">
        <f>_xludf.IMAGE("https://m.media-amazon.com/images/I/61ej9j9PdPL._AC_UY218_.jpg")</f>
        <v/>
      </c>
      <c r="I1015" t="inlineStr">
        <is>
          <t>676.79</t>
        </is>
      </c>
      <c r="J1015" t="n">
        <v>1132.99</v>
      </c>
      <c r="K1015" s="3" t="inlineStr">
        <is>
          <t>67.41%</t>
        </is>
      </c>
      <c r="L1015" t="n">
        <v>4</v>
      </c>
      <c r="M1015" t="n">
        <v>2</v>
      </c>
      <c r="O1015" t="inlineStr">
        <is>
          <t>InStock</t>
        </is>
      </c>
      <c r="P1015" t="inlineStr">
        <is>
          <t>751.99</t>
        </is>
      </c>
      <c r="Q1015" t="inlineStr">
        <is>
          <t>7809266090200</t>
        </is>
      </c>
    </row>
    <row r="1016">
      <c r="A1016" s="2">
        <f>HYPERLINK("https://edmondsonsupply.com/collections/electricians-tools/products/klein-tools-et45vp-ac-dc-voltage-and-gfci-receptacle-outlet-test-kit", "https://edmondsonsupply.com/collections/electricians-tools/products/klein-tools-et45vp-ac-dc-voltage-and-gfci-receptacle-outlet-test-kit")</f>
        <v/>
      </c>
      <c r="B1016" s="2">
        <f>HYPERLINK("https://edmondsonsupply.com/products/klein-tools-et45vp-ac-dc-voltage-and-gfci-receptacle-outlet-test-kit", "https://edmondsonsupply.com/products/klein-tools-et45vp-ac-dc-voltage-and-gfci-receptacle-outlet-test-kit")</f>
        <v/>
      </c>
      <c r="C1016" t="inlineStr">
        <is>
          <t>Klein Tools ET45VP AC/DC Voltage and GFCI Receptacle Outlet Test Kit</t>
        </is>
      </c>
      <c r="D1016" t="inlineStr">
        <is>
          <t>Klein Tools 80077 Voltage Tester Kit with Electronic AC/DC GFCI Outlet Tester and Non-Contact Voltage Tester Pen, 3-Piece , Green</t>
        </is>
      </c>
      <c r="E1016" s="2">
        <f>HYPERLINK("https://www.amazon.com/Klein-Tools-80077-Electronic-Non-Contact/dp/B0B11F7Q69/ref=sr_1_7?keywords=Klein+Tools+ET45VP+AC%2FDC+Voltage+and+GFCI+Receptacle+Outlet+Test+Kit&amp;qid=1695174178&amp;sr=8-7", "https://www.amazon.com/Klein-Tools-80077-Electronic-Non-Contact/dp/B0B11F7Q69/ref=sr_1_7?keywords=Klein+Tools+ET45VP+AC%2FDC+Voltage+and+GFCI+Receptacle+Outlet+Test+Kit&amp;qid=1695174178&amp;sr=8-7")</f>
        <v/>
      </c>
      <c r="F1016" t="inlineStr">
        <is>
          <t>B0B11F7Q69</t>
        </is>
      </c>
      <c r="G1016">
        <f>_xludf.IMAGE("https://edmondsonsupply.com/cdn/shop/products/et45vp.jpg?v=1660755922")</f>
        <v/>
      </c>
      <c r="H1016">
        <f>_xludf.IMAGE("https://m.media-amazon.com/images/I/51cU3aEkbCL._AC_UL320_.jpg")</f>
        <v/>
      </c>
      <c r="I1016" t="inlineStr">
        <is>
          <t>17.97</t>
        </is>
      </c>
      <c r="J1016" t="n">
        <v>29.99</v>
      </c>
      <c r="K1016" s="3" t="inlineStr">
        <is>
          <t>66.89%</t>
        </is>
      </c>
      <c r="L1016" t="n">
        <v>4.6</v>
      </c>
      <c r="M1016" t="n">
        <v>183</v>
      </c>
      <c r="O1016" t="inlineStr">
        <is>
          <t>InStock</t>
        </is>
      </c>
      <c r="P1016" t="inlineStr">
        <is>
          <t>25.82</t>
        </is>
      </c>
      <c r="Q1016" t="inlineStr">
        <is>
          <t>7783562084568</t>
        </is>
      </c>
    </row>
    <row r="1017">
      <c r="A1017" s="2">
        <f>HYPERLINK("https://edmondsonsupply.com/collections/electricians-tools/products/klein-tools-32900-7-in-1-impact-flip-socket-with-handle", "https://edmondsonsupply.com/collections/electricians-tools/products/klein-tools-32900-7-in-1-impact-flip-socket-with-handle")</f>
        <v/>
      </c>
      <c r="B1017" s="2">
        <f>HYPERLINK("https://edmondsonsupply.com/products/klein-tools-32900-7-in-1-impact-flip-socket-with-handle", "https://edmondsonsupply.com/products/klein-tools-32900-7-in-1-impact-flip-socket-with-handle")</f>
        <v/>
      </c>
      <c r="C1017" t="inlineStr">
        <is>
          <t>Klein Tools 32900 7-in-1 Impact Flip Socket with Handle</t>
        </is>
      </c>
      <c r="D1017" t="inlineStr">
        <is>
          <t>Klein Tools 66070 Impact Socket Set, Impact Driver Flip Socket, Five Sockets with 1/4-Inch Hex and 1/2-Inch Square Socket Adapters, 7-Piece</t>
        </is>
      </c>
      <c r="E1017" s="2">
        <f>HYPERLINK("https://www.amazon.com/Klein-Tools-66070-Sockets-Adapters/dp/B0B33XLXD1/ref=sr_1_10?keywords=Klein+Tools+32900+7-in-1+Impact+Flip+Socket+with+Handle&amp;qid=1695174143&amp;sr=8-10", "https://www.amazon.com/Klein-Tools-66070-Sockets-Adapters/dp/B0B33XLXD1/ref=sr_1_10?keywords=Klein+Tools+32900+7-in-1+Impact+Flip+Socket+with+Handle&amp;qid=1695174143&amp;sr=8-10")</f>
        <v/>
      </c>
      <c r="F1017" t="inlineStr">
        <is>
          <t>B0B33XLXD1</t>
        </is>
      </c>
      <c r="G1017">
        <f>_xludf.IMAGE("https://edmondsonsupply.com/cdn/shop/products/32900_b.jpg?v=1666024787")</f>
        <v/>
      </c>
      <c r="H1017">
        <f>_xludf.IMAGE("https://m.media-amazon.com/images/I/71D23SffznL._AC_UL320_.jpg")</f>
        <v/>
      </c>
      <c r="I1017" t="inlineStr">
        <is>
          <t>29.97</t>
        </is>
      </c>
      <c r="J1017" t="n">
        <v>49.97</v>
      </c>
      <c r="K1017" s="3" t="inlineStr">
        <is>
          <t>66.73%</t>
        </is>
      </c>
      <c r="L1017" t="n">
        <v>4.8</v>
      </c>
      <c r="M1017" t="n">
        <v>1158</v>
      </c>
      <c r="O1017" t="inlineStr">
        <is>
          <t>InStock</t>
        </is>
      </c>
      <c r="P1017" t="inlineStr">
        <is>
          <t>45.0</t>
        </is>
      </c>
      <c r="Q1017" t="inlineStr">
        <is>
          <t>7856651239640</t>
        </is>
      </c>
    </row>
    <row r="1018">
      <c r="A1018" s="2">
        <f>HYPERLINK("https://edmondsonsupply.com/collections/electricians-tools/products/klein-tools-602-6-5-16-inch-keystone-tip-screwdriver-cushion-grip-6-inch", "https://edmondsonsupply.com/collections/electricians-tools/products/klein-tools-602-6-5-16-inch-keystone-tip-screwdriver-cushion-grip-6-inch")</f>
        <v/>
      </c>
      <c r="B1018" s="2">
        <f>HYPERLINK("https://edmondsonsupply.com/products/klein-tools-602-6-5-16-inch-keystone-tip-screwdriver-cushion-grip-6-inch", "https://edmondsonsupply.com/products/klein-tools-602-6-5-16-inch-keystone-tip-screwdriver-cushion-grip-6-inch")</f>
        <v/>
      </c>
      <c r="C1018" t="inlineStr">
        <is>
          <t>Klein Tools 602-6 5/16-Inch Keystone Tip Screwdriver, Cushion Grip, 6-Inch</t>
        </is>
      </c>
      <c r="D1018" t="inlineStr">
        <is>
          <t>Klein Tools 602-7DD 5/16-Inch Keystone Demolition Driver, 7-Inch Shank</t>
        </is>
      </c>
      <c r="E1018" s="2">
        <f>HYPERLINK("https://www.amazon.com/16-Inch-Keystone-Demolition-Klein-Tools/dp/B00B9HIBYA/ref=sr_1_4?keywords=Klein+Tools+602-6+5%2F16-Inch+Keystone+Tip+Screwdriver%2C+Cushion+Grip%2C+6-Inch&amp;qid=1695174298&amp;sr=8-4", "https://www.amazon.com/16-Inch-Keystone-Demolition-Klein-Tools/dp/B00B9HIBYA/ref=sr_1_4?keywords=Klein+Tools+602-6+5%2F16-Inch+Keystone+Tip+Screwdriver%2C+Cushion+Grip%2C+6-Inch&amp;qid=1695174298&amp;sr=8-4")</f>
        <v/>
      </c>
      <c r="F1018" t="inlineStr">
        <is>
          <t>B00B9HIBYA</t>
        </is>
      </c>
      <c r="G1018">
        <f>_xludf.IMAGE("https://edmondsonsupply.com/cdn/shop/products/602-6_162e3283-acea-47de-aecf-2a25f009fdcb.jpg?v=1633030880")</f>
        <v/>
      </c>
      <c r="H1018">
        <f>_xludf.IMAGE("https://m.media-amazon.com/images/I/41sh3Q2vVYL._AC_UL320_.jpg")</f>
        <v/>
      </c>
      <c r="I1018" t="inlineStr">
        <is>
          <t>11.99</t>
        </is>
      </c>
      <c r="J1018" t="n">
        <v>19.99</v>
      </c>
      <c r="K1018" s="3" t="inlineStr">
        <is>
          <t>66.72%</t>
        </is>
      </c>
      <c r="L1018" t="n">
        <v>4.8</v>
      </c>
      <c r="M1018" t="n">
        <v>1377</v>
      </c>
      <c r="O1018" t="inlineStr">
        <is>
          <t>InStock</t>
        </is>
      </c>
      <c r="P1018" t="inlineStr">
        <is>
          <t>18.18</t>
        </is>
      </c>
      <c r="Q1018" t="inlineStr">
        <is>
          <t>6169213501613</t>
        </is>
      </c>
    </row>
    <row r="1019">
      <c r="A1019" s="2">
        <f>HYPERLINK("https://edmondsonsupply.com/collections/electricians-tools/products/wiha-tools-66991-13-piece-magicring-ball-end-hex-l-key-set-inch", "https://edmondsonsupply.com/collections/electricians-tools/products/wiha-tools-66991-13-piece-magicring-ball-end-hex-l-key-set-inch")</f>
        <v/>
      </c>
      <c r="B1019" s="2">
        <f>HYPERLINK("https://edmondsonsupply.com/products/wiha-tools-66991-13-piece-magicring-ball-end-hex-l-key-set-inch", "https://edmondsonsupply.com/products/wiha-tools-66991-13-piece-magicring-ball-end-hex-l-key-set-inch")</f>
        <v/>
      </c>
      <c r="C1019" t="inlineStr">
        <is>
          <t>Wiha Tools 66991 13 Piece MagicRing Ball End Hex L-Key Set - Inch</t>
        </is>
      </c>
      <c r="D1019" t="inlineStr">
        <is>
          <t>Wiha 66992 MagicRing Ball End Hex L-Key Set In Holders, 22 Piece</t>
        </is>
      </c>
      <c r="E1019" s="2">
        <f>HYPERLINK("https://www.amazon.com/Wiha-66992-MagicRing-L-Key-Holders/dp/B000LF2LJM/ref=sr_1_3?keywords=Wiha+Tools+66991+13+Piece+MagicRing+Ball+End+Hex+L-Key+Set+-+Inch&amp;qid=1695173986&amp;sr=8-3", "https://www.amazon.com/Wiha-66992-MagicRing-L-Key-Holders/dp/B000LF2LJM/ref=sr_1_3?keywords=Wiha+Tools+66991+13+Piece+MagicRing+Ball+End+Hex+L-Key+Set+-+Inch&amp;qid=1695173986&amp;sr=8-3")</f>
        <v/>
      </c>
      <c r="F1019" t="inlineStr">
        <is>
          <t>B000LF2LJM</t>
        </is>
      </c>
      <c r="G1019">
        <f>_xludf.IMAGE("https://edmondsonsupply.com/cdn/shop/files/203e9943d7bc6da0913f39b14430d97570f6257a_1000x_25f5521b-5db2-4e3a-9496-a87eed5e7da1.webp?v=1690841742")</f>
        <v/>
      </c>
      <c r="H1019">
        <f>_xludf.IMAGE("https://m.media-amazon.com/images/I/71eB60IkANL._AC_UL320_.jpg")</f>
        <v/>
      </c>
      <c r="I1019" t="inlineStr">
        <is>
          <t>48.61</t>
        </is>
      </c>
      <c r="J1019" t="n">
        <v>81.03</v>
      </c>
      <c r="K1019" s="3" t="inlineStr">
        <is>
          <t>66.69%</t>
        </is>
      </c>
      <c r="L1019" t="n">
        <v>4.7</v>
      </c>
      <c r="M1019" t="n">
        <v>533</v>
      </c>
      <c r="O1019" t="inlineStr">
        <is>
          <t>InStock</t>
        </is>
      </c>
      <c r="P1019" t="inlineStr">
        <is>
          <t>64.81</t>
        </is>
      </c>
      <c r="Q1019" t="inlineStr">
        <is>
          <t>8023273668824</t>
        </is>
      </c>
    </row>
    <row r="1020">
      <c r="A1020" s="2">
        <f>HYPERLINK("https://edmondsonsupply.com/collections/electricians-tools/products/klein-tools-60539-professional-safety-glasses-full-frame-polarized-lens", "https://edmondsonsupply.com/collections/electricians-tools/products/klein-tools-60539-professional-safety-glasses-full-frame-polarized-lens")</f>
        <v/>
      </c>
      <c r="B1020" s="2">
        <f>HYPERLINK("https://edmondsonsupply.com/products/klein-tools-60539-professional-safety-glasses-full-frame-polarized-lens", "https://edmondsonsupply.com/products/klein-tools-60539-professional-safety-glasses-full-frame-polarized-lens")</f>
        <v/>
      </c>
      <c r="C1020" t="inlineStr">
        <is>
          <t>Klein Tools 60539 Professional Safety Glasses, Full Frame, Polarized Lens</t>
        </is>
      </c>
      <c r="D1020" t="inlineStr">
        <is>
          <t>Klein Tools 80055 Safety Glasses Kit, Professional Safety Glasses with Full Frame, Gray Lens and Breakaway Lanyard, 8-Piece</t>
        </is>
      </c>
      <c r="E1020" s="2">
        <f>HYPERLINK("https://www.amazon.com/Klein-80055-Glasses-Professional-Breakaway/dp/B09HR9RV4H/ref=sr_1_5?keywords=Klein+Tools+60539+Professional+Safety+Glasses%2C+Full+Frame%2C+Polarized+Lens&amp;qid=1695174102&amp;sr=8-5", "https://www.amazon.com/Klein-80055-Glasses-Professional-Breakaway/dp/B09HR9RV4H/ref=sr_1_5?keywords=Klein+Tools+60539+Professional+Safety+Glasses%2C+Full+Frame%2C+Polarized+Lens&amp;qid=1695174102&amp;sr=8-5")</f>
        <v/>
      </c>
      <c r="F1020" t="inlineStr">
        <is>
          <t>B09HR9RV4H</t>
        </is>
      </c>
      <c r="G1020">
        <f>_xludf.IMAGE("https://edmondsonsupply.com/cdn/shop/products/60539.jpg?v=1670948006")</f>
        <v/>
      </c>
      <c r="H1020">
        <f>_xludf.IMAGE("https://m.media-amazon.com/images/I/61L5l7dmmiL._AC_UL320_.jpg")</f>
        <v/>
      </c>
      <c r="I1020" t="inlineStr">
        <is>
          <t>29.99</t>
        </is>
      </c>
      <c r="J1020" t="n">
        <v>49.99</v>
      </c>
      <c r="K1020" s="3" t="inlineStr">
        <is>
          <t>66.69%</t>
        </is>
      </c>
      <c r="L1020" t="n">
        <v>4.5</v>
      </c>
      <c r="M1020" t="n">
        <v>13</v>
      </c>
      <c r="O1020" t="inlineStr">
        <is>
          <t>InStock</t>
        </is>
      </c>
      <c r="P1020" t="inlineStr">
        <is>
          <t>41.98</t>
        </is>
      </c>
      <c r="Q1020" t="inlineStr">
        <is>
          <t>7904008536280</t>
        </is>
      </c>
    </row>
    <row r="1021">
      <c r="A1021" s="2">
        <f>HYPERLINK("https://edmondsonsupply.com/collections/electricians-tools/products/klein-tools-vdv526-052-cable-tester-lan-scout%C2%AE-jr-continuity-tester", "https://edmondsonsupply.com/collections/electricians-tools/products/klein-tools-vdv526-052-cable-tester-lan-scout%C2%AE-jr-continuity-tester")</f>
        <v/>
      </c>
      <c r="B1021" s="2">
        <f>HYPERLINK("https://edmondsonsupply.com/products/klein-tools-vdv526-052-cable-tester-lan-scout%c2%ae-jr-continuity-tester", "https://edmondsonsupply.com/products/klein-tools-vdv526-052-cable-tester-lan-scout%c2%ae-jr-continuity-tester")</f>
        <v/>
      </c>
      <c r="C1021" t="inlineStr">
        <is>
          <t>Klein Tools VDV526-052 Cable Tester, LAN Scout® Jr. Continuity Tester</t>
        </is>
      </c>
      <c r="D1021" t="inlineStr">
        <is>
          <t>Klein Tools VDV526-200 Cable Tester, LAN Scout Jr. 2 Ethernet Cable Tester &amp; VDV500-123 Cable Tracer Probe-Pro Tracing Probe with Replaceable Non-Metallic</t>
        </is>
      </c>
      <c r="E1021" s="2">
        <f>HYPERLINK("https://www.amazon.com/Klein-Tools-VDV526-200-Replaceable-Non-Metallic/dp/B09Y84486X/ref=sr_1_4?keywords=Klein+Tools+VDV526-052+Cable+Tester%2C+LAN+Scout%C2%AE+Jr.+Continuity+Tester&amp;qid=1695174034&amp;sr=8-4", "https://www.amazon.com/Klein-Tools-VDV526-200-Replaceable-Non-Metallic/dp/B09Y84486X/ref=sr_1_4?keywords=Klein+Tools+VDV526-052+Cable+Tester%2C+LAN+Scout%C2%AE+Jr.+Continuity+Tester&amp;qid=1695174034&amp;sr=8-4")</f>
        <v/>
      </c>
      <c r="F1021" t="inlineStr">
        <is>
          <t>B09Y84486X</t>
        </is>
      </c>
      <c r="G1021">
        <f>_xludf.IMAGE("https://edmondsonsupply.com/cdn/shop/files/vdv526-052.jpg?v=1685032494")</f>
        <v/>
      </c>
      <c r="H1021">
        <f>_xludf.IMAGE("https://m.media-amazon.com/images/I/51l43d13j-L._AC_UY218_.jpg")</f>
        <v/>
      </c>
      <c r="I1021" t="inlineStr">
        <is>
          <t>59.97</t>
        </is>
      </c>
      <c r="J1021" t="n">
        <v>99.95999999999999</v>
      </c>
      <c r="K1021" s="3" t="inlineStr">
        <is>
          <t>66.68%</t>
        </is>
      </c>
      <c r="L1021" t="n">
        <v>4.8</v>
      </c>
      <c r="M1021" t="n">
        <v>12</v>
      </c>
      <c r="O1021" t="inlineStr">
        <is>
          <t>InStock</t>
        </is>
      </c>
      <c r="P1021" t="inlineStr">
        <is>
          <t>96.68</t>
        </is>
      </c>
      <c r="Q1021" t="inlineStr">
        <is>
          <t>7995835678936</t>
        </is>
      </c>
    </row>
    <row r="1022">
      <c r="A1022" s="2">
        <f>HYPERLINK("https://edmondsonsupply.com/collections/electricians-tools/products/klein-tools-51607-aluminum-conduit-bender-full-assembly-3-4-inch-emt-with-angle-setter%E2%84%A2", "https://edmondsonsupply.com/collections/electricians-tools/products/klein-tools-51607-aluminum-conduit-bender-full-assembly-3-4-inch-emt-with-angle-setter%E2%84%A2")</f>
        <v/>
      </c>
      <c r="B1022" s="2">
        <f>HYPERLINK("https://edmondsonsupply.com/products/klein-tools-51607-aluminum-conduit-bender-full-assembly-3-4-inch-emt-with-angle-setter%e2%84%a2", "https://edmondsonsupply.com/products/klein-tools-51607-aluminum-conduit-bender-full-assembly-3-4-inch-emt-with-angle-setter%e2%84%a2")</f>
        <v/>
      </c>
      <c r="C1022" t="inlineStr">
        <is>
          <t>Klein Tools 51607 Aluminum Conduit Bender Full Assembly, 3/4-Inch EMT with Angle Setter™</t>
        </is>
      </c>
      <c r="D1022" t="inlineStr">
        <is>
          <t>Klein Tools 51604 Iron Conduit Bender Full Assembly, 3/4-Inch EMT and 1/2-Inch Rigid, Wide Foot Pedal, Benchmark Symbols and Angle Setter</t>
        </is>
      </c>
      <c r="E1022" s="2">
        <f>HYPERLINK("https://www.amazon.com/Conduit-Features-Klein-Tools-51604/dp/B08V8YVWH1/ref=sr_1_4?keywords=Klein+Tools+51607+Aluminum+Conduit+Bender+Full+Assembly%2C+3%2F4-Inch+EMT+with+Angle+Setter%E2%84%A2&amp;qid=1695174169&amp;sr=8-4", "https://www.amazon.com/Conduit-Features-Klein-Tools-51604/dp/B08V8YVWH1/ref=sr_1_4?keywords=Klein+Tools+51607+Aluminum+Conduit+Bender+Full+Assembly%2C+3%2F4-Inch+EMT+with+Angle+Setter%E2%84%A2&amp;qid=1695174169&amp;sr=8-4")</f>
        <v/>
      </c>
      <c r="F1022" t="inlineStr">
        <is>
          <t>B08V8YVWH1</t>
        </is>
      </c>
      <c r="G1022">
        <f>_xludf.IMAGE("https://edmondsonsupply.com/cdn/shop/products/51607.jpg?v=1663942654")</f>
        <v/>
      </c>
      <c r="H1022">
        <f>_xludf.IMAGE("https://m.media-amazon.com/images/I/41DkDVmyczL._AC_UL320_.jpg")</f>
        <v/>
      </c>
      <c r="I1022" t="inlineStr">
        <is>
          <t>44.99</t>
        </is>
      </c>
      <c r="J1022" t="n">
        <v>74.98999999999999</v>
      </c>
      <c r="K1022" s="3" t="inlineStr">
        <is>
          <t>66.68%</t>
        </is>
      </c>
      <c r="L1022" t="n">
        <v>4.8</v>
      </c>
      <c r="M1022" t="n">
        <v>43</v>
      </c>
      <c r="O1022" t="inlineStr">
        <is>
          <t>InStock</t>
        </is>
      </c>
      <c r="P1022" t="inlineStr">
        <is>
          <t>63.0</t>
        </is>
      </c>
      <c r="Q1022" t="inlineStr">
        <is>
          <t>7827252216024</t>
        </is>
      </c>
    </row>
    <row r="1023">
      <c r="A1023" s="2">
        <f>HYPERLINK("https://edmondsonsupply.com/collections/electricians-tools/products/klein-tools-60345-hard-hat-premium-karbn%E2%84%A2-pattern-non-vented-full-brim-class-e", "https://edmondsonsupply.com/collections/electricians-tools/products/klein-tools-60345-hard-hat-premium-karbn%E2%84%A2-pattern-non-vented-full-brim-class-e")</f>
        <v/>
      </c>
      <c r="B1023" s="2">
        <f>HYPERLINK("https://edmondsonsupply.com/products/klein-tools-60345-hard-hat-premium-karbn%e2%84%a2-pattern-non-vented-full-brim-class-e", "https://edmondsonsupply.com/products/klein-tools-60345-hard-hat-premium-karbn%e2%84%a2-pattern-non-vented-full-brim-class-e")</f>
        <v/>
      </c>
      <c r="C1023" t="inlineStr">
        <is>
          <t>Klein Tools 60345 Hard Hat, Premium KARBN™ Pattern, Non-Vented Full Brim, Class E</t>
        </is>
      </c>
      <c r="D1023" t="inlineStr">
        <is>
          <t>Klein Tools 60346 Hard Hat, Non-Vented Full Brim, Class E, Premium KARBN Pattern &amp; 60181 Cooling Helmet Liner, Under Hard Hat Cap with Mesh Fabric at Crown</t>
        </is>
      </c>
      <c r="E1023" s="2">
        <f>HYPERLINK("https://www.amazon.com/Klein-Tools-Non-Vented-Premium-Pattern/dp/B09Z8ZC2TJ/ref=sr_1_3?keywords=Klein+Tools+60345+Hard+Hat%2C+Premium+KARBN%E2%84%A2+Pattern%2C+Non-Vented+Full+Brim%2C+Class+E&amp;qid=1695174204&amp;sr=8-3", "https://www.amazon.com/Klein-Tools-Non-Vented-Premium-Pattern/dp/B09Z8ZC2TJ/ref=sr_1_3?keywords=Klein+Tools+60345+Hard+Hat%2C+Premium+KARBN%E2%84%A2+Pattern%2C+Non-Vented+Full+Brim%2C+Class+E&amp;qid=1695174204&amp;sr=8-3")</f>
        <v/>
      </c>
      <c r="F1023" t="inlineStr">
        <is>
          <t>B09Z8ZC2TJ</t>
        </is>
      </c>
      <c r="G1023">
        <f>_xludf.IMAGE("https://edmondsonsupply.com/cdn/shop/products/60345.jpg?v=1660171739")</f>
        <v/>
      </c>
      <c r="H1023">
        <f>_xludf.IMAGE("https://m.media-amazon.com/images/I/51OeMTIeiuL._AC_UL320_.jpg")</f>
        <v/>
      </c>
      <c r="I1023" t="inlineStr">
        <is>
          <t>59.99</t>
        </is>
      </c>
      <c r="J1023" t="n">
        <v>99.98</v>
      </c>
      <c r="K1023" s="3" t="inlineStr">
        <is>
          <t>66.66%</t>
        </is>
      </c>
      <c r="L1023" t="n">
        <v>4.7</v>
      </c>
      <c r="M1023" t="n">
        <v>8</v>
      </c>
      <c r="O1023" t="inlineStr">
        <is>
          <t>InStock</t>
        </is>
      </c>
      <c r="P1023" t="inlineStr">
        <is>
          <t>81.02</t>
        </is>
      </c>
      <c r="Q1023" t="inlineStr">
        <is>
          <t>7778045493464</t>
        </is>
      </c>
    </row>
    <row r="1024">
      <c r="A1024" s="2">
        <f>HYPERLINK("https://edmondsonsupply.com/collections/electricians-tools/products/klein-tools-51603-iron-conduit-bender-full-assembly-1-2-inch-emt-with-angle-setter%E2%84%A2", "https://edmondsonsupply.com/collections/electricians-tools/products/klein-tools-51603-iron-conduit-bender-full-assembly-1-2-inch-emt-with-angle-setter%E2%84%A2")</f>
        <v/>
      </c>
      <c r="B1024" s="2">
        <f>HYPERLINK("https://edmondsonsupply.com/products/klein-tools-51603-iron-conduit-bender-full-assembly-1-2-inch-emt-with-angle-setter%e2%84%a2", "https://edmondsonsupply.com/products/klein-tools-51603-iron-conduit-bender-full-assembly-1-2-inch-emt-with-angle-setter%e2%84%a2")</f>
        <v/>
      </c>
      <c r="C1024" t="inlineStr">
        <is>
          <t>Klein Tools 51603 Iron Conduit Bender Full Assembly, 1/2-Inch EMT with Angle Setter™</t>
        </is>
      </c>
      <c r="D1024" t="inlineStr">
        <is>
          <t>Klein Tools 51605 Iron Conduit Bender Full Assembly, 1-Inch EMT and 3/4-Inch Rigid, Wide Foot Pedal, Benchmark Symbols and Angle Setter</t>
        </is>
      </c>
      <c r="E1024" s="2">
        <f>HYPERLINK("https://www.amazon.com/Conduit-Technology-Benchmark-Klein-Tools/dp/B08L3ZQCT1/ref=sr_1_6?keywords=Klein+Tools+51603+Iron+Conduit+Bender+Full+Assembly%2C+1%2F2-Inch+EMT+with+Angle+Setter%E2%84%A2&amp;qid=1695173919&amp;sr=8-6", "https://www.amazon.com/Conduit-Technology-Benchmark-Klein-Tools/dp/B08L3ZQCT1/ref=sr_1_6?keywords=Klein+Tools+51603+Iron+Conduit+Bender+Full+Assembly%2C+1%2F2-Inch+EMT+with+Angle+Setter%E2%84%A2&amp;qid=1695173919&amp;sr=8-6")</f>
        <v/>
      </c>
      <c r="F1024" t="inlineStr">
        <is>
          <t>B08L3ZQCT1</t>
        </is>
      </c>
      <c r="G1024">
        <f>_xludf.IMAGE("https://edmondsonsupply.com/cdn/shop/products/51604.jpg?v=1663940749")</f>
        <v/>
      </c>
      <c r="H1024">
        <f>_xludf.IMAGE("https://m.media-amazon.com/images/I/41stj4NcdUL._AC_UL320_.jpg")</f>
        <v/>
      </c>
      <c r="I1024" t="inlineStr">
        <is>
          <t>59.99</t>
        </is>
      </c>
      <c r="J1024" t="n">
        <v>99.97</v>
      </c>
      <c r="K1024" s="3" t="inlineStr">
        <is>
          <t>66.64%</t>
        </is>
      </c>
      <c r="L1024" t="n">
        <v>4.7</v>
      </c>
      <c r="M1024" t="n">
        <v>60</v>
      </c>
      <c r="O1024" t="inlineStr">
        <is>
          <t>InStock</t>
        </is>
      </c>
      <c r="P1024" t="inlineStr">
        <is>
          <t>86.4</t>
        </is>
      </c>
      <c r="Q1024" t="inlineStr">
        <is>
          <t>7827227574488</t>
        </is>
      </c>
    </row>
    <row r="1025">
      <c r="A1025" s="2">
        <f>HYPERLINK("https://edmondsonsupply.com/collections/electricians-tools/products/klein-tools-51609-3-4-inch-iron-conduit-bender-head", "https://edmondsonsupply.com/collections/electricians-tools/products/klein-tools-51609-3-4-inch-iron-conduit-bender-head")</f>
        <v/>
      </c>
      <c r="B1025" s="2">
        <f>HYPERLINK("https://edmondsonsupply.com/products/klein-tools-51609-3-4-inch-iron-conduit-bender-head", "https://edmondsonsupply.com/products/klein-tools-51609-3-4-inch-iron-conduit-bender-head")</f>
        <v/>
      </c>
      <c r="C1025" t="inlineStr">
        <is>
          <t>Klein Tools 51609 3/4-Inch Iron Conduit Bender Head</t>
        </is>
      </c>
      <c r="D1025" t="inlineStr">
        <is>
          <t>Klein Tools 51605 Iron Conduit Bender Full Assembly, 1-Inch EMT and 3/4-Inch Rigid, Wide Foot Pedal, Benchmark Symbols and Angle Setter</t>
        </is>
      </c>
      <c r="E1025" s="2">
        <f>HYPERLINK("https://www.amazon.com/Conduit-Technology-Benchmark-Klein-Tools/dp/B08L3ZQCT1/ref=sr_1_6?keywords=Klein+Tools+51609+3%2F4-Inch+Iron+Conduit+Bender+Head&amp;qid=1695174173&amp;sr=8-6", "https://www.amazon.com/Conduit-Technology-Benchmark-Klein-Tools/dp/B08L3ZQCT1/ref=sr_1_6?keywords=Klein+Tools+51609+3%2F4-Inch+Iron+Conduit+Bender+Head&amp;qid=1695174173&amp;sr=8-6")</f>
        <v/>
      </c>
      <c r="F1025" t="inlineStr">
        <is>
          <t>B08L3ZQCT1</t>
        </is>
      </c>
      <c r="G1025">
        <f>_xludf.IMAGE("https://edmondsonsupply.com/cdn/shop/products/51609.jpg?v=1661867147")</f>
        <v/>
      </c>
      <c r="H1025">
        <f>_xludf.IMAGE("https://m.media-amazon.com/images/I/41stj4NcdUL._AC_UL320_.jpg")</f>
        <v/>
      </c>
      <c r="I1025" t="inlineStr">
        <is>
          <t>59.99</t>
        </is>
      </c>
      <c r="J1025" t="n">
        <v>99.97</v>
      </c>
      <c r="K1025" s="3" t="inlineStr">
        <is>
          <t>66.64%</t>
        </is>
      </c>
      <c r="L1025" t="n">
        <v>4.7</v>
      </c>
      <c r="M1025" t="n">
        <v>60</v>
      </c>
      <c r="O1025" t="inlineStr">
        <is>
          <t>InStock</t>
        </is>
      </c>
      <c r="P1025" t="inlineStr">
        <is>
          <t>90.22</t>
        </is>
      </c>
      <c r="Q1025" t="inlineStr">
        <is>
          <t>7797415837912</t>
        </is>
      </c>
    </row>
    <row r="1026">
      <c r="A1026" s="2">
        <f>HYPERLINK("https://edmondsonsupply.com/collections/electricians-tools/products/klein-1550-2-pocket-knife-carbon-steel-2-1-2-spearpoint-screwdriver-tip", "https://edmondsonsupply.com/collections/electricians-tools/products/klein-1550-2-pocket-knife-carbon-steel-2-1-2-spearpoint-screwdriver-tip")</f>
        <v/>
      </c>
      <c r="B1026" s="2">
        <f>HYPERLINK("https://edmondsonsupply.com/products/klein-1550-2-pocket-knife-carbon-steel-2-1-2-spearpoint-screwdriver-tip", "https://edmondsonsupply.com/products/klein-1550-2-pocket-knife-carbon-steel-2-1-2-spearpoint-screwdriver-tip")</f>
        <v/>
      </c>
      <c r="C1026" t="inlineStr">
        <is>
          <t>Klein Tools 1550-2 2 Blade Pocket Knife, Steel, 2-1/2-Inch Blade</t>
        </is>
      </c>
      <c r="D1026" t="inlineStr">
        <is>
          <t>Klein Tools 44007 Electricians Knife, Lightweight Lockback Knife with 2-1/2-Inch Coping Blade and Silver Handle</t>
        </is>
      </c>
      <c r="E1026" s="2">
        <f>HYPERLINK("https://www.amazon.com/Lightweight-Lockback-Klein-Tools-44007/dp/B001TJ1JVK/ref=sr_1_3?keywords=Klein+Tools+1550-2+2+Blade+Pocket+Knife%2C+Steel%2C+2-1%2F2-Inch+Blade&amp;qid=1695174176&amp;sr=8-3", "https://www.amazon.com/Lightweight-Lockback-Klein-Tools-44007/dp/B001TJ1JVK/ref=sr_1_3?keywords=Klein+Tools+1550-2+2+Blade+Pocket+Knife%2C+Steel%2C+2-1%2F2-Inch+Blade&amp;qid=1695174176&amp;sr=8-3")</f>
        <v/>
      </c>
      <c r="F1026" t="inlineStr">
        <is>
          <t>B001TJ1JVK</t>
        </is>
      </c>
      <c r="G1026">
        <f>_xludf.IMAGE("https://edmondsonsupply.com/cdn/shop/products/15502_b.jpg?v=1658020543")</f>
        <v/>
      </c>
      <c r="H1026">
        <f>_xludf.IMAGE("https://m.media-amazon.com/images/I/71-kYHzVBIL._AC_UL320_.jpg")</f>
        <v/>
      </c>
      <c r="I1026" t="inlineStr">
        <is>
          <t>29.99</t>
        </is>
      </c>
      <c r="J1026" t="n">
        <v>49.97</v>
      </c>
      <c r="K1026" s="3" t="inlineStr">
        <is>
          <t>66.62%</t>
        </is>
      </c>
      <c r="L1026" t="n">
        <v>4.6</v>
      </c>
      <c r="M1026" t="n">
        <v>60</v>
      </c>
      <c r="O1026" t="inlineStr">
        <is>
          <t>InStock</t>
        </is>
      </c>
      <c r="P1026" t="inlineStr">
        <is>
          <t>45.52</t>
        </is>
      </c>
      <c r="Q1026" t="inlineStr">
        <is>
          <t>2766536409188</t>
        </is>
      </c>
    </row>
    <row r="1027">
      <c r="A1027" s="2">
        <f>HYPERLINK("https://edmondsonsupply.com/collections/electricians-tools/products/klein-tools-66078-flip-impact-socket-adapter-large-1-2-to-1-2-inch", "https://edmondsonsupply.com/collections/electricians-tools/products/klein-tools-66078-flip-impact-socket-adapter-large-1-2-to-1-2-inch")</f>
        <v/>
      </c>
      <c r="B1027" s="2">
        <f>HYPERLINK("https://edmondsonsupply.com/products/klein-tools-66078-flip-impact-socket-adapter-large-1-2-to-1-2-inch", "https://edmondsonsupply.com/products/klein-tools-66078-flip-impact-socket-adapter-large-1-2-to-1-2-inch")</f>
        <v/>
      </c>
      <c r="C1027" t="inlineStr">
        <is>
          <t>Klein Tools 66078 Flip Impact Socket Adapter, Large, 1/2 to 1/2-Inch</t>
        </is>
      </c>
      <c r="D1027" t="inlineStr">
        <is>
          <t>Klein Tools 66078 Impact Flip Socket Adapter, Large 1/2 to 1/2 -Inch Square Adapter, Use with Klein Tools Flip Impact Socket Set 66070</t>
        </is>
      </c>
      <c r="E1027" s="2">
        <f>HYPERLINK("https://www.amazon.com/Klein-Tools-66078-Impact-Adapter/dp/B0B33T15XS/ref=sr_1_1?keywords=Klein+Tools+66078+Flip+Impact+Socket+Adapter%2C+Large%2C+1%2F2+to+1%2F2-Inch&amp;qid=1695174159&amp;sr=8-1", "https://www.amazon.com/Klein-Tools-66078-Impact-Adapter/dp/B0B33T15XS/ref=sr_1_1?keywords=Klein+Tools+66078+Flip+Impact+Socket+Adapter%2C+Large%2C+1%2F2+to+1%2F2-Inch&amp;qid=1695174159&amp;sr=8-1")</f>
        <v/>
      </c>
      <c r="F1027" t="inlineStr">
        <is>
          <t>B0B33T15XS</t>
        </is>
      </c>
      <c r="G1027">
        <f>_xludf.IMAGE("https://edmondsonsupply.com/cdn/shop/products/66078.jpg?v=1674145294")</f>
        <v/>
      </c>
      <c r="H1027">
        <f>_xludf.IMAGE("https://m.media-amazon.com/images/I/51cFYcsM3kL._AC_UL320_.jpg")</f>
        <v/>
      </c>
      <c r="I1027" t="inlineStr">
        <is>
          <t>9.36</t>
        </is>
      </c>
      <c r="J1027" t="n">
        <v>15.58</v>
      </c>
      <c r="K1027" s="3" t="inlineStr">
        <is>
          <t>66.45%</t>
        </is>
      </c>
      <c r="L1027" t="n">
        <v>5</v>
      </c>
      <c r="M1027" t="n">
        <v>1</v>
      </c>
      <c r="O1027" t="inlineStr">
        <is>
          <t>InStock</t>
        </is>
      </c>
      <c r="P1027" t="inlineStr">
        <is>
          <t>15.6</t>
        </is>
      </c>
      <c r="Q1027" t="inlineStr">
        <is>
          <t>7814086361304</t>
        </is>
      </c>
    </row>
    <row r="1028">
      <c r="A1028" s="2">
        <f>HYPERLINK("https://edmondsonsupply.com/collections/electricians-tools/products/diablo-tools-dmamx1360-1-1-2-in-x-16-in-x-21-in-rebar-demon%E2%84%A2-sds-max-4-cutter-carbide-tipped-hammer-drill-bit", "https://edmondsonsupply.com/collections/electricians-tools/products/diablo-tools-dmamx1360-1-1-2-in-x-16-in-x-21-in-rebar-demon%E2%84%A2-sds-max-4-cutter-carbide-tipped-hammer-drill-bit")</f>
        <v/>
      </c>
      <c r="B1028" s="2">
        <f>HYPERLINK("https://edmondsonsupply.com/products/diablo-tools-dmamx1360-1-1-2-in-x-16-in-x-21-in-rebar-demon%e2%84%a2-sds-max-4-cutter-carbide-tipped-hammer-drill-bit", "https://edmondsonsupply.com/products/diablo-tools-dmamx1360-1-1-2-in-x-16-in-x-21-in-rebar-demon%e2%84%a2-sds-max-4-cutter-carbide-tipped-hammer-drill-bit")</f>
        <v/>
      </c>
      <c r="C1028" t="inlineStr">
        <is>
          <t>Diablo Tools DMAMX1360 1-1/2 in. x 16 in. x 21 in. Rebar Demon™ SDS-Max 4-Cutter Carbide-Tipped Hammer Drill Bit</t>
        </is>
      </c>
      <c r="D1028" t="inlineStr">
        <is>
          <t>Diablo by Freud DMAMX1380 1-1/2 in. x 31 in. x 36 in. Rebar Demon SDS-Max 4-Cutter Carbide-Tipped Hammer Bit</t>
        </is>
      </c>
      <c r="E1028" s="2">
        <f>HYPERLINK("https://www.amazon.com/Diablo-SDS-Max-4-Cutter-Carbide-Tipped-Hammer/dp/B089KVRR1J/ref=sr_1_5?keywords=Diablo+Tools+DMAMX1360+1-1%2F2+in.+x+16+in.+x+21+in.+Rebar+Demon%E2%84%A2+SDS-Max+4-Cutter+Carbide-Tipped+Hammer+Drill+Bit&amp;qid=1695174071&amp;sr=8-5", "https://www.amazon.com/Diablo-SDS-Max-4-Cutter-Carbide-Tipped-Hammer/dp/B089KVRR1J/ref=sr_1_5?keywords=Diablo+Tools+DMAMX1360+1-1%2F2+in.+x+16+in.+x+21+in.+Rebar+Demon%E2%84%A2+SDS-Max+4-Cutter+Carbide-Tipped+Hammer+Drill+Bit&amp;qid=1695174071&amp;sr=8-5")</f>
        <v/>
      </c>
      <c r="F1028" t="inlineStr">
        <is>
          <t>B089KVRR1J</t>
        </is>
      </c>
      <c r="G1028">
        <f>_xludf.IMAGE("https://edmondsonsupply.com/cdn/shop/products/z2umcsdaj3y4uvsfnxoh.webp?v=1677257156")</f>
        <v/>
      </c>
      <c r="H1028">
        <f>_xludf.IMAGE("https://m.media-amazon.com/images/I/61BDKHxJ3YL._AC_UL320_.jpg")</f>
        <v/>
      </c>
      <c r="I1028" t="inlineStr">
        <is>
          <t>93.87</t>
        </is>
      </c>
      <c r="J1028" t="n">
        <v>155.99</v>
      </c>
      <c r="K1028" s="3" t="inlineStr">
        <is>
          <t>66.18%</t>
        </is>
      </c>
      <c r="L1028" t="n">
        <v>5</v>
      </c>
      <c r="M1028" t="n">
        <v>3</v>
      </c>
      <c r="O1028" t="inlineStr">
        <is>
          <t>InStock</t>
        </is>
      </c>
      <c r="P1028" t="inlineStr">
        <is>
          <t>149.01</t>
        </is>
      </c>
      <c r="Q1028" t="inlineStr">
        <is>
          <t>7950786855128</t>
        </is>
      </c>
    </row>
    <row r="1029">
      <c r="A1029" s="2">
        <f>HYPERLINK("https://edmondsonsupply.com/collections/electricians-tools/products/klein-tools-32308-8-in-1-multi-bit-adjustable-length-stubby-screwdriver", "https://edmondsonsupply.com/collections/electricians-tools/products/klein-tools-32308-8-in-1-multi-bit-adjustable-length-stubby-screwdriver")</f>
        <v/>
      </c>
      <c r="B1029" s="2">
        <f>HYPERLINK("https://edmondsonsupply.com/products/klein-tools-32308-8-in-1-multi-bit-adjustable-length-stubby-screwdriver", "https://edmondsonsupply.com/products/klein-tools-32308-8-in-1-multi-bit-adjustable-length-stubby-screwdriver")</f>
        <v/>
      </c>
      <c r="C1029" t="inlineStr">
        <is>
          <t>Klein Tools 32308 8-in-1 Multi-Bit Adjustable Length Stubby Screwdriver</t>
        </is>
      </c>
      <c r="D1029" t="inlineStr">
        <is>
          <t>Klein Tools 32308 Multi-bit Stubby Screwdriver &amp; 32561 Multi-Bit Screwdriver/Nut Driver, 6-in-1 Stubby Screwdriver with 2 Phillips, 2 Slotted Bits, 2 Nut Drivers</t>
        </is>
      </c>
      <c r="E1029" s="2">
        <f>HYPERLINK("https://www.amazon.com/Klein-Tools-Multi-bit-Screwdriver-Multi-Bit/dp/B0B7N8RXDY/ref=sr_1_7?keywords=Klein+Tools+32308+8-in-1+Multi-Bit+Adjustable+Length+Stubby+Screwdriver&amp;qid=1695174224&amp;sr=8-7", "https://www.amazon.com/Klein-Tools-Multi-bit-Screwdriver-Multi-Bit/dp/B0B7N8RXDY/ref=sr_1_7?keywords=Klein+Tools+32308+8-in-1+Multi-Bit+Adjustable+Length+Stubby+Screwdriver&amp;qid=1695174224&amp;sr=8-7")</f>
        <v/>
      </c>
      <c r="F1029" t="inlineStr">
        <is>
          <t>B0B7N8RXDY</t>
        </is>
      </c>
      <c r="G1029">
        <f>_xludf.IMAGE("https://edmondsonsupply.com/cdn/shop/products/32308_b.jpg?v=1647348209")</f>
        <v/>
      </c>
      <c r="H1029">
        <f>_xludf.IMAGE("https://m.media-amazon.com/images/I/514uFlHpM3L._AC_UL320_.jpg")</f>
        <v/>
      </c>
      <c r="I1029" t="inlineStr">
        <is>
          <t>16.97</t>
        </is>
      </c>
      <c r="J1029" t="n">
        <v>27.94</v>
      </c>
      <c r="K1029" s="3" t="inlineStr">
        <is>
          <t>64.64%</t>
        </is>
      </c>
      <c r="L1029" t="n">
        <v>5</v>
      </c>
      <c r="M1029" t="n">
        <v>3</v>
      </c>
      <c r="O1029" t="inlineStr">
        <is>
          <t>InStock</t>
        </is>
      </c>
      <c r="P1029" t="inlineStr">
        <is>
          <t>23.78</t>
        </is>
      </c>
      <c r="Q1029" t="inlineStr">
        <is>
          <t>7637271445720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2023-09-21T20:23:50Z</dcterms:created>
  <dcterms:modified xsi:type="dcterms:W3CDTF">2023-09-21T20:23:51Z</dcterms:modified>
</cp:coreProperties>
</file>